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ovoffice.sharepoint.com/sites/PBFacilities/Shared Documents/Northeastern/"/>
    </mc:Choice>
  </mc:AlternateContent>
  <xr:revisionPtr revIDLastSave="9" documentId="8_{9A74D2ED-1BC8-4AEA-A769-06D7529494DF}" xr6:coauthVersionLast="47" xr6:coauthVersionMax="47" xr10:uidLastSave="{840D789E-A732-47F1-B2A7-56186C52ACC2}"/>
  <bookViews>
    <workbookView xWindow="-108" yWindow="-108" windowWidth="23256" windowHeight="12456" tabRatio="759" activeTab="3" xr2:uid="{E58CD671-49CB-4B21-A7EE-BBE0EE4AFC33}"/>
  </bookViews>
  <sheets>
    <sheet name="diamond adult analysis" sheetId="14" r:id="rId1"/>
    <sheet name="Diamond_Info" sheetId="8" r:id="rId2"/>
    <sheet name="Rec_Field_Info" sheetId="10" r:id="rId3"/>
    <sheet name="Methods_Dimensions" sheetId="4" r:id="rId4"/>
  </sheets>
  <definedNames>
    <definedName name="_xlnm.Databa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3" i="10" l="1"/>
  <c r="AM43" i="10"/>
  <c r="AF61" i="14"/>
  <c r="AJ67" i="14"/>
  <c r="AA110" i="14"/>
  <c r="AB110" i="14"/>
  <c r="AC110" i="14"/>
  <c r="AD110" i="14"/>
  <c r="AA111" i="14"/>
  <c r="AB111" i="14"/>
  <c r="AC111" i="14"/>
  <c r="AD111" i="14"/>
  <c r="AA112" i="14"/>
  <c r="AB112" i="14"/>
  <c r="AC112" i="14"/>
  <c r="AD112" i="14"/>
  <c r="AA113" i="14"/>
  <c r="AB113" i="14"/>
  <c r="AC113" i="14"/>
  <c r="AD113" i="14"/>
  <c r="AA114" i="14"/>
  <c r="AB114" i="14"/>
  <c r="AC114" i="14"/>
  <c r="AD114" i="14"/>
  <c r="AA115" i="14"/>
  <c r="AB115" i="14"/>
  <c r="AC115" i="14"/>
  <c r="AD115" i="14"/>
  <c r="AA116" i="14"/>
  <c r="AB116" i="14"/>
  <c r="AC116" i="14"/>
  <c r="AD116" i="14"/>
  <c r="AA117" i="14"/>
  <c r="AB117" i="14"/>
  <c r="AC117" i="14"/>
  <c r="AD117" i="14"/>
  <c r="AA118" i="14"/>
  <c r="AB118" i="14"/>
  <c r="AC118" i="14"/>
  <c r="AD118" i="14"/>
  <c r="AA108" i="14"/>
  <c r="AB108" i="14"/>
  <c r="AC108" i="14"/>
  <c r="AD108" i="14"/>
  <c r="AA109" i="14"/>
  <c r="AB109" i="14"/>
  <c r="AC109" i="14"/>
  <c r="AD109" i="14"/>
  <c r="AA106" i="14"/>
  <c r="AB106" i="14"/>
  <c r="AC106" i="14"/>
  <c r="AD106" i="14"/>
  <c r="AA107" i="14"/>
  <c r="AB107" i="14"/>
  <c r="AC107" i="14"/>
  <c r="AD107" i="14"/>
  <c r="AA104" i="14"/>
  <c r="AB104" i="14"/>
  <c r="AC104" i="14"/>
  <c r="AD104" i="14"/>
  <c r="AA6" i="14"/>
  <c r="AB6" i="14"/>
  <c r="AC6" i="14"/>
  <c r="AD6" i="14"/>
  <c r="AA7" i="14"/>
  <c r="AB7" i="14"/>
  <c r="AC7" i="14"/>
  <c r="AD7" i="14"/>
  <c r="AA3" i="14"/>
  <c r="AB3" i="14"/>
  <c r="AC3" i="14"/>
  <c r="AD3" i="14"/>
  <c r="AA2" i="14"/>
  <c r="AB2" i="14"/>
  <c r="AC2" i="14"/>
  <c r="AD2" i="14"/>
  <c r="AA8" i="14"/>
  <c r="AB8" i="14"/>
  <c r="AC8" i="14"/>
  <c r="AD8" i="14"/>
  <c r="AA105" i="14"/>
  <c r="AB105" i="14"/>
  <c r="AC105" i="14"/>
  <c r="AD105" i="14"/>
  <c r="AA103" i="14"/>
  <c r="AB103" i="14"/>
  <c r="AC103" i="14"/>
  <c r="AD103" i="14"/>
  <c r="AA91" i="14"/>
  <c r="AB91" i="14"/>
  <c r="AC91" i="14"/>
  <c r="AD91" i="14"/>
  <c r="AA99" i="14"/>
  <c r="AB99" i="14"/>
  <c r="AC99" i="14"/>
  <c r="AD99" i="14"/>
  <c r="AB100" i="14"/>
  <c r="AC100" i="14"/>
  <c r="AD100" i="14"/>
  <c r="AA100" i="14"/>
  <c r="AA93" i="14"/>
  <c r="AB93" i="14"/>
  <c r="AC93" i="14"/>
  <c r="AD93" i="14"/>
  <c r="AA102" i="14"/>
  <c r="AB102" i="14"/>
  <c r="AC102" i="14"/>
  <c r="AD102" i="14"/>
  <c r="AA101" i="14"/>
  <c r="AB101" i="14"/>
  <c r="AC101" i="14"/>
  <c r="AD101" i="14"/>
  <c r="AA90" i="14"/>
  <c r="AB90" i="14"/>
  <c r="AC90" i="14"/>
  <c r="AD90" i="14"/>
  <c r="AA94" i="14"/>
  <c r="AB94" i="14"/>
  <c r="AC94" i="14"/>
  <c r="AD94" i="14"/>
  <c r="AA98" i="14"/>
  <c r="AB98" i="14"/>
  <c r="AC98" i="14"/>
  <c r="AD98" i="14"/>
  <c r="AA97" i="14"/>
  <c r="AB97" i="14"/>
  <c r="AC97" i="14"/>
  <c r="AD97" i="14"/>
  <c r="AA96" i="14"/>
  <c r="AB96" i="14"/>
  <c r="AC96" i="14"/>
  <c r="AD96" i="14"/>
  <c r="AA89" i="14"/>
  <c r="AB89" i="14"/>
  <c r="AC89" i="14"/>
  <c r="AD89" i="14"/>
  <c r="AA84" i="14"/>
  <c r="AB84" i="14"/>
  <c r="AC84" i="14"/>
  <c r="AD84" i="14"/>
  <c r="AA77" i="14"/>
  <c r="AB77" i="14"/>
  <c r="AC77" i="14"/>
  <c r="AD77" i="14"/>
  <c r="AA44" i="14"/>
  <c r="AB44" i="14"/>
  <c r="AC44" i="14"/>
  <c r="AD44" i="14"/>
  <c r="AA95" i="14"/>
  <c r="AB95" i="14"/>
  <c r="AC95" i="14"/>
  <c r="AD95" i="14"/>
  <c r="AA88" i="14"/>
  <c r="AB88" i="14"/>
  <c r="AC88" i="14"/>
  <c r="AD88" i="14"/>
  <c r="AA67" i="14"/>
  <c r="AB67" i="14"/>
  <c r="AC67" i="14"/>
  <c r="AD67" i="14"/>
  <c r="AA92" i="14"/>
  <c r="AB92" i="14"/>
  <c r="AC92" i="14"/>
  <c r="AD92" i="14"/>
  <c r="AU99" i="14"/>
  <c r="AU88" i="14"/>
  <c r="AU72" i="14"/>
  <c r="AU94" i="14"/>
  <c r="AU29" i="14"/>
  <c r="AU93" i="14"/>
  <c r="AU68" i="14"/>
  <c r="AU95" i="14"/>
  <c r="AU111" i="14"/>
  <c r="AU62" i="14"/>
  <c r="AU63" i="14"/>
  <c r="AU85" i="14"/>
  <c r="AU13" i="14"/>
  <c r="AU10" i="14"/>
  <c r="AU16" i="14"/>
  <c r="AU35" i="14"/>
  <c r="AU87" i="14"/>
  <c r="AU96" i="14"/>
  <c r="AU78" i="14"/>
  <c r="AU8" i="14"/>
  <c r="AU27" i="14"/>
  <c r="AU71" i="14"/>
  <c r="AU19" i="14"/>
  <c r="AU112" i="14"/>
  <c r="AU48" i="14"/>
  <c r="AU83" i="14"/>
  <c r="AU73" i="14"/>
  <c r="AU49" i="14"/>
  <c r="AU100" i="14"/>
  <c r="AU67" i="14"/>
  <c r="AU118" i="14"/>
  <c r="AU110" i="14"/>
  <c r="AU33" i="14"/>
  <c r="AU50" i="14"/>
  <c r="AU84" i="14"/>
  <c r="AU66" i="14"/>
  <c r="AU43" i="14"/>
  <c r="AU23" i="14"/>
  <c r="AU36" i="14"/>
  <c r="AU91" i="14"/>
  <c r="AU2" i="14"/>
  <c r="AU44" i="14"/>
  <c r="AU34" i="14"/>
  <c r="AU41" i="14"/>
  <c r="AU9" i="14"/>
  <c r="AU5" i="14"/>
  <c r="AU42" i="14"/>
  <c r="AU40" i="14"/>
  <c r="AU59" i="14"/>
  <c r="AU51" i="14"/>
  <c r="AU52" i="14"/>
  <c r="AU90" i="14"/>
  <c r="AU53" i="14"/>
  <c r="AU54" i="14"/>
  <c r="AU113" i="14"/>
  <c r="AU15" i="14"/>
  <c r="AU24" i="14"/>
  <c r="AU18" i="14"/>
  <c r="AU74" i="14"/>
  <c r="AU38" i="14"/>
  <c r="AU61" i="14"/>
  <c r="AU69" i="14"/>
  <c r="AU3" i="14"/>
  <c r="AU17" i="14"/>
  <c r="AU114" i="14"/>
  <c r="AU108" i="14"/>
  <c r="AU55" i="14"/>
  <c r="AU106" i="14"/>
  <c r="AU104" i="14"/>
  <c r="AU32" i="14"/>
  <c r="AU82" i="14"/>
  <c r="AU64" i="14"/>
  <c r="AU65" i="14"/>
  <c r="AU11" i="14"/>
  <c r="AU92" i="14"/>
  <c r="AU80" i="14"/>
  <c r="AU81" i="14"/>
  <c r="AU56" i="14"/>
  <c r="AU57" i="14"/>
  <c r="AU109" i="14"/>
  <c r="AU115" i="14"/>
  <c r="AU116" i="14"/>
  <c r="AU20" i="14"/>
  <c r="AU22" i="14"/>
  <c r="AU46" i="14"/>
  <c r="AU31" i="14"/>
  <c r="AU75" i="14"/>
  <c r="AU14" i="14"/>
  <c r="AU6" i="14"/>
  <c r="AU37" i="14"/>
  <c r="AU98" i="14"/>
  <c r="AU102" i="14"/>
  <c r="AU117" i="14"/>
  <c r="AU45" i="14"/>
  <c r="AU89" i="14"/>
  <c r="AU30" i="14"/>
  <c r="AU70" i="14"/>
  <c r="AU60" i="14"/>
  <c r="AU103" i="14"/>
  <c r="AU76" i="14"/>
  <c r="AU12" i="14"/>
  <c r="AU101" i="14"/>
  <c r="AU21" i="14"/>
  <c r="AU25" i="14"/>
  <c r="AU28" i="14"/>
  <c r="AU26" i="14"/>
  <c r="AU7" i="14"/>
  <c r="AU58" i="14"/>
  <c r="AU86" i="14"/>
  <c r="AU105" i="14"/>
  <c r="AU4" i="14"/>
  <c r="AU97" i="14"/>
  <c r="AU77" i="14"/>
  <c r="AU79" i="14"/>
  <c r="AU39" i="14"/>
  <c r="AU107" i="14"/>
  <c r="AU47" i="14"/>
  <c r="AT99" i="14"/>
  <c r="AT88" i="14"/>
  <c r="AT72" i="14"/>
  <c r="AT94" i="14"/>
  <c r="AT29" i="14"/>
  <c r="AT93" i="14"/>
  <c r="AT68" i="14"/>
  <c r="AT95" i="14"/>
  <c r="AT111" i="14"/>
  <c r="AT62" i="14"/>
  <c r="AT63" i="14"/>
  <c r="AT85" i="14"/>
  <c r="AT13" i="14"/>
  <c r="AT10" i="14"/>
  <c r="AT16" i="14"/>
  <c r="AT35" i="14"/>
  <c r="AT87" i="14"/>
  <c r="AT96" i="14"/>
  <c r="AT78" i="14"/>
  <c r="AT8" i="14"/>
  <c r="AT27" i="14"/>
  <c r="AT71" i="14"/>
  <c r="AT19" i="14"/>
  <c r="AT112" i="14"/>
  <c r="AT48" i="14"/>
  <c r="AT83" i="14"/>
  <c r="AT73" i="14"/>
  <c r="AT49" i="14"/>
  <c r="AT100" i="14"/>
  <c r="AT67" i="14"/>
  <c r="AT118" i="14"/>
  <c r="AT110" i="14"/>
  <c r="AT33" i="14"/>
  <c r="AT50" i="14"/>
  <c r="AT84" i="14"/>
  <c r="AT66" i="14"/>
  <c r="AT43" i="14"/>
  <c r="AT23" i="14"/>
  <c r="AT36" i="14"/>
  <c r="AT91" i="14"/>
  <c r="AT2" i="14"/>
  <c r="AT44" i="14"/>
  <c r="AT34" i="14"/>
  <c r="AT41" i="14"/>
  <c r="AT9" i="14"/>
  <c r="AT5" i="14"/>
  <c r="AT42" i="14"/>
  <c r="AT40" i="14"/>
  <c r="AT59" i="14"/>
  <c r="AT51" i="14"/>
  <c r="AT52" i="14"/>
  <c r="AT90" i="14"/>
  <c r="AT53" i="14"/>
  <c r="AT54" i="14"/>
  <c r="AT113" i="14"/>
  <c r="AT15" i="14"/>
  <c r="AT24" i="14"/>
  <c r="AT18" i="14"/>
  <c r="AT74" i="14"/>
  <c r="AT38" i="14"/>
  <c r="AT61" i="14"/>
  <c r="AT69" i="14"/>
  <c r="AT3" i="14"/>
  <c r="AT17" i="14"/>
  <c r="AT114" i="14"/>
  <c r="AT108" i="14"/>
  <c r="AT55" i="14"/>
  <c r="AT106" i="14"/>
  <c r="AT104" i="14"/>
  <c r="AT32" i="14"/>
  <c r="AT82" i="14"/>
  <c r="AT64" i="14"/>
  <c r="AT65" i="14"/>
  <c r="AT11" i="14"/>
  <c r="AT92" i="14"/>
  <c r="AT80" i="14"/>
  <c r="AT81" i="14"/>
  <c r="AT56" i="14"/>
  <c r="AT57" i="14"/>
  <c r="AT109" i="14"/>
  <c r="AT115" i="14"/>
  <c r="AT116" i="14"/>
  <c r="AT20" i="14"/>
  <c r="AT22" i="14"/>
  <c r="AT46" i="14"/>
  <c r="AT31" i="14"/>
  <c r="AT75" i="14"/>
  <c r="AT14" i="14"/>
  <c r="AT6" i="14"/>
  <c r="AT37" i="14"/>
  <c r="AT98" i="14"/>
  <c r="AT102" i="14"/>
  <c r="AT117" i="14"/>
  <c r="AT45" i="14"/>
  <c r="AT89" i="14"/>
  <c r="AT30" i="14"/>
  <c r="AT70" i="14"/>
  <c r="AT60" i="14"/>
  <c r="AT103" i="14"/>
  <c r="AT76" i="14"/>
  <c r="AT12" i="14"/>
  <c r="AT101" i="14"/>
  <c r="AT21" i="14"/>
  <c r="AT25" i="14"/>
  <c r="AT28" i="14"/>
  <c r="AT26" i="14"/>
  <c r="AT7" i="14"/>
  <c r="AT58" i="14"/>
  <c r="AT86" i="14"/>
  <c r="AT105" i="14"/>
  <c r="AT4" i="14"/>
  <c r="AT97" i="14"/>
  <c r="AT77" i="14"/>
  <c r="AT79" i="14"/>
  <c r="AT39" i="14"/>
  <c r="AT107" i="14"/>
  <c r="AT47" i="14"/>
  <c r="AS99" i="14"/>
  <c r="AS88" i="14"/>
  <c r="AS72" i="14"/>
  <c r="AS94" i="14"/>
  <c r="AS29" i="14"/>
  <c r="AS93" i="14"/>
  <c r="AS68" i="14"/>
  <c r="AS95" i="14"/>
  <c r="AS111" i="14"/>
  <c r="AS62" i="14"/>
  <c r="AS63" i="14"/>
  <c r="AS85" i="14"/>
  <c r="AS13" i="14"/>
  <c r="AS10" i="14"/>
  <c r="AS16" i="14"/>
  <c r="AS35" i="14"/>
  <c r="AS87" i="14"/>
  <c r="AS96" i="14"/>
  <c r="AS78" i="14"/>
  <c r="AS8" i="14"/>
  <c r="AS27" i="14"/>
  <c r="AS71" i="14"/>
  <c r="AS19" i="14"/>
  <c r="AS112" i="14"/>
  <c r="AS48" i="14"/>
  <c r="AS83" i="14"/>
  <c r="AS73" i="14"/>
  <c r="AS49" i="14"/>
  <c r="AS100" i="14"/>
  <c r="AS67" i="14"/>
  <c r="AS118" i="14"/>
  <c r="AS110" i="14"/>
  <c r="AS33" i="14"/>
  <c r="AS50" i="14"/>
  <c r="AS84" i="14"/>
  <c r="AS66" i="14"/>
  <c r="AS43" i="14"/>
  <c r="AS23" i="14"/>
  <c r="AS36" i="14"/>
  <c r="AS91" i="14"/>
  <c r="AS2" i="14"/>
  <c r="AS44" i="14"/>
  <c r="AS34" i="14"/>
  <c r="AS41" i="14"/>
  <c r="AS9" i="14"/>
  <c r="AS5" i="14"/>
  <c r="AS42" i="14"/>
  <c r="AS40" i="14"/>
  <c r="AS59" i="14"/>
  <c r="AS51" i="14"/>
  <c r="AS52" i="14"/>
  <c r="AS90" i="14"/>
  <c r="AS53" i="14"/>
  <c r="AS54" i="14"/>
  <c r="AS113" i="14"/>
  <c r="AS15" i="14"/>
  <c r="AS24" i="14"/>
  <c r="AS18" i="14"/>
  <c r="AS74" i="14"/>
  <c r="AS38" i="14"/>
  <c r="AS61" i="14"/>
  <c r="AS69" i="14"/>
  <c r="AS3" i="14"/>
  <c r="AS17" i="14"/>
  <c r="AS114" i="14"/>
  <c r="AS108" i="14"/>
  <c r="AS55" i="14"/>
  <c r="AS106" i="14"/>
  <c r="AS104" i="14"/>
  <c r="AS32" i="14"/>
  <c r="AS82" i="14"/>
  <c r="AS64" i="14"/>
  <c r="AS65" i="14"/>
  <c r="AS11" i="14"/>
  <c r="AS92" i="14"/>
  <c r="AS80" i="14"/>
  <c r="AS81" i="14"/>
  <c r="AS56" i="14"/>
  <c r="AS57" i="14"/>
  <c r="AS109" i="14"/>
  <c r="AS115" i="14"/>
  <c r="AS116" i="14"/>
  <c r="AS20" i="14"/>
  <c r="AS22" i="14"/>
  <c r="AS46" i="14"/>
  <c r="AS31" i="14"/>
  <c r="AS75" i="14"/>
  <c r="AS14" i="14"/>
  <c r="AS6" i="14"/>
  <c r="AS37" i="14"/>
  <c r="AS98" i="14"/>
  <c r="AS102" i="14"/>
  <c r="AS117" i="14"/>
  <c r="AS45" i="14"/>
  <c r="AS89" i="14"/>
  <c r="AS30" i="14"/>
  <c r="AS70" i="14"/>
  <c r="AS60" i="14"/>
  <c r="AS103" i="14"/>
  <c r="AS76" i="14"/>
  <c r="AS12" i="14"/>
  <c r="AS101" i="14"/>
  <c r="AS21" i="14"/>
  <c r="AS25" i="14"/>
  <c r="AS28" i="14"/>
  <c r="AS26" i="14"/>
  <c r="AS7" i="14"/>
  <c r="AS58" i="14"/>
  <c r="AS86" i="14"/>
  <c r="AS105" i="14"/>
  <c r="AS4" i="14"/>
  <c r="AS97" i="14"/>
  <c r="AS77" i="14"/>
  <c r="AS79" i="14"/>
  <c r="AS39" i="14"/>
  <c r="AS107" i="14"/>
  <c r="AS47" i="14"/>
  <c r="AR99" i="14"/>
  <c r="AR88" i="14"/>
  <c r="AR72" i="14"/>
  <c r="AR94" i="14"/>
  <c r="AR29" i="14"/>
  <c r="AR93" i="14"/>
  <c r="AR68" i="14"/>
  <c r="AR95" i="14"/>
  <c r="AR111" i="14"/>
  <c r="AR62" i="14"/>
  <c r="AR63" i="14"/>
  <c r="AR85" i="14"/>
  <c r="AR13" i="14"/>
  <c r="AR10" i="14"/>
  <c r="AR16" i="14"/>
  <c r="AR35" i="14"/>
  <c r="AR87" i="14"/>
  <c r="AR96" i="14"/>
  <c r="AR78" i="14"/>
  <c r="AR8" i="14"/>
  <c r="AR27" i="14"/>
  <c r="AR71" i="14"/>
  <c r="AR19" i="14"/>
  <c r="AR112" i="14"/>
  <c r="AR48" i="14"/>
  <c r="AR83" i="14"/>
  <c r="AR73" i="14"/>
  <c r="AR49" i="14"/>
  <c r="AR100" i="14"/>
  <c r="AR67" i="14"/>
  <c r="AR118" i="14"/>
  <c r="AR110" i="14"/>
  <c r="AR33" i="14"/>
  <c r="AR50" i="14"/>
  <c r="AR84" i="14"/>
  <c r="AR66" i="14"/>
  <c r="AR43" i="14"/>
  <c r="AR23" i="14"/>
  <c r="AR36" i="14"/>
  <c r="AR91" i="14"/>
  <c r="AR2" i="14"/>
  <c r="AR44" i="14"/>
  <c r="AR34" i="14"/>
  <c r="AR41" i="14"/>
  <c r="AR9" i="14"/>
  <c r="AR5" i="14"/>
  <c r="AR42" i="14"/>
  <c r="AR40" i="14"/>
  <c r="AR59" i="14"/>
  <c r="AR51" i="14"/>
  <c r="AR52" i="14"/>
  <c r="AR90" i="14"/>
  <c r="AR53" i="14"/>
  <c r="AR54" i="14"/>
  <c r="AR113" i="14"/>
  <c r="AR15" i="14"/>
  <c r="AR24" i="14"/>
  <c r="AR18" i="14"/>
  <c r="AR74" i="14"/>
  <c r="AR38" i="14"/>
  <c r="AR61" i="14"/>
  <c r="AR69" i="14"/>
  <c r="AR3" i="14"/>
  <c r="AR17" i="14"/>
  <c r="AR114" i="14"/>
  <c r="AR108" i="14"/>
  <c r="AR55" i="14"/>
  <c r="AR106" i="14"/>
  <c r="AR104" i="14"/>
  <c r="AR32" i="14"/>
  <c r="AR82" i="14"/>
  <c r="AR64" i="14"/>
  <c r="AR65" i="14"/>
  <c r="AR11" i="14"/>
  <c r="AR92" i="14"/>
  <c r="AR80" i="14"/>
  <c r="AR81" i="14"/>
  <c r="AR56" i="14"/>
  <c r="AR57" i="14"/>
  <c r="AR109" i="14"/>
  <c r="AR115" i="14"/>
  <c r="AR116" i="14"/>
  <c r="AR20" i="14"/>
  <c r="AR22" i="14"/>
  <c r="AR46" i="14"/>
  <c r="AR31" i="14"/>
  <c r="AR75" i="14"/>
  <c r="AR14" i="14"/>
  <c r="AR6" i="14"/>
  <c r="AR37" i="14"/>
  <c r="AR98" i="14"/>
  <c r="AR102" i="14"/>
  <c r="AR117" i="14"/>
  <c r="AR45" i="14"/>
  <c r="AR89" i="14"/>
  <c r="AR30" i="14"/>
  <c r="AR70" i="14"/>
  <c r="AR60" i="14"/>
  <c r="AR103" i="14"/>
  <c r="AR76" i="14"/>
  <c r="AR12" i="14"/>
  <c r="AR101" i="14"/>
  <c r="AR21" i="14"/>
  <c r="AR25" i="14"/>
  <c r="AR28" i="14"/>
  <c r="AR26" i="14"/>
  <c r="AR7" i="14"/>
  <c r="AR58" i="14"/>
  <c r="AR86" i="14"/>
  <c r="AR105" i="14"/>
  <c r="AR4" i="14"/>
  <c r="AR97" i="14"/>
  <c r="AR77" i="14"/>
  <c r="AR79" i="14"/>
  <c r="AR39" i="14"/>
  <c r="AR107" i="14"/>
  <c r="AR47" i="14"/>
  <c r="AP99" i="14"/>
  <c r="AP88" i="14"/>
  <c r="AP72" i="14"/>
  <c r="AP94" i="14"/>
  <c r="AP29" i="14"/>
  <c r="AP93" i="14"/>
  <c r="AP68" i="14"/>
  <c r="AP95" i="14"/>
  <c r="AP111" i="14"/>
  <c r="AP62" i="14"/>
  <c r="AP63" i="14"/>
  <c r="AP85" i="14"/>
  <c r="AP13" i="14"/>
  <c r="AP10" i="14"/>
  <c r="AP16" i="14"/>
  <c r="AP35" i="14"/>
  <c r="AP87" i="14"/>
  <c r="AP96" i="14"/>
  <c r="AP78" i="14"/>
  <c r="AP8" i="14"/>
  <c r="AP27" i="14"/>
  <c r="AP71" i="14"/>
  <c r="AP19" i="14"/>
  <c r="AP112" i="14"/>
  <c r="AP48" i="14"/>
  <c r="AP83" i="14"/>
  <c r="AP73" i="14"/>
  <c r="AP49" i="14"/>
  <c r="AP100" i="14"/>
  <c r="AP67" i="14"/>
  <c r="AP118" i="14"/>
  <c r="AP110" i="14"/>
  <c r="AP33" i="14"/>
  <c r="AP50" i="14"/>
  <c r="AP84" i="14"/>
  <c r="AP66" i="14"/>
  <c r="AP43" i="14"/>
  <c r="AP23" i="14"/>
  <c r="AP36" i="14"/>
  <c r="AP91" i="14"/>
  <c r="AP2" i="14"/>
  <c r="AP44" i="14"/>
  <c r="AP34" i="14"/>
  <c r="AP41" i="14"/>
  <c r="AP9" i="14"/>
  <c r="AP5" i="14"/>
  <c r="AP42" i="14"/>
  <c r="AP40" i="14"/>
  <c r="AP59" i="14"/>
  <c r="AP51" i="14"/>
  <c r="AP52" i="14"/>
  <c r="AP90" i="14"/>
  <c r="AP53" i="14"/>
  <c r="AP54" i="14"/>
  <c r="AP113" i="14"/>
  <c r="AP15" i="14"/>
  <c r="AP24" i="14"/>
  <c r="AP18" i="14"/>
  <c r="AP74" i="14"/>
  <c r="AP38" i="14"/>
  <c r="AP61" i="14"/>
  <c r="AP69" i="14"/>
  <c r="AP3" i="14"/>
  <c r="AP17" i="14"/>
  <c r="AP114" i="14"/>
  <c r="AP108" i="14"/>
  <c r="AP55" i="14"/>
  <c r="AP106" i="14"/>
  <c r="AP104" i="14"/>
  <c r="AP32" i="14"/>
  <c r="AP82" i="14"/>
  <c r="AP64" i="14"/>
  <c r="AP65" i="14"/>
  <c r="AP11" i="14"/>
  <c r="AP92" i="14"/>
  <c r="AP80" i="14"/>
  <c r="AP81" i="14"/>
  <c r="AP56" i="14"/>
  <c r="AP57" i="14"/>
  <c r="AP109" i="14"/>
  <c r="AP115" i="14"/>
  <c r="AP116" i="14"/>
  <c r="AP20" i="14"/>
  <c r="AP22" i="14"/>
  <c r="AP46" i="14"/>
  <c r="AP31" i="14"/>
  <c r="AP75" i="14"/>
  <c r="AP14" i="14"/>
  <c r="AP6" i="14"/>
  <c r="AP37" i="14"/>
  <c r="AP98" i="14"/>
  <c r="AP102" i="14"/>
  <c r="AP117" i="14"/>
  <c r="AP45" i="14"/>
  <c r="AP89" i="14"/>
  <c r="AP30" i="14"/>
  <c r="AP70" i="14"/>
  <c r="AP60" i="14"/>
  <c r="AP103" i="14"/>
  <c r="AP76" i="14"/>
  <c r="AP12" i="14"/>
  <c r="AP101" i="14"/>
  <c r="AP21" i="14"/>
  <c r="AP25" i="14"/>
  <c r="AP28" i="14"/>
  <c r="AP26" i="14"/>
  <c r="AP7" i="14"/>
  <c r="AP58" i="14"/>
  <c r="AP86" i="14"/>
  <c r="AP105" i="14"/>
  <c r="AP4" i="14"/>
  <c r="AP97" i="14"/>
  <c r="AP77" i="14"/>
  <c r="AP79" i="14"/>
  <c r="AP39" i="14"/>
  <c r="AP107" i="14"/>
  <c r="AP47" i="14"/>
  <c r="AO99" i="14"/>
  <c r="AO88" i="14"/>
  <c r="AO72" i="14"/>
  <c r="AO94" i="14"/>
  <c r="AO29" i="14"/>
  <c r="AO93" i="14"/>
  <c r="AO68" i="14"/>
  <c r="AO95" i="14"/>
  <c r="AO111" i="14"/>
  <c r="AO62" i="14"/>
  <c r="AO63" i="14"/>
  <c r="AO85" i="14"/>
  <c r="AO13" i="14"/>
  <c r="AO10" i="14"/>
  <c r="AO16" i="14"/>
  <c r="AO35" i="14"/>
  <c r="AO87" i="14"/>
  <c r="AO96" i="14"/>
  <c r="AO78" i="14"/>
  <c r="AO8" i="14"/>
  <c r="AO27" i="14"/>
  <c r="AO71" i="14"/>
  <c r="AO19" i="14"/>
  <c r="AO112" i="14"/>
  <c r="AO48" i="14"/>
  <c r="AO83" i="14"/>
  <c r="AO73" i="14"/>
  <c r="AO49" i="14"/>
  <c r="AO100" i="14"/>
  <c r="AO67" i="14"/>
  <c r="AO118" i="14"/>
  <c r="AO110" i="14"/>
  <c r="AO33" i="14"/>
  <c r="AO50" i="14"/>
  <c r="AO84" i="14"/>
  <c r="AO66" i="14"/>
  <c r="AO43" i="14"/>
  <c r="AO23" i="14"/>
  <c r="AO36" i="14"/>
  <c r="AO91" i="14"/>
  <c r="AO2" i="14"/>
  <c r="AO44" i="14"/>
  <c r="AO34" i="14"/>
  <c r="AO41" i="14"/>
  <c r="AO9" i="14"/>
  <c r="AO5" i="14"/>
  <c r="AO42" i="14"/>
  <c r="AO40" i="14"/>
  <c r="AO59" i="14"/>
  <c r="AO51" i="14"/>
  <c r="AO52" i="14"/>
  <c r="AO90" i="14"/>
  <c r="AO53" i="14"/>
  <c r="AO54" i="14"/>
  <c r="AO113" i="14"/>
  <c r="AO15" i="14"/>
  <c r="AO24" i="14"/>
  <c r="AO18" i="14"/>
  <c r="AO74" i="14"/>
  <c r="AO38" i="14"/>
  <c r="AO61" i="14"/>
  <c r="AO69" i="14"/>
  <c r="AO3" i="14"/>
  <c r="AO17" i="14"/>
  <c r="AO114" i="14"/>
  <c r="AO108" i="14"/>
  <c r="AO55" i="14"/>
  <c r="AO106" i="14"/>
  <c r="AO104" i="14"/>
  <c r="AO32" i="14"/>
  <c r="AO82" i="14"/>
  <c r="AO64" i="14"/>
  <c r="AO65" i="14"/>
  <c r="AO11" i="14"/>
  <c r="AO92" i="14"/>
  <c r="AO80" i="14"/>
  <c r="AO81" i="14"/>
  <c r="AO56" i="14"/>
  <c r="AO57" i="14"/>
  <c r="AO109" i="14"/>
  <c r="AO115" i="14"/>
  <c r="AO116" i="14"/>
  <c r="AO20" i="14"/>
  <c r="AO22" i="14"/>
  <c r="AO46" i="14"/>
  <c r="AO31" i="14"/>
  <c r="AO75" i="14"/>
  <c r="AO14" i="14"/>
  <c r="AO6" i="14"/>
  <c r="AO37" i="14"/>
  <c r="AO98" i="14"/>
  <c r="AO102" i="14"/>
  <c r="AO117" i="14"/>
  <c r="AO45" i="14"/>
  <c r="AO89" i="14"/>
  <c r="AO30" i="14"/>
  <c r="AO70" i="14"/>
  <c r="AO60" i="14"/>
  <c r="AO103" i="14"/>
  <c r="AO76" i="14"/>
  <c r="AO12" i="14"/>
  <c r="AO101" i="14"/>
  <c r="AO21" i="14"/>
  <c r="AO25" i="14"/>
  <c r="AO28" i="14"/>
  <c r="AO26" i="14"/>
  <c r="AO7" i="14"/>
  <c r="AO58" i="14"/>
  <c r="AO86" i="14"/>
  <c r="AO105" i="14"/>
  <c r="AO4" i="14"/>
  <c r="AO97" i="14"/>
  <c r="AO77" i="14"/>
  <c r="AO79" i="14"/>
  <c r="AO39" i="14"/>
  <c r="AO107" i="14"/>
  <c r="AO47" i="14"/>
  <c r="AN99" i="14"/>
  <c r="AN88" i="14"/>
  <c r="AN72" i="14"/>
  <c r="AN94" i="14"/>
  <c r="AN29" i="14"/>
  <c r="AN93" i="14"/>
  <c r="AN68" i="14"/>
  <c r="AN95" i="14"/>
  <c r="AN111" i="14"/>
  <c r="AN62" i="14"/>
  <c r="AN63" i="14"/>
  <c r="AN85" i="14"/>
  <c r="AN13" i="14"/>
  <c r="AN10" i="14"/>
  <c r="AN16" i="14"/>
  <c r="AN35" i="14"/>
  <c r="AN87" i="14"/>
  <c r="AN96" i="14"/>
  <c r="AN78" i="14"/>
  <c r="AN8" i="14"/>
  <c r="AN27" i="14"/>
  <c r="AN71" i="14"/>
  <c r="AN19" i="14"/>
  <c r="AN112" i="14"/>
  <c r="AN48" i="14"/>
  <c r="AN83" i="14"/>
  <c r="AN73" i="14"/>
  <c r="AN49" i="14"/>
  <c r="AN100" i="14"/>
  <c r="AN67" i="14"/>
  <c r="AN118" i="14"/>
  <c r="AN110" i="14"/>
  <c r="AN33" i="14"/>
  <c r="AN50" i="14"/>
  <c r="AN84" i="14"/>
  <c r="AN66" i="14"/>
  <c r="AN43" i="14"/>
  <c r="AN23" i="14"/>
  <c r="AN36" i="14"/>
  <c r="AN91" i="14"/>
  <c r="AN2" i="14"/>
  <c r="AN44" i="14"/>
  <c r="AN34" i="14"/>
  <c r="AN41" i="14"/>
  <c r="AN9" i="14"/>
  <c r="AN5" i="14"/>
  <c r="AN42" i="14"/>
  <c r="AN40" i="14"/>
  <c r="AN59" i="14"/>
  <c r="AN51" i="14"/>
  <c r="AN52" i="14"/>
  <c r="AN90" i="14"/>
  <c r="AN53" i="14"/>
  <c r="AN54" i="14"/>
  <c r="AN113" i="14"/>
  <c r="AN15" i="14"/>
  <c r="AN24" i="14"/>
  <c r="AN18" i="14"/>
  <c r="AN74" i="14"/>
  <c r="AN38" i="14"/>
  <c r="AN61" i="14"/>
  <c r="AN69" i="14"/>
  <c r="AN3" i="14"/>
  <c r="AN17" i="14"/>
  <c r="AN114" i="14"/>
  <c r="AN108" i="14"/>
  <c r="AN55" i="14"/>
  <c r="AN106" i="14"/>
  <c r="AN104" i="14"/>
  <c r="AN32" i="14"/>
  <c r="AN82" i="14"/>
  <c r="AN64" i="14"/>
  <c r="AN65" i="14"/>
  <c r="AN11" i="14"/>
  <c r="AN92" i="14"/>
  <c r="AN80" i="14"/>
  <c r="AN81" i="14"/>
  <c r="AN56" i="14"/>
  <c r="AN57" i="14"/>
  <c r="AN109" i="14"/>
  <c r="AN115" i="14"/>
  <c r="AN116" i="14"/>
  <c r="AN20" i="14"/>
  <c r="AN22" i="14"/>
  <c r="AN46" i="14"/>
  <c r="AN31" i="14"/>
  <c r="AN75" i="14"/>
  <c r="AN14" i="14"/>
  <c r="AN6" i="14"/>
  <c r="AN37" i="14"/>
  <c r="AN98" i="14"/>
  <c r="AN102" i="14"/>
  <c r="AN117" i="14"/>
  <c r="AN45" i="14"/>
  <c r="AN89" i="14"/>
  <c r="AN30" i="14"/>
  <c r="AN70" i="14"/>
  <c r="AN60" i="14"/>
  <c r="AN103" i="14"/>
  <c r="AN76" i="14"/>
  <c r="AN12" i="14"/>
  <c r="AN101" i="14"/>
  <c r="AN21" i="14"/>
  <c r="AN25" i="14"/>
  <c r="AN28" i="14"/>
  <c r="AN26" i="14"/>
  <c r="AN7" i="14"/>
  <c r="AN58" i="14"/>
  <c r="AN86" i="14"/>
  <c r="AN105" i="14"/>
  <c r="AN4" i="14"/>
  <c r="AN97" i="14"/>
  <c r="AN77" i="14"/>
  <c r="AN79" i="14"/>
  <c r="AN39" i="14"/>
  <c r="AN107" i="14"/>
  <c r="AN47" i="14"/>
  <c r="AM99" i="14"/>
  <c r="AM88" i="14"/>
  <c r="AM72" i="14"/>
  <c r="AM94" i="14"/>
  <c r="AM29" i="14"/>
  <c r="AM93" i="14"/>
  <c r="AM68" i="14"/>
  <c r="AM95" i="14"/>
  <c r="AM111" i="14"/>
  <c r="AM62" i="14"/>
  <c r="AM63" i="14"/>
  <c r="AM85" i="14"/>
  <c r="AM13" i="14"/>
  <c r="AM10" i="14"/>
  <c r="AM16" i="14"/>
  <c r="AM35" i="14"/>
  <c r="AM87" i="14"/>
  <c r="AM96" i="14"/>
  <c r="AM78" i="14"/>
  <c r="AM8" i="14"/>
  <c r="AM27" i="14"/>
  <c r="AM71" i="14"/>
  <c r="AM19" i="14"/>
  <c r="AM112" i="14"/>
  <c r="AM48" i="14"/>
  <c r="AM83" i="14"/>
  <c r="AM73" i="14"/>
  <c r="AM49" i="14"/>
  <c r="AM100" i="14"/>
  <c r="AM67" i="14"/>
  <c r="AM118" i="14"/>
  <c r="AM110" i="14"/>
  <c r="AM33" i="14"/>
  <c r="AM50" i="14"/>
  <c r="AM84" i="14"/>
  <c r="AM66" i="14"/>
  <c r="AM43" i="14"/>
  <c r="AM23" i="14"/>
  <c r="AM36" i="14"/>
  <c r="AM91" i="14"/>
  <c r="AM2" i="14"/>
  <c r="AM44" i="14"/>
  <c r="AM34" i="14"/>
  <c r="AM41" i="14"/>
  <c r="AM9" i="14"/>
  <c r="AM5" i="14"/>
  <c r="AM42" i="14"/>
  <c r="AM40" i="14"/>
  <c r="AM59" i="14"/>
  <c r="AM51" i="14"/>
  <c r="AM52" i="14"/>
  <c r="AM90" i="14"/>
  <c r="AM53" i="14"/>
  <c r="AM54" i="14"/>
  <c r="AM113" i="14"/>
  <c r="AM15" i="14"/>
  <c r="AM24" i="14"/>
  <c r="AM18" i="14"/>
  <c r="AM74" i="14"/>
  <c r="AM38" i="14"/>
  <c r="AM61" i="14"/>
  <c r="AM69" i="14"/>
  <c r="AM3" i="14"/>
  <c r="AM17" i="14"/>
  <c r="AM114" i="14"/>
  <c r="AM108" i="14"/>
  <c r="AM55" i="14"/>
  <c r="AM106" i="14"/>
  <c r="AM104" i="14"/>
  <c r="AM32" i="14"/>
  <c r="AM82" i="14"/>
  <c r="AM64" i="14"/>
  <c r="AM65" i="14"/>
  <c r="AM11" i="14"/>
  <c r="AM92" i="14"/>
  <c r="AM80" i="14"/>
  <c r="AM81" i="14"/>
  <c r="AM56" i="14"/>
  <c r="AM57" i="14"/>
  <c r="AM109" i="14"/>
  <c r="AM115" i="14"/>
  <c r="AM116" i="14"/>
  <c r="AM20" i="14"/>
  <c r="AM22" i="14"/>
  <c r="AM46" i="14"/>
  <c r="AM31" i="14"/>
  <c r="AM75" i="14"/>
  <c r="AM14" i="14"/>
  <c r="AM6" i="14"/>
  <c r="AM37" i="14"/>
  <c r="AM98" i="14"/>
  <c r="AM102" i="14"/>
  <c r="AM117" i="14"/>
  <c r="AM45" i="14"/>
  <c r="AM89" i="14"/>
  <c r="AM30" i="14"/>
  <c r="AM70" i="14"/>
  <c r="AM60" i="14"/>
  <c r="AM103" i="14"/>
  <c r="AM76" i="14"/>
  <c r="AM12" i="14"/>
  <c r="AM101" i="14"/>
  <c r="AM21" i="14"/>
  <c r="AM25" i="14"/>
  <c r="AM28" i="14"/>
  <c r="AM26" i="14"/>
  <c r="AM7" i="14"/>
  <c r="AM58" i="14"/>
  <c r="AM86" i="14"/>
  <c r="AM105" i="14"/>
  <c r="AM4" i="14"/>
  <c r="AM97" i="14"/>
  <c r="AM77" i="14"/>
  <c r="AM79" i="14"/>
  <c r="AM39" i="14"/>
  <c r="AM107" i="14"/>
  <c r="AM47" i="14"/>
  <c r="AJ99" i="14"/>
  <c r="AJ88" i="14"/>
  <c r="AJ72" i="14"/>
  <c r="AJ94" i="14"/>
  <c r="AJ29" i="14"/>
  <c r="AJ93" i="14"/>
  <c r="AJ68" i="14"/>
  <c r="AJ95" i="14"/>
  <c r="AJ111" i="14"/>
  <c r="AJ62" i="14"/>
  <c r="AJ63" i="14"/>
  <c r="AJ85" i="14"/>
  <c r="AJ13" i="14"/>
  <c r="AJ10" i="14"/>
  <c r="AJ16" i="14"/>
  <c r="AJ35" i="14"/>
  <c r="AJ87" i="14"/>
  <c r="AJ96" i="14"/>
  <c r="AJ78" i="14"/>
  <c r="AJ8" i="14"/>
  <c r="AJ27" i="14"/>
  <c r="AJ71" i="14"/>
  <c r="AJ19" i="14"/>
  <c r="AJ112" i="14"/>
  <c r="AJ48" i="14"/>
  <c r="AJ83" i="14"/>
  <c r="AJ73" i="14"/>
  <c r="AJ49" i="14"/>
  <c r="AJ100" i="14"/>
  <c r="AJ118" i="14"/>
  <c r="AJ110" i="14"/>
  <c r="AJ33" i="14"/>
  <c r="AJ50" i="14"/>
  <c r="AJ84" i="14"/>
  <c r="AJ66" i="14"/>
  <c r="AJ43" i="14"/>
  <c r="AJ23" i="14"/>
  <c r="AJ36" i="14"/>
  <c r="AJ91" i="14"/>
  <c r="AJ2" i="14"/>
  <c r="AJ44" i="14"/>
  <c r="AJ34" i="14"/>
  <c r="AJ41" i="14"/>
  <c r="AJ9" i="14"/>
  <c r="AJ5" i="14"/>
  <c r="AJ42" i="14"/>
  <c r="AJ40" i="14"/>
  <c r="AJ59" i="14"/>
  <c r="AJ51" i="14"/>
  <c r="AJ52" i="14"/>
  <c r="AJ90" i="14"/>
  <c r="AJ53" i="14"/>
  <c r="AJ54" i="14"/>
  <c r="AJ113" i="14"/>
  <c r="AJ15" i="14"/>
  <c r="AJ24" i="14"/>
  <c r="AJ18" i="14"/>
  <c r="AJ74" i="14"/>
  <c r="AJ38" i="14"/>
  <c r="AJ61" i="14"/>
  <c r="AJ69" i="14"/>
  <c r="AJ3" i="14"/>
  <c r="AJ17" i="14"/>
  <c r="AJ114" i="14"/>
  <c r="AJ108" i="14"/>
  <c r="AJ55" i="14"/>
  <c r="AJ106" i="14"/>
  <c r="AJ104" i="14"/>
  <c r="AJ32" i="14"/>
  <c r="AJ82" i="14"/>
  <c r="AJ64" i="14"/>
  <c r="AJ65" i="14"/>
  <c r="AJ11" i="14"/>
  <c r="AJ92" i="14"/>
  <c r="AJ80" i="14"/>
  <c r="AJ81" i="14"/>
  <c r="AJ56" i="14"/>
  <c r="AJ57" i="14"/>
  <c r="AJ109" i="14"/>
  <c r="AJ115" i="14"/>
  <c r="AJ116" i="14"/>
  <c r="AJ20" i="14"/>
  <c r="AJ22" i="14"/>
  <c r="AJ46" i="14"/>
  <c r="AJ31" i="14"/>
  <c r="AJ75" i="14"/>
  <c r="AJ14" i="14"/>
  <c r="AJ6" i="14"/>
  <c r="AJ37" i="14"/>
  <c r="AJ98" i="14"/>
  <c r="AJ102" i="14"/>
  <c r="AJ117" i="14"/>
  <c r="AJ45" i="14"/>
  <c r="AJ89" i="14"/>
  <c r="AJ30" i="14"/>
  <c r="AJ70" i="14"/>
  <c r="AJ60" i="14"/>
  <c r="AJ103" i="14"/>
  <c r="AJ76" i="14"/>
  <c r="AJ12" i="14"/>
  <c r="AJ101" i="14"/>
  <c r="AJ21" i="14"/>
  <c r="AJ25" i="14"/>
  <c r="AJ28" i="14"/>
  <c r="AJ26" i="14"/>
  <c r="AJ7" i="14"/>
  <c r="AJ58" i="14"/>
  <c r="AJ86" i="14"/>
  <c r="AJ105" i="14"/>
  <c r="AJ4" i="14"/>
  <c r="AJ97" i="14"/>
  <c r="AJ77" i="14"/>
  <c r="AJ79" i="14"/>
  <c r="AJ39" i="14"/>
  <c r="AJ107" i="14"/>
  <c r="AJ47" i="14"/>
  <c r="AI99" i="14"/>
  <c r="AI88" i="14"/>
  <c r="AI72" i="14"/>
  <c r="AI94" i="14"/>
  <c r="AI29" i="14"/>
  <c r="AI93" i="14"/>
  <c r="AI68" i="14"/>
  <c r="AI95" i="14"/>
  <c r="AI111" i="14"/>
  <c r="AI62" i="14"/>
  <c r="AI63" i="14"/>
  <c r="AI85" i="14"/>
  <c r="AI13" i="14"/>
  <c r="AI10" i="14"/>
  <c r="AI16" i="14"/>
  <c r="AI35" i="14"/>
  <c r="AI87" i="14"/>
  <c r="AI96" i="14"/>
  <c r="AI78" i="14"/>
  <c r="AI8" i="14"/>
  <c r="AI27" i="14"/>
  <c r="AI71" i="14"/>
  <c r="AI19" i="14"/>
  <c r="AI112" i="14"/>
  <c r="AI48" i="14"/>
  <c r="AI83" i="14"/>
  <c r="AI73" i="14"/>
  <c r="AI49" i="14"/>
  <c r="AI100" i="14"/>
  <c r="AI67" i="14"/>
  <c r="AI118" i="14"/>
  <c r="AI110" i="14"/>
  <c r="AI33" i="14"/>
  <c r="AI50" i="14"/>
  <c r="AI84" i="14"/>
  <c r="AI66" i="14"/>
  <c r="AI43" i="14"/>
  <c r="AI23" i="14"/>
  <c r="AI36" i="14"/>
  <c r="AI91" i="14"/>
  <c r="AI2" i="14"/>
  <c r="AI44" i="14"/>
  <c r="AI34" i="14"/>
  <c r="AI41" i="14"/>
  <c r="AI9" i="14"/>
  <c r="AI5" i="14"/>
  <c r="AI42" i="14"/>
  <c r="AI40" i="14"/>
  <c r="AI59" i="14"/>
  <c r="AI51" i="14"/>
  <c r="AI52" i="14"/>
  <c r="AI90" i="14"/>
  <c r="AI53" i="14"/>
  <c r="AI54" i="14"/>
  <c r="AI113" i="14"/>
  <c r="AI15" i="14"/>
  <c r="AI24" i="14"/>
  <c r="AI18" i="14"/>
  <c r="AI74" i="14"/>
  <c r="AI38" i="14"/>
  <c r="AI61" i="14"/>
  <c r="AI69" i="14"/>
  <c r="AI3" i="14"/>
  <c r="AI17" i="14"/>
  <c r="AI114" i="14"/>
  <c r="AI108" i="14"/>
  <c r="AI55" i="14"/>
  <c r="AI106" i="14"/>
  <c r="AI104" i="14"/>
  <c r="AI32" i="14"/>
  <c r="AI82" i="14"/>
  <c r="AI64" i="14"/>
  <c r="AI65" i="14"/>
  <c r="AI11" i="14"/>
  <c r="AI92" i="14"/>
  <c r="AI80" i="14"/>
  <c r="AI81" i="14"/>
  <c r="AI56" i="14"/>
  <c r="AI57" i="14"/>
  <c r="AI109" i="14"/>
  <c r="AI115" i="14"/>
  <c r="AI116" i="14"/>
  <c r="AI20" i="14"/>
  <c r="AI22" i="14"/>
  <c r="AI46" i="14"/>
  <c r="AI31" i="14"/>
  <c r="AI75" i="14"/>
  <c r="AI14" i="14"/>
  <c r="AI6" i="14"/>
  <c r="AI37" i="14"/>
  <c r="AI98" i="14"/>
  <c r="AI102" i="14"/>
  <c r="AI117" i="14"/>
  <c r="AI45" i="14"/>
  <c r="AI89" i="14"/>
  <c r="AI30" i="14"/>
  <c r="AI70" i="14"/>
  <c r="AI60" i="14"/>
  <c r="AI103" i="14"/>
  <c r="AI76" i="14"/>
  <c r="AI12" i="14"/>
  <c r="AI101" i="14"/>
  <c r="AI21" i="14"/>
  <c r="AI25" i="14"/>
  <c r="AI28" i="14"/>
  <c r="AI26" i="14"/>
  <c r="AI7" i="14"/>
  <c r="AI58" i="14"/>
  <c r="AI86" i="14"/>
  <c r="AI105" i="14"/>
  <c r="AI4" i="14"/>
  <c r="AI97" i="14"/>
  <c r="AI77" i="14"/>
  <c r="AI79" i="14"/>
  <c r="AI39" i="14"/>
  <c r="AI107" i="14"/>
  <c r="AI47" i="14"/>
  <c r="AH99" i="14"/>
  <c r="AH88" i="14"/>
  <c r="AH72" i="14"/>
  <c r="AH94" i="14"/>
  <c r="AH29" i="14"/>
  <c r="AH93" i="14"/>
  <c r="AH68" i="14"/>
  <c r="AH95" i="14"/>
  <c r="AH111" i="14"/>
  <c r="AH62" i="14"/>
  <c r="AH63" i="14"/>
  <c r="AH85" i="14"/>
  <c r="AH13" i="14"/>
  <c r="AH10" i="14"/>
  <c r="AH16" i="14"/>
  <c r="AH35" i="14"/>
  <c r="AH87" i="14"/>
  <c r="AH96" i="14"/>
  <c r="AH78" i="14"/>
  <c r="AH8" i="14"/>
  <c r="AH27" i="14"/>
  <c r="AH71" i="14"/>
  <c r="AH19" i="14"/>
  <c r="AH112" i="14"/>
  <c r="AH48" i="14"/>
  <c r="AH83" i="14"/>
  <c r="AH73" i="14"/>
  <c r="AH49" i="14"/>
  <c r="AH100" i="14"/>
  <c r="AH67" i="14"/>
  <c r="AH118" i="14"/>
  <c r="AH110" i="14"/>
  <c r="AH33" i="14"/>
  <c r="AH50" i="14"/>
  <c r="AH84" i="14"/>
  <c r="AH66" i="14"/>
  <c r="AH43" i="14"/>
  <c r="AH23" i="14"/>
  <c r="AH36" i="14"/>
  <c r="AH91" i="14"/>
  <c r="AH2" i="14"/>
  <c r="AH44" i="14"/>
  <c r="AH34" i="14"/>
  <c r="AH41" i="14"/>
  <c r="AH9" i="14"/>
  <c r="AH5" i="14"/>
  <c r="AH42" i="14"/>
  <c r="AH40" i="14"/>
  <c r="AH59" i="14"/>
  <c r="AH51" i="14"/>
  <c r="AH52" i="14"/>
  <c r="AH90" i="14"/>
  <c r="AH53" i="14"/>
  <c r="AH54" i="14"/>
  <c r="AH113" i="14"/>
  <c r="AH15" i="14"/>
  <c r="AH24" i="14"/>
  <c r="AH18" i="14"/>
  <c r="AH74" i="14"/>
  <c r="AH38" i="14"/>
  <c r="AH61" i="14"/>
  <c r="AH69" i="14"/>
  <c r="AH3" i="14"/>
  <c r="AH17" i="14"/>
  <c r="AH114" i="14"/>
  <c r="AH108" i="14"/>
  <c r="AH55" i="14"/>
  <c r="AH106" i="14"/>
  <c r="AH104" i="14"/>
  <c r="AH32" i="14"/>
  <c r="AH82" i="14"/>
  <c r="AH64" i="14"/>
  <c r="AH65" i="14"/>
  <c r="AH11" i="14"/>
  <c r="AH92" i="14"/>
  <c r="AH80" i="14"/>
  <c r="AH81" i="14"/>
  <c r="AH56" i="14"/>
  <c r="AH57" i="14"/>
  <c r="AH109" i="14"/>
  <c r="AH115" i="14"/>
  <c r="AH116" i="14"/>
  <c r="AH20" i="14"/>
  <c r="AH22" i="14"/>
  <c r="AH46" i="14"/>
  <c r="AH31" i="14"/>
  <c r="AH75" i="14"/>
  <c r="AH14" i="14"/>
  <c r="AH6" i="14"/>
  <c r="AH37" i="14"/>
  <c r="AH98" i="14"/>
  <c r="AH102" i="14"/>
  <c r="AH117" i="14"/>
  <c r="AH45" i="14"/>
  <c r="AH89" i="14"/>
  <c r="AH30" i="14"/>
  <c r="AH70" i="14"/>
  <c r="AH60" i="14"/>
  <c r="AH103" i="14"/>
  <c r="AH76" i="14"/>
  <c r="AH12" i="14"/>
  <c r="AH101" i="14"/>
  <c r="AH21" i="14"/>
  <c r="AH25" i="14"/>
  <c r="AH28" i="14"/>
  <c r="AH26" i="14"/>
  <c r="AH7" i="14"/>
  <c r="AH58" i="14"/>
  <c r="AH86" i="14"/>
  <c r="AH105" i="14"/>
  <c r="AH4" i="14"/>
  <c r="AH97" i="14"/>
  <c r="AH77" i="14"/>
  <c r="AH79" i="14"/>
  <c r="AH39" i="14"/>
  <c r="AH107" i="14"/>
  <c r="AH47" i="14"/>
  <c r="AG99" i="14"/>
  <c r="AG88" i="14"/>
  <c r="AG72" i="14"/>
  <c r="AG94" i="14"/>
  <c r="AG29" i="14"/>
  <c r="AG93" i="14"/>
  <c r="AG68" i="14"/>
  <c r="AG95" i="14"/>
  <c r="AG111" i="14"/>
  <c r="AG62" i="14"/>
  <c r="AG63" i="14"/>
  <c r="AG85" i="14"/>
  <c r="AG13" i="14"/>
  <c r="AG10" i="14"/>
  <c r="AG16" i="14"/>
  <c r="AG35" i="14"/>
  <c r="AG87" i="14"/>
  <c r="AG96" i="14"/>
  <c r="AG78" i="14"/>
  <c r="AG8" i="14"/>
  <c r="AG27" i="14"/>
  <c r="AG71" i="14"/>
  <c r="AG19" i="14"/>
  <c r="AG112" i="14"/>
  <c r="AG48" i="14"/>
  <c r="AG83" i="14"/>
  <c r="AG73" i="14"/>
  <c r="AG49" i="14"/>
  <c r="AG100" i="14"/>
  <c r="AG67" i="14"/>
  <c r="AG118" i="14"/>
  <c r="AG110" i="14"/>
  <c r="AG33" i="14"/>
  <c r="AG50" i="14"/>
  <c r="AG84" i="14"/>
  <c r="AG66" i="14"/>
  <c r="AG43" i="14"/>
  <c r="AG23" i="14"/>
  <c r="AG36" i="14"/>
  <c r="AG91" i="14"/>
  <c r="AG2" i="14"/>
  <c r="AG44" i="14"/>
  <c r="AG34" i="14"/>
  <c r="AG41" i="14"/>
  <c r="AG9" i="14"/>
  <c r="AG5" i="14"/>
  <c r="AG42" i="14"/>
  <c r="AG40" i="14"/>
  <c r="AG59" i="14"/>
  <c r="AG51" i="14"/>
  <c r="AG52" i="14"/>
  <c r="AG90" i="14"/>
  <c r="AG53" i="14"/>
  <c r="AG54" i="14"/>
  <c r="AG113" i="14"/>
  <c r="AG15" i="14"/>
  <c r="AG24" i="14"/>
  <c r="AG18" i="14"/>
  <c r="AG74" i="14"/>
  <c r="AG38" i="14"/>
  <c r="AG61" i="14"/>
  <c r="AG69" i="14"/>
  <c r="AG3" i="14"/>
  <c r="AG17" i="14"/>
  <c r="AG114" i="14"/>
  <c r="AG108" i="14"/>
  <c r="AG55" i="14"/>
  <c r="AG106" i="14"/>
  <c r="AG104" i="14"/>
  <c r="AG32" i="14"/>
  <c r="AG82" i="14"/>
  <c r="AG64" i="14"/>
  <c r="AG65" i="14"/>
  <c r="AG11" i="14"/>
  <c r="AG92" i="14"/>
  <c r="AG80" i="14"/>
  <c r="AG81" i="14"/>
  <c r="AG56" i="14"/>
  <c r="AG57" i="14"/>
  <c r="AG109" i="14"/>
  <c r="AG115" i="14"/>
  <c r="AG116" i="14"/>
  <c r="AG20" i="14"/>
  <c r="AG22" i="14"/>
  <c r="AG46" i="14"/>
  <c r="AG31" i="14"/>
  <c r="AG75" i="14"/>
  <c r="AG14" i="14"/>
  <c r="AG6" i="14"/>
  <c r="AG37" i="14"/>
  <c r="AG98" i="14"/>
  <c r="AG102" i="14"/>
  <c r="AG117" i="14"/>
  <c r="AG45" i="14"/>
  <c r="AG89" i="14"/>
  <c r="AG30" i="14"/>
  <c r="AG70" i="14"/>
  <c r="AG60" i="14"/>
  <c r="AG103" i="14"/>
  <c r="AG76" i="14"/>
  <c r="AG12" i="14"/>
  <c r="AG101" i="14"/>
  <c r="AG21" i="14"/>
  <c r="AG25" i="14"/>
  <c r="AG28" i="14"/>
  <c r="AG26" i="14"/>
  <c r="AG7" i="14"/>
  <c r="AG58" i="14"/>
  <c r="AG86" i="14"/>
  <c r="AG105" i="14"/>
  <c r="AG4" i="14"/>
  <c r="AG97" i="14"/>
  <c r="AG77" i="14"/>
  <c r="AG79" i="14"/>
  <c r="AG39" i="14"/>
  <c r="AG107" i="14"/>
  <c r="AG47" i="14"/>
  <c r="AD72" i="14"/>
  <c r="AD29" i="14"/>
  <c r="AD68" i="14"/>
  <c r="AD62" i="14"/>
  <c r="AD63" i="14"/>
  <c r="AD85" i="14"/>
  <c r="AD13" i="14"/>
  <c r="AD10" i="14"/>
  <c r="AD16" i="14"/>
  <c r="AD35" i="14"/>
  <c r="AD87" i="14"/>
  <c r="AD78" i="14"/>
  <c r="AD27" i="14"/>
  <c r="AD71" i="14"/>
  <c r="AD19" i="14"/>
  <c r="AD48" i="14"/>
  <c r="AD83" i="14"/>
  <c r="AD73" i="14"/>
  <c r="AD49" i="14"/>
  <c r="AD33" i="14"/>
  <c r="AD50" i="14"/>
  <c r="AD66" i="14"/>
  <c r="AD43" i="14"/>
  <c r="AD23" i="14"/>
  <c r="AD36" i="14"/>
  <c r="AD34" i="14"/>
  <c r="AD41" i="14"/>
  <c r="AD9" i="14"/>
  <c r="AD5" i="14"/>
  <c r="AD42" i="14"/>
  <c r="AD40" i="14"/>
  <c r="AD59" i="14"/>
  <c r="AD51" i="14"/>
  <c r="AD52" i="14"/>
  <c r="AD53" i="14"/>
  <c r="AD54" i="14"/>
  <c r="AD15" i="14"/>
  <c r="AD24" i="14"/>
  <c r="AD18" i="14"/>
  <c r="AD74" i="14"/>
  <c r="AD38" i="14"/>
  <c r="AD61" i="14"/>
  <c r="AD69" i="14"/>
  <c r="AD17" i="14"/>
  <c r="AD55" i="14"/>
  <c r="AD32" i="14"/>
  <c r="AD82" i="14"/>
  <c r="AD64" i="14"/>
  <c r="AD65" i="14"/>
  <c r="AD11" i="14"/>
  <c r="AD80" i="14"/>
  <c r="AD81" i="14"/>
  <c r="AD56" i="14"/>
  <c r="AD57" i="14"/>
  <c r="AD20" i="14"/>
  <c r="AD22" i="14"/>
  <c r="AD46" i="14"/>
  <c r="AD31" i="14"/>
  <c r="AD75" i="14"/>
  <c r="AD14" i="14"/>
  <c r="AD37" i="14"/>
  <c r="AD45" i="14"/>
  <c r="AD30" i="14"/>
  <c r="AD70" i="14"/>
  <c r="AD60" i="14"/>
  <c r="AD76" i="14"/>
  <c r="AD12" i="14"/>
  <c r="AD21" i="14"/>
  <c r="AD25" i="14"/>
  <c r="AD28" i="14"/>
  <c r="AD26" i="14"/>
  <c r="AD58" i="14"/>
  <c r="AD86" i="14"/>
  <c r="AD4" i="14"/>
  <c r="AD79" i="14"/>
  <c r="AD39" i="14"/>
  <c r="AD47" i="14"/>
  <c r="AC72" i="14"/>
  <c r="AC29" i="14"/>
  <c r="AC68" i="14"/>
  <c r="AC62" i="14"/>
  <c r="AC63" i="14"/>
  <c r="AC85" i="14"/>
  <c r="AC13" i="14"/>
  <c r="AC10" i="14"/>
  <c r="AC16" i="14"/>
  <c r="AC35" i="14"/>
  <c r="AC87" i="14"/>
  <c r="AC78" i="14"/>
  <c r="AC27" i="14"/>
  <c r="AC71" i="14"/>
  <c r="AC19" i="14"/>
  <c r="AC48" i="14"/>
  <c r="AC83" i="14"/>
  <c r="AC73" i="14"/>
  <c r="AC49" i="14"/>
  <c r="AC33" i="14"/>
  <c r="AC50" i="14"/>
  <c r="AC66" i="14"/>
  <c r="AC43" i="14"/>
  <c r="AC23" i="14"/>
  <c r="AC36" i="14"/>
  <c r="AC34" i="14"/>
  <c r="AC41" i="14"/>
  <c r="AC9" i="14"/>
  <c r="AC5" i="14"/>
  <c r="AC42" i="14"/>
  <c r="AC40" i="14"/>
  <c r="AC59" i="14"/>
  <c r="AC51" i="14"/>
  <c r="AC52" i="14"/>
  <c r="AC53" i="14"/>
  <c r="AC54" i="14"/>
  <c r="AC15" i="14"/>
  <c r="AC24" i="14"/>
  <c r="AC18" i="14"/>
  <c r="AC74" i="14"/>
  <c r="AC38" i="14"/>
  <c r="AC61" i="14"/>
  <c r="AC69" i="14"/>
  <c r="AC17" i="14"/>
  <c r="AC55" i="14"/>
  <c r="AC32" i="14"/>
  <c r="AC82" i="14"/>
  <c r="AC64" i="14"/>
  <c r="AC65" i="14"/>
  <c r="AC11" i="14"/>
  <c r="AC80" i="14"/>
  <c r="AC81" i="14"/>
  <c r="AC56" i="14"/>
  <c r="AC57" i="14"/>
  <c r="AC20" i="14"/>
  <c r="AC22" i="14"/>
  <c r="AC46" i="14"/>
  <c r="AC31" i="14"/>
  <c r="AC75" i="14"/>
  <c r="AC14" i="14"/>
  <c r="AC37" i="14"/>
  <c r="AC45" i="14"/>
  <c r="AC30" i="14"/>
  <c r="AC70" i="14"/>
  <c r="AC60" i="14"/>
  <c r="AC76" i="14"/>
  <c r="AC12" i="14"/>
  <c r="AC21" i="14"/>
  <c r="AC25" i="14"/>
  <c r="AC28" i="14"/>
  <c r="AC26" i="14"/>
  <c r="AC58" i="14"/>
  <c r="AC86" i="14"/>
  <c r="AC4" i="14"/>
  <c r="AC79" i="14"/>
  <c r="AC39" i="14"/>
  <c r="AC47" i="14"/>
  <c r="AB72" i="14"/>
  <c r="AB29" i="14"/>
  <c r="AB68" i="14"/>
  <c r="AB62" i="14"/>
  <c r="AB63" i="14"/>
  <c r="AB85" i="14"/>
  <c r="AB13" i="14"/>
  <c r="AB10" i="14"/>
  <c r="AB16" i="14"/>
  <c r="AB35" i="14"/>
  <c r="AB87" i="14"/>
  <c r="AB78" i="14"/>
  <c r="AB27" i="14"/>
  <c r="AB71" i="14"/>
  <c r="AB19" i="14"/>
  <c r="AB48" i="14"/>
  <c r="AB83" i="14"/>
  <c r="AB73" i="14"/>
  <c r="AB49" i="14"/>
  <c r="AB33" i="14"/>
  <c r="AB50" i="14"/>
  <c r="AB66" i="14"/>
  <c r="AB43" i="14"/>
  <c r="AB23" i="14"/>
  <c r="AB36" i="14"/>
  <c r="AB34" i="14"/>
  <c r="AB41" i="14"/>
  <c r="AB9" i="14"/>
  <c r="AB5" i="14"/>
  <c r="AB42" i="14"/>
  <c r="AB40" i="14"/>
  <c r="AB59" i="14"/>
  <c r="AB51" i="14"/>
  <c r="AB52" i="14"/>
  <c r="AB53" i="14"/>
  <c r="AB54" i="14"/>
  <c r="AB15" i="14"/>
  <c r="AB24" i="14"/>
  <c r="AB18" i="14"/>
  <c r="AB74" i="14"/>
  <c r="AB38" i="14"/>
  <c r="AB61" i="14"/>
  <c r="AB69" i="14"/>
  <c r="AB17" i="14"/>
  <c r="AB55" i="14"/>
  <c r="AB32" i="14"/>
  <c r="AB82" i="14"/>
  <c r="AB64" i="14"/>
  <c r="AB65" i="14"/>
  <c r="AB11" i="14"/>
  <c r="AB80" i="14"/>
  <c r="AB81" i="14"/>
  <c r="AB56" i="14"/>
  <c r="AB57" i="14"/>
  <c r="AB20" i="14"/>
  <c r="AB22" i="14"/>
  <c r="AB46" i="14"/>
  <c r="AB31" i="14"/>
  <c r="AB75" i="14"/>
  <c r="AB14" i="14"/>
  <c r="AB37" i="14"/>
  <c r="AB45" i="14"/>
  <c r="AB30" i="14"/>
  <c r="AB70" i="14"/>
  <c r="AB60" i="14"/>
  <c r="AB76" i="14"/>
  <c r="AB12" i="14"/>
  <c r="AB21" i="14"/>
  <c r="AB25" i="14"/>
  <c r="AB28" i="14"/>
  <c r="AB26" i="14"/>
  <c r="AB58" i="14"/>
  <c r="AB86" i="14"/>
  <c r="AB4" i="14"/>
  <c r="AB79" i="14"/>
  <c r="AB39" i="14"/>
  <c r="AB47" i="14"/>
  <c r="AA72" i="14"/>
  <c r="AA29" i="14"/>
  <c r="AA68" i="14"/>
  <c r="AA62" i="14"/>
  <c r="AA63" i="14"/>
  <c r="AA85" i="14"/>
  <c r="AA13" i="14"/>
  <c r="AA10" i="14"/>
  <c r="AA16" i="14"/>
  <c r="AA35" i="14"/>
  <c r="AA87" i="14"/>
  <c r="AA78" i="14"/>
  <c r="AA27" i="14"/>
  <c r="AA71" i="14"/>
  <c r="AA19" i="14"/>
  <c r="AA48" i="14"/>
  <c r="AA83" i="14"/>
  <c r="AA73" i="14"/>
  <c r="AA49" i="14"/>
  <c r="AA33" i="14"/>
  <c r="AA50" i="14"/>
  <c r="AA66" i="14"/>
  <c r="AA43" i="14"/>
  <c r="AA23" i="14"/>
  <c r="AA36" i="14"/>
  <c r="AA34" i="14"/>
  <c r="AA41" i="14"/>
  <c r="AA9" i="14"/>
  <c r="AA5" i="14"/>
  <c r="AA42" i="14"/>
  <c r="AA40" i="14"/>
  <c r="AA59" i="14"/>
  <c r="AA51" i="14"/>
  <c r="AA52" i="14"/>
  <c r="AA53" i="14"/>
  <c r="AA54" i="14"/>
  <c r="AA15" i="14"/>
  <c r="AA24" i="14"/>
  <c r="AA18" i="14"/>
  <c r="AA74" i="14"/>
  <c r="AA38" i="14"/>
  <c r="AA61" i="14"/>
  <c r="AA69" i="14"/>
  <c r="AA17" i="14"/>
  <c r="AA55" i="14"/>
  <c r="AA32" i="14"/>
  <c r="AA82" i="14"/>
  <c r="AA64" i="14"/>
  <c r="AA65" i="14"/>
  <c r="AA11" i="14"/>
  <c r="AA80" i="14"/>
  <c r="AA81" i="14"/>
  <c r="AA56" i="14"/>
  <c r="AA57" i="14"/>
  <c r="AA20" i="14"/>
  <c r="AA22" i="14"/>
  <c r="AA46" i="14"/>
  <c r="AA31" i="14"/>
  <c r="AA75" i="14"/>
  <c r="AA14" i="14"/>
  <c r="AA37" i="14"/>
  <c r="AA45" i="14"/>
  <c r="AA30" i="14"/>
  <c r="AA70" i="14"/>
  <c r="AA60" i="14"/>
  <c r="AA76" i="14"/>
  <c r="AA12" i="14"/>
  <c r="AA21" i="14"/>
  <c r="AA25" i="14"/>
  <c r="AA28" i="14"/>
  <c r="AA26" i="14"/>
  <c r="AA58" i="14"/>
  <c r="AA86" i="14"/>
  <c r="AA4" i="14"/>
  <c r="AA79" i="14"/>
  <c r="AA39" i="14"/>
  <c r="AA47" i="14"/>
  <c r="U119" i="14"/>
  <c r="BP47" i="14"/>
  <c r="BO47" i="14"/>
  <c r="BN47" i="14"/>
  <c r="BM47" i="14"/>
  <c r="BL47" i="14"/>
  <c r="BK47" i="14"/>
  <c r="BJ47" i="14"/>
  <c r="BI47" i="14"/>
  <c r="BH47" i="14"/>
  <c r="BG47" i="14"/>
  <c r="BF47" i="14"/>
  <c r="BE47" i="14"/>
  <c r="BD47" i="14"/>
  <c r="BC47" i="14"/>
  <c r="BB47" i="14"/>
  <c r="BA47" i="14"/>
  <c r="AZ47" i="14"/>
  <c r="AY47" i="14"/>
  <c r="AX47" i="14"/>
  <c r="AW47" i="14"/>
  <c r="AV47" i="14"/>
  <c r="AQ47" i="14"/>
  <c r="AL47" i="14"/>
  <c r="AF47" i="14"/>
  <c r="Z47" i="14"/>
  <c r="BP107" i="14"/>
  <c r="BO107" i="14"/>
  <c r="BN107" i="14"/>
  <c r="BM107" i="14"/>
  <c r="BL107" i="14"/>
  <c r="BK107" i="14"/>
  <c r="BJ107" i="14"/>
  <c r="BI107" i="14"/>
  <c r="BH107" i="14"/>
  <c r="BG107" i="14"/>
  <c r="BF107" i="14"/>
  <c r="BE107" i="14"/>
  <c r="BD107" i="14"/>
  <c r="BC107" i="14"/>
  <c r="BB107" i="14"/>
  <c r="BA107" i="14"/>
  <c r="AZ107" i="14"/>
  <c r="AY107" i="14"/>
  <c r="AX107" i="14"/>
  <c r="AW107" i="14"/>
  <c r="AV107" i="14"/>
  <c r="AQ107" i="14"/>
  <c r="AL107" i="14"/>
  <c r="AF107" i="14"/>
  <c r="Z107" i="14"/>
  <c r="BP39" i="14"/>
  <c r="BO39" i="14"/>
  <c r="BN39" i="14"/>
  <c r="BM39" i="14"/>
  <c r="BL39" i="14"/>
  <c r="BK39" i="14"/>
  <c r="BJ39" i="14"/>
  <c r="BI39" i="14"/>
  <c r="BH39" i="14"/>
  <c r="BG39" i="14"/>
  <c r="BF39" i="14"/>
  <c r="BE39" i="14"/>
  <c r="BD39" i="14"/>
  <c r="BC39" i="14"/>
  <c r="BB39" i="14"/>
  <c r="BA39" i="14"/>
  <c r="AZ39" i="14"/>
  <c r="AY39" i="14"/>
  <c r="AX39" i="14"/>
  <c r="AW39" i="14"/>
  <c r="AV39" i="14"/>
  <c r="AQ39" i="14"/>
  <c r="AL39" i="14"/>
  <c r="BP79" i="14"/>
  <c r="BO79" i="14"/>
  <c r="BN79" i="14"/>
  <c r="BM79" i="14"/>
  <c r="BL79" i="14"/>
  <c r="BK79" i="14"/>
  <c r="BJ79" i="14"/>
  <c r="BI79" i="14"/>
  <c r="BH79" i="14"/>
  <c r="BG79" i="14"/>
  <c r="BF79" i="14"/>
  <c r="BE79" i="14"/>
  <c r="BD79" i="14"/>
  <c r="BC79" i="14"/>
  <c r="BB79" i="14"/>
  <c r="BA79" i="14"/>
  <c r="AZ79" i="14"/>
  <c r="AY79" i="14"/>
  <c r="AX79" i="14"/>
  <c r="AW79" i="14"/>
  <c r="AV79" i="14"/>
  <c r="AQ79" i="14"/>
  <c r="AL79" i="14"/>
  <c r="AF79" i="14"/>
  <c r="Z79" i="14"/>
  <c r="BP77" i="14"/>
  <c r="BO77" i="14"/>
  <c r="BN77" i="14"/>
  <c r="BM77" i="14"/>
  <c r="BL77" i="14"/>
  <c r="BK77" i="14"/>
  <c r="BJ77" i="14"/>
  <c r="BI77" i="14"/>
  <c r="BH77" i="14"/>
  <c r="BG77" i="14"/>
  <c r="BF77" i="14"/>
  <c r="BE77" i="14"/>
  <c r="BD77" i="14"/>
  <c r="BC77" i="14"/>
  <c r="BB77" i="14"/>
  <c r="BA77" i="14"/>
  <c r="AZ77" i="14"/>
  <c r="AY77" i="14"/>
  <c r="AX77" i="14"/>
  <c r="AW77" i="14"/>
  <c r="AV77" i="14"/>
  <c r="AQ77" i="14"/>
  <c r="AL77" i="14"/>
  <c r="AF77" i="14"/>
  <c r="Z77" i="14"/>
  <c r="BP97" i="14"/>
  <c r="BO97" i="14"/>
  <c r="BN97" i="14"/>
  <c r="BM97" i="14"/>
  <c r="BL97" i="14"/>
  <c r="BK97" i="14"/>
  <c r="BJ97" i="14"/>
  <c r="BI97" i="14"/>
  <c r="BH97" i="14"/>
  <c r="BG97" i="14"/>
  <c r="BF97" i="14"/>
  <c r="BE97" i="14"/>
  <c r="BD97" i="14"/>
  <c r="BC97" i="14"/>
  <c r="BB97" i="14"/>
  <c r="BA97" i="14"/>
  <c r="AZ97" i="14"/>
  <c r="AY97" i="14"/>
  <c r="AX97" i="14"/>
  <c r="AW97" i="14"/>
  <c r="AV97" i="14"/>
  <c r="AQ97" i="14"/>
  <c r="AL97" i="14"/>
  <c r="AF97" i="14"/>
  <c r="Z97" i="14"/>
  <c r="BP4" i="14"/>
  <c r="BO4" i="14"/>
  <c r="BN4" i="14"/>
  <c r="BM4" i="14"/>
  <c r="BL4" i="14"/>
  <c r="BK4" i="14"/>
  <c r="BJ4" i="14"/>
  <c r="BI4" i="14"/>
  <c r="BH4" i="14"/>
  <c r="BG4" i="14"/>
  <c r="BF4" i="14"/>
  <c r="BE4" i="14"/>
  <c r="BD4" i="14"/>
  <c r="BC4" i="14"/>
  <c r="BB4" i="14"/>
  <c r="BA4" i="14"/>
  <c r="AZ4" i="14"/>
  <c r="AY4" i="14"/>
  <c r="AX4" i="14"/>
  <c r="AW4" i="14"/>
  <c r="AV4" i="14"/>
  <c r="AQ4" i="14"/>
  <c r="AL4" i="14"/>
  <c r="AF4" i="14"/>
  <c r="Z4" i="14"/>
  <c r="BP105" i="14"/>
  <c r="BO105" i="14"/>
  <c r="BN105" i="14"/>
  <c r="BM105" i="14"/>
  <c r="BL105" i="14"/>
  <c r="BK105" i="14"/>
  <c r="BJ105" i="14"/>
  <c r="BI105" i="14"/>
  <c r="BH105" i="14"/>
  <c r="BG105" i="14"/>
  <c r="BF105" i="14"/>
  <c r="BE105" i="14"/>
  <c r="BD105" i="14"/>
  <c r="BC105" i="14"/>
  <c r="BB105" i="14"/>
  <c r="BA105" i="14"/>
  <c r="AZ105" i="14"/>
  <c r="AY105" i="14"/>
  <c r="AX105" i="14"/>
  <c r="AW105" i="14"/>
  <c r="AV105" i="14"/>
  <c r="AQ105" i="14"/>
  <c r="AL105" i="14"/>
  <c r="AF105" i="14"/>
  <c r="Z105" i="14"/>
  <c r="BP86" i="14"/>
  <c r="BO86" i="14"/>
  <c r="BN86" i="14"/>
  <c r="BM86" i="14"/>
  <c r="BL86" i="14"/>
  <c r="BK86" i="14"/>
  <c r="BJ86" i="14"/>
  <c r="BI86" i="14"/>
  <c r="BH86" i="14"/>
  <c r="BG86" i="14"/>
  <c r="BF86" i="14"/>
  <c r="BE86" i="14"/>
  <c r="BD86" i="14"/>
  <c r="BC86" i="14"/>
  <c r="BB86" i="14"/>
  <c r="BA86" i="14"/>
  <c r="AZ86" i="14"/>
  <c r="AY86" i="14"/>
  <c r="AX86" i="14"/>
  <c r="AW86" i="14"/>
  <c r="AV86" i="14"/>
  <c r="AQ86" i="14"/>
  <c r="AL86" i="14"/>
  <c r="AF86" i="14"/>
  <c r="Z86" i="14"/>
  <c r="BP58" i="14"/>
  <c r="BO58" i="14"/>
  <c r="BN58" i="14"/>
  <c r="BM58" i="14"/>
  <c r="BL58" i="14"/>
  <c r="BK58" i="14"/>
  <c r="BJ58" i="14"/>
  <c r="BI58" i="14"/>
  <c r="BH58" i="14"/>
  <c r="BG58" i="14"/>
  <c r="BF58" i="14"/>
  <c r="BE58" i="14"/>
  <c r="BD58" i="14"/>
  <c r="BC58" i="14"/>
  <c r="BB58" i="14"/>
  <c r="BA58" i="14"/>
  <c r="AZ58" i="14"/>
  <c r="AY58" i="14"/>
  <c r="AX58" i="14"/>
  <c r="AW58" i="14"/>
  <c r="AV58" i="14"/>
  <c r="AQ58" i="14"/>
  <c r="AL58" i="14"/>
  <c r="AF58" i="14"/>
  <c r="Z58" i="14"/>
  <c r="BP7" i="14"/>
  <c r="BO7" i="14"/>
  <c r="BN7" i="14"/>
  <c r="BM7" i="14"/>
  <c r="BL7" i="14"/>
  <c r="BK7" i="14"/>
  <c r="BJ7" i="14"/>
  <c r="BI7" i="14"/>
  <c r="BH7" i="14"/>
  <c r="BG7" i="14"/>
  <c r="BF7" i="14"/>
  <c r="BE7" i="14"/>
  <c r="BD7" i="14"/>
  <c r="BC7" i="14"/>
  <c r="BB7" i="14"/>
  <c r="BA7" i="14"/>
  <c r="AZ7" i="14"/>
  <c r="AY7" i="14"/>
  <c r="AX7" i="14"/>
  <c r="AW7" i="14"/>
  <c r="AV7" i="14"/>
  <c r="AQ7" i="14"/>
  <c r="AL7" i="14"/>
  <c r="AF7" i="14"/>
  <c r="Z7" i="14"/>
  <c r="BP26" i="14"/>
  <c r="BO26" i="14"/>
  <c r="BN26" i="14"/>
  <c r="BM26" i="14"/>
  <c r="BL26" i="14"/>
  <c r="BK26" i="14"/>
  <c r="BJ26" i="14"/>
  <c r="BI26" i="14"/>
  <c r="BH26" i="14"/>
  <c r="BG26" i="14"/>
  <c r="BF26" i="14"/>
  <c r="BE26" i="14"/>
  <c r="BD26" i="14"/>
  <c r="BC26" i="14"/>
  <c r="BB26" i="14"/>
  <c r="BA26" i="14"/>
  <c r="AZ26" i="14"/>
  <c r="AY26" i="14"/>
  <c r="AX26" i="14"/>
  <c r="AW26" i="14"/>
  <c r="AV26" i="14"/>
  <c r="AQ26" i="14"/>
  <c r="AL26" i="14"/>
  <c r="AF26" i="14"/>
  <c r="Z26" i="14"/>
  <c r="BP28" i="14"/>
  <c r="BO28" i="14"/>
  <c r="BN28" i="14"/>
  <c r="BM28" i="14"/>
  <c r="BL28" i="14"/>
  <c r="BK28" i="14"/>
  <c r="BJ28" i="14"/>
  <c r="BI28" i="14"/>
  <c r="BH28" i="14"/>
  <c r="BG28" i="14"/>
  <c r="BF28" i="14"/>
  <c r="BE28" i="14"/>
  <c r="BD28" i="14"/>
  <c r="BC28" i="14"/>
  <c r="BB28" i="14"/>
  <c r="BA28" i="14"/>
  <c r="AZ28" i="14"/>
  <c r="AY28" i="14"/>
  <c r="AX28" i="14"/>
  <c r="AW28" i="14"/>
  <c r="AV28" i="14"/>
  <c r="AQ28" i="14"/>
  <c r="AL28" i="14"/>
  <c r="AF28" i="14"/>
  <c r="Z28" i="14"/>
  <c r="BP25" i="14"/>
  <c r="BO25" i="14"/>
  <c r="BN25" i="14"/>
  <c r="BM25" i="14"/>
  <c r="BL25" i="14"/>
  <c r="BK25" i="14"/>
  <c r="BJ25" i="14"/>
  <c r="BI25" i="14"/>
  <c r="BH25" i="14"/>
  <c r="BG25" i="14"/>
  <c r="BF25" i="14"/>
  <c r="BE25" i="14"/>
  <c r="BD25" i="14"/>
  <c r="BC25" i="14"/>
  <c r="BB25" i="14"/>
  <c r="BA25" i="14"/>
  <c r="AZ25" i="14"/>
  <c r="AY25" i="14"/>
  <c r="AX25" i="14"/>
  <c r="AW25" i="14"/>
  <c r="AV25" i="14"/>
  <c r="AQ25" i="14"/>
  <c r="AL25" i="14"/>
  <c r="AF25" i="14"/>
  <c r="Z25" i="14"/>
  <c r="BP21" i="14"/>
  <c r="BO21" i="14"/>
  <c r="BN21" i="14"/>
  <c r="BM21" i="14"/>
  <c r="BL21" i="14"/>
  <c r="BK21" i="14"/>
  <c r="BJ21" i="14"/>
  <c r="BI21" i="14"/>
  <c r="BH21" i="14"/>
  <c r="BG21" i="14"/>
  <c r="BF21" i="14"/>
  <c r="BE21" i="14"/>
  <c r="BD21" i="14"/>
  <c r="BC21" i="14"/>
  <c r="BB21" i="14"/>
  <c r="BA21" i="14"/>
  <c r="AZ21" i="14"/>
  <c r="AY21" i="14"/>
  <c r="AX21" i="14"/>
  <c r="AW21" i="14"/>
  <c r="AV21" i="14"/>
  <c r="AQ21" i="14"/>
  <c r="AL21" i="14"/>
  <c r="AF21" i="14"/>
  <c r="Z21" i="14"/>
  <c r="BP101" i="14"/>
  <c r="BO101" i="14"/>
  <c r="BN101" i="14"/>
  <c r="BM101" i="14"/>
  <c r="BL101" i="14"/>
  <c r="BK101" i="14"/>
  <c r="BJ101" i="14"/>
  <c r="BI101" i="14"/>
  <c r="BH101" i="14"/>
  <c r="BG101" i="14"/>
  <c r="BF101" i="14"/>
  <c r="BE101" i="14"/>
  <c r="BD101" i="14"/>
  <c r="BC101" i="14"/>
  <c r="BB101" i="14"/>
  <c r="BA101" i="14"/>
  <c r="AZ101" i="14"/>
  <c r="AY101" i="14"/>
  <c r="AX101" i="14"/>
  <c r="AW101" i="14"/>
  <c r="AV101" i="14"/>
  <c r="AQ101" i="14"/>
  <c r="AF101" i="14"/>
  <c r="Z101" i="14"/>
  <c r="BP12" i="14"/>
  <c r="BO12" i="14"/>
  <c r="BN12" i="14"/>
  <c r="BM12" i="14"/>
  <c r="BL12" i="14"/>
  <c r="BK12" i="14"/>
  <c r="BJ12" i="14"/>
  <c r="BI12" i="14"/>
  <c r="BH12" i="14"/>
  <c r="BG12" i="14"/>
  <c r="BF12" i="14"/>
  <c r="BE12" i="14"/>
  <c r="BD12" i="14"/>
  <c r="BC12" i="14"/>
  <c r="BB12" i="14"/>
  <c r="BA12" i="14"/>
  <c r="AZ12" i="14"/>
  <c r="AY12" i="14"/>
  <c r="AX12" i="14"/>
  <c r="AW12" i="14"/>
  <c r="AV12" i="14"/>
  <c r="AQ12" i="14"/>
  <c r="AL12" i="14"/>
  <c r="AF12" i="14"/>
  <c r="Z12" i="14"/>
  <c r="BP76" i="14"/>
  <c r="BO76" i="14"/>
  <c r="BN76" i="14"/>
  <c r="BM76" i="14"/>
  <c r="BL76" i="14"/>
  <c r="BK76" i="14"/>
  <c r="BJ76" i="14"/>
  <c r="BI76" i="14"/>
  <c r="BH76" i="14"/>
  <c r="BG76" i="14"/>
  <c r="BF76" i="14"/>
  <c r="BE76" i="14"/>
  <c r="BD76" i="14"/>
  <c r="BC76" i="14"/>
  <c r="BB76" i="14"/>
  <c r="BA76" i="14"/>
  <c r="AZ76" i="14"/>
  <c r="AY76" i="14"/>
  <c r="AX76" i="14"/>
  <c r="AW76" i="14"/>
  <c r="AV76" i="14"/>
  <c r="AQ76" i="14"/>
  <c r="AL76" i="14"/>
  <c r="AF76" i="14"/>
  <c r="Z76" i="14"/>
  <c r="BP103" i="14"/>
  <c r="BO103" i="14"/>
  <c r="BN103" i="14"/>
  <c r="BM103" i="14"/>
  <c r="BL103" i="14"/>
  <c r="BK103" i="14"/>
  <c r="BJ103" i="14"/>
  <c r="BI103" i="14"/>
  <c r="BH103" i="14"/>
  <c r="BG103" i="14"/>
  <c r="BF103" i="14"/>
  <c r="BE103" i="14"/>
  <c r="BD103" i="14"/>
  <c r="BC103" i="14"/>
  <c r="BB103" i="14"/>
  <c r="BA103" i="14"/>
  <c r="AZ103" i="14"/>
  <c r="AY103" i="14"/>
  <c r="AX103" i="14"/>
  <c r="AW103" i="14"/>
  <c r="AV103" i="14"/>
  <c r="AQ103" i="14"/>
  <c r="AL103" i="14"/>
  <c r="AF103" i="14"/>
  <c r="Z103" i="14"/>
  <c r="BP60" i="14"/>
  <c r="BO60" i="14"/>
  <c r="BN60" i="14"/>
  <c r="BM60" i="14"/>
  <c r="BL60" i="14"/>
  <c r="BK60" i="14"/>
  <c r="BJ60" i="14"/>
  <c r="BI60" i="14"/>
  <c r="BH60" i="14"/>
  <c r="BG60" i="14"/>
  <c r="BF60" i="14"/>
  <c r="BE60" i="14"/>
  <c r="BD60" i="14"/>
  <c r="BC60" i="14"/>
  <c r="BB60" i="14"/>
  <c r="BA60" i="14"/>
  <c r="AZ60" i="14"/>
  <c r="AY60" i="14"/>
  <c r="AX60" i="14"/>
  <c r="AW60" i="14"/>
  <c r="AV60" i="14"/>
  <c r="AQ60" i="14"/>
  <c r="AL60" i="14"/>
  <c r="AF60" i="14"/>
  <c r="Z60" i="14"/>
  <c r="BP70" i="14"/>
  <c r="BO70" i="14"/>
  <c r="BN70" i="14"/>
  <c r="BM70" i="14"/>
  <c r="BL70" i="14"/>
  <c r="BK70" i="14"/>
  <c r="BJ70" i="14"/>
  <c r="BI70" i="14"/>
  <c r="BH70" i="14"/>
  <c r="BG70" i="14"/>
  <c r="BF70" i="14"/>
  <c r="BE70" i="14"/>
  <c r="BD70" i="14"/>
  <c r="BC70" i="14"/>
  <c r="BB70" i="14"/>
  <c r="BA70" i="14"/>
  <c r="AZ70" i="14"/>
  <c r="AY70" i="14"/>
  <c r="AX70" i="14"/>
  <c r="AW70" i="14"/>
  <c r="AV70" i="14"/>
  <c r="AQ70" i="14"/>
  <c r="AL70" i="14"/>
  <c r="AF70" i="14"/>
  <c r="Z70" i="14"/>
  <c r="BP30" i="14"/>
  <c r="BO30" i="14"/>
  <c r="BN30" i="14"/>
  <c r="BM30" i="14"/>
  <c r="BL30" i="14"/>
  <c r="BK30" i="14"/>
  <c r="BJ30" i="14"/>
  <c r="BI30" i="14"/>
  <c r="BH30" i="14"/>
  <c r="BG30" i="14"/>
  <c r="BF30" i="14"/>
  <c r="BE30" i="14"/>
  <c r="BD30" i="14"/>
  <c r="BC30" i="14"/>
  <c r="BB30" i="14"/>
  <c r="BA30" i="14"/>
  <c r="AZ30" i="14"/>
  <c r="AY30" i="14"/>
  <c r="AX30" i="14"/>
  <c r="AW30" i="14"/>
  <c r="AV30" i="14"/>
  <c r="AQ30" i="14"/>
  <c r="AL30" i="14"/>
  <c r="AF30" i="14"/>
  <c r="Z30" i="14"/>
  <c r="BP89" i="14"/>
  <c r="BO89" i="14"/>
  <c r="BN89" i="14"/>
  <c r="BM89" i="14"/>
  <c r="BL89" i="14"/>
  <c r="BK89" i="14"/>
  <c r="BJ89" i="14"/>
  <c r="BI89" i="14"/>
  <c r="BH89" i="14"/>
  <c r="BG89" i="14"/>
  <c r="BF89" i="14"/>
  <c r="BE89" i="14"/>
  <c r="BD89" i="14"/>
  <c r="BC89" i="14"/>
  <c r="BB89" i="14"/>
  <c r="BA89" i="14"/>
  <c r="AZ89" i="14"/>
  <c r="AY89" i="14"/>
  <c r="AX89" i="14"/>
  <c r="AW89" i="14"/>
  <c r="AV89" i="14"/>
  <c r="AQ89" i="14"/>
  <c r="AL89" i="14"/>
  <c r="AF89" i="14"/>
  <c r="Z89" i="14"/>
  <c r="BP45" i="14"/>
  <c r="BO45" i="14"/>
  <c r="BN45" i="14"/>
  <c r="BM45" i="14"/>
  <c r="BL45" i="14"/>
  <c r="BK45" i="14"/>
  <c r="BJ45" i="14"/>
  <c r="BI45" i="14"/>
  <c r="BH45" i="14"/>
  <c r="BG45" i="14"/>
  <c r="BF45" i="14"/>
  <c r="BE45" i="14"/>
  <c r="BD45" i="14"/>
  <c r="BC45" i="14"/>
  <c r="BB45" i="14"/>
  <c r="BA45" i="14"/>
  <c r="AZ45" i="14"/>
  <c r="AY45" i="14"/>
  <c r="AX45" i="14"/>
  <c r="AW45" i="14"/>
  <c r="AV45" i="14"/>
  <c r="AQ45" i="14"/>
  <c r="AL45" i="14"/>
  <c r="AF45" i="14"/>
  <c r="Z45" i="14"/>
  <c r="BP117" i="14"/>
  <c r="BO117" i="14"/>
  <c r="BN117" i="14"/>
  <c r="BM117" i="14"/>
  <c r="BL117" i="14"/>
  <c r="BK117" i="14"/>
  <c r="BJ117" i="14"/>
  <c r="BI117" i="14"/>
  <c r="BH117" i="14"/>
  <c r="BG117" i="14"/>
  <c r="BF117" i="14"/>
  <c r="BE117" i="14"/>
  <c r="BD117" i="14"/>
  <c r="BC117" i="14"/>
  <c r="BB117" i="14"/>
  <c r="BA117" i="14"/>
  <c r="AZ117" i="14"/>
  <c r="AY117" i="14"/>
  <c r="AX117" i="14"/>
  <c r="AW117" i="14"/>
  <c r="AV117" i="14"/>
  <c r="AQ117" i="14"/>
  <c r="AL117" i="14"/>
  <c r="AF117" i="14"/>
  <c r="Z117" i="14"/>
  <c r="BP102" i="14"/>
  <c r="BO102" i="14"/>
  <c r="BN102" i="14"/>
  <c r="BM102" i="14"/>
  <c r="BL102" i="14"/>
  <c r="BK102" i="14"/>
  <c r="BJ102" i="14"/>
  <c r="BI102" i="14"/>
  <c r="BH102" i="14"/>
  <c r="BG102" i="14"/>
  <c r="BF102" i="14"/>
  <c r="BE102" i="14"/>
  <c r="BD102" i="14"/>
  <c r="BC102" i="14"/>
  <c r="BB102" i="14"/>
  <c r="BA102" i="14"/>
  <c r="AZ102" i="14"/>
  <c r="AY102" i="14"/>
  <c r="AX102" i="14"/>
  <c r="AW102" i="14"/>
  <c r="AV102" i="14"/>
  <c r="AQ102" i="14"/>
  <c r="AF102" i="14"/>
  <c r="Z102" i="14"/>
  <c r="BP98" i="14"/>
  <c r="BO98" i="14"/>
  <c r="BN98" i="14"/>
  <c r="BM98" i="14"/>
  <c r="BL98" i="14"/>
  <c r="BK98" i="14"/>
  <c r="BJ98" i="14"/>
  <c r="BI98" i="14"/>
  <c r="BH98" i="14"/>
  <c r="BG98" i="14"/>
  <c r="BF98" i="14"/>
  <c r="BE98" i="14"/>
  <c r="BD98" i="14"/>
  <c r="BC98" i="14"/>
  <c r="BB98" i="14"/>
  <c r="BA98" i="14"/>
  <c r="AZ98" i="14"/>
  <c r="AY98" i="14"/>
  <c r="AX98" i="14"/>
  <c r="AW98" i="14"/>
  <c r="AV98" i="14"/>
  <c r="AQ98" i="14"/>
  <c r="AF98" i="14"/>
  <c r="Z98" i="14"/>
  <c r="BP37" i="14"/>
  <c r="BO37" i="14"/>
  <c r="BN37" i="14"/>
  <c r="BM37" i="14"/>
  <c r="BL37" i="14"/>
  <c r="BK37" i="14"/>
  <c r="BJ37" i="14"/>
  <c r="BI37" i="14"/>
  <c r="BH37" i="14"/>
  <c r="BG37" i="14"/>
  <c r="BF37" i="14"/>
  <c r="BE37" i="14"/>
  <c r="BD37" i="14"/>
  <c r="BC37" i="14"/>
  <c r="BB37" i="14"/>
  <c r="BA37" i="14"/>
  <c r="AZ37" i="14"/>
  <c r="AY37" i="14"/>
  <c r="AX37" i="14"/>
  <c r="AW37" i="14"/>
  <c r="AV37" i="14"/>
  <c r="AQ37" i="14"/>
  <c r="AL37" i="14"/>
  <c r="AF37" i="14"/>
  <c r="BP6" i="14"/>
  <c r="BO6" i="14"/>
  <c r="BN6" i="14"/>
  <c r="BM6" i="14"/>
  <c r="BL6" i="14"/>
  <c r="BK6" i="14"/>
  <c r="BJ6" i="14"/>
  <c r="BI6" i="14"/>
  <c r="BH6" i="14"/>
  <c r="BG6" i="14"/>
  <c r="BF6" i="14"/>
  <c r="BE6" i="14"/>
  <c r="BD6" i="14"/>
  <c r="BC6" i="14"/>
  <c r="BB6" i="14"/>
  <c r="BA6" i="14"/>
  <c r="AZ6" i="14"/>
  <c r="AY6" i="14"/>
  <c r="AX6" i="14"/>
  <c r="AW6" i="14"/>
  <c r="AV6" i="14"/>
  <c r="AQ6" i="14"/>
  <c r="AL6" i="14"/>
  <c r="AF6" i="14"/>
  <c r="Z6" i="14"/>
  <c r="BP14" i="14"/>
  <c r="BO14" i="14"/>
  <c r="BN14" i="14"/>
  <c r="BM14" i="14"/>
  <c r="BL14" i="14"/>
  <c r="BK14" i="14"/>
  <c r="BJ14" i="14"/>
  <c r="BI14" i="14"/>
  <c r="BH14" i="14"/>
  <c r="BG14" i="14"/>
  <c r="BF14" i="14"/>
  <c r="BE14" i="14"/>
  <c r="BD14" i="14"/>
  <c r="BC14" i="14"/>
  <c r="BB14" i="14"/>
  <c r="BA14" i="14"/>
  <c r="AZ14" i="14"/>
  <c r="AY14" i="14"/>
  <c r="AX14" i="14"/>
  <c r="AW14" i="14"/>
  <c r="AV14" i="14"/>
  <c r="AQ14" i="14"/>
  <c r="AL14" i="14"/>
  <c r="AF14" i="14"/>
  <c r="Z14" i="14"/>
  <c r="BP75" i="14"/>
  <c r="BO75" i="14"/>
  <c r="BN75" i="14"/>
  <c r="BM75" i="14"/>
  <c r="BL75" i="14"/>
  <c r="BK75" i="14"/>
  <c r="BJ75" i="14"/>
  <c r="BI75" i="14"/>
  <c r="BH75" i="14"/>
  <c r="BG75" i="14"/>
  <c r="BF75" i="14"/>
  <c r="BE75" i="14"/>
  <c r="BD75" i="14"/>
  <c r="BC75" i="14"/>
  <c r="BB75" i="14"/>
  <c r="BA75" i="14"/>
  <c r="AZ75" i="14"/>
  <c r="AY75" i="14"/>
  <c r="AX75" i="14"/>
  <c r="AW75" i="14"/>
  <c r="AV75" i="14"/>
  <c r="AQ75" i="14"/>
  <c r="AL75" i="14"/>
  <c r="AF75" i="14"/>
  <c r="Z75" i="14"/>
  <c r="BP31" i="14"/>
  <c r="BO31" i="14"/>
  <c r="BN31" i="14"/>
  <c r="BM31" i="14"/>
  <c r="BL31" i="14"/>
  <c r="BK31" i="14"/>
  <c r="BJ31" i="14"/>
  <c r="BI31" i="14"/>
  <c r="BH31" i="14"/>
  <c r="BG31" i="14"/>
  <c r="BF31" i="14"/>
  <c r="BE31" i="14"/>
  <c r="BD31" i="14"/>
  <c r="BC31" i="14"/>
  <c r="BB31" i="14"/>
  <c r="BA31" i="14"/>
  <c r="AZ31" i="14"/>
  <c r="AY31" i="14"/>
  <c r="AX31" i="14"/>
  <c r="AW31" i="14"/>
  <c r="AV31" i="14"/>
  <c r="AQ31" i="14"/>
  <c r="AL31" i="14"/>
  <c r="AF31" i="14"/>
  <c r="Z31" i="14"/>
  <c r="BP46" i="14"/>
  <c r="BO46" i="14"/>
  <c r="BN46" i="14"/>
  <c r="BM46" i="14"/>
  <c r="BL46" i="14"/>
  <c r="BK46" i="14"/>
  <c r="BJ46" i="14"/>
  <c r="BI46" i="14"/>
  <c r="BH46" i="14"/>
  <c r="BG46" i="14"/>
  <c r="BF46" i="14"/>
  <c r="BE46" i="14"/>
  <c r="BD46" i="14"/>
  <c r="BC46" i="14"/>
  <c r="BB46" i="14"/>
  <c r="BA46" i="14"/>
  <c r="AZ46" i="14"/>
  <c r="AY46" i="14"/>
  <c r="AX46" i="14"/>
  <c r="AW46" i="14"/>
  <c r="AV46" i="14"/>
  <c r="AQ46" i="14"/>
  <c r="AL46" i="14"/>
  <c r="Z46" i="14"/>
  <c r="BP22" i="14"/>
  <c r="BO22" i="14"/>
  <c r="BN22" i="14"/>
  <c r="BM22" i="14"/>
  <c r="BL22" i="14"/>
  <c r="BK22" i="14"/>
  <c r="BJ22" i="14"/>
  <c r="BI22" i="14"/>
  <c r="BH22" i="14"/>
  <c r="BG22" i="14"/>
  <c r="BF22" i="14"/>
  <c r="BE22" i="14"/>
  <c r="BD22" i="14"/>
  <c r="BC22" i="14"/>
  <c r="BB22" i="14"/>
  <c r="BA22" i="14"/>
  <c r="AZ22" i="14"/>
  <c r="AY22" i="14"/>
  <c r="AX22" i="14"/>
  <c r="AW22" i="14"/>
  <c r="AV22" i="14"/>
  <c r="AQ22" i="14"/>
  <c r="AL22" i="14"/>
  <c r="AF22" i="14"/>
  <c r="Z22" i="14"/>
  <c r="BP20" i="14"/>
  <c r="BO20" i="14"/>
  <c r="BN20" i="14"/>
  <c r="BM20" i="14"/>
  <c r="BL20" i="14"/>
  <c r="BK20" i="14"/>
  <c r="BJ20" i="14"/>
  <c r="BI20" i="14"/>
  <c r="BH20" i="14"/>
  <c r="BG20" i="14"/>
  <c r="BF20" i="14"/>
  <c r="BE20" i="14"/>
  <c r="BD20" i="14"/>
  <c r="BC20" i="14"/>
  <c r="BB20" i="14"/>
  <c r="BA20" i="14"/>
  <c r="AZ20" i="14"/>
  <c r="AY20" i="14"/>
  <c r="AX20" i="14"/>
  <c r="AW20" i="14"/>
  <c r="AV20" i="14"/>
  <c r="AQ20" i="14"/>
  <c r="AL20" i="14"/>
  <c r="AF20" i="14"/>
  <c r="Z20" i="14"/>
  <c r="BP116" i="14"/>
  <c r="BO116" i="14"/>
  <c r="BN116" i="14"/>
  <c r="BM116" i="14"/>
  <c r="BL116" i="14"/>
  <c r="BK116" i="14"/>
  <c r="BJ116" i="14"/>
  <c r="BI116" i="14"/>
  <c r="BH116" i="14"/>
  <c r="BG116" i="14"/>
  <c r="BF116" i="14"/>
  <c r="BE116" i="14"/>
  <c r="BD116" i="14"/>
  <c r="BC116" i="14"/>
  <c r="BB116" i="14"/>
  <c r="BA116" i="14"/>
  <c r="AZ116" i="14"/>
  <c r="AY116" i="14"/>
  <c r="AX116" i="14"/>
  <c r="AW116" i="14"/>
  <c r="AV116" i="14"/>
  <c r="AQ116" i="14"/>
  <c r="AL116" i="14"/>
  <c r="AF116" i="14"/>
  <c r="Z116" i="14"/>
  <c r="BP115" i="14"/>
  <c r="BO115" i="14"/>
  <c r="BN115" i="14"/>
  <c r="BM115" i="14"/>
  <c r="BL115" i="14"/>
  <c r="BK115" i="14"/>
  <c r="BJ115" i="14"/>
  <c r="BI115" i="14"/>
  <c r="BH115" i="14"/>
  <c r="BG115" i="14"/>
  <c r="BF115" i="14"/>
  <c r="BE115" i="14"/>
  <c r="BD115" i="14"/>
  <c r="BC115" i="14"/>
  <c r="BB115" i="14"/>
  <c r="BA115" i="14"/>
  <c r="AZ115" i="14"/>
  <c r="AY115" i="14"/>
  <c r="AX115" i="14"/>
  <c r="AW115" i="14"/>
  <c r="AV115" i="14"/>
  <c r="AQ115" i="14"/>
  <c r="AL115" i="14"/>
  <c r="AF115" i="14"/>
  <c r="Z115" i="14"/>
  <c r="BP109" i="14"/>
  <c r="BO109" i="14"/>
  <c r="BN109" i="14"/>
  <c r="BM109" i="14"/>
  <c r="BL109" i="14"/>
  <c r="BK109" i="14"/>
  <c r="BJ109" i="14"/>
  <c r="BI109" i="14"/>
  <c r="BH109" i="14"/>
  <c r="BG109" i="14"/>
  <c r="BF109" i="14"/>
  <c r="BE109" i="14"/>
  <c r="BD109" i="14"/>
  <c r="BC109" i="14"/>
  <c r="BB109" i="14"/>
  <c r="BA109" i="14"/>
  <c r="AZ109" i="14"/>
  <c r="AY109" i="14"/>
  <c r="AX109" i="14"/>
  <c r="AW109" i="14"/>
  <c r="AV109" i="14"/>
  <c r="AQ109" i="14"/>
  <c r="AL109" i="14"/>
  <c r="AF109" i="14"/>
  <c r="Z109" i="14"/>
  <c r="BP57" i="14"/>
  <c r="BO57" i="14"/>
  <c r="BN57" i="14"/>
  <c r="BM57" i="14"/>
  <c r="BL57" i="14"/>
  <c r="BK57" i="14"/>
  <c r="BJ57" i="14"/>
  <c r="BI57" i="14"/>
  <c r="BH57" i="14"/>
  <c r="BG57" i="14"/>
  <c r="BF57" i="14"/>
  <c r="BE57" i="14"/>
  <c r="BD57" i="14"/>
  <c r="BC57" i="14"/>
  <c r="BB57" i="14"/>
  <c r="BA57" i="14"/>
  <c r="AZ57" i="14"/>
  <c r="AY57" i="14"/>
  <c r="AX57" i="14"/>
  <c r="AW57" i="14"/>
  <c r="AV57" i="14"/>
  <c r="AQ57" i="14"/>
  <c r="AL57" i="14"/>
  <c r="AF57" i="14"/>
  <c r="Z57" i="14"/>
  <c r="BP56" i="14"/>
  <c r="BO56" i="14"/>
  <c r="BN56" i="14"/>
  <c r="BM56" i="14"/>
  <c r="BL56" i="14"/>
  <c r="BK56" i="14"/>
  <c r="BJ56" i="14"/>
  <c r="BI56" i="14"/>
  <c r="BH56" i="14"/>
  <c r="BG56" i="14"/>
  <c r="BF56" i="14"/>
  <c r="BE56" i="14"/>
  <c r="BD56" i="14"/>
  <c r="BC56" i="14"/>
  <c r="BB56" i="14"/>
  <c r="BA56" i="14"/>
  <c r="AZ56" i="14"/>
  <c r="AY56" i="14"/>
  <c r="AX56" i="14"/>
  <c r="AW56" i="14"/>
  <c r="AV56" i="14"/>
  <c r="AQ56" i="14"/>
  <c r="AL56" i="14"/>
  <c r="AF56" i="14"/>
  <c r="Z56" i="14"/>
  <c r="BP81" i="14"/>
  <c r="BO81" i="14"/>
  <c r="BN81" i="14"/>
  <c r="BM81" i="14"/>
  <c r="BL81" i="14"/>
  <c r="BK81" i="14"/>
  <c r="BJ81" i="14"/>
  <c r="BI81" i="14"/>
  <c r="BH81" i="14"/>
  <c r="BG81" i="14"/>
  <c r="BF81" i="14"/>
  <c r="BE81" i="14"/>
  <c r="BD81" i="14"/>
  <c r="BC81" i="14"/>
  <c r="BB81" i="14"/>
  <c r="BA81" i="14"/>
  <c r="AZ81" i="14"/>
  <c r="AY81" i="14"/>
  <c r="AX81" i="14"/>
  <c r="AW81" i="14"/>
  <c r="AV81" i="14"/>
  <c r="AQ81" i="14"/>
  <c r="AL81" i="14"/>
  <c r="AF81" i="14"/>
  <c r="Z81" i="14"/>
  <c r="BP80" i="14"/>
  <c r="BO80" i="14"/>
  <c r="BN80" i="14"/>
  <c r="BM80" i="14"/>
  <c r="BL80" i="14"/>
  <c r="BK80" i="14"/>
  <c r="BJ80" i="14"/>
  <c r="BI80" i="14"/>
  <c r="BH80" i="14"/>
  <c r="BG80" i="14"/>
  <c r="BF80" i="14"/>
  <c r="BE80" i="14"/>
  <c r="BD80" i="14"/>
  <c r="BC80" i="14"/>
  <c r="BB80" i="14"/>
  <c r="BA80" i="14"/>
  <c r="AZ80" i="14"/>
  <c r="AY80" i="14"/>
  <c r="AX80" i="14"/>
  <c r="AW80" i="14"/>
  <c r="AV80" i="14"/>
  <c r="AQ80" i="14"/>
  <c r="AL80" i="14"/>
  <c r="AF80" i="14"/>
  <c r="Z80" i="14"/>
  <c r="BP92" i="14"/>
  <c r="BO92" i="14"/>
  <c r="BN92" i="14"/>
  <c r="BM92" i="14"/>
  <c r="BL92" i="14"/>
  <c r="BK92" i="14"/>
  <c r="BJ92" i="14"/>
  <c r="BI92" i="14"/>
  <c r="BH92" i="14"/>
  <c r="BG92" i="14"/>
  <c r="BF92" i="14"/>
  <c r="BE92" i="14"/>
  <c r="BD92" i="14"/>
  <c r="BC92" i="14"/>
  <c r="BB92" i="14"/>
  <c r="BA92" i="14"/>
  <c r="AZ92" i="14"/>
  <c r="AY92" i="14"/>
  <c r="AX92" i="14"/>
  <c r="AW92" i="14"/>
  <c r="AV92" i="14"/>
  <c r="AQ92" i="14"/>
  <c r="AL92" i="14"/>
  <c r="AF92" i="14"/>
  <c r="Z92" i="14"/>
  <c r="BP11" i="14"/>
  <c r="BO11" i="14"/>
  <c r="BN11" i="14"/>
  <c r="BM11" i="14"/>
  <c r="BL11" i="14"/>
  <c r="BK11" i="14"/>
  <c r="BJ11" i="14"/>
  <c r="BI11" i="14"/>
  <c r="BH11" i="14"/>
  <c r="BG11" i="14"/>
  <c r="BF11" i="14"/>
  <c r="BE11" i="14"/>
  <c r="BD11" i="14"/>
  <c r="BC11" i="14"/>
  <c r="BB11" i="14"/>
  <c r="BA11" i="14"/>
  <c r="AZ11" i="14"/>
  <c r="AY11" i="14"/>
  <c r="AX11" i="14"/>
  <c r="AW11" i="14"/>
  <c r="AV11" i="14"/>
  <c r="AQ11" i="14"/>
  <c r="AL11" i="14"/>
  <c r="AF11" i="14"/>
  <c r="Z11" i="14"/>
  <c r="BP65" i="14"/>
  <c r="BO65" i="14"/>
  <c r="BN65" i="14"/>
  <c r="BM65" i="14"/>
  <c r="BL65" i="14"/>
  <c r="BK65" i="14"/>
  <c r="BJ65" i="14"/>
  <c r="BI65" i="14"/>
  <c r="BH65" i="14"/>
  <c r="BG65" i="14"/>
  <c r="BF65" i="14"/>
  <c r="BE65" i="14"/>
  <c r="BD65" i="14"/>
  <c r="BC65" i="14"/>
  <c r="BB65" i="14"/>
  <c r="BA65" i="14"/>
  <c r="AZ65" i="14"/>
  <c r="AY65" i="14"/>
  <c r="AX65" i="14"/>
  <c r="AW65" i="14"/>
  <c r="AV65" i="14"/>
  <c r="AQ65" i="14"/>
  <c r="AL65" i="14"/>
  <c r="AF65" i="14"/>
  <c r="BP64" i="14"/>
  <c r="BO64" i="14"/>
  <c r="BN64" i="14"/>
  <c r="BM64" i="14"/>
  <c r="BL64" i="14"/>
  <c r="BK64" i="14"/>
  <c r="BJ64" i="14"/>
  <c r="BI64" i="14"/>
  <c r="BH64" i="14"/>
  <c r="BG64" i="14"/>
  <c r="BF64" i="14"/>
  <c r="BE64" i="14"/>
  <c r="BD64" i="14"/>
  <c r="BC64" i="14"/>
  <c r="BB64" i="14"/>
  <c r="BA64" i="14"/>
  <c r="AZ64" i="14"/>
  <c r="AY64" i="14"/>
  <c r="AX64" i="14"/>
  <c r="AW64" i="14"/>
  <c r="AV64" i="14"/>
  <c r="AQ64" i="14"/>
  <c r="AL64" i="14"/>
  <c r="AF64" i="14"/>
  <c r="BP82" i="14"/>
  <c r="BO82" i="14"/>
  <c r="BN82" i="14"/>
  <c r="BM82" i="14"/>
  <c r="BL82" i="14"/>
  <c r="BK82" i="14"/>
  <c r="BJ82" i="14"/>
  <c r="BI82" i="14"/>
  <c r="BH82" i="14"/>
  <c r="BG82" i="14"/>
  <c r="BF82" i="14"/>
  <c r="BE82" i="14"/>
  <c r="BD82" i="14"/>
  <c r="BC82" i="14"/>
  <c r="BB82" i="14"/>
  <c r="BA82" i="14"/>
  <c r="AZ82" i="14"/>
  <c r="AY82" i="14"/>
  <c r="AX82" i="14"/>
  <c r="AW82" i="14"/>
  <c r="AV82" i="14"/>
  <c r="AQ82" i="14"/>
  <c r="AL82" i="14"/>
  <c r="AF82" i="14"/>
  <c r="Z82" i="14"/>
  <c r="BP32" i="14"/>
  <c r="BO32" i="14"/>
  <c r="BN32" i="14"/>
  <c r="BM32" i="14"/>
  <c r="BL32" i="14"/>
  <c r="BK32" i="14"/>
  <c r="BJ32" i="14"/>
  <c r="BI32" i="14"/>
  <c r="BH32" i="14"/>
  <c r="BG32" i="14"/>
  <c r="BF32" i="14"/>
  <c r="BE32" i="14"/>
  <c r="BD32" i="14"/>
  <c r="BC32" i="14"/>
  <c r="BB32" i="14"/>
  <c r="BA32" i="14"/>
  <c r="AZ32" i="14"/>
  <c r="AY32" i="14"/>
  <c r="AX32" i="14"/>
  <c r="AW32" i="14"/>
  <c r="AV32" i="14"/>
  <c r="AQ32" i="14"/>
  <c r="AL32" i="14"/>
  <c r="AF32" i="14"/>
  <c r="BP104" i="14"/>
  <c r="BO104" i="14"/>
  <c r="BN104" i="14"/>
  <c r="BM104" i="14"/>
  <c r="BL104" i="14"/>
  <c r="BK104" i="14"/>
  <c r="BJ104" i="14"/>
  <c r="BI104" i="14"/>
  <c r="BH104" i="14"/>
  <c r="BG104" i="14"/>
  <c r="BF104" i="14"/>
  <c r="BE104" i="14"/>
  <c r="BD104" i="14"/>
  <c r="BC104" i="14"/>
  <c r="BB104" i="14"/>
  <c r="BA104" i="14"/>
  <c r="AZ104" i="14"/>
  <c r="AY104" i="14"/>
  <c r="AX104" i="14"/>
  <c r="AW104" i="14"/>
  <c r="AV104" i="14"/>
  <c r="AQ104" i="14"/>
  <c r="AL104" i="14"/>
  <c r="AF104" i="14"/>
  <c r="Z104" i="14"/>
  <c r="BP106" i="14"/>
  <c r="BO106" i="14"/>
  <c r="BN106" i="14"/>
  <c r="BM106" i="14"/>
  <c r="BL106" i="14"/>
  <c r="BK106" i="14"/>
  <c r="BJ106" i="14"/>
  <c r="BI106" i="14"/>
  <c r="BH106" i="14"/>
  <c r="BG106" i="14"/>
  <c r="BF106" i="14"/>
  <c r="BE106" i="14"/>
  <c r="BD106" i="14"/>
  <c r="BC106" i="14"/>
  <c r="BB106" i="14"/>
  <c r="BA106" i="14"/>
  <c r="AZ106" i="14"/>
  <c r="AY106" i="14"/>
  <c r="AX106" i="14"/>
  <c r="AW106" i="14"/>
  <c r="AV106" i="14"/>
  <c r="AQ106" i="14"/>
  <c r="AL106" i="14"/>
  <c r="AF106" i="14"/>
  <c r="Z106" i="14"/>
  <c r="BP55" i="14"/>
  <c r="BO55" i="14"/>
  <c r="BN55" i="14"/>
  <c r="BM55" i="14"/>
  <c r="BL55" i="14"/>
  <c r="BK55" i="14"/>
  <c r="BJ55" i="14"/>
  <c r="BI55" i="14"/>
  <c r="BH55" i="14"/>
  <c r="BG55" i="14"/>
  <c r="BF55" i="14"/>
  <c r="BE55" i="14"/>
  <c r="BD55" i="14"/>
  <c r="BC55" i="14"/>
  <c r="BB55" i="14"/>
  <c r="BA55" i="14"/>
  <c r="AZ55" i="14"/>
  <c r="AY55" i="14"/>
  <c r="AX55" i="14"/>
  <c r="AW55" i="14"/>
  <c r="AV55" i="14"/>
  <c r="AQ55" i="14"/>
  <c r="AL55" i="14"/>
  <c r="AF55" i="14"/>
  <c r="Z55" i="14"/>
  <c r="BP108" i="14"/>
  <c r="BO108" i="14"/>
  <c r="BN108" i="14"/>
  <c r="BM108" i="14"/>
  <c r="BL108" i="14"/>
  <c r="BK108" i="14"/>
  <c r="BJ108" i="14"/>
  <c r="BI108" i="14"/>
  <c r="BH108" i="14"/>
  <c r="BG108" i="14"/>
  <c r="BF108" i="14"/>
  <c r="BE108" i="14"/>
  <c r="BD108" i="14"/>
  <c r="BC108" i="14"/>
  <c r="BB108" i="14"/>
  <c r="BA108" i="14"/>
  <c r="AZ108" i="14"/>
  <c r="AY108" i="14"/>
  <c r="AX108" i="14"/>
  <c r="AW108" i="14"/>
  <c r="AV108" i="14"/>
  <c r="AQ108" i="14"/>
  <c r="AL108" i="14"/>
  <c r="AF108" i="14"/>
  <c r="Z108" i="14"/>
  <c r="BP114" i="14"/>
  <c r="BO114" i="14"/>
  <c r="BN114" i="14"/>
  <c r="BM114" i="14"/>
  <c r="BL114" i="14"/>
  <c r="BK114" i="14"/>
  <c r="BJ114" i="14"/>
  <c r="BI114" i="14"/>
  <c r="BH114" i="14"/>
  <c r="BG114" i="14"/>
  <c r="BF114" i="14"/>
  <c r="BE114" i="14"/>
  <c r="BD114" i="14"/>
  <c r="BC114" i="14"/>
  <c r="BB114" i="14"/>
  <c r="BA114" i="14"/>
  <c r="AZ114" i="14"/>
  <c r="AY114" i="14"/>
  <c r="AX114" i="14"/>
  <c r="AW114" i="14"/>
  <c r="AV114" i="14"/>
  <c r="AQ114" i="14"/>
  <c r="AL114" i="14"/>
  <c r="AF114" i="14"/>
  <c r="Z114" i="14"/>
  <c r="BP17" i="14"/>
  <c r="BO17" i="14"/>
  <c r="BN17" i="14"/>
  <c r="BM17" i="14"/>
  <c r="BL17" i="14"/>
  <c r="BK17" i="14"/>
  <c r="BJ17" i="14"/>
  <c r="BI17" i="14"/>
  <c r="BH17" i="14"/>
  <c r="BG17" i="14"/>
  <c r="BF17" i="14"/>
  <c r="BE17" i="14"/>
  <c r="BD17" i="14"/>
  <c r="BC17" i="14"/>
  <c r="BB17" i="14"/>
  <c r="BA17" i="14"/>
  <c r="AZ17" i="14"/>
  <c r="AY17" i="14"/>
  <c r="AX17" i="14"/>
  <c r="AW17" i="14"/>
  <c r="AV17" i="14"/>
  <c r="AQ17" i="14"/>
  <c r="AL17" i="14"/>
  <c r="AF17" i="14"/>
  <c r="Z17" i="14"/>
  <c r="BP3" i="14"/>
  <c r="BO3" i="14"/>
  <c r="BN3" i="14"/>
  <c r="BM3" i="14"/>
  <c r="BL3" i="14"/>
  <c r="BK3" i="14"/>
  <c r="BJ3" i="14"/>
  <c r="BI3" i="14"/>
  <c r="BH3" i="14"/>
  <c r="BG3" i="14"/>
  <c r="BF3" i="14"/>
  <c r="BE3" i="14"/>
  <c r="BD3" i="14"/>
  <c r="BC3" i="14"/>
  <c r="BB3" i="14"/>
  <c r="BA3" i="14"/>
  <c r="AZ3" i="14"/>
  <c r="AY3" i="14"/>
  <c r="AX3" i="14"/>
  <c r="AW3" i="14"/>
  <c r="AV3" i="14"/>
  <c r="AQ3" i="14"/>
  <c r="AL3" i="14"/>
  <c r="AF3" i="14"/>
  <c r="Z3" i="14"/>
  <c r="BP69" i="14"/>
  <c r="BO69" i="14"/>
  <c r="BN69" i="14"/>
  <c r="BM69" i="14"/>
  <c r="BL69" i="14"/>
  <c r="BK69" i="14"/>
  <c r="BJ69" i="14"/>
  <c r="BI69" i="14"/>
  <c r="BH69" i="14"/>
  <c r="BG69" i="14"/>
  <c r="BF69" i="14"/>
  <c r="BE69" i="14"/>
  <c r="BD69" i="14"/>
  <c r="BC69" i="14"/>
  <c r="BB69" i="14"/>
  <c r="BA69" i="14"/>
  <c r="AZ69" i="14"/>
  <c r="AY69" i="14"/>
  <c r="AX69" i="14"/>
  <c r="AW69" i="14"/>
  <c r="AV69" i="14"/>
  <c r="AQ69" i="14"/>
  <c r="AL69" i="14"/>
  <c r="BP61" i="14"/>
  <c r="BO61" i="14"/>
  <c r="BN61" i="14"/>
  <c r="BM61" i="14"/>
  <c r="BL61" i="14"/>
  <c r="BK61" i="14"/>
  <c r="BJ61" i="14"/>
  <c r="BI61" i="14"/>
  <c r="BH61" i="14"/>
  <c r="BG61" i="14"/>
  <c r="BF61" i="14"/>
  <c r="BE61" i="14"/>
  <c r="BD61" i="14"/>
  <c r="BC61" i="14"/>
  <c r="BB61" i="14"/>
  <c r="BA61" i="14"/>
  <c r="AZ61" i="14"/>
  <c r="AY61" i="14"/>
  <c r="AX61" i="14"/>
  <c r="AW61" i="14"/>
  <c r="AV61" i="14"/>
  <c r="AQ61" i="14"/>
  <c r="AL61" i="14"/>
  <c r="BP38" i="14"/>
  <c r="BO38" i="14"/>
  <c r="BN38" i="14"/>
  <c r="BM38" i="14"/>
  <c r="BL38" i="14"/>
  <c r="BK38" i="14"/>
  <c r="BJ38" i="14"/>
  <c r="BI38" i="14"/>
  <c r="BH38" i="14"/>
  <c r="BG38" i="14"/>
  <c r="BF38" i="14"/>
  <c r="BE38" i="14"/>
  <c r="BD38" i="14"/>
  <c r="BC38" i="14"/>
  <c r="BB38" i="14"/>
  <c r="BA38" i="14"/>
  <c r="AZ38" i="14"/>
  <c r="AY38" i="14"/>
  <c r="AX38" i="14"/>
  <c r="AW38" i="14"/>
  <c r="AV38" i="14"/>
  <c r="AQ38" i="14"/>
  <c r="AL38" i="14"/>
  <c r="AF38" i="14"/>
  <c r="Z38" i="14"/>
  <c r="BP74" i="14"/>
  <c r="BO74" i="14"/>
  <c r="BN74" i="14"/>
  <c r="BM74" i="14"/>
  <c r="BL74" i="14"/>
  <c r="BK74" i="14"/>
  <c r="BJ74" i="14"/>
  <c r="BI74" i="14"/>
  <c r="BH74" i="14"/>
  <c r="BG74" i="14"/>
  <c r="BF74" i="14"/>
  <c r="BE74" i="14"/>
  <c r="BD74" i="14"/>
  <c r="BC74" i="14"/>
  <c r="BB74" i="14"/>
  <c r="BA74" i="14"/>
  <c r="AZ74" i="14"/>
  <c r="AY74" i="14"/>
  <c r="AX74" i="14"/>
  <c r="AW74" i="14"/>
  <c r="AV74" i="14"/>
  <c r="AQ74" i="14"/>
  <c r="AL74" i="14"/>
  <c r="AF74" i="14"/>
  <c r="Z74" i="14"/>
  <c r="BP18" i="14"/>
  <c r="BO18" i="14"/>
  <c r="BN18" i="14"/>
  <c r="BM18" i="14"/>
  <c r="BL18" i="14"/>
  <c r="BK18" i="14"/>
  <c r="BJ18" i="14"/>
  <c r="BI18" i="14"/>
  <c r="BH18" i="14"/>
  <c r="BG18" i="14"/>
  <c r="BF18" i="14"/>
  <c r="BE18" i="14"/>
  <c r="BD18" i="14"/>
  <c r="BC18" i="14"/>
  <c r="BB18" i="14"/>
  <c r="BA18" i="14"/>
  <c r="AZ18" i="14"/>
  <c r="AY18" i="14"/>
  <c r="AX18" i="14"/>
  <c r="AW18" i="14"/>
  <c r="AV18" i="14"/>
  <c r="AQ18" i="14"/>
  <c r="AL18" i="14"/>
  <c r="AF18" i="14"/>
  <c r="Z18" i="14"/>
  <c r="BP24" i="14"/>
  <c r="BO24" i="14"/>
  <c r="BN24" i="14"/>
  <c r="BM24" i="14"/>
  <c r="BL24" i="14"/>
  <c r="BK24" i="14"/>
  <c r="BJ24" i="14"/>
  <c r="BI24" i="14"/>
  <c r="BH24" i="14"/>
  <c r="BG24" i="14"/>
  <c r="BF24" i="14"/>
  <c r="BE24" i="14"/>
  <c r="BD24" i="14"/>
  <c r="BC24" i="14"/>
  <c r="BB24" i="14"/>
  <c r="BA24" i="14"/>
  <c r="AZ24" i="14"/>
  <c r="AY24" i="14"/>
  <c r="AX24" i="14"/>
  <c r="AW24" i="14"/>
  <c r="AV24" i="14"/>
  <c r="AQ24" i="14"/>
  <c r="AL24" i="14"/>
  <c r="AF24" i="14"/>
  <c r="Z24" i="14"/>
  <c r="BP15" i="14"/>
  <c r="BO15" i="14"/>
  <c r="BN15" i="14"/>
  <c r="BM15" i="14"/>
  <c r="BL15" i="14"/>
  <c r="BK15" i="14"/>
  <c r="BJ15" i="14"/>
  <c r="BI15" i="14"/>
  <c r="BH15" i="14"/>
  <c r="BG15" i="14"/>
  <c r="BF15" i="14"/>
  <c r="BE15" i="14"/>
  <c r="BD15" i="14"/>
  <c r="BC15" i="14"/>
  <c r="BB15" i="14"/>
  <c r="BA15" i="14"/>
  <c r="AZ15" i="14"/>
  <c r="AY15" i="14"/>
  <c r="AX15" i="14"/>
  <c r="AW15" i="14"/>
  <c r="AV15" i="14"/>
  <c r="AQ15" i="14"/>
  <c r="AL15" i="14"/>
  <c r="AF15" i="14"/>
  <c r="Z15" i="14"/>
  <c r="BP113" i="14"/>
  <c r="BO113" i="14"/>
  <c r="BN113" i="14"/>
  <c r="BM113" i="14"/>
  <c r="BL113" i="14"/>
  <c r="BK113" i="14"/>
  <c r="BJ113" i="14"/>
  <c r="BI113" i="14"/>
  <c r="BH113" i="14"/>
  <c r="BG113" i="14"/>
  <c r="BF113" i="14"/>
  <c r="BE113" i="14"/>
  <c r="BD113" i="14"/>
  <c r="BC113" i="14"/>
  <c r="BB113" i="14"/>
  <c r="BA113" i="14"/>
  <c r="AZ113" i="14"/>
  <c r="AY113" i="14"/>
  <c r="AX113" i="14"/>
  <c r="AW113" i="14"/>
  <c r="AV113" i="14"/>
  <c r="AQ113" i="14"/>
  <c r="AL113" i="14"/>
  <c r="AF113" i="14"/>
  <c r="Z113" i="14"/>
  <c r="BP54" i="14"/>
  <c r="BO54" i="14"/>
  <c r="BN54" i="14"/>
  <c r="BM54" i="14"/>
  <c r="BL54" i="14"/>
  <c r="BK54" i="14"/>
  <c r="BJ54" i="14"/>
  <c r="BI54" i="14"/>
  <c r="BH54" i="14"/>
  <c r="BG54" i="14"/>
  <c r="BF54" i="14"/>
  <c r="BE54" i="14"/>
  <c r="BD54" i="14"/>
  <c r="BC54" i="14"/>
  <c r="BB54" i="14"/>
  <c r="BA54" i="14"/>
  <c r="AZ54" i="14"/>
  <c r="AY54" i="14"/>
  <c r="AX54" i="14"/>
  <c r="AW54" i="14"/>
  <c r="AV54" i="14"/>
  <c r="AQ54" i="14"/>
  <c r="AL54" i="14"/>
  <c r="AF54" i="14"/>
  <c r="Z54" i="14"/>
  <c r="BP53" i="14"/>
  <c r="BO53" i="14"/>
  <c r="BN53" i="14"/>
  <c r="BM53" i="14"/>
  <c r="BL53" i="14"/>
  <c r="BK53" i="14"/>
  <c r="BJ53" i="14"/>
  <c r="BI53" i="14"/>
  <c r="BH53" i="14"/>
  <c r="BG53" i="14"/>
  <c r="BF53" i="14"/>
  <c r="BE53" i="14"/>
  <c r="BD53" i="14"/>
  <c r="BC53" i="14"/>
  <c r="BB53" i="14"/>
  <c r="BA53" i="14"/>
  <c r="AZ53" i="14"/>
  <c r="AY53" i="14"/>
  <c r="AX53" i="14"/>
  <c r="AW53" i="14"/>
  <c r="AV53" i="14"/>
  <c r="AQ53" i="14"/>
  <c r="AL53" i="14"/>
  <c r="AF53" i="14"/>
  <c r="Z53" i="14"/>
  <c r="BP90" i="14"/>
  <c r="BO90" i="14"/>
  <c r="BN90" i="14"/>
  <c r="BM90" i="14"/>
  <c r="BL90" i="14"/>
  <c r="BK90" i="14"/>
  <c r="BJ90" i="14"/>
  <c r="BI90" i="14"/>
  <c r="BH90" i="14"/>
  <c r="BG90" i="14"/>
  <c r="BF90" i="14"/>
  <c r="BE90" i="14"/>
  <c r="BD90" i="14"/>
  <c r="BC90" i="14"/>
  <c r="BB90" i="14"/>
  <c r="BA90" i="14"/>
  <c r="AZ90" i="14"/>
  <c r="AY90" i="14"/>
  <c r="AX90" i="14"/>
  <c r="AW90" i="14"/>
  <c r="AV90" i="14"/>
  <c r="AQ90" i="14"/>
  <c r="AL90" i="14"/>
  <c r="AF90" i="14"/>
  <c r="Z90" i="14"/>
  <c r="BP52" i="14"/>
  <c r="BO52" i="14"/>
  <c r="BN52" i="14"/>
  <c r="BM52" i="14"/>
  <c r="BL52" i="14"/>
  <c r="BK52" i="14"/>
  <c r="BJ52" i="14"/>
  <c r="BI52" i="14"/>
  <c r="BH52" i="14"/>
  <c r="BG52" i="14"/>
  <c r="BF52" i="14"/>
  <c r="BE52" i="14"/>
  <c r="BD52" i="14"/>
  <c r="BC52" i="14"/>
  <c r="BB52" i="14"/>
  <c r="BA52" i="14"/>
  <c r="AZ52" i="14"/>
  <c r="AY52" i="14"/>
  <c r="AX52" i="14"/>
  <c r="AW52" i="14"/>
  <c r="AV52" i="14"/>
  <c r="AQ52" i="14"/>
  <c r="AL52" i="14"/>
  <c r="AF52" i="14"/>
  <c r="Z52" i="14"/>
  <c r="BP51" i="14"/>
  <c r="BO51" i="14"/>
  <c r="BN51" i="14"/>
  <c r="BM51" i="14"/>
  <c r="BL51" i="14"/>
  <c r="BK51" i="14"/>
  <c r="BJ51" i="14"/>
  <c r="BI51" i="14"/>
  <c r="BH51" i="14"/>
  <c r="BG51" i="14"/>
  <c r="BF51" i="14"/>
  <c r="BE51" i="14"/>
  <c r="BD51" i="14"/>
  <c r="BC51" i="14"/>
  <c r="BB51" i="14"/>
  <c r="BA51" i="14"/>
  <c r="AZ51" i="14"/>
  <c r="AY51" i="14"/>
  <c r="AX51" i="14"/>
  <c r="AW51" i="14"/>
  <c r="AV51" i="14"/>
  <c r="AQ51" i="14"/>
  <c r="AL51" i="14"/>
  <c r="AF51" i="14"/>
  <c r="Z51" i="14"/>
  <c r="BP59" i="14"/>
  <c r="BO59" i="14"/>
  <c r="BN59" i="14"/>
  <c r="BM59" i="14"/>
  <c r="BL59" i="14"/>
  <c r="BK59" i="14"/>
  <c r="BJ59" i="14"/>
  <c r="BI59" i="14"/>
  <c r="BH59" i="14"/>
  <c r="BG59" i="14"/>
  <c r="BF59" i="14"/>
  <c r="BE59" i="14"/>
  <c r="BD59" i="14"/>
  <c r="BC59" i="14"/>
  <c r="BB59" i="14"/>
  <c r="BA59" i="14"/>
  <c r="AZ59" i="14"/>
  <c r="AY59" i="14"/>
  <c r="AX59" i="14"/>
  <c r="AW59" i="14"/>
  <c r="AV59" i="14"/>
  <c r="AQ59" i="14"/>
  <c r="AL59" i="14"/>
  <c r="AF59" i="14"/>
  <c r="Z59" i="14"/>
  <c r="BP40" i="14"/>
  <c r="BO40" i="14"/>
  <c r="BN40" i="14"/>
  <c r="BM40" i="14"/>
  <c r="BL40" i="14"/>
  <c r="BK40" i="14"/>
  <c r="BJ40" i="14"/>
  <c r="BI40" i="14"/>
  <c r="BH40" i="14"/>
  <c r="BG40" i="14"/>
  <c r="BF40" i="14"/>
  <c r="BE40" i="14"/>
  <c r="BD40" i="14"/>
  <c r="BC40" i="14"/>
  <c r="BB40" i="14"/>
  <c r="BA40" i="14"/>
  <c r="AZ40" i="14"/>
  <c r="AY40" i="14"/>
  <c r="AX40" i="14"/>
  <c r="AW40" i="14"/>
  <c r="AV40" i="14"/>
  <c r="AQ40" i="14"/>
  <c r="AL40" i="14"/>
  <c r="AF40" i="14"/>
  <c r="Z40" i="14"/>
  <c r="BP42" i="14"/>
  <c r="BO42" i="14"/>
  <c r="BN42" i="14"/>
  <c r="BM42" i="14"/>
  <c r="BL42" i="14"/>
  <c r="BK42" i="14"/>
  <c r="BJ42" i="14"/>
  <c r="BI42" i="14"/>
  <c r="BH42" i="14"/>
  <c r="BG42" i="14"/>
  <c r="BF42" i="14"/>
  <c r="BE42" i="14"/>
  <c r="BD42" i="14"/>
  <c r="BC42" i="14"/>
  <c r="BB42" i="14"/>
  <c r="BA42" i="14"/>
  <c r="AZ42" i="14"/>
  <c r="AY42" i="14"/>
  <c r="AX42" i="14"/>
  <c r="AW42" i="14"/>
  <c r="AV42" i="14"/>
  <c r="AQ42" i="14"/>
  <c r="AL42" i="14"/>
  <c r="AF42" i="14"/>
  <c r="Z42" i="14"/>
  <c r="BP5" i="14"/>
  <c r="BO5" i="14"/>
  <c r="BN5" i="14"/>
  <c r="BM5" i="14"/>
  <c r="BL5" i="14"/>
  <c r="BK5" i="14"/>
  <c r="BJ5" i="14"/>
  <c r="BI5" i="14"/>
  <c r="BH5" i="14"/>
  <c r="BG5" i="14"/>
  <c r="BF5" i="14"/>
  <c r="BE5" i="14"/>
  <c r="BD5" i="14"/>
  <c r="BC5" i="14"/>
  <c r="BB5" i="14"/>
  <c r="BA5" i="14"/>
  <c r="AZ5" i="14"/>
  <c r="AY5" i="14"/>
  <c r="AX5" i="14"/>
  <c r="AW5" i="14"/>
  <c r="AV5" i="14"/>
  <c r="AQ5" i="14"/>
  <c r="AL5" i="14"/>
  <c r="AF5" i="14"/>
  <c r="Z5" i="14"/>
  <c r="BP9" i="14"/>
  <c r="BO9" i="14"/>
  <c r="BN9" i="14"/>
  <c r="BM9" i="14"/>
  <c r="BL9" i="14"/>
  <c r="BK9" i="14"/>
  <c r="BJ9" i="14"/>
  <c r="BI9" i="14"/>
  <c r="BH9" i="14"/>
  <c r="BG9" i="14"/>
  <c r="BF9" i="14"/>
  <c r="BE9" i="14"/>
  <c r="BD9" i="14"/>
  <c r="BC9" i="14"/>
  <c r="BB9" i="14"/>
  <c r="BA9" i="14"/>
  <c r="AZ9" i="14"/>
  <c r="AY9" i="14"/>
  <c r="AX9" i="14"/>
  <c r="AW9" i="14"/>
  <c r="AV9" i="14"/>
  <c r="AQ9" i="14"/>
  <c r="AL9" i="14"/>
  <c r="AF9" i="14"/>
  <c r="Z9" i="14"/>
  <c r="BP41" i="14"/>
  <c r="BO41" i="14"/>
  <c r="BN41" i="14"/>
  <c r="BM41" i="14"/>
  <c r="BL41" i="14"/>
  <c r="BK41" i="14"/>
  <c r="BJ41" i="14"/>
  <c r="BI41" i="14"/>
  <c r="BH41" i="14"/>
  <c r="BG41" i="14"/>
  <c r="BF41" i="14"/>
  <c r="BE41" i="14"/>
  <c r="BD41" i="14"/>
  <c r="BC41" i="14"/>
  <c r="BB41" i="14"/>
  <c r="BA41" i="14"/>
  <c r="AZ41" i="14"/>
  <c r="AY41" i="14"/>
  <c r="AX41" i="14"/>
  <c r="AW41" i="14"/>
  <c r="AV41" i="14"/>
  <c r="AQ41" i="14"/>
  <c r="AL41" i="14"/>
  <c r="AF41" i="14"/>
  <c r="Z41" i="14"/>
  <c r="BP34" i="14"/>
  <c r="BO34" i="14"/>
  <c r="BN34" i="14"/>
  <c r="BM34" i="14"/>
  <c r="BL34" i="14"/>
  <c r="BK34" i="14"/>
  <c r="BJ34" i="14"/>
  <c r="BI34" i="14"/>
  <c r="BH34" i="14"/>
  <c r="BG34" i="14"/>
  <c r="BF34" i="14"/>
  <c r="BE34" i="14"/>
  <c r="BD34" i="14"/>
  <c r="BC34" i="14"/>
  <c r="BB34" i="14"/>
  <c r="BA34" i="14"/>
  <c r="AZ34" i="14"/>
  <c r="AY34" i="14"/>
  <c r="AX34" i="14"/>
  <c r="AW34" i="14"/>
  <c r="AV34" i="14"/>
  <c r="AQ34" i="14"/>
  <c r="AL34" i="14"/>
  <c r="AF34" i="14"/>
  <c r="Z34" i="14"/>
  <c r="BP44" i="14"/>
  <c r="BO44" i="14"/>
  <c r="BN44" i="14"/>
  <c r="BM44" i="14"/>
  <c r="BL44" i="14"/>
  <c r="BK44" i="14"/>
  <c r="BJ44" i="14"/>
  <c r="BI44" i="14"/>
  <c r="BH44" i="14"/>
  <c r="BG44" i="14"/>
  <c r="BF44" i="14"/>
  <c r="BE44" i="14"/>
  <c r="BD44" i="14"/>
  <c r="BC44" i="14"/>
  <c r="BB44" i="14"/>
  <c r="BA44" i="14"/>
  <c r="AZ44" i="14"/>
  <c r="AY44" i="14"/>
  <c r="AX44" i="14"/>
  <c r="AW44" i="14"/>
  <c r="AV44" i="14"/>
  <c r="AQ44" i="14"/>
  <c r="AL44" i="14"/>
  <c r="AF44" i="14"/>
  <c r="Z44" i="14"/>
  <c r="BP2" i="14"/>
  <c r="BO2" i="14"/>
  <c r="BN2" i="14"/>
  <c r="BM2" i="14"/>
  <c r="BL2" i="14"/>
  <c r="BK2" i="14"/>
  <c r="BJ2" i="14"/>
  <c r="BI2" i="14"/>
  <c r="BH2" i="14"/>
  <c r="BG2" i="14"/>
  <c r="BF2" i="14"/>
  <c r="BE2" i="14"/>
  <c r="BD2" i="14"/>
  <c r="BC2" i="14"/>
  <c r="BB2" i="14"/>
  <c r="BA2" i="14"/>
  <c r="AZ2" i="14"/>
  <c r="AY2" i="14"/>
  <c r="AX2" i="14"/>
  <c r="AW2" i="14"/>
  <c r="AV2" i="14"/>
  <c r="AQ2" i="14"/>
  <c r="AL2" i="14"/>
  <c r="AF2" i="14"/>
  <c r="Z2" i="14"/>
  <c r="BP91" i="14"/>
  <c r="BO91" i="14"/>
  <c r="BN91" i="14"/>
  <c r="BM91" i="14"/>
  <c r="BL91" i="14"/>
  <c r="BK91" i="14"/>
  <c r="BJ91" i="14"/>
  <c r="BI91" i="14"/>
  <c r="BH91" i="14"/>
  <c r="BG91" i="14"/>
  <c r="BF91" i="14"/>
  <c r="BE91" i="14"/>
  <c r="BD91" i="14"/>
  <c r="BC91" i="14"/>
  <c r="BB91" i="14"/>
  <c r="BA91" i="14"/>
  <c r="AZ91" i="14"/>
  <c r="AY91" i="14"/>
  <c r="AX91" i="14"/>
  <c r="AW91" i="14"/>
  <c r="AV91" i="14"/>
  <c r="AQ91" i="14"/>
  <c r="AL91" i="14"/>
  <c r="AF91" i="14"/>
  <c r="Z91" i="14"/>
  <c r="BP36" i="14"/>
  <c r="BO36" i="14"/>
  <c r="BN36" i="14"/>
  <c r="BM36" i="14"/>
  <c r="BL36" i="14"/>
  <c r="BK36" i="14"/>
  <c r="BJ36" i="14"/>
  <c r="BI36" i="14"/>
  <c r="BH36" i="14"/>
  <c r="BG36" i="14"/>
  <c r="BF36" i="14"/>
  <c r="BE36" i="14"/>
  <c r="BD36" i="14"/>
  <c r="BC36" i="14"/>
  <c r="BB36" i="14"/>
  <c r="BA36" i="14"/>
  <c r="AZ36" i="14"/>
  <c r="AY36" i="14"/>
  <c r="AX36" i="14"/>
  <c r="AW36" i="14"/>
  <c r="AV36" i="14"/>
  <c r="AQ36" i="14"/>
  <c r="AL36" i="14"/>
  <c r="AF36" i="14"/>
  <c r="BP23" i="14"/>
  <c r="BO23" i="14"/>
  <c r="BN23" i="14"/>
  <c r="BM23" i="14"/>
  <c r="BL23" i="14"/>
  <c r="BK23" i="14"/>
  <c r="BJ23" i="14"/>
  <c r="BI23" i="14"/>
  <c r="BH23" i="14"/>
  <c r="BG23" i="14"/>
  <c r="BF23" i="14"/>
  <c r="BE23" i="14"/>
  <c r="BD23" i="14"/>
  <c r="BC23" i="14"/>
  <c r="BB23" i="14"/>
  <c r="BA23" i="14"/>
  <c r="AZ23" i="14"/>
  <c r="AY23" i="14"/>
  <c r="AX23" i="14"/>
  <c r="AW23" i="14"/>
  <c r="AV23" i="14"/>
  <c r="AQ23" i="14"/>
  <c r="AL23" i="14"/>
  <c r="AF23" i="14"/>
  <c r="Z23" i="14"/>
  <c r="BP43" i="14"/>
  <c r="BO43" i="14"/>
  <c r="BN43" i="14"/>
  <c r="BM43" i="14"/>
  <c r="BL43" i="14"/>
  <c r="BK43" i="14"/>
  <c r="BJ43" i="14"/>
  <c r="BI43" i="14"/>
  <c r="BH43" i="14"/>
  <c r="BG43" i="14"/>
  <c r="BF43" i="14"/>
  <c r="BE43" i="14"/>
  <c r="BD43" i="14"/>
  <c r="BC43" i="14"/>
  <c r="BB43" i="14"/>
  <c r="BA43" i="14"/>
  <c r="AZ43" i="14"/>
  <c r="AY43" i="14"/>
  <c r="AX43" i="14"/>
  <c r="AW43" i="14"/>
  <c r="AV43" i="14"/>
  <c r="AQ43" i="14"/>
  <c r="AL43" i="14"/>
  <c r="AF43" i="14"/>
  <c r="Z43" i="14"/>
  <c r="BP66" i="14"/>
  <c r="BO66" i="14"/>
  <c r="BN66" i="14"/>
  <c r="BM66" i="14"/>
  <c r="BL66" i="14"/>
  <c r="BK66" i="14"/>
  <c r="BJ66" i="14"/>
  <c r="BI66" i="14"/>
  <c r="BH66" i="14"/>
  <c r="BG66" i="14"/>
  <c r="BF66" i="14"/>
  <c r="BE66" i="14"/>
  <c r="BD66" i="14"/>
  <c r="BC66" i="14"/>
  <c r="BB66" i="14"/>
  <c r="BA66" i="14"/>
  <c r="AZ66" i="14"/>
  <c r="AY66" i="14"/>
  <c r="AX66" i="14"/>
  <c r="AW66" i="14"/>
  <c r="AV66" i="14"/>
  <c r="AQ66" i="14"/>
  <c r="AL66" i="14"/>
  <c r="AF66" i="14"/>
  <c r="Z66" i="14"/>
  <c r="BP84" i="14"/>
  <c r="BO84" i="14"/>
  <c r="BN84" i="14"/>
  <c r="BM84" i="14"/>
  <c r="BL84" i="14"/>
  <c r="BK84" i="14"/>
  <c r="BJ84" i="14"/>
  <c r="BI84" i="14"/>
  <c r="BH84" i="14"/>
  <c r="BG84" i="14"/>
  <c r="BF84" i="14"/>
  <c r="BE84" i="14"/>
  <c r="BD84" i="14"/>
  <c r="BC84" i="14"/>
  <c r="BB84" i="14"/>
  <c r="BA84" i="14"/>
  <c r="AZ84" i="14"/>
  <c r="AY84" i="14"/>
  <c r="AX84" i="14"/>
  <c r="AW84" i="14"/>
  <c r="AV84" i="14"/>
  <c r="AQ84" i="14"/>
  <c r="AL84" i="14"/>
  <c r="AF84" i="14"/>
  <c r="Z84" i="14"/>
  <c r="BP50" i="14"/>
  <c r="BO50" i="14"/>
  <c r="BN50" i="14"/>
  <c r="BM50" i="14"/>
  <c r="BL50" i="14"/>
  <c r="BK50" i="14"/>
  <c r="BJ50" i="14"/>
  <c r="BI50" i="14"/>
  <c r="BH50" i="14"/>
  <c r="BG50" i="14"/>
  <c r="BF50" i="14"/>
  <c r="BE50" i="14"/>
  <c r="BD50" i="14"/>
  <c r="BC50" i="14"/>
  <c r="BB50" i="14"/>
  <c r="BA50" i="14"/>
  <c r="AZ50" i="14"/>
  <c r="AY50" i="14"/>
  <c r="AX50" i="14"/>
  <c r="AW50" i="14"/>
  <c r="AV50" i="14"/>
  <c r="AQ50" i="14"/>
  <c r="AL50" i="14"/>
  <c r="AF50" i="14"/>
  <c r="Z50" i="14"/>
  <c r="BP33" i="14"/>
  <c r="BO33" i="14"/>
  <c r="BN33" i="14"/>
  <c r="BM33" i="14"/>
  <c r="BL33" i="14"/>
  <c r="BK33" i="14"/>
  <c r="BJ33" i="14"/>
  <c r="BI33" i="14"/>
  <c r="BH33" i="14"/>
  <c r="BG33" i="14"/>
  <c r="BF33" i="14"/>
  <c r="BE33" i="14"/>
  <c r="BD33" i="14"/>
  <c r="BC33" i="14"/>
  <c r="BB33" i="14"/>
  <c r="BA33" i="14"/>
  <c r="AZ33" i="14"/>
  <c r="AY33" i="14"/>
  <c r="AX33" i="14"/>
  <c r="AW33" i="14"/>
  <c r="AV33" i="14"/>
  <c r="AQ33" i="14"/>
  <c r="AL33" i="14"/>
  <c r="AF33" i="14"/>
  <c r="Z33" i="14"/>
  <c r="BP110" i="14"/>
  <c r="BO110" i="14"/>
  <c r="BN110" i="14"/>
  <c r="BM110" i="14"/>
  <c r="BL110" i="14"/>
  <c r="BK110" i="14"/>
  <c r="BJ110" i="14"/>
  <c r="BI110" i="14"/>
  <c r="BH110" i="14"/>
  <c r="BG110" i="14"/>
  <c r="BF110" i="14"/>
  <c r="BE110" i="14"/>
  <c r="BD110" i="14"/>
  <c r="BC110" i="14"/>
  <c r="BB110" i="14"/>
  <c r="BA110" i="14"/>
  <c r="AZ110" i="14"/>
  <c r="AY110" i="14"/>
  <c r="AX110" i="14"/>
  <c r="AW110" i="14"/>
  <c r="AV110" i="14"/>
  <c r="AQ110" i="14"/>
  <c r="AL110" i="14"/>
  <c r="AF110" i="14"/>
  <c r="Z110" i="14"/>
  <c r="BP118" i="14"/>
  <c r="BO118" i="14"/>
  <c r="BN118" i="14"/>
  <c r="BM118" i="14"/>
  <c r="BL118" i="14"/>
  <c r="BK118" i="14"/>
  <c r="BJ118" i="14"/>
  <c r="BI118" i="14"/>
  <c r="BH118" i="14"/>
  <c r="BG118" i="14"/>
  <c r="BF118" i="14"/>
  <c r="BE118" i="14"/>
  <c r="BD118" i="14"/>
  <c r="BC118" i="14"/>
  <c r="BB118" i="14"/>
  <c r="BA118" i="14"/>
  <c r="AZ118" i="14"/>
  <c r="AY118" i="14"/>
  <c r="AX118" i="14"/>
  <c r="AW118" i="14"/>
  <c r="AV118" i="14"/>
  <c r="AQ118" i="14"/>
  <c r="AL118" i="14"/>
  <c r="AF118" i="14"/>
  <c r="Z118" i="14"/>
  <c r="BP67" i="14"/>
  <c r="BO67" i="14"/>
  <c r="BN67" i="14"/>
  <c r="BM67" i="14"/>
  <c r="BL67" i="14"/>
  <c r="BK67" i="14"/>
  <c r="BJ67" i="14"/>
  <c r="BI67" i="14"/>
  <c r="BH67" i="14"/>
  <c r="BG67" i="14"/>
  <c r="BF67" i="14"/>
  <c r="BE67" i="14"/>
  <c r="BD67" i="14"/>
  <c r="BC67" i="14"/>
  <c r="BB67" i="14"/>
  <c r="BA67" i="14"/>
  <c r="AZ67" i="14"/>
  <c r="AY67" i="14"/>
  <c r="AX67" i="14"/>
  <c r="AW67" i="14"/>
  <c r="AV67" i="14"/>
  <c r="AQ67" i="14"/>
  <c r="AL67" i="14"/>
  <c r="Z67" i="14"/>
  <c r="BP100" i="14"/>
  <c r="BO100" i="14"/>
  <c r="BN100" i="14"/>
  <c r="BM100" i="14"/>
  <c r="BL100" i="14"/>
  <c r="BK100" i="14"/>
  <c r="BJ100" i="14"/>
  <c r="BI100" i="14"/>
  <c r="BH100" i="14"/>
  <c r="BG100" i="14"/>
  <c r="BF100" i="14"/>
  <c r="BE100" i="14"/>
  <c r="BD100" i="14"/>
  <c r="BC100" i="14"/>
  <c r="BB100" i="14"/>
  <c r="BA100" i="14"/>
  <c r="AZ100" i="14"/>
  <c r="AY100" i="14"/>
  <c r="AX100" i="14"/>
  <c r="AW100" i="14"/>
  <c r="AV100" i="14"/>
  <c r="AQ100" i="14"/>
  <c r="AL100" i="14"/>
  <c r="AF100" i="14"/>
  <c r="Z100" i="14"/>
  <c r="BP49" i="14"/>
  <c r="BO49" i="14"/>
  <c r="BN49" i="14"/>
  <c r="BM49" i="14"/>
  <c r="BL49" i="14"/>
  <c r="BK49" i="14"/>
  <c r="BJ49" i="14"/>
  <c r="BI49" i="14"/>
  <c r="BH49" i="14"/>
  <c r="BG49" i="14"/>
  <c r="BF49" i="14"/>
  <c r="BE49" i="14"/>
  <c r="BD49" i="14"/>
  <c r="BC49" i="14"/>
  <c r="BB49" i="14"/>
  <c r="BA49" i="14"/>
  <c r="AZ49" i="14"/>
  <c r="AY49" i="14"/>
  <c r="AX49" i="14"/>
  <c r="AW49" i="14"/>
  <c r="AV49" i="14"/>
  <c r="AQ49" i="14"/>
  <c r="AL49" i="14"/>
  <c r="AF49" i="14"/>
  <c r="Z49" i="14"/>
  <c r="BP73" i="14"/>
  <c r="BO73" i="14"/>
  <c r="BN73" i="14"/>
  <c r="BM73" i="14"/>
  <c r="BL73" i="14"/>
  <c r="BK73" i="14"/>
  <c r="BJ73" i="14"/>
  <c r="BI73" i="14"/>
  <c r="BH73" i="14"/>
  <c r="BG73" i="14"/>
  <c r="BF73" i="14"/>
  <c r="BE73" i="14"/>
  <c r="BD73" i="14"/>
  <c r="BC73" i="14"/>
  <c r="BB73" i="14"/>
  <c r="BA73" i="14"/>
  <c r="AZ73" i="14"/>
  <c r="AY73" i="14"/>
  <c r="AX73" i="14"/>
  <c r="AW73" i="14"/>
  <c r="AV73" i="14"/>
  <c r="AQ73" i="14"/>
  <c r="AL73" i="14"/>
  <c r="AF73" i="14"/>
  <c r="Z73" i="14"/>
  <c r="BP83" i="14"/>
  <c r="BO83" i="14"/>
  <c r="BN83" i="14"/>
  <c r="BM83" i="14"/>
  <c r="BL83" i="14"/>
  <c r="BK83" i="14"/>
  <c r="BJ83" i="14"/>
  <c r="BI83" i="14"/>
  <c r="BH83" i="14"/>
  <c r="BG83" i="14"/>
  <c r="BF83" i="14"/>
  <c r="BE83" i="14"/>
  <c r="BD83" i="14"/>
  <c r="BC83" i="14"/>
  <c r="BB83" i="14"/>
  <c r="BA83" i="14"/>
  <c r="AZ83" i="14"/>
  <c r="AY83" i="14"/>
  <c r="AX83" i="14"/>
  <c r="AW83" i="14"/>
  <c r="AV83" i="14"/>
  <c r="AQ83" i="14"/>
  <c r="AL83" i="14"/>
  <c r="AF83" i="14"/>
  <c r="Z83" i="14"/>
  <c r="BP48" i="14"/>
  <c r="BO48" i="14"/>
  <c r="BN48" i="14"/>
  <c r="BM48" i="14"/>
  <c r="BL48" i="14"/>
  <c r="BK48" i="14"/>
  <c r="BJ48" i="14"/>
  <c r="BI48" i="14"/>
  <c r="BH48" i="14"/>
  <c r="BG48" i="14"/>
  <c r="BF48" i="14"/>
  <c r="BE48" i="14"/>
  <c r="BD48" i="14"/>
  <c r="BC48" i="14"/>
  <c r="BB48" i="14"/>
  <c r="BA48" i="14"/>
  <c r="AZ48" i="14"/>
  <c r="AY48" i="14"/>
  <c r="AX48" i="14"/>
  <c r="AW48" i="14"/>
  <c r="AV48" i="14"/>
  <c r="AQ48" i="14"/>
  <c r="AL48" i="14"/>
  <c r="AF48" i="14"/>
  <c r="Z48" i="14"/>
  <c r="BP112" i="14"/>
  <c r="BO112" i="14"/>
  <c r="BN112" i="14"/>
  <c r="BM112" i="14"/>
  <c r="BL112" i="14"/>
  <c r="BK112" i="14"/>
  <c r="BJ112" i="14"/>
  <c r="BI112" i="14"/>
  <c r="BH112" i="14"/>
  <c r="BG112" i="14"/>
  <c r="BF112" i="14"/>
  <c r="BE112" i="14"/>
  <c r="BD112" i="14"/>
  <c r="BC112" i="14"/>
  <c r="BB112" i="14"/>
  <c r="BA112" i="14"/>
  <c r="AZ112" i="14"/>
  <c r="AY112" i="14"/>
  <c r="AX112" i="14"/>
  <c r="AW112" i="14"/>
  <c r="AV112" i="14"/>
  <c r="AQ112" i="14"/>
  <c r="AL112" i="14"/>
  <c r="AF112" i="14"/>
  <c r="Z112" i="14"/>
  <c r="BP19" i="14"/>
  <c r="BO19" i="14"/>
  <c r="BN19" i="14"/>
  <c r="BM19" i="14"/>
  <c r="BL19" i="14"/>
  <c r="BK19" i="14"/>
  <c r="BJ19" i="14"/>
  <c r="BI19" i="14"/>
  <c r="BH19" i="14"/>
  <c r="BG19" i="14"/>
  <c r="BF19" i="14"/>
  <c r="BE19" i="14"/>
  <c r="BD19" i="14"/>
  <c r="BC19" i="14"/>
  <c r="BB19" i="14"/>
  <c r="BA19" i="14"/>
  <c r="AZ19" i="14"/>
  <c r="AY19" i="14"/>
  <c r="AX19" i="14"/>
  <c r="AW19" i="14"/>
  <c r="AV19" i="14"/>
  <c r="AQ19" i="14"/>
  <c r="AL19" i="14"/>
  <c r="AF19" i="14"/>
  <c r="Z19" i="14"/>
  <c r="BP71" i="14"/>
  <c r="BO71" i="14"/>
  <c r="BN71" i="14"/>
  <c r="BM71" i="14"/>
  <c r="BL71" i="14"/>
  <c r="BK71" i="14"/>
  <c r="BJ71" i="14"/>
  <c r="BI71" i="14"/>
  <c r="BH71" i="14"/>
  <c r="BG71" i="14"/>
  <c r="BF71" i="14"/>
  <c r="BE71" i="14"/>
  <c r="BD71" i="14"/>
  <c r="BC71" i="14"/>
  <c r="BB71" i="14"/>
  <c r="BA71" i="14"/>
  <c r="AZ71" i="14"/>
  <c r="AY71" i="14"/>
  <c r="AX71" i="14"/>
  <c r="AW71" i="14"/>
  <c r="AV71" i="14"/>
  <c r="AQ71" i="14"/>
  <c r="AL71" i="14"/>
  <c r="AF71" i="14"/>
  <c r="Z71" i="14"/>
  <c r="BP27" i="14"/>
  <c r="BO27" i="14"/>
  <c r="BN27" i="14"/>
  <c r="BM27" i="14"/>
  <c r="BL27" i="14"/>
  <c r="BK27" i="14"/>
  <c r="BJ27" i="14"/>
  <c r="BI27" i="14"/>
  <c r="BH27" i="14"/>
  <c r="BG27" i="14"/>
  <c r="BF27" i="14"/>
  <c r="BE27" i="14"/>
  <c r="BD27" i="14"/>
  <c r="BC27" i="14"/>
  <c r="BB27" i="14"/>
  <c r="BA27" i="14"/>
  <c r="AZ27" i="14"/>
  <c r="AY27" i="14"/>
  <c r="AX27" i="14"/>
  <c r="AW27" i="14"/>
  <c r="AV27" i="14"/>
  <c r="AQ27" i="14"/>
  <c r="AL27" i="14"/>
  <c r="AF27" i="14"/>
  <c r="Z27" i="14"/>
  <c r="BP8" i="14"/>
  <c r="BO8" i="14"/>
  <c r="BN8" i="14"/>
  <c r="BM8" i="14"/>
  <c r="BL8" i="14"/>
  <c r="BK8" i="14"/>
  <c r="BJ8" i="14"/>
  <c r="BI8" i="14"/>
  <c r="BH8" i="14"/>
  <c r="BG8" i="14"/>
  <c r="BF8" i="14"/>
  <c r="BE8" i="14"/>
  <c r="BD8" i="14"/>
  <c r="BC8" i="14"/>
  <c r="BB8" i="14"/>
  <c r="BA8" i="14"/>
  <c r="AZ8" i="14"/>
  <c r="AY8" i="14"/>
  <c r="AX8" i="14"/>
  <c r="AW8" i="14"/>
  <c r="AV8" i="14"/>
  <c r="AQ8" i="14"/>
  <c r="AL8" i="14"/>
  <c r="AF8" i="14"/>
  <c r="Z8" i="14"/>
  <c r="BP78" i="14"/>
  <c r="BO78" i="14"/>
  <c r="BN78" i="14"/>
  <c r="BM78" i="14"/>
  <c r="BL78" i="14"/>
  <c r="BK78" i="14"/>
  <c r="BJ78" i="14"/>
  <c r="BI78" i="14"/>
  <c r="BH78" i="14"/>
  <c r="BG78" i="14"/>
  <c r="BF78" i="14"/>
  <c r="BE78" i="14"/>
  <c r="BD78" i="14"/>
  <c r="BC78" i="14"/>
  <c r="BB78" i="14"/>
  <c r="BA78" i="14"/>
  <c r="AZ78" i="14"/>
  <c r="AY78" i="14"/>
  <c r="AX78" i="14"/>
  <c r="AW78" i="14"/>
  <c r="AV78" i="14"/>
  <c r="AQ78" i="14"/>
  <c r="AL78" i="14"/>
  <c r="Z78" i="14"/>
  <c r="BP96" i="14"/>
  <c r="BO96" i="14"/>
  <c r="BN96" i="14"/>
  <c r="BM96" i="14"/>
  <c r="BL96" i="14"/>
  <c r="BK96" i="14"/>
  <c r="BJ96" i="14"/>
  <c r="BI96" i="14"/>
  <c r="BH96" i="14"/>
  <c r="BG96" i="14"/>
  <c r="BF96" i="14"/>
  <c r="BE96" i="14"/>
  <c r="BD96" i="14"/>
  <c r="BC96" i="14"/>
  <c r="BB96" i="14"/>
  <c r="BA96" i="14"/>
  <c r="AZ96" i="14"/>
  <c r="AY96" i="14"/>
  <c r="AX96" i="14"/>
  <c r="AW96" i="14"/>
  <c r="AV96" i="14"/>
  <c r="AQ96" i="14"/>
  <c r="AL96" i="14"/>
  <c r="AF96" i="14"/>
  <c r="Z96" i="14"/>
  <c r="BP87" i="14"/>
  <c r="BO87" i="14"/>
  <c r="BN87" i="14"/>
  <c r="BM87" i="14"/>
  <c r="BL87" i="14"/>
  <c r="BK87" i="14"/>
  <c r="BJ87" i="14"/>
  <c r="BI87" i="14"/>
  <c r="BH87" i="14"/>
  <c r="BG87" i="14"/>
  <c r="BF87" i="14"/>
  <c r="BE87" i="14"/>
  <c r="BD87" i="14"/>
  <c r="BC87" i="14"/>
  <c r="BB87" i="14"/>
  <c r="BA87" i="14"/>
  <c r="AZ87" i="14"/>
  <c r="AY87" i="14"/>
  <c r="AX87" i="14"/>
  <c r="AW87" i="14"/>
  <c r="AV87" i="14"/>
  <c r="AQ87" i="14"/>
  <c r="AL87" i="14"/>
  <c r="AF87" i="14"/>
  <c r="Z87" i="14"/>
  <c r="BP35" i="14"/>
  <c r="BO35" i="14"/>
  <c r="BN35" i="14"/>
  <c r="BM35" i="14"/>
  <c r="BL35" i="14"/>
  <c r="BK35" i="14"/>
  <c r="BJ35" i="14"/>
  <c r="BI35" i="14"/>
  <c r="BH35" i="14"/>
  <c r="BG35" i="14"/>
  <c r="BF35" i="14"/>
  <c r="BE35" i="14"/>
  <c r="BD35" i="14"/>
  <c r="BC35" i="14"/>
  <c r="BB35" i="14"/>
  <c r="BA35" i="14"/>
  <c r="AZ35" i="14"/>
  <c r="AY35" i="14"/>
  <c r="AX35" i="14"/>
  <c r="AW35" i="14"/>
  <c r="AV35" i="14"/>
  <c r="AQ35" i="14"/>
  <c r="AL35" i="14"/>
  <c r="AF35" i="14"/>
  <c r="Z35" i="14"/>
  <c r="BP16" i="14"/>
  <c r="BO16" i="14"/>
  <c r="BN16" i="14"/>
  <c r="BM16" i="14"/>
  <c r="BL16" i="14"/>
  <c r="BK16" i="14"/>
  <c r="BJ16" i="14"/>
  <c r="BI16" i="14"/>
  <c r="BH16" i="14"/>
  <c r="BG16" i="14"/>
  <c r="BF16" i="14"/>
  <c r="BE16" i="14"/>
  <c r="BD16" i="14"/>
  <c r="BC16" i="14"/>
  <c r="BB16" i="14"/>
  <c r="BA16" i="14"/>
  <c r="AZ16" i="14"/>
  <c r="AY16" i="14"/>
  <c r="AX16" i="14"/>
  <c r="AW16" i="14"/>
  <c r="AV16" i="14"/>
  <c r="AQ16" i="14"/>
  <c r="AL16" i="14"/>
  <c r="AF16" i="14"/>
  <c r="Z16" i="14"/>
  <c r="BP10" i="14"/>
  <c r="BO10" i="14"/>
  <c r="BN10" i="14"/>
  <c r="BM10" i="14"/>
  <c r="BL10" i="14"/>
  <c r="BK10" i="14"/>
  <c r="BJ10" i="14"/>
  <c r="BI10" i="14"/>
  <c r="BH10" i="14"/>
  <c r="BG10" i="14"/>
  <c r="BF10" i="14"/>
  <c r="BE10" i="14"/>
  <c r="BD10" i="14"/>
  <c r="BC10" i="14"/>
  <c r="BB10" i="14"/>
  <c r="BA10" i="14"/>
  <c r="AZ10" i="14"/>
  <c r="AY10" i="14"/>
  <c r="AX10" i="14"/>
  <c r="AW10" i="14"/>
  <c r="AV10" i="14"/>
  <c r="AQ10" i="14"/>
  <c r="AL10" i="14"/>
  <c r="AF10" i="14"/>
  <c r="Z10" i="14"/>
  <c r="BP13" i="14"/>
  <c r="BO13" i="14"/>
  <c r="BN13" i="14"/>
  <c r="BM13" i="14"/>
  <c r="BL13" i="14"/>
  <c r="BK13" i="14"/>
  <c r="BJ13" i="14"/>
  <c r="BI13" i="14"/>
  <c r="BH13" i="14"/>
  <c r="BG13" i="14"/>
  <c r="BF13" i="14"/>
  <c r="BE13" i="14"/>
  <c r="BD13" i="14"/>
  <c r="BC13" i="14"/>
  <c r="BB13" i="14"/>
  <c r="BA13" i="14"/>
  <c r="AZ13" i="14"/>
  <c r="AY13" i="14"/>
  <c r="AX13" i="14"/>
  <c r="AW13" i="14"/>
  <c r="AV13" i="14"/>
  <c r="AQ13" i="14"/>
  <c r="AL13" i="14"/>
  <c r="AF13" i="14"/>
  <c r="Z13" i="14"/>
  <c r="BP85" i="14"/>
  <c r="BO85" i="14"/>
  <c r="BN85" i="14"/>
  <c r="BM85" i="14"/>
  <c r="BL85" i="14"/>
  <c r="BK85" i="14"/>
  <c r="BJ85" i="14"/>
  <c r="BI85" i="14"/>
  <c r="BH85" i="14"/>
  <c r="BG85" i="14"/>
  <c r="BF85" i="14"/>
  <c r="BE85" i="14"/>
  <c r="BD85" i="14"/>
  <c r="BC85" i="14"/>
  <c r="BB85" i="14"/>
  <c r="BA85" i="14"/>
  <c r="AZ85" i="14"/>
  <c r="AY85" i="14"/>
  <c r="AX85" i="14"/>
  <c r="AW85" i="14"/>
  <c r="AV85" i="14"/>
  <c r="AQ85" i="14"/>
  <c r="AL85" i="14"/>
  <c r="AF85" i="14"/>
  <c r="Z85" i="14"/>
  <c r="BP63" i="14"/>
  <c r="BO63" i="14"/>
  <c r="BN63" i="14"/>
  <c r="BM63" i="14"/>
  <c r="BL63" i="14"/>
  <c r="BK63" i="14"/>
  <c r="BJ63" i="14"/>
  <c r="BI63" i="14"/>
  <c r="BH63" i="14"/>
  <c r="BG63" i="14"/>
  <c r="BF63" i="14"/>
  <c r="BE63" i="14"/>
  <c r="BD63" i="14"/>
  <c r="BC63" i="14"/>
  <c r="BB63" i="14"/>
  <c r="BA63" i="14"/>
  <c r="AZ63" i="14"/>
  <c r="AY63" i="14"/>
  <c r="AX63" i="14"/>
  <c r="AW63" i="14"/>
  <c r="AV63" i="14"/>
  <c r="AQ63" i="14"/>
  <c r="AL63" i="14"/>
  <c r="AF63" i="14"/>
  <c r="BP62" i="14"/>
  <c r="BO62" i="14"/>
  <c r="BN62" i="14"/>
  <c r="BM62" i="14"/>
  <c r="BL62" i="14"/>
  <c r="BK62" i="14"/>
  <c r="BJ62" i="14"/>
  <c r="BI62" i="14"/>
  <c r="BH62" i="14"/>
  <c r="BG62" i="14"/>
  <c r="BF62" i="14"/>
  <c r="BE62" i="14"/>
  <c r="BD62" i="14"/>
  <c r="BC62" i="14"/>
  <c r="BB62" i="14"/>
  <c r="BA62" i="14"/>
  <c r="AZ62" i="14"/>
  <c r="AY62" i="14"/>
  <c r="AX62" i="14"/>
  <c r="AW62" i="14"/>
  <c r="AV62" i="14"/>
  <c r="AQ62" i="14"/>
  <c r="AL62" i="14"/>
  <c r="AF62" i="14"/>
  <c r="BP111" i="14"/>
  <c r="BO111" i="14"/>
  <c r="BN111" i="14"/>
  <c r="BM111" i="14"/>
  <c r="BL111" i="14"/>
  <c r="BK111" i="14"/>
  <c r="BJ111" i="14"/>
  <c r="BI111" i="14"/>
  <c r="BH111" i="14"/>
  <c r="BG111" i="14"/>
  <c r="BF111" i="14"/>
  <c r="BE111" i="14"/>
  <c r="BD111" i="14"/>
  <c r="BC111" i="14"/>
  <c r="BB111" i="14"/>
  <c r="BA111" i="14"/>
  <c r="AZ111" i="14"/>
  <c r="AY111" i="14"/>
  <c r="AX111" i="14"/>
  <c r="AW111" i="14"/>
  <c r="AV111" i="14"/>
  <c r="AQ111" i="14"/>
  <c r="AL111" i="14"/>
  <c r="AF111" i="14"/>
  <c r="Z111" i="14"/>
  <c r="BP95" i="14"/>
  <c r="BO95" i="14"/>
  <c r="BN95" i="14"/>
  <c r="BM95" i="14"/>
  <c r="BL95" i="14"/>
  <c r="BK95" i="14"/>
  <c r="BJ95" i="14"/>
  <c r="BI95" i="14"/>
  <c r="BH95" i="14"/>
  <c r="BG95" i="14"/>
  <c r="BF95" i="14"/>
  <c r="BE95" i="14"/>
  <c r="BD95" i="14"/>
  <c r="BC95" i="14"/>
  <c r="BB95" i="14"/>
  <c r="BA95" i="14"/>
  <c r="AZ95" i="14"/>
  <c r="AY95" i="14"/>
  <c r="AX95" i="14"/>
  <c r="AW95" i="14"/>
  <c r="AV95" i="14"/>
  <c r="AQ95" i="14"/>
  <c r="AF95" i="14"/>
  <c r="Z95" i="14"/>
  <c r="BP68" i="14"/>
  <c r="BO68" i="14"/>
  <c r="BN68" i="14"/>
  <c r="BM68" i="14"/>
  <c r="BL68" i="14"/>
  <c r="BK68" i="14"/>
  <c r="BJ68" i="14"/>
  <c r="BI68" i="14"/>
  <c r="BH68" i="14"/>
  <c r="BG68" i="14"/>
  <c r="BF68" i="14"/>
  <c r="BE68" i="14"/>
  <c r="BD68" i="14"/>
  <c r="BC68" i="14"/>
  <c r="BB68" i="14"/>
  <c r="BA68" i="14"/>
  <c r="AZ68" i="14"/>
  <c r="AY68" i="14"/>
  <c r="AX68" i="14"/>
  <c r="AW68" i="14"/>
  <c r="AV68" i="14"/>
  <c r="AQ68" i="14"/>
  <c r="AL68" i="14"/>
  <c r="AF68" i="14"/>
  <c r="Z68" i="14"/>
  <c r="BP93" i="14"/>
  <c r="BO93" i="14"/>
  <c r="BN93" i="14"/>
  <c r="BM93" i="14"/>
  <c r="BL93" i="14"/>
  <c r="BK93" i="14"/>
  <c r="BJ93" i="14"/>
  <c r="BI93" i="14"/>
  <c r="BH93" i="14"/>
  <c r="BG93" i="14"/>
  <c r="BF93" i="14"/>
  <c r="BE93" i="14"/>
  <c r="BD93" i="14"/>
  <c r="BC93" i="14"/>
  <c r="BB93" i="14"/>
  <c r="BA93" i="14"/>
  <c r="AZ93" i="14"/>
  <c r="AY93" i="14"/>
  <c r="AX93" i="14"/>
  <c r="AW93" i="14"/>
  <c r="AV93" i="14"/>
  <c r="AQ93" i="14"/>
  <c r="AL93" i="14"/>
  <c r="AF93" i="14"/>
  <c r="Z93" i="14"/>
  <c r="BP29" i="14"/>
  <c r="BO29" i="14"/>
  <c r="BN29" i="14"/>
  <c r="BM29" i="14"/>
  <c r="BL29" i="14"/>
  <c r="BK29" i="14"/>
  <c r="BJ29" i="14"/>
  <c r="BI29" i="14"/>
  <c r="BH29" i="14"/>
  <c r="BG29" i="14"/>
  <c r="BF29" i="14"/>
  <c r="BE29" i="14"/>
  <c r="BD29" i="14"/>
  <c r="BC29" i="14"/>
  <c r="BB29" i="14"/>
  <c r="BA29" i="14"/>
  <c r="AZ29" i="14"/>
  <c r="AY29" i="14"/>
  <c r="AX29" i="14"/>
  <c r="AW29" i="14"/>
  <c r="AV29" i="14"/>
  <c r="AQ29" i="14"/>
  <c r="AL29" i="14"/>
  <c r="AF29" i="14"/>
  <c r="Z29" i="14"/>
  <c r="BP94" i="14"/>
  <c r="BO94" i="14"/>
  <c r="BN94" i="14"/>
  <c r="BM94" i="14"/>
  <c r="BL94" i="14"/>
  <c r="BK94" i="14"/>
  <c r="BJ94" i="14"/>
  <c r="BI94" i="14"/>
  <c r="BH94" i="14"/>
  <c r="BG94" i="14"/>
  <c r="BF94" i="14"/>
  <c r="BE94" i="14"/>
  <c r="BD94" i="14"/>
  <c r="BC94" i="14"/>
  <c r="BB94" i="14"/>
  <c r="BA94" i="14"/>
  <c r="AZ94" i="14"/>
  <c r="AY94" i="14"/>
  <c r="AX94" i="14"/>
  <c r="AW94" i="14"/>
  <c r="AV94" i="14"/>
  <c r="AQ94" i="14"/>
  <c r="AF94" i="14"/>
  <c r="Z94" i="14"/>
  <c r="BP72" i="14"/>
  <c r="BO72" i="14"/>
  <c r="BN72" i="14"/>
  <c r="BM72" i="14"/>
  <c r="BL72" i="14"/>
  <c r="BK72" i="14"/>
  <c r="BJ72" i="14"/>
  <c r="BI72" i="14"/>
  <c r="BH72" i="14"/>
  <c r="BG72" i="14"/>
  <c r="BF72" i="14"/>
  <c r="BE72" i="14"/>
  <c r="BD72" i="14"/>
  <c r="BC72" i="14"/>
  <c r="BB72" i="14"/>
  <c r="BA72" i="14"/>
  <c r="AZ72" i="14"/>
  <c r="AY72" i="14"/>
  <c r="AX72" i="14"/>
  <c r="AW72" i="14"/>
  <c r="AV72" i="14"/>
  <c r="AQ72" i="14"/>
  <c r="AL72" i="14"/>
  <c r="AF72" i="14"/>
  <c r="Z72" i="14"/>
  <c r="BP88" i="14"/>
  <c r="BO88" i="14"/>
  <c r="BN88" i="14"/>
  <c r="BM88" i="14"/>
  <c r="BL88" i="14"/>
  <c r="BK88" i="14"/>
  <c r="BJ88" i="14"/>
  <c r="BI88" i="14"/>
  <c r="BH88" i="14"/>
  <c r="BG88" i="14"/>
  <c r="BF88" i="14"/>
  <c r="BE88" i="14"/>
  <c r="BD88" i="14"/>
  <c r="BC88" i="14"/>
  <c r="BB88" i="14"/>
  <c r="BA88" i="14"/>
  <c r="AZ88" i="14"/>
  <c r="AY88" i="14"/>
  <c r="AX88" i="14"/>
  <c r="AW88" i="14"/>
  <c r="AV88" i="14"/>
  <c r="AQ88" i="14"/>
  <c r="AL88" i="14"/>
  <c r="AF88" i="14"/>
  <c r="Z88" i="14"/>
  <c r="BP99" i="14"/>
  <c r="BO99" i="14"/>
  <c r="BN99" i="14"/>
  <c r="BM99" i="14"/>
  <c r="BL99" i="14"/>
  <c r="BK99" i="14"/>
  <c r="BJ99" i="14"/>
  <c r="BI99" i="14"/>
  <c r="BH99" i="14"/>
  <c r="BG99" i="14"/>
  <c r="BF99" i="14"/>
  <c r="BE99" i="14"/>
  <c r="BD99" i="14"/>
  <c r="BC99" i="14"/>
  <c r="BB99" i="14"/>
  <c r="BA99" i="14"/>
  <c r="AZ99" i="14"/>
  <c r="AY99" i="14"/>
  <c r="AX99" i="14"/>
  <c r="AW99" i="14"/>
  <c r="AV99" i="14"/>
  <c r="AQ99" i="14"/>
  <c r="AL99" i="14"/>
  <c r="AF99" i="14"/>
  <c r="Z99" i="14"/>
  <c r="AV93" i="8"/>
  <c r="AR119" i="8"/>
  <c r="AR2" i="10"/>
  <c r="AS3" i="10"/>
  <c r="AS4" i="10"/>
  <c r="AS5" i="10"/>
  <c r="AS6" i="10"/>
  <c r="AS7" i="10"/>
  <c r="AS8" i="10"/>
  <c r="AS9" i="10"/>
  <c r="AS10" i="10"/>
  <c r="AS11"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S52" i="10"/>
  <c r="AS53" i="10"/>
  <c r="AS54" i="10"/>
  <c r="AS55" i="10"/>
  <c r="AS56" i="10"/>
  <c r="AS57" i="10"/>
  <c r="AS58" i="10"/>
  <c r="AS59" i="10"/>
  <c r="AS60" i="10"/>
  <c r="AS61" i="10"/>
  <c r="AS62" i="10"/>
  <c r="AS63" i="10"/>
  <c r="AS64" i="10"/>
  <c r="AS65" i="10"/>
  <c r="AS66" i="10"/>
  <c r="AS67" i="10"/>
  <c r="AS68" i="10"/>
  <c r="AS69" i="10"/>
  <c r="AS70" i="10"/>
  <c r="AS71" i="10"/>
  <c r="AS72" i="10"/>
  <c r="AS73" i="10"/>
  <c r="AS74" i="10"/>
  <c r="AS75" i="10"/>
  <c r="AS76" i="10"/>
  <c r="AS77" i="10"/>
  <c r="AS78" i="10"/>
  <c r="AS79" i="10"/>
  <c r="AS80" i="10"/>
  <c r="AS81" i="10"/>
  <c r="AS82" i="10"/>
  <c r="AS83" i="10"/>
  <c r="AS84" i="10"/>
  <c r="AS85" i="10"/>
  <c r="AS86" i="10"/>
  <c r="AS87" i="10"/>
  <c r="AS88" i="10"/>
  <c r="AS89" i="10"/>
  <c r="AS90" i="10"/>
  <c r="AS91" i="10"/>
  <c r="AS92" i="10"/>
  <c r="AS93" i="10"/>
  <c r="AS94" i="10"/>
  <c r="AS95" i="10"/>
  <c r="AS96" i="10"/>
  <c r="AS97" i="10"/>
  <c r="AS98" i="10"/>
  <c r="AS99" i="10"/>
  <c r="AS100" i="10"/>
  <c r="AS101" i="10"/>
  <c r="AS102" i="10"/>
  <c r="AS103" i="10"/>
  <c r="AS104" i="10"/>
  <c r="AS105" i="10"/>
  <c r="AS106" i="10"/>
  <c r="AS107" i="10"/>
  <c r="AS108" i="10"/>
  <c r="AS109" i="10"/>
  <c r="AS110" i="10"/>
  <c r="AS111" i="10"/>
  <c r="AS112" i="10"/>
  <c r="AS113" i="10"/>
  <c r="AS114" i="10"/>
  <c r="AS115" i="10"/>
  <c r="AS116" i="10"/>
  <c r="AS117" i="10"/>
  <c r="AS118" i="10"/>
  <c r="AS119" i="10"/>
  <c r="AS120" i="10"/>
  <c r="AS121" i="10"/>
  <c r="AS122" i="10"/>
  <c r="AS123" i="10"/>
  <c r="AS124" i="10"/>
  <c r="AS125" i="10"/>
  <c r="AS126" i="10"/>
  <c r="AS127" i="10"/>
  <c r="AS128" i="10"/>
  <c r="AS129" i="10"/>
  <c r="AS130" i="10"/>
  <c r="AS131" i="10"/>
  <c r="AS132" i="10"/>
  <c r="AS133" i="10"/>
  <c r="AS134" i="10"/>
  <c r="AS135" i="10"/>
  <c r="AS136" i="10"/>
  <c r="AS137" i="10"/>
  <c r="AS138" i="10"/>
  <c r="AS139" i="10"/>
  <c r="AS140" i="10"/>
  <c r="AS141" i="10"/>
  <c r="AS142" i="10"/>
  <c r="AS143" i="10"/>
  <c r="AS144" i="10"/>
  <c r="AS145" i="10"/>
  <c r="AS146" i="10"/>
  <c r="AS147" i="10"/>
  <c r="AS148" i="10"/>
  <c r="AS149" i="10"/>
  <c r="AS150" i="10"/>
  <c r="AS151" i="10"/>
  <c r="AS152" i="10"/>
  <c r="AS2" i="10"/>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98" i="8"/>
  <c r="AU99" i="8"/>
  <c r="AU100" i="8"/>
  <c r="AU101" i="8"/>
  <c r="AU102" i="8"/>
  <c r="AU103" i="8"/>
  <c r="AU104" i="8"/>
  <c r="AU105" i="8"/>
  <c r="AU106" i="8"/>
  <c r="AU107" i="8"/>
  <c r="AU108" i="8"/>
  <c r="AU109" i="8"/>
  <c r="AU110" i="8"/>
  <c r="AU111" i="8"/>
  <c r="AU112" i="8"/>
  <c r="AU113" i="8"/>
  <c r="AU114" i="8"/>
  <c r="AU115" i="8"/>
  <c r="AU116" i="8"/>
  <c r="AU117" i="8"/>
  <c r="AU118" i="8"/>
  <c r="AT3" i="8"/>
  <c r="AT4" i="8"/>
  <c r="AT5" i="8"/>
  <c r="AT6" i="8"/>
  <c r="AT7" i="8"/>
  <c r="AT8" i="8"/>
  <c r="AT9" i="8"/>
  <c r="AT10" i="8"/>
  <c r="AT11" i="8"/>
  <c r="AT12" i="8"/>
  <c r="AT13" i="8"/>
  <c r="AT14" i="8"/>
  <c r="AT15" i="8"/>
  <c r="AT16" i="8"/>
  <c r="AT1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51" i="8"/>
  <c r="AT52" i="8"/>
  <c r="AT53" i="8"/>
  <c r="AT54" i="8"/>
  <c r="AT55" i="8"/>
  <c r="AT56" i="8"/>
  <c r="AT57" i="8"/>
  <c r="AT58" i="8"/>
  <c r="AT59" i="8"/>
  <c r="AT60" i="8"/>
  <c r="AT61" i="8"/>
  <c r="AT62" i="8"/>
  <c r="AT63" i="8"/>
  <c r="AT64" i="8"/>
  <c r="AT65" i="8"/>
  <c r="AT66" i="8"/>
  <c r="AT67" i="8"/>
  <c r="AT68" i="8"/>
  <c r="AT69" i="8"/>
  <c r="AT70" i="8"/>
  <c r="AT71" i="8"/>
  <c r="AT72" i="8"/>
  <c r="AT73" i="8"/>
  <c r="AT74" i="8"/>
  <c r="AT75" i="8"/>
  <c r="AT76" i="8"/>
  <c r="AT77" i="8"/>
  <c r="AT78" i="8"/>
  <c r="AT79" i="8"/>
  <c r="AT80" i="8"/>
  <c r="AT81" i="8"/>
  <c r="AT82" i="8"/>
  <c r="AT83" i="8"/>
  <c r="AT84" i="8"/>
  <c r="AT85" i="8"/>
  <c r="AT86" i="8"/>
  <c r="AT87" i="8"/>
  <c r="AT88" i="8"/>
  <c r="AT89" i="8"/>
  <c r="AT90" i="8"/>
  <c r="AT91" i="8"/>
  <c r="AT92" i="8"/>
  <c r="AT93" i="8"/>
  <c r="AT94" i="8"/>
  <c r="AT95" i="8"/>
  <c r="AT96" i="8"/>
  <c r="AT97" i="8"/>
  <c r="AT98" i="8"/>
  <c r="AT99" i="8"/>
  <c r="AT100" i="8"/>
  <c r="AT101" i="8"/>
  <c r="AT102" i="8"/>
  <c r="AT103" i="8"/>
  <c r="AT104" i="8"/>
  <c r="AT105" i="8"/>
  <c r="AT106" i="8"/>
  <c r="AT107" i="8"/>
  <c r="AT108" i="8"/>
  <c r="AT109" i="8"/>
  <c r="AT110" i="8"/>
  <c r="AT111" i="8"/>
  <c r="AT112" i="8"/>
  <c r="AT113" i="8"/>
  <c r="AT114" i="8"/>
  <c r="AT115" i="8"/>
  <c r="AT116" i="8"/>
  <c r="AT117" i="8"/>
  <c r="AT118" i="8"/>
  <c r="AT2" i="8"/>
  <c r="BI3" i="8"/>
  <c r="BI4" i="8"/>
  <c r="BI5" i="8"/>
  <c r="BI6" i="8"/>
  <c r="BI7" i="8"/>
  <c r="BI8" i="8"/>
  <c r="BI9" i="8"/>
  <c r="BI10" i="8"/>
  <c r="BI11" i="8"/>
  <c r="BI12" i="8"/>
  <c r="BI13" i="8"/>
  <c r="BI14" i="8"/>
  <c r="BI15" i="8"/>
  <c r="BI16" i="8"/>
  <c r="BI17" i="8"/>
  <c r="BI18" i="8"/>
  <c r="BI19" i="8"/>
  <c r="BI20" i="8"/>
  <c r="BI21" i="8"/>
  <c r="BI22" i="8"/>
  <c r="BI23" i="8"/>
  <c r="BI24" i="8"/>
  <c r="BI25" i="8"/>
  <c r="BI26" i="8"/>
  <c r="BI27" i="8"/>
  <c r="BI28" i="8"/>
  <c r="BI29" i="8"/>
  <c r="BI30" i="8"/>
  <c r="BI31" i="8"/>
  <c r="BI32" i="8"/>
  <c r="BI33" i="8"/>
  <c r="BI34" i="8"/>
  <c r="BI35" i="8"/>
  <c r="BI36" i="8"/>
  <c r="BI37" i="8"/>
  <c r="BI38" i="8"/>
  <c r="BI39" i="8"/>
  <c r="BI40" i="8"/>
  <c r="BI41" i="8"/>
  <c r="BI42" i="8"/>
  <c r="BI43" i="8"/>
  <c r="BI44" i="8"/>
  <c r="BI45" i="8"/>
  <c r="BI46" i="8"/>
  <c r="BI47" i="8"/>
  <c r="BI48" i="8"/>
  <c r="BI49" i="8"/>
  <c r="BI50" i="8"/>
  <c r="BI51" i="8"/>
  <c r="BI52" i="8"/>
  <c r="BI53" i="8"/>
  <c r="BI54" i="8"/>
  <c r="BI55" i="8"/>
  <c r="BI56" i="8"/>
  <c r="BI57" i="8"/>
  <c r="BI58" i="8"/>
  <c r="BI59" i="8"/>
  <c r="BI60" i="8"/>
  <c r="BI61" i="8"/>
  <c r="BI62" i="8"/>
  <c r="BI63" i="8"/>
  <c r="BI64" i="8"/>
  <c r="BI65" i="8"/>
  <c r="BI66" i="8"/>
  <c r="BI67" i="8"/>
  <c r="BI68" i="8"/>
  <c r="BI69" i="8"/>
  <c r="BI70" i="8"/>
  <c r="BI71" i="8"/>
  <c r="BI72" i="8"/>
  <c r="BI73" i="8"/>
  <c r="BI74" i="8"/>
  <c r="BI75" i="8"/>
  <c r="BI76" i="8"/>
  <c r="BI77" i="8"/>
  <c r="BI78" i="8"/>
  <c r="BI79" i="8"/>
  <c r="BI80" i="8"/>
  <c r="BI81" i="8"/>
  <c r="BI82" i="8"/>
  <c r="BI83" i="8"/>
  <c r="BI84" i="8"/>
  <c r="BI85" i="8"/>
  <c r="BI86" i="8"/>
  <c r="BI87" i="8"/>
  <c r="BI88" i="8"/>
  <c r="BI89" i="8"/>
  <c r="BI90" i="8"/>
  <c r="BI91" i="8"/>
  <c r="BI92" i="8"/>
  <c r="BI93" i="8"/>
  <c r="BI94" i="8"/>
  <c r="BI95" i="8"/>
  <c r="BI96" i="8"/>
  <c r="BI97" i="8"/>
  <c r="BI98" i="8"/>
  <c r="BI99" i="8"/>
  <c r="BI100" i="8"/>
  <c r="BI101" i="8"/>
  <c r="BI102" i="8"/>
  <c r="BI103" i="8"/>
  <c r="BI104" i="8"/>
  <c r="BI105" i="8"/>
  <c r="BI106" i="8"/>
  <c r="BI107" i="8"/>
  <c r="BI108" i="8"/>
  <c r="BI109" i="8"/>
  <c r="BI110" i="8"/>
  <c r="BI111" i="8"/>
  <c r="BI112" i="8"/>
  <c r="BI113" i="8"/>
  <c r="BI114" i="8"/>
  <c r="BI115" i="8"/>
  <c r="BI116" i="8"/>
  <c r="BI117" i="8"/>
  <c r="BI118" i="8"/>
  <c r="BI2" i="8"/>
  <c r="BQ101"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Q98" i="8"/>
  <c r="BQ99" i="8"/>
  <c r="BQ100" i="8"/>
  <c r="BQ102" i="8"/>
  <c r="BQ103" i="8"/>
  <c r="BQ104" i="8"/>
  <c r="BQ105" i="8"/>
  <c r="BQ106" i="8"/>
  <c r="BQ107" i="8"/>
  <c r="BQ108" i="8"/>
  <c r="BQ109" i="8"/>
  <c r="BQ110" i="8"/>
  <c r="BQ111" i="8"/>
  <c r="BQ112" i="8"/>
  <c r="BQ113" i="8"/>
  <c r="BQ114" i="8"/>
  <c r="BQ115" i="8"/>
  <c r="BQ116" i="8"/>
  <c r="BQ117" i="8"/>
  <c r="BQ118" i="8"/>
  <c r="BQ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98" i="8"/>
  <c r="BP99" i="8"/>
  <c r="BP100" i="8"/>
  <c r="BP101" i="8"/>
  <c r="BP102" i="8"/>
  <c r="BP103" i="8"/>
  <c r="BP104" i="8"/>
  <c r="BP105" i="8"/>
  <c r="BP106" i="8"/>
  <c r="BP107" i="8"/>
  <c r="BP108" i="8"/>
  <c r="BP109" i="8"/>
  <c r="BP110" i="8"/>
  <c r="BP111" i="8"/>
  <c r="BP112" i="8"/>
  <c r="BP113" i="8"/>
  <c r="BP114" i="8"/>
  <c r="BP115" i="8"/>
  <c r="BP116" i="8"/>
  <c r="BP117" i="8"/>
  <c r="BP118" i="8"/>
  <c r="BP2" i="8"/>
  <c r="BO3" i="8"/>
  <c r="BO4" i="8"/>
  <c r="BO5" i="8"/>
  <c r="BO6" i="8"/>
  <c r="BO7" i="8"/>
  <c r="BO8" i="8"/>
  <c r="BO9" i="8"/>
  <c r="BO10" i="8"/>
  <c r="BO11" i="8"/>
  <c r="BO12" i="8"/>
  <c r="BO13" i="8"/>
  <c r="BO14" i="8"/>
  <c r="BO15" i="8"/>
  <c r="BO16" i="8"/>
  <c r="BO17" i="8"/>
  <c r="BO18" i="8"/>
  <c r="BO19" i="8"/>
  <c r="BO20" i="8"/>
  <c r="BO21" i="8"/>
  <c r="BO22" i="8"/>
  <c r="BO23" i="8"/>
  <c r="BO24" i="8"/>
  <c r="BO25"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74" i="8"/>
  <c r="BO75" i="8"/>
  <c r="BO76" i="8"/>
  <c r="BO77" i="8"/>
  <c r="BO78" i="8"/>
  <c r="BO79" i="8"/>
  <c r="BO80" i="8"/>
  <c r="BO81" i="8"/>
  <c r="BO82" i="8"/>
  <c r="BO83" i="8"/>
  <c r="BO84" i="8"/>
  <c r="BO85" i="8"/>
  <c r="BO86" i="8"/>
  <c r="BO87" i="8"/>
  <c r="BO88" i="8"/>
  <c r="BO89" i="8"/>
  <c r="BO90" i="8"/>
  <c r="BO91" i="8"/>
  <c r="BO92" i="8"/>
  <c r="BO93" i="8"/>
  <c r="BO94" i="8"/>
  <c r="BO95" i="8"/>
  <c r="BO96" i="8"/>
  <c r="BO97" i="8"/>
  <c r="BO98" i="8"/>
  <c r="BO99" i="8"/>
  <c r="BO100" i="8"/>
  <c r="BO101" i="8"/>
  <c r="BO102" i="8"/>
  <c r="BO103" i="8"/>
  <c r="BO104" i="8"/>
  <c r="BO105" i="8"/>
  <c r="BO106" i="8"/>
  <c r="BO107" i="8"/>
  <c r="BO108" i="8"/>
  <c r="BO109" i="8"/>
  <c r="BO110" i="8"/>
  <c r="BO111" i="8"/>
  <c r="BO112" i="8"/>
  <c r="BO113" i="8"/>
  <c r="BO114" i="8"/>
  <c r="BO115" i="8"/>
  <c r="BO116" i="8"/>
  <c r="BO117" i="8"/>
  <c r="BO118" i="8"/>
  <c r="BO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98" i="8"/>
  <c r="BN99" i="8"/>
  <c r="BN100" i="8"/>
  <c r="BN101" i="8"/>
  <c r="BN102" i="8"/>
  <c r="BN103" i="8"/>
  <c r="BN104" i="8"/>
  <c r="BN105" i="8"/>
  <c r="BN106" i="8"/>
  <c r="BN107" i="8"/>
  <c r="BN108" i="8"/>
  <c r="BN109" i="8"/>
  <c r="BN110" i="8"/>
  <c r="BN111" i="8"/>
  <c r="BN112" i="8"/>
  <c r="BN113" i="8"/>
  <c r="BN114" i="8"/>
  <c r="BN115" i="8"/>
  <c r="BN116" i="8"/>
  <c r="BN117" i="8"/>
  <c r="BN118" i="8"/>
  <c r="BN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98" i="8"/>
  <c r="BM99" i="8"/>
  <c r="BM100" i="8"/>
  <c r="BM101" i="8"/>
  <c r="BM102" i="8"/>
  <c r="BM103" i="8"/>
  <c r="BM104" i="8"/>
  <c r="BM105" i="8"/>
  <c r="BM106" i="8"/>
  <c r="BM107" i="8"/>
  <c r="BM108" i="8"/>
  <c r="BM109" i="8"/>
  <c r="BM110" i="8"/>
  <c r="BM111" i="8"/>
  <c r="BM112" i="8"/>
  <c r="BM113" i="8"/>
  <c r="BM114" i="8"/>
  <c r="BM115" i="8"/>
  <c r="BM116" i="8"/>
  <c r="BM117" i="8"/>
  <c r="BM118" i="8"/>
  <c r="BM2" i="8"/>
  <c r="BL3" i="8"/>
  <c r="BL4" i="8"/>
  <c r="BL5" i="8"/>
  <c r="BL6" i="8"/>
  <c r="BL7" i="8"/>
  <c r="BL8" i="8"/>
  <c r="BL9" i="8"/>
  <c r="BL10" i="8"/>
  <c r="BL11" i="8"/>
  <c r="BL12" i="8"/>
  <c r="BL13" i="8"/>
  <c r="BL14" i="8"/>
  <c r="BL15" i="8"/>
  <c r="BL16" i="8"/>
  <c r="BL17" i="8"/>
  <c r="BL18" i="8"/>
  <c r="BL19" i="8"/>
  <c r="BL20" i="8"/>
  <c r="BL21" i="8"/>
  <c r="BL22" i="8"/>
  <c r="BL23" i="8"/>
  <c r="BL24" i="8"/>
  <c r="BL25" i="8"/>
  <c r="BL26" i="8"/>
  <c r="BL27" i="8"/>
  <c r="BL28" i="8"/>
  <c r="BL29" i="8"/>
  <c r="BL30" i="8"/>
  <c r="BL31" i="8"/>
  <c r="BL32" i="8"/>
  <c r="BL33" i="8"/>
  <c r="BL34" i="8"/>
  <c r="BL35" i="8"/>
  <c r="BL36" i="8"/>
  <c r="BL37" i="8"/>
  <c r="BL38" i="8"/>
  <c r="BL39" i="8"/>
  <c r="BL40" i="8"/>
  <c r="BL41" i="8"/>
  <c r="BL42" i="8"/>
  <c r="BL43" i="8"/>
  <c r="BL44" i="8"/>
  <c r="BL45" i="8"/>
  <c r="BL46" i="8"/>
  <c r="BL47" i="8"/>
  <c r="BL48" i="8"/>
  <c r="BL49" i="8"/>
  <c r="BL50" i="8"/>
  <c r="BL51" i="8"/>
  <c r="BL52" i="8"/>
  <c r="BL53" i="8"/>
  <c r="BL54" i="8"/>
  <c r="BL55" i="8"/>
  <c r="BL56" i="8"/>
  <c r="BL57" i="8"/>
  <c r="BL58" i="8"/>
  <c r="BL59" i="8"/>
  <c r="BL60" i="8"/>
  <c r="BL61" i="8"/>
  <c r="BL62" i="8"/>
  <c r="BL63" i="8"/>
  <c r="BL64" i="8"/>
  <c r="BL65" i="8"/>
  <c r="BL66" i="8"/>
  <c r="BL67" i="8"/>
  <c r="BL68" i="8"/>
  <c r="BL69" i="8"/>
  <c r="BL70" i="8"/>
  <c r="BL71" i="8"/>
  <c r="BL72" i="8"/>
  <c r="BL73" i="8"/>
  <c r="BL74" i="8"/>
  <c r="BL75" i="8"/>
  <c r="BL76" i="8"/>
  <c r="BL77" i="8"/>
  <c r="BL78" i="8"/>
  <c r="BL79" i="8"/>
  <c r="BL80" i="8"/>
  <c r="BL81" i="8"/>
  <c r="BL82" i="8"/>
  <c r="BL83" i="8"/>
  <c r="BL84" i="8"/>
  <c r="BL85" i="8"/>
  <c r="BL86" i="8"/>
  <c r="BL87" i="8"/>
  <c r="BL88" i="8"/>
  <c r="BL89" i="8"/>
  <c r="BL90" i="8"/>
  <c r="BL91" i="8"/>
  <c r="BL92" i="8"/>
  <c r="BL93" i="8"/>
  <c r="BL94" i="8"/>
  <c r="BL95" i="8"/>
  <c r="BL96" i="8"/>
  <c r="BL97" i="8"/>
  <c r="BL98" i="8"/>
  <c r="BL99" i="8"/>
  <c r="BL100" i="8"/>
  <c r="BL101" i="8"/>
  <c r="BL102" i="8"/>
  <c r="BL103" i="8"/>
  <c r="BL104" i="8"/>
  <c r="BL105" i="8"/>
  <c r="BL106" i="8"/>
  <c r="BL107" i="8"/>
  <c r="BL108" i="8"/>
  <c r="BL109" i="8"/>
  <c r="BL110" i="8"/>
  <c r="BL111" i="8"/>
  <c r="BL112" i="8"/>
  <c r="BL113" i="8"/>
  <c r="BL114" i="8"/>
  <c r="BL115" i="8"/>
  <c r="BL116" i="8"/>
  <c r="BL117" i="8"/>
  <c r="BL118" i="8"/>
  <c r="BL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98" i="8"/>
  <c r="BK99" i="8"/>
  <c r="BK100" i="8"/>
  <c r="BK101" i="8"/>
  <c r="BK102" i="8"/>
  <c r="BK103" i="8"/>
  <c r="BK104" i="8"/>
  <c r="BK105" i="8"/>
  <c r="BK106" i="8"/>
  <c r="BK107" i="8"/>
  <c r="BK108" i="8"/>
  <c r="BK109" i="8"/>
  <c r="BK110" i="8"/>
  <c r="BK111" i="8"/>
  <c r="BK112" i="8"/>
  <c r="BK113" i="8"/>
  <c r="BK114" i="8"/>
  <c r="BK115" i="8"/>
  <c r="BK116" i="8"/>
  <c r="BK117" i="8"/>
  <c r="BK118" i="8"/>
  <c r="BK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98" i="8"/>
  <c r="BJ99" i="8"/>
  <c r="BJ100" i="8"/>
  <c r="BJ101" i="8"/>
  <c r="BJ102" i="8"/>
  <c r="BJ103" i="8"/>
  <c r="BJ104" i="8"/>
  <c r="BJ105" i="8"/>
  <c r="BJ106" i="8"/>
  <c r="BJ107" i="8"/>
  <c r="BJ108" i="8"/>
  <c r="BJ109" i="8"/>
  <c r="BJ110" i="8"/>
  <c r="BJ111" i="8"/>
  <c r="BJ112" i="8"/>
  <c r="BJ113" i="8"/>
  <c r="BJ114" i="8"/>
  <c r="BJ115" i="8"/>
  <c r="BJ116" i="8"/>
  <c r="BJ117" i="8"/>
  <c r="BJ118" i="8"/>
  <c r="BJ2" i="8"/>
  <c r="BH3" i="8"/>
  <c r="BH4" i="8"/>
  <c r="BH5" i="8"/>
  <c r="BH6" i="8"/>
  <c r="BH7" i="8"/>
  <c r="BH8" i="8"/>
  <c r="BH9" i="8"/>
  <c r="BH10" i="8"/>
  <c r="BH11" i="8"/>
  <c r="BH12" i="8"/>
  <c r="BH13" i="8"/>
  <c r="BH14" i="8"/>
  <c r="BH15" i="8"/>
  <c r="BH16" i="8"/>
  <c r="BH17" i="8"/>
  <c r="BH18" i="8"/>
  <c r="BH19" i="8"/>
  <c r="BH20" i="8"/>
  <c r="BH21" i="8"/>
  <c r="BH22" i="8"/>
  <c r="BH23" i="8"/>
  <c r="BH24" i="8"/>
  <c r="BH25" i="8"/>
  <c r="BH26" i="8"/>
  <c r="BH27" i="8"/>
  <c r="BH28" i="8"/>
  <c r="BH29" i="8"/>
  <c r="BH30" i="8"/>
  <c r="BH31" i="8"/>
  <c r="BH32" i="8"/>
  <c r="BH33" i="8"/>
  <c r="BH34" i="8"/>
  <c r="BH35" i="8"/>
  <c r="BH36" i="8"/>
  <c r="BH37" i="8"/>
  <c r="BH38" i="8"/>
  <c r="BH39" i="8"/>
  <c r="BH40" i="8"/>
  <c r="BH41" i="8"/>
  <c r="BH42" i="8"/>
  <c r="BH43" i="8"/>
  <c r="BH44" i="8"/>
  <c r="BH45" i="8"/>
  <c r="BH46" i="8"/>
  <c r="BH47" i="8"/>
  <c r="BH48" i="8"/>
  <c r="BH49" i="8"/>
  <c r="BH50" i="8"/>
  <c r="BH51" i="8"/>
  <c r="BH52" i="8"/>
  <c r="BH53" i="8"/>
  <c r="BH54" i="8"/>
  <c r="BH55" i="8"/>
  <c r="BH56" i="8"/>
  <c r="BH57" i="8"/>
  <c r="BH58" i="8"/>
  <c r="BH59" i="8"/>
  <c r="BH60" i="8"/>
  <c r="BH61" i="8"/>
  <c r="BH62" i="8"/>
  <c r="BH63" i="8"/>
  <c r="BH64" i="8"/>
  <c r="BH65" i="8"/>
  <c r="BH66" i="8"/>
  <c r="BH67" i="8"/>
  <c r="BH68" i="8"/>
  <c r="BH69" i="8"/>
  <c r="BH70" i="8"/>
  <c r="BH71" i="8"/>
  <c r="BH72" i="8"/>
  <c r="BH73" i="8"/>
  <c r="BH74" i="8"/>
  <c r="BH75" i="8"/>
  <c r="BH76" i="8"/>
  <c r="BH77" i="8"/>
  <c r="BH78" i="8"/>
  <c r="BH79" i="8"/>
  <c r="BH80" i="8"/>
  <c r="BH81" i="8"/>
  <c r="BH82" i="8"/>
  <c r="BH83" i="8"/>
  <c r="BH84" i="8"/>
  <c r="BH85" i="8"/>
  <c r="BH86" i="8"/>
  <c r="BH87" i="8"/>
  <c r="BH88" i="8"/>
  <c r="BH89" i="8"/>
  <c r="BH90" i="8"/>
  <c r="BH91" i="8"/>
  <c r="BH92" i="8"/>
  <c r="BH93" i="8"/>
  <c r="BH94" i="8"/>
  <c r="BH95" i="8"/>
  <c r="BH96" i="8"/>
  <c r="BH97" i="8"/>
  <c r="BH98" i="8"/>
  <c r="BH99" i="8"/>
  <c r="BH100" i="8"/>
  <c r="BH101" i="8"/>
  <c r="BH102" i="8"/>
  <c r="BH103" i="8"/>
  <c r="BH104" i="8"/>
  <c r="BH105" i="8"/>
  <c r="BH106" i="8"/>
  <c r="BH107" i="8"/>
  <c r="BH108" i="8"/>
  <c r="BH109" i="8"/>
  <c r="BH110" i="8"/>
  <c r="BH111" i="8"/>
  <c r="BH112" i="8"/>
  <c r="BH113" i="8"/>
  <c r="BH114" i="8"/>
  <c r="BH115" i="8"/>
  <c r="BH116" i="8"/>
  <c r="BH117" i="8"/>
  <c r="BH118" i="8"/>
  <c r="BH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98" i="8"/>
  <c r="BG99" i="8"/>
  <c r="BG100" i="8"/>
  <c r="BG101" i="8"/>
  <c r="BG102" i="8"/>
  <c r="BG103" i="8"/>
  <c r="BG104" i="8"/>
  <c r="BG105" i="8"/>
  <c r="BG106" i="8"/>
  <c r="BG107" i="8"/>
  <c r="BG108" i="8"/>
  <c r="BG109" i="8"/>
  <c r="BG110" i="8"/>
  <c r="BG111" i="8"/>
  <c r="BG112" i="8"/>
  <c r="BG113" i="8"/>
  <c r="BG114" i="8"/>
  <c r="BG115" i="8"/>
  <c r="BG116" i="8"/>
  <c r="BG117" i="8"/>
  <c r="BG118" i="8"/>
  <c r="BG2"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BF98" i="8"/>
  <c r="BF99" i="8"/>
  <c r="BF100" i="8"/>
  <c r="BF101" i="8"/>
  <c r="BF102" i="8"/>
  <c r="BF103" i="8"/>
  <c r="BF104" i="8"/>
  <c r="BF105" i="8"/>
  <c r="BF106" i="8"/>
  <c r="BF107" i="8"/>
  <c r="BF108" i="8"/>
  <c r="BF109" i="8"/>
  <c r="BF110" i="8"/>
  <c r="BF111" i="8"/>
  <c r="BF112" i="8"/>
  <c r="BF113" i="8"/>
  <c r="BF114" i="8"/>
  <c r="BF115" i="8"/>
  <c r="BF116" i="8"/>
  <c r="BF117" i="8"/>
  <c r="BF118" i="8"/>
  <c r="BF2" i="8"/>
  <c r="BE3" i="8"/>
  <c r="BE4" i="8"/>
  <c r="BE5" i="8"/>
  <c r="BE6" i="8"/>
  <c r="BE7" i="8"/>
  <c r="BE8" i="8"/>
  <c r="BE9" i="8"/>
  <c r="BE10" i="8"/>
  <c r="BE11" i="8"/>
  <c r="BE12" i="8"/>
  <c r="BE13" i="8"/>
  <c r="BE14" i="8"/>
  <c r="BE15" i="8"/>
  <c r="BE16" i="8"/>
  <c r="BE17" i="8"/>
  <c r="BE18" i="8"/>
  <c r="BE19" i="8"/>
  <c r="BE20" i="8"/>
  <c r="BE21" i="8"/>
  <c r="BE22" i="8"/>
  <c r="BE23" i="8"/>
  <c r="BE24" i="8"/>
  <c r="BE25" i="8"/>
  <c r="BE26" i="8"/>
  <c r="BE27" i="8"/>
  <c r="BE28" i="8"/>
  <c r="BE29" i="8"/>
  <c r="BE30" i="8"/>
  <c r="BE31" i="8"/>
  <c r="BE32" i="8"/>
  <c r="BE33" i="8"/>
  <c r="BE34" i="8"/>
  <c r="BE35" i="8"/>
  <c r="BE36" i="8"/>
  <c r="BE37" i="8"/>
  <c r="BE38" i="8"/>
  <c r="BE39" i="8"/>
  <c r="BE40" i="8"/>
  <c r="BE41" i="8"/>
  <c r="BE42" i="8"/>
  <c r="BE43" i="8"/>
  <c r="BE44" i="8"/>
  <c r="BE45" i="8"/>
  <c r="BE46" i="8"/>
  <c r="BE47" i="8"/>
  <c r="BE48" i="8"/>
  <c r="BE49" i="8"/>
  <c r="BE50" i="8"/>
  <c r="BE51" i="8"/>
  <c r="BE52" i="8"/>
  <c r="BE53" i="8"/>
  <c r="BE54" i="8"/>
  <c r="BE55" i="8"/>
  <c r="BE56" i="8"/>
  <c r="BE57" i="8"/>
  <c r="BE58" i="8"/>
  <c r="BE59" i="8"/>
  <c r="BE60" i="8"/>
  <c r="BE61" i="8"/>
  <c r="BE62" i="8"/>
  <c r="BE63" i="8"/>
  <c r="BE64" i="8"/>
  <c r="BE65" i="8"/>
  <c r="BE66" i="8"/>
  <c r="BE67" i="8"/>
  <c r="BE68" i="8"/>
  <c r="BE69" i="8"/>
  <c r="BE70" i="8"/>
  <c r="BE71" i="8"/>
  <c r="BE72" i="8"/>
  <c r="BE73" i="8"/>
  <c r="BE74" i="8"/>
  <c r="BE75" i="8"/>
  <c r="BE76" i="8"/>
  <c r="BE77" i="8"/>
  <c r="BE78" i="8"/>
  <c r="BE79" i="8"/>
  <c r="BE80" i="8"/>
  <c r="BE81" i="8"/>
  <c r="BE82" i="8"/>
  <c r="BE83" i="8"/>
  <c r="BE84" i="8"/>
  <c r="BE85" i="8"/>
  <c r="BE86" i="8"/>
  <c r="BE87" i="8"/>
  <c r="BE88" i="8"/>
  <c r="BE89" i="8"/>
  <c r="BE90" i="8"/>
  <c r="BE91" i="8"/>
  <c r="BE92" i="8"/>
  <c r="BE93" i="8"/>
  <c r="BE94" i="8"/>
  <c r="BE95" i="8"/>
  <c r="BE96" i="8"/>
  <c r="BE97" i="8"/>
  <c r="BE98" i="8"/>
  <c r="BE99" i="8"/>
  <c r="BE100" i="8"/>
  <c r="BE101" i="8"/>
  <c r="BE102" i="8"/>
  <c r="BE103" i="8"/>
  <c r="BE104" i="8"/>
  <c r="BE105" i="8"/>
  <c r="BE106" i="8"/>
  <c r="BE107" i="8"/>
  <c r="BE108" i="8"/>
  <c r="BE109" i="8"/>
  <c r="BE110" i="8"/>
  <c r="BE111" i="8"/>
  <c r="BE112" i="8"/>
  <c r="BE113" i="8"/>
  <c r="BE114" i="8"/>
  <c r="BE115" i="8"/>
  <c r="BE116" i="8"/>
  <c r="BE117" i="8"/>
  <c r="BE118" i="8"/>
  <c r="BE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98" i="8"/>
  <c r="BD99" i="8"/>
  <c r="BD100" i="8"/>
  <c r="BD101" i="8"/>
  <c r="BD102" i="8"/>
  <c r="BD103" i="8"/>
  <c r="BD104" i="8"/>
  <c r="BD105" i="8"/>
  <c r="BD106" i="8"/>
  <c r="BD107" i="8"/>
  <c r="BD108" i="8"/>
  <c r="BD109" i="8"/>
  <c r="BD110" i="8"/>
  <c r="BD111" i="8"/>
  <c r="BD112" i="8"/>
  <c r="BD113" i="8"/>
  <c r="BD114" i="8"/>
  <c r="BD115" i="8"/>
  <c r="BD116" i="8"/>
  <c r="BD117" i="8"/>
  <c r="BD118" i="8"/>
  <c r="BD2"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BC98" i="8"/>
  <c r="BC99" i="8"/>
  <c r="BC100" i="8"/>
  <c r="BC101" i="8"/>
  <c r="BC102" i="8"/>
  <c r="BC103" i="8"/>
  <c r="BC104" i="8"/>
  <c r="BC105" i="8"/>
  <c r="BC106" i="8"/>
  <c r="BC107" i="8"/>
  <c r="BC108" i="8"/>
  <c r="BC109" i="8"/>
  <c r="BC110" i="8"/>
  <c r="BC111" i="8"/>
  <c r="BC112" i="8"/>
  <c r="BC113" i="8"/>
  <c r="BC114" i="8"/>
  <c r="BC115" i="8"/>
  <c r="BC116" i="8"/>
  <c r="BC117" i="8"/>
  <c r="BC118" i="8"/>
  <c r="BC2" i="8"/>
  <c r="BB3" i="8"/>
  <c r="BB4" i="8"/>
  <c r="BB5" i="8"/>
  <c r="BB6" i="8"/>
  <c r="BB7" i="8"/>
  <c r="BB8" i="8"/>
  <c r="BB9" i="8"/>
  <c r="BB10" i="8"/>
  <c r="BB11" i="8"/>
  <c r="BB12" i="8"/>
  <c r="BB13" i="8"/>
  <c r="BB14" i="8"/>
  <c r="BB15" i="8"/>
  <c r="BB16" i="8"/>
  <c r="BB1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51" i="8"/>
  <c r="BB52" i="8"/>
  <c r="BB53" i="8"/>
  <c r="BB54" i="8"/>
  <c r="BB55" i="8"/>
  <c r="BB56" i="8"/>
  <c r="BB57" i="8"/>
  <c r="BB58" i="8"/>
  <c r="BB59" i="8"/>
  <c r="BB60" i="8"/>
  <c r="BB61" i="8"/>
  <c r="BB62" i="8"/>
  <c r="BB63" i="8"/>
  <c r="BB64" i="8"/>
  <c r="BB65" i="8"/>
  <c r="BB66" i="8"/>
  <c r="BB67" i="8"/>
  <c r="BB68" i="8"/>
  <c r="BB69" i="8"/>
  <c r="BB70" i="8"/>
  <c r="BB71" i="8"/>
  <c r="BB72" i="8"/>
  <c r="BB73" i="8"/>
  <c r="BB74" i="8"/>
  <c r="BB75" i="8"/>
  <c r="BB76" i="8"/>
  <c r="BB77" i="8"/>
  <c r="BB78" i="8"/>
  <c r="BB79" i="8"/>
  <c r="BB80" i="8"/>
  <c r="BB81" i="8"/>
  <c r="BB82" i="8"/>
  <c r="BB83" i="8"/>
  <c r="BB84" i="8"/>
  <c r="BB85" i="8"/>
  <c r="BB86" i="8"/>
  <c r="BB87" i="8"/>
  <c r="BB88" i="8"/>
  <c r="BB89" i="8"/>
  <c r="BB90" i="8"/>
  <c r="BB91" i="8"/>
  <c r="BB92" i="8"/>
  <c r="BB93" i="8"/>
  <c r="BB94" i="8"/>
  <c r="BB95" i="8"/>
  <c r="BB96" i="8"/>
  <c r="BB97" i="8"/>
  <c r="BB98" i="8"/>
  <c r="BB99" i="8"/>
  <c r="BB100" i="8"/>
  <c r="BB101" i="8"/>
  <c r="BB102" i="8"/>
  <c r="BB103" i="8"/>
  <c r="BB104" i="8"/>
  <c r="BB105" i="8"/>
  <c r="BB106" i="8"/>
  <c r="BB107" i="8"/>
  <c r="BB108" i="8"/>
  <c r="BB109" i="8"/>
  <c r="BB110" i="8"/>
  <c r="BB111" i="8"/>
  <c r="BB112" i="8"/>
  <c r="BB113" i="8"/>
  <c r="BB114" i="8"/>
  <c r="BB115" i="8"/>
  <c r="BB116" i="8"/>
  <c r="BB117" i="8"/>
  <c r="BB118" i="8"/>
  <c r="BB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98" i="8"/>
  <c r="BA99" i="8"/>
  <c r="BA100" i="8"/>
  <c r="BA101" i="8"/>
  <c r="BA102" i="8"/>
  <c r="BA103" i="8"/>
  <c r="BA104" i="8"/>
  <c r="BA105" i="8"/>
  <c r="BA106" i="8"/>
  <c r="BA107" i="8"/>
  <c r="BA108" i="8"/>
  <c r="BA109" i="8"/>
  <c r="BA110" i="8"/>
  <c r="BA111" i="8"/>
  <c r="BA112" i="8"/>
  <c r="BA113" i="8"/>
  <c r="BA114" i="8"/>
  <c r="BA115" i="8"/>
  <c r="BA116" i="8"/>
  <c r="BA117" i="8"/>
  <c r="BA118" i="8"/>
  <c r="BA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98" i="8"/>
  <c r="AZ99" i="8"/>
  <c r="AZ100" i="8"/>
  <c r="AZ101" i="8"/>
  <c r="AZ102" i="8"/>
  <c r="AZ103" i="8"/>
  <c r="AZ104" i="8"/>
  <c r="AZ105" i="8"/>
  <c r="AZ106" i="8"/>
  <c r="AZ107" i="8"/>
  <c r="AZ108" i="8"/>
  <c r="AZ109" i="8"/>
  <c r="AZ110" i="8"/>
  <c r="AZ111" i="8"/>
  <c r="AZ112" i="8"/>
  <c r="AZ113" i="8"/>
  <c r="AZ114" i="8"/>
  <c r="AZ115" i="8"/>
  <c r="AZ116" i="8"/>
  <c r="AZ117" i="8"/>
  <c r="AZ118" i="8"/>
  <c r="AZ2"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Y98" i="8"/>
  <c r="AY99" i="8"/>
  <c r="AY100" i="8"/>
  <c r="AY101" i="8"/>
  <c r="AY102" i="8"/>
  <c r="AY103" i="8"/>
  <c r="AY104" i="8"/>
  <c r="AY105" i="8"/>
  <c r="AY106" i="8"/>
  <c r="AY107" i="8"/>
  <c r="AY108" i="8"/>
  <c r="AY109" i="8"/>
  <c r="AY110" i="8"/>
  <c r="AY111" i="8"/>
  <c r="AY112" i="8"/>
  <c r="AY113" i="8"/>
  <c r="AY114" i="8"/>
  <c r="AY115" i="8"/>
  <c r="AY116" i="8"/>
  <c r="AY117" i="8"/>
  <c r="AY118" i="8"/>
  <c r="AY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98" i="8"/>
  <c r="AX99" i="8"/>
  <c r="AX100" i="8"/>
  <c r="AX101" i="8"/>
  <c r="AX102" i="8"/>
  <c r="AX103" i="8"/>
  <c r="AX104" i="8"/>
  <c r="AX105" i="8"/>
  <c r="AX106" i="8"/>
  <c r="AX107" i="8"/>
  <c r="AX108" i="8"/>
  <c r="AX109" i="8"/>
  <c r="AX110" i="8"/>
  <c r="AX111" i="8"/>
  <c r="AX112" i="8"/>
  <c r="AX113" i="8"/>
  <c r="AX114" i="8"/>
  <c r="AX115" i="8"/>
  <c r="AX116" i="8"/>
  <c r="AX117" i="8"/>
  <c r="AX118" i="8"/>
  <c r="AX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98" i="8"/>
  <c r="AW99" i="8"/>
  <c r="AW100" i="8"/>
  <c r="AW101" i="8"/>
  <c r="AW102" i="8"/>
  <c r="AW103" i="8"/>
  <c r="AW104" i="8"/>
  <c r="AW105" i="8"/>
  <c r="AW106" i="8"/>
  <c r="AW107" i="8"/>
  <c r="AW108" i="8"/>
  <c r="AW109" i="8"/>
  <c r="AW110" i="8"/>
  <c r="AW111" i="8"/>
  <c r="AW112" i="8"/>
  <c r="AW113" i="8"/>
  <c r="AW114" i="8"/>
  <c r="AW115" i="8"/>
  <c r="AW116" i="8"/>
  <c r="AW117" i="8"/>
  <c r="AW118" i="8"/>
  <c r="AW2"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4" i="8"/>
  <c r="AV95" i="8"/>
  <c r="AV96" i="8"/>
  <c r="AV97" i="8"/>
  <c r="AV98" i="8"/>
  <c r="AV99" i="8"/>
  <c r="AV100" i="8"/>
  <c r="AV101" i="8"/>
  <c r="AV102" i="8"/>
  <c r="AV103" i="8"/>
  <c r="AV104" i="8"/>
  <c r="AV105" i="8"/>
  <c r="AV106" i="8"/>
  <c r="AV107" i="8"/>
  <c r="AV108" i="8"/>
  <c r="AV109" i="8"/>
  <c r="AV110" i="8"/>
  <c r="AV111" i="8"/>
  <c r="AV112" i="8"/>
  <c r="AV113" i="8"/>
  <c r="AV114" i="8"/>
  <c r="AV115" i="8"/>
  <c r="AV116" i="8"/>
  <c r="AV117" i="8"/>
  <c r="AV118" i="8"/>
  <c r="AV2" i="8"/>
  <c r="AS29" i="8"/>
  <c r="AU2" i="8"/>
  <c r="AS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98" i="8"/>
  <c r="AS99" i="8"/>
  <c r="AS100" i="8"/>
  <c r="AS101" i="8"/>
  <c r="AS102" i="8"/>
  <c r="AS103" i="8"/>
  <c r="AS104" i="8"/>
  <c r="AS105" i="8"/>
  <c r="AS106" i="8"/>
  <c r="AS107" i="8"/>
  <c r="AS108" i="8"/>
  <c r="AS109" i="8"/>
  <c r="AS110" i="8"/>
  <c r="AS111" i="8"/>
  <c r="AS112" i="8"/>
  <c r="AS113" i="8"/>
  <c r="AS114" i="8"/>
  <c r="AS115" i="8"/>
  <c r="AS116" i="8"/>
  <c r="AS117" i="8"/>
  <c r="AS118" i="8"/>
  <c r="AW44" i="10"/>
  <c r="AW45" i="10"/>
  <c r="AW46" i="10"/>
  <c r="AW47" i="10"/>
  <c r="AW48" i="10"/>
  <c r="AW49" i="10"/>
  <c r="AW50" i="10"/>
  <c r="AW51" i="10"/>
  <c r="AW52" i="10"/>
  <c r="AW53" i="10"/>
  <c r="AW54" i="10"/>
  <c r="AW55" i="10"/>
  <c r="AW56" i="10"/>
  <c r="AW57" i="10"/>
  <c r="AW58" i="10"/>
  <c r="AW59" i="10"/>
  <c r="AW60" i="10"/>
  <c r="AW61" i="10"/>
  <c r="AW62" i="10"/>
  <c r="AW63" i="10"/>
  <c r="AW64" i="10"/>
  <c r="AW65" i="10"/>
  <c r="AW66" i="10"/>
  <c r="AW67" i="10"/>
  <c r="AW68" i="10"/>
  <c r="AW69" i="10"/>
  <c r="AW70" i="10"/>
  <c r="AW71" i="10"/>
  <c r="AW72" i="10"/>
  <c r="AW73" i="10"/>
  <c r="AW74" i="10"/>
  <c r="AW75" i="10"/>
  <c r="AW76" i="10"/>
  <c r="AW77" i="10"/>
  <c r="AW78" i="10"/>
  <c r="AW79" i="10"/>
  <c r="AW80" i="10"/>
  <c r="AW81" i="10"/>
  <c r="AW82" i="10"/>
  <c r="AW83" i="10"/>
  <c r="AW84" i="10"/>
  <c r="AW85" i="10"/>
  <c r="AW86" i="10"/>
  <c r="AW87" i="10"/>
  <c r="AW88" i="10"/>
  <c r="AW89" i="10"/>
  <c r="AW90" i="10"/>
  <c r="AW91" i="10"/>
  <c r="AW92" i="10"/>
  <c r="AW93" i="10"/>
  <c r="AW94" i="10"/>
  <c r="AW95" i="10"/>
  <c r="AW96" i="10"/>
  <c r="AW97" i="10"/>
  <c r="AW98" i="10"/>
  <c r="AW99" i="10"/>
  <c r="AW100" i="10"/>
  <c r="AW101" i="10"/>
  <c r="AW102" i="10"/>
  <c r="AW103" i="10"/>
  <c r="AW104" i="10"/>
  <c r="AW105" i="10"/>
  <c r="AW106" i="10"/>
  <c r="AW107" i="10"/>
  <c r="AW108" i="10"/>
  <c r="AW109" i="10"/>
  <c r="AW110" i="10"/>
  <c r="AW111" i="10"/>
  <c r="AW112" i="10"/>
  <c r="AW113" i="10"/>
  <c r="AW114" i="10"/>
  <c r="AW115" i="10"/>
  <c r="AW116" i="10"/>
  <c r="AW117" i="10"/>
  <c r="AW118" i="10"/>
  <c r="AW119" i="10"/>
  <c r="AW120" i="10"/>
  <c r="AW121" i="10"/>
  <c r="AW122" i="10"/>
  <c r="AW123" i="10"/>
  <c r="AW124" i="10"/>
  <c r="AW125" i="10"/>
  <c r="AW126" i="10"/>
  <c r="AW127" i="10"/>
  <c r="AW128" i="10"/>
  <c r="AW129" i="10"/>
  <c r="AW130" i="10"/>
  <c r="AW131" i="10"/>
  <c r="AW132" i="10"/>
  <c r="AW133" i="10"/>
  <c r="AW134" i="10"/>
  <c r="AW135" i="10"/>
  <c r="AW136" i="10"/>
  <c r="AW137" i="10"/>
  <c r="AW138" i="10"/>
  <c r="AW139" i="10"/>
  <c r="AW140" i="10"/>
  <c r="AW141" i="10"/>
  <c r="AW142" i="10"/>
  <c r="AW143" i="10"/>
  <c r="AW144" i="10"/>
  <c r="AW145" i="10"/>
  <c r="AW146" i="10"/>
  <c r="AW147" i="10"/>
  <c r="AW148" i="10"/>
  <c r="AW149" i="10"/>
  <c r="AW150" i="10"/>
  <c r="AW151" i="10"/>
  <c r="AW152" i="10"/>
  <c r="AW43" i="10"/>
  <c r="AW3" i="10"/>
  <c r="AW4" i="10"/>
  <c r="AW5" i="10"/>
  <c r="AW6" i="10"/>
  <c r="AW7" i="10"/>
  <c r="AW8" i="10"/>
  <c r="AW9" i="10"/>
  <c r="AW10" i="10"/>
  <c r="AW11"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2" i="10"/>
  <c r="AV44" i="10"/>
  <c r="AV45" i="10"/>
  <c r="AV46" i="10"/>
  <c r="AV47" i="10"/>
  <c r="AV48" i="10"/>
  <c r="AV49" i="10"/>
  <c r="AV50" i="10"/>
  <c r="AV51" i="10"/>
  <c r="AV52" i="10"/>
  <c r="AV53" i="10"/>
  <c r="AV54" i="10"/>
  <c r="AV55" i="10"/>
  <c r="AV56" i="10"/>
  <c r="AV57" i="10"/>
  <c r="AV58" i="10"/>
  <c r="AV59" i="10"/>
  <c r="AV60" i="10"/>
  <c r="AV61" i="10"/>
  <c r="AV62" i="10"/>
  <c r="AV63" i="10"/>
  <c r="AV64" i="10"/>
  <c r="AV65" i="10"/>
  <c r="AV66" i="10"/>
  <c r="AV67" i="10"/>
  <c r="AV68" i="10"/>
  <c r="AV69" i="10"/>
  <c r="AV70" i="10"/>
  <c r="AV71" i="10"/>
  <c r="AV72" i="10"/>
  <c r="AV73" i="10"/>
  <c r="AV74" i="10"/>
  <c r="AV75" i="10"/>
  <c r="AV76" i="10"/>
  <c r="AV77" i="10"/>
  <c r="AV78" i="10"/>
  <c r="AV79" i="10"/>
  <c r="AV80" i="10"/>
  <c r="AV81" i="10"/>
  <c r="AV82" i="10"/>
  <c r="AV83" i="10"/>
  <c r="AV84" i="10"/>
  <c r="AV85" i="10"/>
  <c r="AV86" i="10"/>
  <c r="AV87" i="10"/>
  <c r="AV88" i="10"/>
  <c r="AV89" i="10"/>
  <c r="AV90" i="10"/>
  <c r="AV91" i="10"/>
  <c r="AV92" i="10"/>
  <c r="AV93" i="10"/>
  <c r="AV94" i="10"/>
  <c r="AV95" i="10"/>
  <c r="AV96" i="10"/>
  <c r="AV97" i="10"/>
  <c r="AV98" i="10"/>
  <c r="AV99" i="10"/>
  <c r="AV100" i="10"/>
  <c r="AV101" i="10"/>
  <c r="AV102" i="10"/>
  <c r="AV103" i="10"/>
  <c r="AV104" i="10"/>
  <c r="AV105" i="10"/>
  <c r="AV106" i="10"/>
  <c r="AV107" i="10"/>
  <c r="AV108" i="10"/>
  <c r="AV109" i="10"/>
  <c r="AV110" i="10"/>
  <c r="AV111" i="10"/>
  <c r="AV112" i="10"/>
  <c r="AV113" i="10"/>
  <c r="AV114" i="10"/>
  <c r="AV115" i="10"/>
  <c r="AV116" i="10"/>
  <c r="AV117" i="10"/>
  <c r="AV118" i="10"/>
  <c r="AV119" i="10"/>
  <c r="AV120" i="10"/>
  <c r="AV121" i="10"/>
  <c r="AV122" i="10"/>
  <c r="AV123" i="10"/>
  <c r="AV124" i="10"/>
  <c r="AV125" i="10"/>
  <c r="AV126" i="10"/>
  <c r="AV127" i="10"/>
  <c r="AV128" i="10"/>
  <c r="AV129" i="10"/>
  <c r="AV130" i="10"/>
  <c r="AV131" i="10"/>
  <c r="AV132" i="10"/>
  <c r="AV133" i="10"/>
  <c r="AV134" i="10"/>
  <c r="AV135" i="10"/>
  <c r="AV136" i="10"/>
  <c r="AV137" i="10"/>
  <c r="AV138" i="10"/>
  <c r="AV139" i="10"/>
  <c r="AV140" i="10"/>
  <c r="AV141" i="10"/>
  <c r="AV142" i="10"/>
  <c r="AV143" i="10"/>
  <c r="AV144" i="10"/>
  <c r="AV145" i="10"/>
  <c r="AV146" i="10"/>
  <c r="AV147" i="10"/>
  <c r="AV148" i="10"/>
  <c r="AV149" i="10"/>
  <c r="AV150" i="10"/>
  <c r="AV151" i="10"/>
  <c r="AV152" i="10"/>
  <c r="AV43" i="10"/>
  <c r="AV3" i="10"/>
  <c r="AV4" i="10"/>
  <c r="AV5" i="10"/>
  <c r="AV6" i="10"/>
  <c r="AV7" i="10"/>
  <c r="AV8" i="10"/>
  <c r="AV9" i="10"/>
  <c r="AV10" i="10"/>
  <c r="AV11" i="10"/>
  <c r="AV12" i="10"/>
  <c r="AV13" i="10"/>
  <c r="AV14" i="10"/>
  <c r="AV15" i="10"/>
  <c r="AV16" i="10"/>
  <c r="AV17" i="10"/>
  <c r="AV18" i="10"/>
  <c r="AV19" i="10"/>
  <c r="AV20" i="10"/>
  <c r="AV21" i="10"/>
  <c r="AV22" i="10"/>
  <c r="AV23" i="10"/>
  <c r="AV24" i="10"/>
  <c r="AV25" i="10"/>
  <c r="AV26" i="10"/>
  <c r="AV27" i="10"/>
  <c r="AV28" i="10"/>
  <c r="AV29" i="10"/>
  <c r="AV30" i="10"/>
  <c r="AV31" i="10"/>
  <c r="AV32" i="10"/>
  <c r="AV33" i="10"/>
  <c r="AV34" i="10"/>
  <c r="AV35" i="10"/>
  <c r="AV36" i="10"/>
  <c r="AV37" i="10"/>
  <c r="AV38" i="10"/>
  <c r="AV39" i="10"/>
  <c r="AV40" i="10"/>
  <c r="AV41" i="10"/>
  <c r="AV42" i="10"/>
  <c r="AV2" i="10"/>
  <c r="AU44" i="10"/>
  <c r="AU45" i="10"/>
  <c r="AU46" i="10"/>
  <c r="AU47" i="10"/>
  <c r="AU48" i="10"/>
  <c r="AU49" i="10"/>
  <c r="AU50" i="10"/>
  <c r="AU51" i="10"/>
  <c r="AU52" i="10"/>
  <c r="AU53" i="10"/>
  <c r="AU54" i="10"/>
  <c r="AU55" i="10"/>
  <c r="AU56" i="10"/>
  <c r="AU57" i="10"/>
  <c r="AU58" i="10"/>
  <c r="AU59" i="10"/>
  <c r="AU60" i="10"/>
  <c r="AU61" i="10"/>
  <c r="AU62" i="10"/>
  <c r="AU63" i="10"/>
  <c r="AU64" i="10"/>
  <c r="AU65" i="10"/>
  <c r="AU66" i="10"/>
  <c r="AU67" i="10"/>
  <c r="AU68" i="10"/>
  <c r="AU69" i="10"/>
  <c r="AU70" i="10"/>
  <c r="AU71" i="10"/>
  <c r="AU72" i="10"/>
  <c r="AU73" i="10"/>
  <c r="AU74" i="10"/>
  <c r="AU75" i="10"/>
  <c r="AU76" i="10"/>
  <c r="AU77" i="10"/>
  <c r="AU78" i="10"/>
  <c r="AU79" i="10"/>
  <c r="AU80" i="10"/>
  <c r="AU81" i="10"/>
  <c r="AU82" i="10"/>
  <c r="AU83" i="10"/>
  <c r="AU84" i="10"/>
  <c r="AU85" i="10"/>
  <c r="AU86" i="10"/>
  <c r="AU87" i="10"/>
  <c r="AU88" i="10"/>
  <c r="AU89" i="10"/>
  <c r="AU90" i="10"/>
  <c r="AU91" i="10"/>
  <c r="AU92" i="10"/>
  <c r="AU93" i="10"/>
  <c r="AU94" i="10"/>
  <c r="AU95" i="10"/>
  <c r="AU96" i="10"/>
  <c r="AU97" i="10"/>
  <c r="AU98" i="10"/>
  <c r="AU99" i="10"/>
  <c r="AU100" i="10"/>
  <c r="AU101" i="10"/>
  <c r="AU102" i="10"/>
  <c r="AU103" i="10"/>
  <c r="AU104" i="10"/>
  <c r="AU105" i="10"/>
  <c r="AU106" i="10"/>
  <c r="AU107" i="10"/>
  <c r="AU108" i="10"/>
  <c r="AU109" i="10"/>
  <c r="AU110" i="10"/>
  <c r="AU111" i="10"/>
  <c r="AU112" i="10"/>
  <c r="AU113" i="10"/>
  <c r="AU114" i="10"/>
  <c r="AU115" i="10"/>
  <c r="AU116" i="10"/>
  <c r="AU117" i="10"/>
  <c r="AU118" i="10"/>
  <c r="AU119" i="10"/>
  <c r="AU120" i="10"/>
  <c r="AU121" i="10"/>
  <c r="AU122" i="10"/>
  <c r="AU123" i="10"/>
  <c r="AU124" i="10"/>
  <c r="AU125" i="10"/>
  <c r="AU126" i="10"/>
  <c r="AU127" i="10"/>
  <c r="AU128" i="10"/>
  <c r="AU129" i="10"/>
  <c r="AU130" i="10"/>
  <c r="AU131" i="10"/>
  <c r="AU132" i="10"/>
  <c r="AU133" i="10"/>
  <c r="AU134" i="10"/>
  <c r="AU135" i="10"/>
  <c r="AU136" i="10"/>
  <c r="AU137" i="10"/>
  <c r="AU138" i="10"/>
  <c r="AU139" i="10"/>
  <c r="AU140" i="10"/>
  <c r="AU141" i="10"/>
  <c r="AU142" i="10"/>
  <c r="AU143" i="10"/>
  <c r="AU144" i="10"/>
  <c r="AU145" i="10"/>
  <c r="AU146" i="10"/>
  <c r="AU147" i="10"/>
  <c r="AU148" i="10"/>
  <c r="AU149" i="10"/>
  <c r="AU150" i="10"/>
  <c r="AU151" i="10"/>
  <c r="AU152" i="10"/>
  <c r="AU43" i="10"/>
  <c r="AU3" i="10"/>
  <c r="AU4" i="10"/>
  <c r="AU5" i="10"/>
  <c r="AU6" i="10"/>
  <c r="AU7" i="10"/>
  <c r="AU8" i="10"/>
  <c r="AU9" i="10"/>
  <c r="AU10" i="10"/>
  <c r="AU11" i="10"/>
  <c r="AU12" i="10"/>
  <c r="AU13" i="10"/>
  <c r="AU14" i="10"/>
  <c r="AU15" i="10"/>
  <c r="AU16" i="10"/>
  <c r="AU17" i="10"/>
  <c r="AU18" i="10"/>
  <c r="AU19" i="10"/>
  <c r="AU20" i="10"/>
  <c r="AU21" i="10"/>
  <c r="AU22" i="10"/>
  <c r="AU23" i="10"/>
  <c r="AU24" i="10"/>
  <c r="AU25" i="10"/>
  <c r="AU26" i="10"/>
  <c r="AU27" i="10"/>
  <c r="AU28" i="10"/>
  <c r="AU29" i="10"/>
  <c r="AU30" i="10"/>
  <c r="AU31" i="10"/>
  <c r="AU32" i="10"/>
  <c r="AU33" i="10"/>
  <c r="AU34" i="10"/>
  <c r="AU35" i="10"/>
  <c r="AU36" i="10"/>
  <c r="AU37" i="10"/>
  <c r="AU38" i="10"/>
  <c r="AU39" i="10"/>
  <c r="AU40" i="10"/>
  <c r="AU41" i="10"/>
  <c r="AU42" i="10"/>
  <c r="AU2" i="10"/>
  <c r="AT43" i="10"/>
  <c r="AT44" i="10"/>
  <c r="AT45" i="10"/>
  <c r="AT46" i="10"/>
  <c r="AT47" i="10"/>
  <c r="AT48" i="10"/>
  <c r="AT49" i="10"/>
  <c r="AT50" i="10"/>
  <c r="AT51" i="10"/>
  <c r="AT52" i="10"/>
  <c r="AT53" i="10"/>
  <c r="AT54" i="10"/>
  <c r="AT55" i="10"/>
  <c r="AT56" i="10"/>
  <c r="AT57" i="10"/>
  <c r="AT58" i="10"/>
  <c r="AT59" i="10"/>
  <c r="AT60" i="10"/>
  <c r="AT61" i="10"/>
  <c r="AT62" i="10"/>
  <c r="AT63" i="10"/>
  <c r="AT64" i="10"/>
  <c r="AT65" i="10"/>
  <c r="AT66" i="10"/>
  <c r="AT67" i="10"/>
  <c r="AT68" i="10"/>
  <c r="AT69" i="10"/>
  <c r="AT70" i="10"/>
  <c r="AT71" i="10"/>
  <c r="AT72" i="10"/>
  <c r="AT73" i="10"/>
  <c r="AT74" i="10"/>
  <c r="AT75" i="10"/>
  <c r="AT76" i="10"/>
  <c r="AT77" i="10"/>
  <c r="AT78" i="10"/>
  <c r="AT79" i="10"/>
  <c r="AT80" i="10"/>
  <c r="AT81" i="10"/>
  <c r="AT82" i="10"/>
  <c r="AT83" i="10"/>
  <c r="AT84" i="10"/>
  <c r="AT85" i="10"/>
  <c r="AT86" i="10"/>
  <c r="AT87" i="10"/>
  <c r="AT88" i="10"/>
  <c r="AT89" i="10"/>
  <c r="AT90" i="10"/>
  <c r="AT91" i="10"/>
  <c r="AT92" i="10"/>
  <c r="AT93" i="10"/>
  <c r="AT94" i="10"/>
  <c r="AT95" i="10"/>
  <c r="AT96" i="10"/>
  <c r="AT97" i="10"/>
  <c r="AT98" i="10"/>
  <c r="AT99" i="10"/>
  <c r="AT100" i="10"/>
  <c r="AT101" i="10"/>
  <c r="AT102" i="10"/>
  <c r="AT103" i="10"/>
  <c r="AT104" i="10"/>
  <c r="AT105" i="10"/>
  <c r="AT106" i="10"/>
  <c r="AT107" i="10"/>
  <c r="AT108" i="10"/>
  <c r="AT109" i="10"/>
  <c r="AT110" i="10"/>
  <c r="AT111" i="10"/>
  <c r="AT112" i="10"/>
  <c r="AT113" i="10"/>
  <c r="AT114" i="10"/>
  <c r="AT115" i="10"/>
  <c r="AT116" i="10"/>
  <c r="AT117" i="10"/>
  <c r="AT118" i="10"/>
  <c r="AT119" i="10"/>
  <c r="AT120" i="10"/>
  <c r="AT121" i="10"/>
  <c r="AT122" i="10"/>
  <c r="AT123" i="10"/>
  <c r="AT124" i="10"/>
  <c r="AT125" i="10"/>
  <c r="AT126" i="10"/>
  <c r="AT127" i="10"/>
  <c r="AT128" i="10"/>
  <c r="AT129" i="10"/>
  <c r="AT130" i="10"/>
  <c r="AT131" i="10"/>
  <c r="AT132" i="10"/>
  <c r="AT133" i="10"/>
  <c r="AT134" i="10"/>
  <c r="AT135" i="10"/>
  <c r="AT136" i="10"/>
  <c r="AT137" i="10"/>
  <c r="AT138" i="10"/>
  <c r="AT139" i="10"/>
  <c r="AT140" i="10"/>
  <c r="AT141" i="10"/>
  <c r="AT142" i="10"/>
  <c r="AT143" i="10"/>
  <c r="AT144" i="10"/>
  <c r="AT145" i="10"/>
  <c r="AT146" i="10"/>
  <c r="AT147" i="10"/>
  <c r="AT148" i="10"/>
  <c r="AT149" i="10"/>
  <c r="AT150" i="10"/>
  <c r="AT151" i="10"/>
  <c r="AT152" i="10"/>
  <c r="AR44" i="10"/>
  <c r="AR45" i="10"/>
  <c r="AR46" i="10"/>
  <c r="AR47" i="10"/>
  <c r="AR48" i="10"/>
  <c r="AR49" i="10"/>
  <c r="AR50" i="10"/>
  <c r="AR51" i="10"/>
  <c r="AR52" i="10"/>
  <c r="AR53" i="10"/>
  <c r="AR54" i="10"/>
  <c r="AR55" i="10"/>
  <c r="AR56" i="10"/>
  <c r="AR57" i="10"/>
  <c r="AR58" i="10"/>
  <c r="AR59" i="10"/>
  <c r="AR60" i="10"/>
  <c r="AR61" i="10"/>
  <c r="AR62" i="10"/>
  <c r="AR63" i="10"/>
  <c r="AR64" i="10"/>
  <c r="AR65" i="10"/>
  <c r="AR66" i="10"/>
  <c r="AR67" i="10"/>
  <c r="AR68" i="10"/>
  <c r="AR69" i="10"/>
  <c r="AR70" i="10"/>
  <c r="AR71" i="10"/>
  <c r="AR72" i="10"/>
  <c r="AR73" i="10"/>
  <c r="AR74" i="10"/>
  <c r="AR75" i="10"/>
  <c r="AR76" i="10"/>
  <c r="AR77" i="10"/>
  <c r="AR78" i="10"/>
  <c r="AR79" i="10"/>
  <c r="AR80" i="10"/>
  <c r="AR81" i="10"/>
  <c r="AR82" i="10"/>
  <c r="AR83" i="10"/>
  <c r="AR84" i="10"/>
  <c r="AR85" i="10"/>
  <c r="AR86" i="10"/>
  <c r="AR87" i="10"/>
  <c r="AR88" i="10"/>
  <c r="AR89" i="10"/>
  <c r="AR90" i="10"/>
  <c r="AR91" i="10"/>
  <c r="AR92" i="10"/>
  <c r="AR93" i="10"/>
  <c r="AR94" i="10"/>
  <c r="AR95" i="10"/>
  <c r="AR96" i="10"/>
  <c r="AR97" i="10"/>
  <c r="AR98" i="10"/>
  <c r="AR99" i="10"/>
  <c r="AR100" i="10"/>
  <c r="AR101" i="10"/>
  <c r="AR102" i="10"/>
  <c r="AR103" i="10"/>
  <c r="AR104" i="10"/>
  <c r="AR105" i="10"/>
  <c r="AR106" i="10"/>
  <c r="AR107" i="10"/>
  <c r="AR108" i="10"/>
  <c r="AR109" i="10"/>
  <c r="AR110" i="10"/>
  <c r="AR111" i="10"/>
  <c r="AR112" i="10"/>
  <c r="AR113" i="10"/>
  <c r="AR114" i="10"/>
  <c r="AR115" i="10"/>
  <c r="AR116" i="10"/>
  <c r="AR117" i="10"/>
  <c r="AR118" i="10"/>
  <c r="AR119" i="10"/>
  <c r="AR120" i="10"/>
  <c r="AR121" i="10"/>
  <c r="AR122" i="10"/>
  <c r="AR123" i="10"/>
  <c r="AR124" i="10"/>
  <c r="AR125" i="10"/>
  <c r="AR126" i="10"/>
  <c r="AR127" i="10"/>
  <c r="AR128" i="10"/>
  <c r="AR129" i="10"/>
  <c r="AR130" i="10"/>
  <c r="AR131" i="10"/>
  <c r="AR132" i="10"/>
  <c r="AR133" i="10"/>
  <c r="AR134" i="10"/>
  <c r="AR135" i="10"/>
  <c r="AR136" i="10"/>
  <c r="AR137" i="10"/>
  <c r="AR138" i="10"/>
  <c r="AR139" i="10"/>
  <c r="AR140" i="10"/>
  <c r="AR141" i="10"/>
  <c r="AR142" i="10"/>
  <c r="AR143" i="10"/>
  <c r="AR144" i="10"/>
  <c r="AR145" i="10"/>
  <c r="AR146" i="10"/>
  <c r="AR147" i="10"/>
  <c r="AR148" i="10"/>
  <c r="AR149" i="10"/>
  <c r="AR150" i="10"/>
  <c r="AR151" i="10"/>
  <c r="AR152" i="10"/>
  <c r="AR43" i="10"/>
  <c r="AQ44" i="10"/>
  <c r="AQ45" i="10"/>
  <c r="AQ46" i="10"/>
  <c r="AQ47" i="10"/>
  <c r="AQ48" i="10"/>
  <c r="AQ49" i="10"/>
  <c r="AQ50" i="10"/>
  <c r="AQ51" i="10"/>
  <c r="AQ52" i="10"/>
  <c r="AQ53" i="10"/>
  <c r="AQ54" i="10"/>
  <c r="AQ55" i="10"/>
  <c r="AQ56" i="10"/>
  <c r="AQ57" i="10"/>
  <c r="AQ58" i="10"/>
  <c r="AQ59" i="10"/>
  <c r="AQ60" i="10"/>
  <c r="AQ61" i="10"/>
  <c r="AQ62" i="10"/>
  <c r="AQ63" i="10"/>
  <c r="AQ64" i="10"/>
  <c r="AQ65" i="10"/>
  <c r="AQ66" i="10"/>
  <c r="AQ67" i="10"/>
  <c r="AQ68" i="10"/>
  <c r="AQ69" i="10"/>
  <c r="AQ70" i="10"/>
  <c r="AQ71" i="10"/>
  <c r="AQ72" i="10"/>
  <c r="AQ73" i="10"/>
  <c r="AQ74" i="10"/>
  <c r="AQ75" i="10"/>
  <c r="AQ76" i="10"/>
  <c r="AQ77" i="10"/>
  <c r="AQ78" i="10"/>
  <c r="AQ79" i="10"/>
  <c r="AQ80" i="10"/>
  <c r="AQ81" i="10"/>
  <c r="AQ82" i="10"/>
  <c r="AQ83" i="10"/>
  <c r="AQ84" i="10"/>
  <c r="AQ85" i="10"/>
  <c r="AQ86" i="10"/>
  <c r="AQ87" i="10"/>
  <c r="AQ88" i="10"/>
  <c r="AQ89" i="10"/>
  <c r="AQ90" i="10"/>
  <c r="AQ91" i="10"/>
  <c r="AQ92" i="10"/>
  <c r="AQ93" i="10"/>
  <c r="AQ94" i="10"/>
  <c r="AQ95" i="10"/>
  <c r="AQ96" i="10"/>
  <c r="AQ97" i="10"/>
  <c r="AQ98" i="10"/>
  <c r="AQ99" i="10"/>
  <c r="AQ100" i="10"/>
  <c r="AQ101" i="10"/>
  <c r="AQ102" i="10"/>
  <c r="AQ103" i="10"/>
  <c r="AQ104" i="10"/>
  <c r="AQ105" i="10"/>
  <c r="AQ106" i="10"/>
  <c r="AQ107" i="10"/>
  <c r="AQ108" i="10"/>
  <c r="AQ109" i="10"/>
  <c r="AQ110" i="10"/>
  <c r="AQ111" i="10"/>
  <c r="AQ112" i="10"/>
  <c r="AQ113" i="10"/>
  <c r="AQ114" i="10"/>
  <c r="AQ115" i="10"/>
  <c r="AQ116" i="10"/>
  <c r="AQ117" i="10"/>
  <c r="AQ118" i="10"/>
  <c r="AQ119" i="10"/>
  <c r="AQ120" i="10"/>
  <c r="AQ121" i="10"/>
  <c r="AQ122" i="10"/>
  <c r="AQ123" i="10"/>
  <c r="AQ124" i="10"/>
  <c r="AQ125" i="10"/>
  <c r="AQ126" i="10"/>
  <c r="AQ127" i="10"/>
  <c r="AQ128" i="10"/>
  <c r="AQ129" i="10"/>
  <c r="AQ130" i="10"/>
  <c r="AQ131" i="10"/>
  <c r="AQ132" i="10"/>
  <c r="AQ133" i="10"/>
  <c r="AQ134" i="10"/>
  <c r="AQ135" i="10"/>
  <c r="AQ136" i="10"/>
  <c r="AQ137" i="10"/>
  <c r="AQ138" i="10"/>
  <c r="AQ139" i="10"/>
  <c r="AQ140" i="10"/>
  <c r="AQ141" i="10"/>
  <c r="AQ142" i="10"/>
  <c r="AQ143" i="10"/>
  <c r="AQ144" i="10"/>
  <c r="AQ145" i="10"/>
  <c r="AQ146" i="10"/>
  <c r="AQ147" i="10"/>
  <c r="AQ148" i="10"/>
  <c r="AQ149" i="10"/>
  <c r="AQ150" i="10"/>
  <c r="AQ151" i="10"/>
  <c r="AQ152" i="10"/>
  <c r="AQ43" i="10"/>
  <c r="AP44" i="10"/>
  <c r="AP45" i="10"/>
  <c r="AP46" i="10"/>
  <c r="AP47" i="10"/>
  <c r="AP48" i="10"/>
  <c r="AP49" i="10"/>
  <c r="AP50" i="10"/>
  <c r="AP51" i="10"/>
  <c r="AP52" i="10"/>
  <c r="AP53" i="10"/>
  <c r="AP54" i="10"/>
  <c r="AP55" i="10"/>
  <c r="AP56" i="10"/>
  <c r="AP57" i="10"/>
  <c r="AP58" i="10"/>
  <c r="AP59" i="10"/>
  <c r="AP60" i="10"/>
  <c r="AP61" i="10"/>
  <c r="AP62" i="10"/>
  <c r="AP63" i="10"/>
  <c r="AP64" i="10"/>
  <c r="AP65" i="10"/>
  <c r="AP66" i="10"/>
  <c r="AP67" i="10"/>
  <c r="AP68" i="10"/>
  <c r="AP69" i="10"/>
  <c r="AP70" i="10"/>
  <c r="AP71" i="10"/>
  <c r="AP72" i="10"/>
  <c r="AP73" i="10"/>
  <c r="AP74" i="10"/>
  <c r="AP75" i="10"/>
  <c r="AP76" i="10"/>
  <c r="AP77" i="10"/>
  <c r="AP78" i="10"/>
  <c r="AP79" i="10"/>
  <c r="AP80" i="10"/>
  <c r="AP81" i="10"/>
  <c r="AP82" i="10"/>
  <c r="AP83" i="10"/>
  <c r="AP84" i="10"/>
  <c r="AP85" i="10"/>
  <c r="AP86" i="10"/>
  <c r="AP87" i="10"/>
  <c r="AP88" i="10"/>
  <c r="AP89" i="10"/>
  <c r="AP90" i="10"/>
  <c r="AP91" i="10"/>
  <c r="AP92" i="10"/>
  <c r="AP93" i="10"/>
  <c r="AP94" i="10"/>
  <c r="AP95" i="10"/>
  <c r="AP96" i="10"/>
  <c r="AP97" i="10"/>
  <c r="AP98" i="10"/>
  <c r="AP99" i="10"/>
  <c r="AP100" i="10"/>
  <c r="AP101" i="10"/>
  <c r="AP102" i="10"/>
  <c r="AP103" i="10"/>
  <c r="AP104" i="10"/>
  <c r="AP105" i="10"/>
  <c r="AP106" i="10"/>
  <c r="AP107" i="10"/>
  <c r="AP108" i="10"/>
  <c r="AP109" i="10"/>
  <c r="AP110" i="10"/>
  <c r="AP111" i="10"/>
  <c r="AP112" i="10"/>
  <c r="AP113" i="10"/>
  <c r="AP114" i="10"/>
  <c r="AP115" i="10"/>
  <c r="AP116" i="10"/>
  <c r="AP117" i="10"/>
  <c r="AP118" i="10"/>
  <c r="AP119" i="10"/>
  <c r="AP120" i="10"/>
  <c r="AP121" i="10"/>
  <c r="AP122" i="10"/>
  <c r="AP123" i="10"/>
  <c r="AP124" i="10"/>
  <c r="AP125" i="10"/>
  <c r="AP126" i="10"/>
  <c r="AP127" i="10"/>
  <c r="AP128" i="10"/>
  <c r="AP129" i="10"/>
  <c r="AP130" i="10"/>
  <c r="AP131" i="10"/>
  <c r="AP132" i="10"/>
  <c r="AP133" i="10"/>
  <c r="AP134" i="10"/>
  <c r="AP135" i="10"/>
  <c r="AP136" i="10"/>
  <c r="AP137" i="10"/>
  <c r="AP138" i="10"/>
  <c r="AP139" i="10"/>
  <c r="AP140" i="10"/>
  <c r="AP141" i="10"/>
  <c r="AP142" i="10"/>
  <c r="AP143" i="10"/>
  <c r="AP144" i="10"/>
  <c r="AP145" i="10"/>
  <c r="AP146" i="10"/>
  <c r="AP147" i="10"/>
  <c r="AP148" i="10"/>
  <c r="AP149" i="10"/>
  <c r="AP150" i="10"/>
  <c r="AP151" i="10"/>
  <c r="AP152" i="10"/>
  <c r="AP43" i="10"/>
  <c r="AO44" i="10"/>
  <c r="AO45" i="10"/>
  <c r="AO46" i="10"/>
  <c r="AO47" i="10"/>
  <c r="AO48" i="10"/>
  <c r="AO49" i="10"/>
  <c r="AO50" i="10"/>
  <c r="AO51" i="10"/>
  <c r="AO52" i="10"/>
  <c r="AO53" i="10"/>
  <c r="AO54" i="10"/>
  <c r="AO55" i="10"/>
  <c r="AO56" i="10"/>
  <c r="AO57" i="10"/>
  <c r="AO58" i="10"/>
  <c r="AO59" i="10"/>
  <c r="AO60" i="10"/>
  <c r="AO61" i="10"/>
  <c r="AO62" i="10"/>
  <c r="AO63" i="10"/>
  <c r="AO64" i="10"/>
  <c r="AO65" i="10"/>
  <c r="AO66" i="10"/>
  <c r="AO67" i="10"/>
  <c r="AO68" i="10"/>
  <c r="AO69" i="10"/>
  <c r="AO70" i="10"/>
  <c r="AO71" i="10"/>
  <c r="AO72" i="10"/>
  <c r="AO73" i="10"/>
  <c r="AO74" i="10"/>
  <c r="AO75" i="10"/>
  <c r="AO76" i="10"/>
  <c r="AO77" i="10"/>
  <c r="AO78" i="10"/>
  <c r="AO79" i="10"/>
  <c r="AO80" i="10"/>
  <c r="AO81" i="10"/>
  <c r="AO82" i="10"/>
  <c r="AO83" i="10"/>
  <c r="AO84" i="10"/>
  <c r="AO85" i="10"/>
  <c r="AO86" i="10"/>
  <c r="AO87" i="10"/>
  <c r="AO88" i="10"/>
  <c r="AO89" i="10"/>
  <c r="AO90" i="10"/>
  <c r="AO91" i="10"/>
  <c r="AO92" i="10"/>
  <c r="AO93" i="10"/>
  <c r="AO94" i="10"/>
  <c r="AO95" i="10"/>
  <c r="AO96" i="10"/>
  <c r="AO97" i="10"/>
  <c r="AO98" i="10"/>
  <c r="AO99" i="10"/>
  <c r="AO100" i="10"/>
  <c r="AO101" i="10"/>
  <c r="AO102" i="10"/>
  <c r="AO103" i="10"/>
  <c r="AO104" i="10"/>
  <c r="AO105" i="10"/>
  <c r="AO106" i="10"/>
  <c r="AO107" i="10"/>
  <c r="AO108" i="10"/>
  <c r="AO109" i="10"/>
  <c r="AO110" i="10"/>
  <c r="AO111" i="10"/>
  <c r="AO112" i="10"/>
  <c r="AO113" i="10"/>
  <c r="AO114" i="10"/>
  <c r="AO115" i="10"/>
  <c r="AO116" i="10"/>
  <c r="AO117" i="10"/>
  <c r="AO118" i="10"/>
  <c r="AO119" i="10"/>
  <c r="AO120" i="10"/>
  <c r="AO121" i="10"/>
  <c r="AO122" i="10"/>
  <c r="AO123" i="10"/>
  <c r="AO124" i="10"/>
  <c r="AO125" i="10"/>
  <c r="AO126" i="10"/>
  <c r="AO127" i="10"/>
  <c r="AO128" i="10"/>
  <c r="AO129" i="10"/>
  <c r="AO130" i="10"/>
  <c r="AO131" i="10"/>
  <c r="AO132" i="10"/>
  <c r="AO133" i="10"/>
  <c r="AO134" i="10"/>
  <c r="AO135" i="10"/>
  <c r="AO136" i="10"/>
  <c r="AO137" i="10"/>
  <c r="AO138" i="10"/>
  <c r="AO139" i="10"/>
  <c r="AO140" i="10"/>
  <c r="AO141" i="10"/>
  <c r="AO142" i="10"/>
  <c r="AO143" i="10"/>
  <c r="AO144" i="10"/>
  <c r="AO145" i="10"/>
  <c r="AO146" i="10"/>
  <c r="AO147" i="10"/>
  <c r="AO148" i="10"/>
  <c r="AO149" i="10"/>
  <c r="AO150" i="10"/>
  <c r="AO151" i="10"/>
  <c r="AO152" i="10"/>
  <c r="AO43" i="10"/>
  <c r="AN44" i="10"/>
  <c r="AN45" i="10"/>
  <c r="AN46" i="10"/>
  <c r="AN47" i="10"/>
  <c r="AN48" i="10"/>
  <c r="AN49" i="10"/>
  <c r="AN50" i="10"/>
  <c r="AN51" i="10"/>
  <c r="AN52" i="10"/>
  <c r="AN53" i="10"/>
  <c r="AN54" i="10"/>
  <c r="AN55" i="10"/>
  <c r="AN56" i="10"/>
  <c r="AN57" i="10"/>
  <c r="AN58" i="10"/>
  <c r="AN59" i="10"/>
  <c r="AN60" i="10"/>
  <c r="AN61" i="10"/>
  <c r="AN62" i="10"/>
  <c r="AN63" i="10"/>
  <c r="AN64" i="10"/>
  <c r="AN65" i="10"/>
  <c r="AN66" i="10"/>
  <c r="AN67" i="10"/>
  <c r="AN68" i="10"/>
  <c r="AN69" i="10"/>
  <c r="AN70" i="10"/>
  <c r="AN71" i="10"/>
  <c r="AN72" i="10"/>
  <c r="AN73" i="10"/>
  <c r="AN74" i="10"/>
  <c r="AN75" i="10"/>
  <c r="AN76" i="10"/>
  <c r="AN77" i="10"/>
  <c r="AN78" i="10"/>
  <c r="AN79" i="10"/>
  <c r="AN80" i="10"/>
  <c r="AN81" i="10"/>
  <c r="AN82" i="10"/>
  <c r="AN83" i="10"/>
  <c r="AN84" i="10"/>
  <c r="AN85" i="10"/>
  <c r="AN86" i="10"/>
  <c r="AN87" i="10"/>
  <c r="AN88" i="10"/>
  <c r="AN89" i="10"/>
  <c r="AN90" i="10"/>
  <c r="AN91" i="10"/>
  <c r="AN92" i="10"/>
  <c r="AN93" i="10"/>
  <c r="AN94" i="10"/>
  <c r="AN95" i="10"/>
  <c r="AN96" i="10"/>
  <c r="AN97" i="10"/>
  <c r="AN98" i="10"/>
  <c r="AN99" i="10"/>
  <c r="AN100" i="10"/>
  <c r="AN101" i="10"/>
  <c r="AN102" i="10"/>
  <c r="AN103" i="10"/>
  <c r="AN104" i="10"/>
  <c r="AN105" i="10"/>
  <c r="AN106" i="10"/>
  <c r="AN107" i="10"/>
  <c r="AN108" i="10"/>
  <c r="AN109" i="10"/>
  <c r="AN110" i="10"/>
  <c r="AN111" i="10"/>
  <c r="AN112" i="10"/>
  <c r="AN113" i="10"/>
  <c r="AN114" i="10"/>
  <c r="AN115" i="10"/>
  <c r="AN116" i="10"/>
  <c r="AN117" i="10"/>
  <c r="AN118" i="10"/>
  <c r="AN119" i="10"/>
  <c r="AN120" i="10"/>
  <c r="AN121" i="10"/>
  <c r="AN122" i="10"/>
  <c r="AN123" i="10"/>
  <c r="AN124" i="10"/>
  <c r="AN125" i="10"/>
  <c r="AN126" i="10"/>
  <c r="AN127" i="10"/>
  <c r="AN128" i="10"/>
  <c r="AN129" i="10"/>
  <c r="AN130" i="10"/>
  <c r="AN131" i="10"/>
  <c r="AN132" i="10"/>
  <c r="AN133" i="10"/>
  <c r="AN134" i="10"/>
  <c r="AN135" i="10"/>
  <c r="AN136" i="10"/>
  <c r="AN137" i="10"/>
  <c r="AN138" i="10"/>
  <c r="AN139" i="10"/>
  <c r="AN140" i="10"/>
  <c r="AN141" i="10"/>
  <c r="AN142" i="10"/>
  <c r="AN143" i="10"/>
  <c r="AN144" i="10"/>
  <c r="AN145" i="10"/>
  <c r="AN146" i="10"/>
  <c r="AN147" i="10"/>
  <c r="AN148" i="10"/>
  <c r="AN149" i="10"/>
  <c r="AN150" i="10"/>
  <c r="AN151" i="10"/>
  <c r="AN152" i="10"/>
  <c r="AN43" i="10"/>
  <c r="AT3" i="10"/>
  <c r="AT4" i="10"/>
  <c r="AT5" i="10"/>
  <c r="AT6" i="10"/>
  <c r="AT7" i="10"/>
  <c r="AT8" i="10"/>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2" i="10"/>
  <c r="AR3" i="10"/>
  <c r="AR4" i="10"/>
  <c r="AR5" i="10"/>
  <c r="AR6" i="10"/>
  <c r="AR7" i="10"/>
  <c r="AR8" i="10"/>
  <c r="AR9" i="10"/>
  <c r="AR10" i="10"/>
  <c r="AR11"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Q3" i="10"/>
  <c r="AQ4" i="10"/>
  <c r="AQ5" i="10"/>
  <c r="AQ6" i="10"/>
  <c r="AQ7" i="10"/>
  <c r="AQ8"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2" i="10"/>
  <c r="AP3" i="10"/>
  <c r="AP4" i="10"/>
  <c r="AP5" i="10"/>
  <c r="AP6" i="10"/>
  <c r="AP7" i="10"/>
  <c r="AP8" i="10"/>
  <c r="AP9" i="10"/>
  <c r="AP10" i="10"/>
  <c r="AP11" i="10"/>
  <c r="AP12" i="10"/>
  <c r="AP13" i="10"/>
  <c r="AP14" i="10"/>
  <c r="AP15" i="10"/>
  <c r="AP16" i="10"/>
  <c r="AP17" i="10"/>
  <c r="AP18" i="10"/>
  <c r="AP19" i="10"/>
  <c r="AP20" i="10"/>
  <c r="AP21" i="10"/>
  <c r="AP22" i="10"/>
  <c r="AP23" i="10"/>
  <c r="AP24" i="10"/>
  <c r="AP25" i="10"/>
  <c r="AP26" i="10"/>
  <c r="AP27" i="10"/>
  <c r="AP28" i="10"/>
  <c r="AP29" i="10"/>
  <c r="AP30" i="10"/>
  <c r="AP31" i="10"/>
  <c r="AP32" i="10"/>
  <c r="AP33" i="10"/>
  <c r="AP34" i="10"/>
  <c r="AP35" i="10"/>
  <c r="AP36" i="10"/>
  <c r="AP37" i="10"/>
  <c r="AP38" i="10"/>
  <c r="AP39" i="10"/>
  <c r="AP40" i="10"/>
  <c r="AP41" i="10"/>
  <c r="AP42" i="10"/>
  <c r="AP2" i="10"/>
  <c r="AO3" i="10"/>
  <c r="AO4" i="10"/>
  <c r="AO5" i="10"/>
  <c r="AO6" i="10"/>
  <c r="AO7" i="10"/>
  <c r="AO8" i="10"/>
  <c r="AO9" i="10"/>
  <c r="AO10" i="10"/>
  <c r="AO11" i="10"/>
  <c r="AO12" i="10"/>
  <c r="AO13" i="10"/>
  <c r="AO14" i="10"/>
  <c r="AO15" i="10"/>
  <c r="AO16" i="10"/>
  <c r="AO17" i="10"/>
  <c r="AO18" i="10"/>
  <c r="AO19" i="10"/>
  <c r="AO20" i="10"/>
  <c r="AO21" i="10"/>
  <c r="AO22" i="10"/>
  <c r="AO23" i="10"/>
  <c r="AO24" i="10"/>
  <c r="AO25" i="10"/>
  <c r="AO26" i="10"/>
  <c r="AO27" i="10"/>
  <c r="AO28" i="10"/>
  <c r="AO29" i="10"/>
  <c r="AO30" i="10"/>
  <c r="AO31" i="10"/>
  <c r="AO32" i="10"/>
  <c r="AO33" i="10"/>
  <c r="AO34" i="10"/>
  <c r="AO35" i="10"/>
  <c r="AO36" i="10"/>
  <c r="AO37" i="10"/>
  <c r="AO38" i="10"/>
  <c r="AO39" i="10"/>
  <c r="AO40" i="10"/>
  <c r="AO41" i="10"/>
  <c r="AO42" i="10"/>
  <c r="AO2" i="10"/>
  <c r="AL2" i="10"/>
  <c r="AN3" i="10"/>
  <c r="AN4" i="10"/>
  <c r="AN5" i="10"/>
  <c r="AN6" i="10"/>
  <c r="AN7" i="10"/>
  <c r="AN8" i="10"/>
  <c r="AN9" i="10"/>
  <c r="AN10" i="10"/>
  <c r="AN11" i="10"/>
  <c r="AN12" i="10"/>
  <c r="AN13" i="10"/>
  <c r="AN14" i="10"/>
  <c r="AN15" i="10"/>
  <c r="AN16" i="10"/>
  <c r="AN17" i="10"/>
  <c r="AN18" i="10"/>
  <c r="AN19" i="10"/>
  <c r="AN20" i="10"/>
  <c r="AN21" i="10"/>
  <c r="AN22" i="10"/>
  <c r="AN23" i="10"/>
  <c r="AN24" i="10"/>
  <c r="AN25" i="10"/>
  <c r="AN26" i="10"/>
  <c r="AN27" i="10"/>
  <c r="AN28" i="10"/>
  <c r="AN29" i="10"/>
  <c r="AN30" i="10"/>
  <c r="AN31" i="10"/>
  <c r="AN32" i="10"/>
  <c r="AN33" i="10"/>
  <c r="AN34" i="10"/>
  <c r="AN35" i="10"/>
  <c r="AN36" i="10"/>
  <c r="AN37" i="10"/>
  <c r="AN38" i="10"/>
  <c r="AN39" i="10"/>
  <c r="AN40" i="10"/>
  <c r="AN41" i="10"/>
  <c r="AN42" i="10"/>
  <c r="AN2" i="10"/>
  <c r="AM3" i="10"/>
  <c r="AM4" i="10"/>
  <c r="AM5" i="10"/>
  <c r="AM6" i="10"/>
  <c r="AM7" i="10"/>
  <c r="AM8" i="10"/>
  <c r="AM9" i="10"/>
  <c r="AM10" i="10"/>
  <c r="AM11" i="10"/>
  <c r="AM12" i="10"/>
  <c r="AM13" i="10"/>
  <c r="AM14" i="10"/>
  <c r="AM15" i="10"/>
  <c r="AM16" i="10"/>
  <c r="AM17"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2" i="10"/>
  <c r="AL8" i="10"/>
  <c r="AL3" i="10"/>
  <c r="AL4" i="10"/>
  <c r="AL5" i="10"/>
  <c r="AL6" i="10"/>
  <c r="AL7" i="10"/>
  <c r="AL9" i="10"/>
  <c r="AL10" i="10"/>
  <c r="AL11" i="10"/>
  <c r="AL12" i="10"/>
  <c r="AL13" i="10"/>
  <c r="AL14" i="10"/>
  <c r="AL15" i="10"/>
  <c r="AL16" i="10"/>
  <c r="AL17" i="10"/>
  <c r="AL18" i="10"/>
  <c r="AL19" i="10"/>
  <c r="AL20" i="10"/>
  <c r="AL21" i="10"/>
  <c r="AL22" i="10"/>
  <c r="AL23" i="10"/>
  <c r="AL24" i="10"/>
  <c r="AL25" i="10"/>
  <c r="AL26" i="10"/>
  <c r="AL27" i="10"/>
  <c r="AL28" i="10"/>
  <c r="AL29" i="10"/>
  <c r="AL30" i="10"/>
  <c r="AL31" i="10"/>
  <c r="AL32" i="10"/>
  <c r="AL33" i="10"/>
  <c r="AL34" i="10"/>
  <c r="AL35" i="10"/>
  <c r="AL36" i="10"/>
  <c r="AL37" i="10"/>
  <c r="AL38" i="10"/>
  <c r="AL39" i="10"/>
  <c r="AL40" i="10"/>
  <c r="AL41" i="10"/>
  <c r="AL42" i="10"/>
  <c r="AJ8" i="10" l="1"/>
  <c r="AJ19" i="10"/>
  <c r="AJ145" i="10"/>
  <c r="AJ133" i="10"/>
  <c r="AJ121" i="10"/>
  <c r="AJ109" i="10"/>
  <c r="AJ97" i="10"/>
  <c r="AJ85" i="10"/>
  <c r="AJ73" i="10"/>
  <c r="AJ61" i="10"/>
  <c r="AJ49" i="10"/>
  <c r="AJ31" i="10"/>
  <c r="AJ144" i="10"/>
  <c r="AJ132" i="10"/>
  <c r="AJ120" i="10"/>
  <c r="AJ108" i="10"/>
  <c r="AJ96" i="10"/>
  <c r="AJ84" i="10"/>
  <c r="AJ72" i="10"/>
  <c r="AJ60" i="10"/>
  <c r="AJ48" i="10"/>
  <c r="AJ117" i="10"/>
  <c r="AJ35" i="10"/>
  <c r="AJ34" i="10"/>
  <c r="AJ22" i="10"/>
  <c r="AJ10" i="10"/>
  <c r="AJ93" i="10"/>
  <c r="AJ37" i="10"/>
  <c r="AJ33" i="10"/>
  <c r="AJ21" i="10"/>
  <c r="AJ9" i="10"/>
  <c r="AJ105" i="10"/>
  <c r="AJ32" i="10"/>
  <c r="AJ20" i="10"/>
  <c r="AJ7" i="10"/>
  <c r="AJ146" i="10"/>
  <c r="AJ134" i="10"/>
  <c r="AJ122" i="10"/>
  <c r="AJ110" i="10"/>
  <c r="AJ98" i="10"/>
  <c r="AJ86" i="10"/>
  <c r="AJ74" i="10"/>
  <c r="AJ62" i="10"/>
  <c r="AJ50" i="10"/>
  <c r="AJ42" i="10"/>
  <c r="AJ30" i="10"/>
  <c r="AJ18" i="10"/>
  <c r="AJ5" i="10"/>
  <c r="AJ40" i="10"/>
  <c r="AJ28" i="10"/>
  <c r="AJ16" i="10"/>
  <c r="AJ148" i="10"/>
  <c r="AJ136" i="10"/>
  <c r="AJ124" i="10"/>
  <c r="AJ112" i="10"/>
  <c r="AJ100" i="10"/>
  <c r="AJ88" i="10"/>
  <c r="AJ76" i="10"/>
  <c r="AJ64" i="10"/>
  <c r="AJ52" i="10"/>
  <c r="AJ41" i="10"/>
  <c r="AJ4" i="10"/>
  <c r="AJ39" i="10"/>
  <c r="AJ15" i="10"/>
  <c r="AJ143" i="10"/>
  <c r="AJ131" i="10"/>
  <c r="AJ119" i="10"/>
  <c r="AJ107" i="10"/>
  <c r="AJ95" i="10"/>
  <c r="AJ83" i="10"/>
  <c r="AJ71" i="10"/>
  <c r="AJ59" i="10"/>
  <c r="AJ47" i="10"/>
  <c r="AJ147" i="10"/>
  <c r="AJ135" i="10"/>
  <c r="AJ123" i="10"/>
  <c r="AJ111" i="10"/>
  <c r="AJ99" i="10"/>
  <c r="AJ87" i="10"/>
  <c r="AJ75" i="10"/>
  <c r="AJ63" i="10"/>
  <c r="AJ51" i="10"/>
  <c r="AJ29" i="10"/>
  <c r="AJ17" i="10"/>
  <c r="AJ27" i="10"/>
  <c r="AJ3" i="10"/>
  <c r="AJ2" i="10"/>
  <c r="AJ142" i="10"/>
  <c r="AJ130" i="10"/>
  <c r="AJ118" i="10"/>
  <c r="AJ106" i="10"/>
  <c r="AJ94" i="10"/>
  <c r="AJ82" i="10"/>
  <c r="AJ70" i="10"/>
  <c r="AJ58" i="10"/>
  <c r="AJ46" i="10"/>
  <c r="AJ141" i="10"/>
  <c r="AJ57" i="10"/>
  <c r="AJ26" i="10"/>
  <c r="AJ14" i="10"/>
  <c r="AJ152" i="10"/>
  <c r="AJ140" i="10"/>
  <c r="AJ128" i="10"/>
  <c r="AJ116" i="10"/>
  <c r="AJ104" i="10"/>
  <c r="AJ92" i="10"/>
  <c r="AJ80" i="10"/>
  <c r="AJ68" i="10"/>
  <c r="AJ56" i="10"/>
  <c r="AJ44" i="10"/>
  <c r="AJ81" i="10"/>
  <c r="AJ13" i="10"/>
  <c r="AJ151" i="10"/>
  <c r="AJ139" i="10"/>
  <c r="AJ127" i="10"/>
  <c r="AJ115" i="10"/>
  <c r="AJ103" i="10"/>
  <c r="AJ91" i="10"/>
  <c r="AJ79" i="10"/>
  <c r="AJ67" i="10"/>
  <c r="AJ55" i="10"/>
  <c r="AJ6" i="10"/>
  <c r="AJ129" i="10"/>
  <c r="AJ45" i="10"/>
  <c r="AJ38" i="10"/>
  <c r="AJ36" i="10"/>
  <c r="AJ24" i="10"/>
  <c r="AJ12" i="10"/>
  <c r="AJ150" i="10"/>
  <c r="AJ138" i="10"/>
  <c r="AJ126" i="10"/>
  <c r="AJ114" i="10"/>
  <c r="AJ102" i="10"/>
  <c r="AJ90" i="10"/>
  <c r="AJ78" i="10"/>
  <c r="AJ66" i="10"/>
  <c r="AJ54" i="10"/>
  <c r="AJ69" i="10"/>
  <c r="AJ25" i="10"/>
  <c r="AJ23" i="10"/>
  <c r="AJ11" i="10"/>
  <c r="AJ149" i="10"/>
  <c r="AJ137" i="10"/>
  <c r="AJ125" i="10"/>
  <c r="AJ113" i="10"/>
  <c r="AJ101" i="10"/>
  <c r="AJ89" i="10"/>
  <c r="AJ77" i="10"/>
  <c r="AJ65" i="10"/>
  <c r="AJ53" i="10"/>
  <c r="AJ43" i="10"/>
  <c r="AK47" i="14"/>
  <c r="AK67" i="14"/>
  <c r="AE47" i="14"/>
  <c r="AK31" i="14"/>
  <c r="AK83" i="14"/>
  <c r="AK86" i="14"/>
  <c r="AK70" i="14"/>
  <c r="AK46" i="14"/>
  <c r="AK65" i="14"/>
  <c r="AK61" i="14"/>
  <c r="AK59" i="14"/>
  <c r="AK39" i="14"/>
  <c r="AK96" i="14"/>
  <c r="AK93" i="14"/>
  <c r="AE21" i="14"/>
  <c r="AE22" i="14"/>
  <c r="AE17" i="14"/>
  <c r="AE59" i="14"/>
  <c r="AE33" i="14"/>
  <c r="AE10" i="14"/>
  <c r="AE76" i="14"/>
  <c r="AE57" i="14"/>
  <c r="AE61" i="14"/>
  <c r="AE42" i="14"/>
  <c r="AE73" i="14"/>
  <c r="AE85" i="14"/>
  <c r="AK79" i="14"/>
  <c r="AK101" i="14"/>
  <c r="AK37" i="14"/>
  <c r="AK56" i="14"/>
  <c r="AK108" i="14"/>
  <c r="AK54" i="14"/>
  <c r="AK44" i="14"/>
  <c r="AE12" i="14"/>
  <c r="AE20" i="14"/>
  <c r="AE69" i="14"/>
  <c r="AK21" i="14"/>
  <c r="AK98" i="14"/>
  <c r="AK57" i="14"/>
  <c r="AK55" i="14"/>
  <c r="AK113" i="14"/>
  <c r="AK34" i="14"/>
  <c r="AK118" i="14"/>
  <c r="AK78" i="14"/>
  <c r="AK68" i="14"/>
  <c r="AK43" i="14"/>
  <c r="AK48" i="14"/>
  <c r="AK13" i="14"/>
  <c r="AK99" i="14"/>
  <c r="AK107" i="14"/>
  <c r="AK25" i="14"/>
  <c r="AK102" i="14"/>
  <c r="AK109" i="14"/>
  <c r="AK106" i="14"/>
  <c r="AK15" i="14"/>
  <c r="AK41" i="14"/>
  <c r="AK110" i="14"/>
  <c r="AK8" i="14"/>
  <c r="AK95" i="14"/>
  <c r="AE86" i="14"/>
  <c r="AE37" i="14"/>
  <c r="AE65" i="14"/>
  <c r="AE15" i="14"/>
  <c r="AE36" i="14"/>
  <c r="AE27" i="14"/>
  <c r="AE72" i="14"/>
  <c r="AE58" i="14"/>
  <c r="AE14" i="14"/>
  <c r="AE64" i="14"/>
  <c r="AK58" i="14"/>
  <c r="AK30" i="14"/>
  <c r="AK22" i="14"/>
  <c r="AK64" i="14"/>
  <c r="AK38" i="14"/>
  <c r="AK40" i="14"/>
  <c r="AK66" i="14"/>
  <c r="AK112" i="14"/>
  <c r="AK85" i="14"/>
  <c r="AK92" i="14"/>
  <c r="AE95" i="14"/>
  <c r="AE84" i="14"/>
  <c r="AE97" i="14"/>
  <c r="AE90" i="14"/>
  <c r="AE93" i="14"/>
  <c r="AE91" i="14"/>
  <c r="AE8" i="14"/>
  <c r="AE7" i="14"/>
  <c r="AE107" i="14"/>
  <c r="AE108" i="14"/>
  <c r="AE116" i="14"/>
  <c r="AK7" i="14"/>
  <c r="AK89" i="14"/>
  <c r="AK20" i="14"/>
  <c r="AK82" i="14"/>
  <c r="AK74" i="14"/>
  <c r="AK42" i="14"/>
  <c r="AK84" i="14"/>
  <c r="AK19" i="14"/>
  <c r="AK63" i="14"/>
  <c r="AE111" i="14"/>
  <c r="AE113" i="14"/>
  <c r="AK28" i="14"/>
  <c r="AK117" i="14"/>
  <c r="AK115" i="14"/>
  <c r="AK104" i="14"/>
  <c r="AK24" i="14"/>
  <c r="AK9" i="14"/>
  <c r="AK33" i="14"/>
  <c r="AK27" i="14"/>
  <c r="AK111" i="14"/>
  <c r="AE110" i="14"/>
  <c r="AE60" i="14"/>
  <c r="AE56" i="14"/>
  <c r="AE38" i="14"/>
  <c r="AE5" i="14"/>
  <c r="AE63" i="14"/>
  <c r="AK77" i="14"/>
  <c r="AK12" i="14"/>
  <c r="AK6" i="14"/>
  <c r="AK81" i="14"/>
  <c r="AK114" i="14"/>
  <c r="AK53" i="14"/>
  <c r="AK2" i="14"/>
  <c r="AK100" i="14"/>
  <c r="AK87" i="14"/>
  <c r="AK29" i="14"/>
  <c r="AK97" i="14"/>
  <c r="AK76" i="14"/>
  <c r="AK14" i="14"/>
  <c r="AK80" i="14"/>
  <c r="AK17" i="14"/>
  <c r="AK90" i="14"/>
  <c r="AK91" i="14"/>
  <c r="AK49" i="14"/>
  <c r="AK35" i="14"/>
  <c r="AK94" i="14"/>
  <c r="AE79" i="14"/>
  <c r="AE30" i="14"/>
  <c r="AE80" i="14"/>
  <c r="AE18" i="14"/>
  <c r="AE41" i="14"/>
  <c r="AE19" i="14"/>
  <c r="AE68" i="14"/>
  <c r="AK4" i="14"/>
  <c r="AK103" i="14"/>
  <c r="AK75" i="14"/>
  <c r="AK3" i="14"/>
  <c r="AK52" i="14"/>
  <c r="AK36" i="14"/>
  <c r="AK73" i="14"/>
  <c r="AK16" i="14"/>
  <c r="AK72" i="14"/>
  <c r="AE89" i="14"/>
  <c r="AE101" i="14"/>
  <c r="AE103" i="14"/>
  <c r="AE118" i="14"/>
  <c r="AK105" i="14"/>
  <c r="AK60" i="14"/>
  <c r="AK11" i="14"/>
  <c r="AK69" i="14"/>
  <c r="AK51" i="14"/>
  <c r="AK23" i="14"/>
  <c r="AK10" i="14"/>
  <c r="AK88" i="14"/>
  <c r="AE28" i="14"/>
  <c r="AE32" i="14"/>
  <c r="AE52" i="14"/>
  <c r="AE66" i="14"/>
  <c r="AE35" i="14"/>
  <c r="AK26" i="14"/>
  <c r="AK45" i="14"/>
  <c r="AK116" i="14"/>
  <c r="AK32" i="14"/>
  <c r="AK18" i="14"/>
  <c r="AK5" i="14"/>
  <c r="AK50" i="14"/>
  <c r="AK71" i="14"/>
  <c r="AK62" i="14"/>
  <c r="AE40" i="14"/>
  <c r="AE49" i="14"/>
  <c r="AE13" i="14"/>
  <c r="AE100" i="14"/>
  <c r="AE74" i="14"/>
  <c r="AE4" i="14"/>
  <c r="AE45" i="14"/>
  <c r="AE11" i="14"/>
  <c r="AE24" i="14"/>
  <c r="AE34" i="14"/>
  <c r="AE71" i="14"/>
  <c r="AE29" i="14"/>
  <c r="AE54" i="14"/>
  <c r="AE23" i="14"/>
  <c r="AE78" i="14"/>
  <c r="AE114" i="14"/>
  <c r="AE88" i="14"/>
  <c r="AE77" i="14"/>
  <c r="AE96" i="14"/>
  <c r="AE94" i="14"/>
  <c r="AE102" i="14"/>
  <c r="AE99" i="14"/>
  <c r="AE105" i="14"/>
  <c r="AE3" i="14"/>
  <c r="AE104" i="14"/>
  <c r="AE109" i="14"/>
  <c r="AE117" i="14"/>
  <c r="AE83" i="14"/>
  <c r="AE31" i="14"/>
  <c r="AE92" i="14"/>
  <c r="AE39" i="14"/>
  <c r="AE70" i="14"/>
  <c r="AE81" i="14"/>
  <c r="AE9" i="14"/>
  <c r="AE48" i="14"/>
  <c r="AE62" i="14"/>
  <c r="AE67" i="14"/>
  <c r="AE44" i="14"/>
  <c r="AE98" i="14"/>
  <c r="AE2" i="14"/>
  <c r="AE6" i="14"/>
  <c r="AE106" i="14"/>
  <c r="AE115" i="14"/>
  <c r="AE112" i="14"/>
  <c r="AE26" i="14"/>
  <c r="AE75" i="14"/>
  <c r="AE82" i="14"/>
  <c r="AE53" i="14"/>
  <c r="AE43" i="14"/>
  <c r="AE87" i="14"/>
  <c r="AE25" i="14"/>
  <c r="AE46" i="14"/>
  <c r="AE55" i="14"/>
  <c r="AE51" i="14"/>
  <c r="AE50" i="14"/>
  <c r="AE16" i="14"/>
  <c r="V47" i="14"/>
  <c r="V73" i="14"/>
  <c r="V36" i="14"/>
  <c r="V52" i="14"/>
  <c r="V3" i="14"/>
  <c r="V24" i="14"/>
  <c r="V16" i="14"/>
  <c r="V92" i="14"/>
  <c r="V75" i="14"/>
  <c r="V103" i="14"/>
  <c r="V111" i="14"/>
  <c r="V27" i="14"/>
  <c r="V33" i="14"/>
  <c r="V9" i="14"/>
  <c r="V85" i="14"/>
  <c r="V112" i="14"/>
  <c r="V66" i="14"/>
  <c r="V40" i="14"/>
  <c r="V38" i="14"/>
  <c r="V64" i="14"/>
  <c r="V22" i="14"/>
  <c r="V30" i="14"/>
  <c r="V58" i="14"/>
  <c r="V99" i="14"/>
  <c r="V13" i="14"/>
  <c r="V48" i="14"/>
  <c r="V43" i="14"/>
  <c r="V59" i="14"/>
  <c r="V61" i="14"/>
  <c r="V65" i="14"/>
  <c r="V46" i="14"/>
  <c r="V70" i="14"/>
  <c r="V86" i="14"/>
  <c r="V88" i="14"/>
  <c r="V10" i="14"/>
  <c r="V83" i="14"/>
  <c r="V23" i="14"/>
  <c r="V51" i="14"/>
  <c r="V69" i="14"/>
  <c r="V11" i="14"/>
  <c r="V31" i="14"/>
  <c r="V60" i="14"/>
  <c r="V105" i="14"/>
  <c r="V72" i="14"/>
  <c r="V4" i="14"/>
  <c r="V94" i="14"/>
  <c r="V35" i="14"/>
  <c r="V49" i="14"/>
  <c r="V91" i="14"/>
  <c r="V90" i="14"/>
  <c r="V17" i="14"/>
  <c r="V80" i="14"/>
  <c r="V14" i="14"/>
  <c r="V76" i="14"/>
  <c r="V97" i="14"/>
  <c r="V29" i="14"/>
  <c r="V87" i="14"/>
  <c r="V100" i="14"/>
  <c r="V2" i="14"/>
  <c r="V53" i="14"/>
  <c r="V114" i="14"/>
  <c r="V81" i="14"/>
  <c r="V6" i="14"/>
  <c r="V12" i="14"/>
  <c r="V77" i="14"/>
  <c r="V93" i="14"/>
  <c r="V96" i="14"/>
  <c r="V67" i="14"/>
  <c r="V44" i="14"/>
  <c r="V54" i="14"/>
  <c r="V108" i="14"/>
  <c r="V56" i="14"/>
  <c r="V37" i="14"/>
  <c r="V101" i="14"/>
  <c r="V79" i="14"/>
  <c r="V68" i="14"/>
  <c r="V78" i="14"/>
  <c r="V118" i="14"/>
  <c r="V34" i="14"/>
  <c r="V113" i="14"/>
  <c r="V55" i="14"/>
  <c r="V57" i="14"/>
  <c r="V98" i="14"/>
  <c r="V21" i="14"/>
  <c r="V39" i="14"/>
  <c r="V95" i="14"/>
  <c r="V8" i="14"/>
  <c r="V110" i="14"/>
  <c r="V41" i="14"/>
  <c r="V15" i="14"/>
  <c r="V106" i="14"/>
  <c r="V109" i="14"/>
  <c r="V102" i="14"/>
  <c r="V25" i="14"/>
  <c r="V107" i="14"/>
  <c r="V63" i="14"/>
  <c r="V19" i="14"/>
  <c r="V84" i="14"/>
  <c r="V42" i="14"/>
  <c r="V74" i="14"/>
  <c r="V104" i="14"/>
  <c r="V82" i="14"/>
  <c r="V115" i="14"/>
  <c r="V20" i="14"/>
  <c r="V117" i="14"/>
  <c r="V89" i="14"/>
  <c r="V28" i="14"/>
  <c r="V7" i="14"/>
  <c r="V62" i="14"/>
  <c r="V71" i="14"/>
  <c r="V50" i="14"/>
  <c r="V5" i="14"/>
  <c r="V18" i="14"/>
  <c r="V32" i="14"/>
  <c r="V116" i="14"/>
  <c r="V45" i="14"/>
  <c r="V26" i="14"/>
  <c r="W47" i="14"/>
  <c r="W8" i="14"/>
  <c r="W109" i="14"/>
  <c r="X22" i="14"/>
  <c r="W62" i="14"/>
  <c r="W22" i="14"/>
  <c r="W43" i="14"/>
  <c r="W44" i="14"/>
  <c r="W63" i="14"/>
  <c r="W42" i="14"/>
  <c r="W82" i="14"/>
  <c r="W102" i="14"/>
  <c r="W45" i="14"/>
  <c r="X21" i="14"/>
  <c r="W99" i="14"/>
  <c r="W84" i="14"/>
  <c r="W38" i="14"/>
  <c r="X115" i="14"/>
  <c r="X102" i="14"/>
  <c r="W89" i="14"/>
  <c r="X116" i="14"/>
  <c r="W107" i="14"/>
  <c r="W48" i="14"/>
  <c r="W83" i="14"/>
  <c r="W29" i="14"/>
  <c r="X13" i="14"/>
  <c r="W35" i="14"/>
  <c r="W110" i="14"/>
  <c r="W15" i="14"/>
  <c r="W79" i="14"/>
  <c r="W39" i="14"/>
  <c r="W13" i="14"/>
  <c r="X87" i="14"/>
  <c r="X50" i="14"/>
  <c r="X92" i="14"/>
  <c r="W28" i="14"/>
  <c r="X6" i="14"/>
  <c r="W59" i="14"/>
  <c r="X53" i="14"/>
  <c r="W73" i="14"/>
  <c r="X82" i="14"/>
  <c r="W11" i="14"/>
  <c r="BC119" i="14"/>
  <c r="BO119" i="14"/>
  <c r="W95" i="14"/>
  <c r="W111" i="14"/>
  <c r="X40" i="14"/>
  <c r="X38" i="14"/>
  <c r="W61" i="14"/>
  <c r="W60" i="14"/>
  <c r="W105" i="14"/>
  <c r="X93" i="14"/>
  <c r="X68" i="14"/>
  <c r="W67" i="14"/>
  <c r="W91" i="14"/>
  <c r="X51" i="14"/>
  <c r="W52" i="14"/>
  <c r="X30" i="14"/>
  <c r="W70" i="14"/>
  <c r="X66" i="14"/>
  <c r="X69" i="14"/>
  <c r="W41" i="14"/>
  <c r="X90" i="14"/>
  <c r="W54" i="14"/>
  <c r="W113" i="14"/>
  <c r="W114" i="14"/>
  <c r="W80" i="14"/>
  <c r="W71" i="14"/>
  <c r="X64" i="14"/>
  <c r="W56" i="14"/>
  <c r="W57" i="14"/>
  <c r="W14" i="14"/>
  <c r="W6" i="14"/>
  <c r="W76" i="14"/>
  <c r="W12" i="14"/>
  <c r="X4" i="14"/>
  <c r="W97" i="14"/>
  <c r="W19" i="14"/>
  <c r="W5" i="14"/>
  <c r="W106" i="14"/>
  <c r="X97" i="14"/>
  <c r="W66" i="14"/>
  <c r="W115" i="14"/>
  <c r="W25" i="14"/>
  <c r="X58" i="14"/>
  <c r="AF119" i="14"/>
  <c r="BE119" i="14"/>
  <c r="X100" i="14"/>
  <c r="W3" i="14"/>
  <c r="W65" i="14"/>
  <c r="X20" i="14"/>
  <c r="X117" i="14"/>
  <c r="W26" i="14"/>
  <c r="AL119" i="14"/>
  <c r="BF119" i="14"/>
  <c r="X85" i="14"/>
  <c r="X35" i="14"/>
  <c r="W96" i="14"/>
  <c r="W78" i="14"/>
  <c r="X110" i="14"/>
  <c r="W17" i="14"/>
  <c r="X65" i="14"/>
  <c r="W31" i="14"/>
  <c r="X45" i="14"/>
  <c r="W30" i="14"/>
  <c r="X25" i="14"/>
  <c r="W7" i="14"/>
  <c r="X79" i="14"/>
  <c r="X39" i="14"/>
  <c r="AQ119" i="14"/>
  <c r="BG119" i="14"/>
  <c r="X48" i="14"/>
  <c r="W49" i="14"/>
  <c r="X84" i="14"/>
  <c r="X9" i="14"/>
  <c r="X17" i="14"/>
  <c r="W108" i="14"/>
  <c r="W55" i="14"/>
  <c r="X11" i="14"/>
  <c r="W92" i="14"/>
  <c r="W46" i="14"/>
  <c r="X89" i="14"/>
  <c r="X28" i="14"/>
  <c r="W58" i="14"/>
  <c r="AV119" i="14"/>
  <c r="BH119" i="14"/>
  <c r="W88" i="14"/>
  <c r="X111" i="14"/>
  <c r="X83" i="14"/>
  <c r="W100" i="14"/>
  <c r="W23" i="14"/>
  <c r="X2" i="14"/>
  <c r="X5" i="14"/>
  <c r="X52" i="14"/>
  <c r="X54" i="14"/>
  <c r="X113" i="14"/>
  <c r="W24" i="14"/>
  <c r="W81" i="14"/>
  <c r="X46" i="14"/>
  <c r="X12" i="14"/>
  <c r="X26" i="14"/>
  <c r="X107" i="14"/>
  <c r="AW119" i="14"/>
  <c r="BI119" i="14"/>
  <c r="X29" i="14"/>
  <c r="X16" i="14"/>
  <c r="X96" i="14"/>
  <c r="X78" i="14"/>
  <c r="W27" i="14"/>
  <c r="X41" i="14"/>
  <c r="W40" i="14"/>
  <c r="W18" i="14"/>
  <c r="X80" i="14"/>
  <c r="X31" i="14"/>
  <c r="W75" i="14"/>
  <c r="X7" i="14"/>
  <c r="X47" i="14"/>
  <c r="AX119" i="14"/>
  <c r="BJ119" i="14"/>
  <c r="W94" i="14"/>
  <c r="X95" i="14"/>
  <c r="X62" i="14"/>
  <c r="W85" i="14"/>
  <c r="X112" i="14"/>
  <c r="X49" i="14"/>
  <c r="W118" i="14"/>
  <c r="X43" i="14"/>
  <c r="X42" i="14"/>
  <c r="W74" i="14"/>
  <c r="X3" i="14"/>
  <c r="X108" i="14"/>
  <c r="X55" i="14"/>
  <c r="W104" i="14"/>
  <c r="X70" i="14"/>
  <c r="W86" i="14"/>
  <c r="X77" i="14"/>
  <c r="AY119" i="14"/>
  <c r="BK119" i="14"/>
  <c r="X88" i="14"/>
  <c r="W72" i="14"/>
  <c r="X23" i="14"/>
  <c r="W36" i="14"/>
  <c r="W2" i="14"/>
  <c r="X24" i="14"/>
  <c r="X114" i="14"/>
  <c r="W32" i="14"/>
  <c r="X14" i="14"/>
  <c r="W37" i="14"/>
  <c r="W98" i="14"/>
  <c r="X60" i="14"/>
  <c r="W103" i="14"/>
  <c r="X86" i="14"/>
  <c r="BL119" i="14"/>
  <c r="X63" i="14"/>
  <c r="X27" i="14"/>
  <c r="W51" i="14"/>
  <c r="X18" i="14"/>
  <c r="X106" i="14"/>
  <c r="X56" i="14"/>
  <c r="X57" i="14"/>
  <c r="X105" i="14"/>
  <c r="BM119" i="14"/>
  <c r="X94" i="14"/>
  <c r="W10" i="14"/>
  <c r="X73" i="14"/>
  <c r="X67" i="14"/>
  <c r="X118" i="14"/>
  <c r="W33" i="14"/>
  <c r="X91" i="14"/>
  <c r="W34" i="14"/>
  <c r="X15" i="14"/>
  <c r="X74" i="14"/>
  <c r="X104" i="14"/>
  <c r="X81" i="14"/>
  <c r="W116" i="14"/>
  <c r="X76" i="14"/>
  <c r="W101" i="14"/>
  <c r="W21" i="14"/>
  <c r="W4" i="14"/>
  <c r="BA119" i="14"/>
  <c r="BB119" i="14"/>
  <c r="BN119" i="14"/>
  <c r="W93" i="14"/>
  <c r="W68" i="14"/>
  <c r="X8" i="14"/>
  <c r="X71" i="14"/>
  <c r="W112" i="14"/>
  <c r="W50" i="14"/>
  <c r="X59" i="14"/>
  <c r="W69" i="14"/>
  <c r="X32" i="14"/>
  <c r="W64" i="14"/>
  <c r="X109" i="14"/>
  <c r="W20" i="14"/>
  <c r="X75" i="14"/>
  <c r="X37" i="14"/>
  <c r="X98" i="14"/>
  <c r="W117" i="14"/>
  <c r="W77" i="14"/>
  <c r="Z119" i="14"/>
  <c r="BD119" i="14"/>
  <c r="BP119" i="14"/>
  <c r="X72" i="14"/>
  <c r="X10" i="14"/>
  <c r="W16" i="14"/>
  <c r="W87" i="14"/>
  <c r="X19" i="14"/>
  <c r="X33" i="14"/>
  <c r="X36" i="14"/>
  <c r="X44" i="14"/>
  <c r="X34" i="14"/>
  <c r="W9" i="14"/>
  <c r="W90" i="14"/>
  <c r="W53" i="14"/>
  <c r="X61" i="14"/>
  <c r="X103" i="14"/>
  <c r="X101" i="14"/>
  <c r="X99" i="14"/>
  <c r="AZ119" i="14"/>
  <c r="BJ119" i="8"/>
  <c r="BA119" i="8"/>
  <c r="BI119" i="8"/>
  <c r="BC119" i="8"/>
  <c r="BL119" i="8"/>
  <c r="AX119" i="8"/>
  <c r="BO119" i="8"/>
  <c r="AZ119" i="8"/>
  <c r="BH119" i="8"/>
  <c r="BQ119" i="8"/>
  <c r="BF119" i="8"/>
  <c r="AW119" i="8"/>
  <c r="BE119" i="8"/>
  <c r="BN119" i="8"/>
  <c r="AS119" i="8"/>
  <c r="BB119" i="8"/>
  <c r="BK119" i="8"/>
  <c r="AT119" i="8"/>
  <c r="AY119" i="8"/>
  <c r="BG119" i="8"/>
  <c r="BP119" i="8"/>
  <c r="AU119" i="8"/>
  <c r="BD119" i="8"/>
  <c r="BM119" i="8"/>
  <c r="AV119" i="8"/>
  <c r="AT153" i="10"/>
  <c r="AN153" i="10"/>
  <c r="AW153" i="10"/>
  <c r="AV153" i="10"/>
  <c r="AO153" i="10"/>
  <c r="AU153" i="10"/>
  <c r="AR153" i="10"/>
  <c r="AP153" i="10"/>
  <c r="AS153" i="10"/>
  <c r="AQ15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tc={AD232F0B-90BF-442D-A2BE-29B69BF6DA86}</author>
  </authors>
  <commentList>
    <comment ref="A3" authorId="0" shapeId="0" xr:uid="{AD232F0B-90BF-442D-A2BE-29B69BF6DA86}">
      <text>
        <t>[Threaded comment]
Your version of Excel allows you to read this threaded comment; however, any edits to it will get removed if the file is opened in a newer version of Excel. Learn more: https://go.microsoft.com/fwlink/?linkid=870924
Comment:
    Line items row 66-68 of the diamond inventory have been removed due to FIFA training facilities.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tc={504CD3E5-1BB4-4D05-BDF0-88FF8806F30F}</author>
  </authors>
  <commentList>
    <comment ref="A66" authorId="0" shapeId="0" xr:uid="{504CD3E5-1BB4-4D05-BDF0-88FF8806F30F}">
      <text>
        <t>[Threaded comment]
Your version of Excel allows you to read this threaded comment; however, any edits to it will get removed if the file is opened in a newer version of Excel. Learn more: https://go.microsoft.com/fwlink/?linkid=870924
Comment:
    Line items row 66-68 of the diamond inventory have been removed due to FIFA training facilities.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tc={7C34FA5C-C266-4B0E-82EC-2095DA0EF951}</author>
    <author>tc={31DB6B6A-CFFD-4A78-A9BA-13C3A7E8C0E1}</author>
  </authors>
  <commentList>
    <comment ref="A18" authorId="0" shapeId="0" xr:uid="{7C34FA5C-C266-4B0E-82EC-2095DA0EF951}">
      <text>
        <t xml:space="preserve">[Threaded comment]
Your version of Excel allows you to read this threaded comment; however, any edits to it will get removed if the file is opened in a newer version of Excel. Learn more: https://go.microsoft.com/fwlink/?linkid=870924
Comment:
    Currently the standard listed for Ruby is 80 m width and 154m length, it is an easy adjustment for to simply update the methods_dimensions tab to say the field should be greater 70 m in width and greater than 112m in length if that’s more practical thus Connaugh E &amp; W would meet the requirements
</t>
      </text>
    </comment>
    <comment ref="A37" authorId="1" shapeId="0" xr:uid="{31DB6B6A-CFFD-4A78-A9BA-13C3A7E8C0E1}">
      <text>
        <t xml:space="preserve">[Threaded comment]
Your version of Excel allows you to read this threaded comment; however, any edits to it will get removed if the file is opened in a newer version of Excel. Learn more: https://go.microsoft.com/fwlink/?linkid=870924
Comment:
    We used official measurements +/- 1 foot for diamond sports, which may not reflect practical use of the diamonds for sports such as slo-pitch.  Those requirements can be adjusted in this table as needed.
</t>
      </text>
    </comment>
  </commentList>
</comments>
</file>

<file path=xl/sharedStrings.xml><?xml version="1.0" encoding="utf-8"?>
<sst xmlns="http://schemas.openxmlformats.org/spreadsheetml/2006/main" count="6186" uniqueCount="1286">
  <si>
    <t>Diamond</t>
  </si>
  <si>
    <t>Balaclava Diamond SE</t>
  </si>
  <si>
    <t>4594 Balaclava St</t>
  </si>
  <si>
    <t>Balaclava Diamond SW</t>
  </si>
  <si>
    <t>Beaconsfield Diamond SW</t>
  </si>
  <si>
    <t>3215 Slocan St</t>
  </si>
  <si>
    <t>Bobolink Diamond EC</t>
  </si>
  <si>
    <t>2510 Holylake Ave</t>
  </si>
  <si>
    <t>Bobolink Diamond NE</t>
  </si>
  <si>
    <t>Bobolink Diamond NW</t>
  </si>
  <si>
    <t>Bobolink Diamond SW</t>
  </si>
  <si>
    <t>Braemar Diamond SE</t>
  </si>
  <si>
    <t>895 W 27th Av</t>
  </si>
  <si>
    <t>Carnarvon Diamond EC</t>
  </si>
  <si>
    <t>2995 W 19th Avenue</t>
  </si>
  <si>
    <t>Carnarvon Diamond NE</t>
  </si>
  <si>
    <t>Carnarvon Diamond NW</t>
  </si>
  <si>
    <t>Carnarvon Diamond SW</t>
  </si>
  <si>
    <t>Chaldecott Diamond C</t>
  </si>
  <si>
    <t>4175 Wallace St</t>
  </si>
  <si>
    <t>Chaldecott Diamond NW</t>
  </si>
  <si>
    <t>Champlain Diamond NE</t>
  </si>
  <si>
    <t>3350 Maquinna Dr</t>
  </si>
  <si>
    <t>Champlain Diamond SW</t>
  </si>
  <si>
    <t>China Creek Diamond NE</t>
  </si>
  <si>
    <t>1001 E 7th Av</t>
  </si>
  <si>
    <t>China Creek Diamond NW</t>
  </si>
  <si>
    <t>Clark Diamond S</t>
  </si>
  <si>
    <t>1500 E 14th Av</t>
  </si>
  <si>
    <t>Clinton Diamond NW</t>
  </si>
  <si>
    <t>2690 Grant St</t>
  </si>
  <si>
    <t>Collingwood Diamond NW</t>
  </si>
  <si>
    <t>Columbia Diamond NE</t>
  </si>
  <si>
    <t>5908 Alberta St</t>
  </si>
  <si>
    <t>Columbia Diamond SE</t>
  </si>
  <si>
    <t>Connaught Diamond NE</t>
  </si>
  <si>
    <t>2390 W 10th Av</t>
  </si>
  <si>
    <t>Connaught Diamond NW</t>
  </si>
  <si>
    <t>Connaught Diamond SC</t>
  </si>
  <si>
    <t>Connaught Diamond SE</t>
  </si>
  <si>
    <t>Douglas Field E Diamond SC</t>
  </si>
  <si>
    <t>801 W 22nd Av</t>
  </si>
  <si>
    <t>Douglas Field E Diamond SE</t>
  </si>
  <si>
    <t>Douglas Field W Diamond NW</t>
  </si>
  <si>
    <t>Douglas Field W Diamond SW</t>
  </si>
  <si>
    <t>Earles Diamond SW</t>
  </si>
  <si>
    <t>2802 E 41st Av</t>
  </si>
  <si>
    <t>Elm Diamond NW</t>
  </si>
  <si>
    <t>5800 Elm St</t>
  </si>
  <si>
    <t>Falaise Diamond NE</t>
  </si>
  <si>
    <t>3434 Falaise Ave</t>
  </si>
  <si>
    <t>Falaise Diamond S</t>
  </si>
  <si>
    <t>Gaston Diamond NW</t>
  </si>
  <si>
    <t>3470 Crowley Dr</t>
  </si>
  <si>
    <t>Gordon Diamond NE</t>
  </si>
  <si>
    <t>6675 Commercial St</t>
  </si>
  <si>
    <t>Gordon Diamond NW Centre</t>
  </si>
  <si>
    <t>Gordon Diamond SE</t>
  </si>
  <si>
    <t>Gordon Diamond SE Centre</t>
  </si>
  <si>
    <t>Gordon Diamond SW</t>
  </si>
  <si>
    <t>Hastings Diamond SE</t>
  </si>
  <si>
    <t>3096 E Hastings St</t>
  </si>
  <si>
    <t>Hastings Diamond SW</t>
  </si>
  <si>
    <t>Hillcrest Diamond NE</t>
  </si>
  <si>
    <t>Hillcrest Diamond NW</t>
  </si>
  <si>
    <t>Hillcrest Diamond SE - Challenger</t>
  </si>
  <si>
    <t>Hillcrest Diamond SW</t>
  </si>
  <si>
    <t>Jericho Diamond N</t>
  </si>
  <si>
    <t>3941 Point Grey Road</t>
  </si>
  <si>
    <t>John Hendry Diamond EC</t>
  </si>
  <si>
    <t>3300 Victoria Drive</t>
  </si>
  <si>
    <t>John Hendry Diamond EN</t>
  </si>
  <si>
    <t>John Hendry Diamond ES</t>
  </si>
  <si>
    <t>John Hendry Diamond NW</t>
  </si>
  <si>
    <t>John Hendry Diamond SW</t>
  </si>
  <si>
    <t>John Hendry Field Gravel Diamond</t>
  </si>
  <si>
    <t>Jonathan Rogers Diamond NW</t>
  </si>
  <si>
    <t>110 W 7th Av</t>
  </si>
  <si>
    <t>Kensington Diamond NNW</t>
  </si>
  <si>
    <t>5175 Dumfries St</t>
  </si>
  <si>
    <t>Kensington Diamond NSE</t>
  </si>
  <si>
    <t>Kensington Diamond SNW</t>
  </si>
  <si>
    <t>Kensington Diamond SSE</t>
  </si>
  <si>
    <t>Kerrisdale Diamond NW</t>
  </si>
  <si>
    <t>5670 East Boulevard</t>
  </si>
  <si>
    <t>Kerrisdale Diamond SE</t>
  </si>
  <si>
    <t>Killarney Diamond NE</t>
  </si>
  <si>
    <t>6205 Kerr St</t>
  </si>
  <si>
    <t>Killarney Diamond NW</t>
  </si>
  <si>
    <t>4445 Nw Marine Drive</t>
  </si>
  <si>
    <t>Maple Grove Diamond NE</t>
  </si>
  <si>
    <t>6875 Yew St</t>
  </si>
  <si>
    <t>Maple Grove Diamond SW</t>
  </si>
  <si>
    <t>Mcbride Diamond SE</t>
  </si>
  <si>
    <t>3351 West 4th Ave</t>
  </si>
  <si>
    <t>Mcbride Diamond SW</t>
  </si>
  <si>
    <t>3352 West 4th Ave</t>
  </si>
  <si>
    <t>5955 Ross St</t>
  </si>
  <si>
    <t>Memorial South Diamond NE</t>
  </si>
  <si>
    <t>Memorial South Diamond SC</t>
  </si>
  <si>
    <t>Memorial South Diamond SE</t>
  </si>
  <si>
    <t>Memorial West Diamond C</t>
  </si>
  <si>
    <t>4701 Dunbar St</t>
  </si>
  <si>
    <t>Memorial West Diamond E</t>
  </si>
  <si>
    <t>Memorial West Diamond W</t>
  </si>
  <si>
    <t>Moberly Diamond SE</t>
  </si>
  <si>
    <t>7646 Prince Albert St</t>
  </si>
  <si>
    <t>Moberly Diamond SW</t>
  </si>
  <si>
    <t>Montgomery Diamond NE</t>
  </si>
  <si>
    <t>1040 W 43rd Av</t>
  </si>
  <si>
    <t>Montgomery Diamond NW</t>
  </si>
  <si>
    <t>Montgomery Diamond SE</t>
  </si>
  <si>
    <t>Montgomery Diamond SW</t>
  </si>
  <si>
    <t>Nanaimo Diamond NC</t>
  </si>
  <si>
    <t>2390 E 46th Av</t>
  </si>
  <si>
    <t>Nanaimo Diamond NE</t>
  </si>
  <si>
    <t>Nanaimo Diamond SE</t>
  </si>
  <si>
    <t>Nanaimo Diamond SW</t>
  </si>
  <si>
    <t>Norquay Diamond NE</t>
  </si>
  <si>
    <t>5050 Wales St</t>
  </si>
  <si>
    <t>Norquay Diamond SW</t>
  </si>
  <si>
    <t>Oak Diamond N</t>
  </si>
  <si>
    <t>901 W 59th Av</t>
  </si>
  <si>
    <t>Oak Diamond NE</t>
  </si>
  <si>
    <t>900 W 59th Av</t>
  </si>
  <si>
    <t>Oak Diamond S</t>
  </si>
  <si>
    <t>Oak Diamond SE</t>
  </si>
  <si>
    <t>Quilchena Diamond C</t>
  </si>
  <si>
    <t>Quilchena Diamond SE</t>
  </si>
  <si>
    <t>Riley Diamond SW</t>
  </si>
  <si>
    <t>50 E 30th Av</t>
  </si>
  <si>
    <t>Ross Diamond NE</t>
  </si>
  <si>
    <t>7402 Ross St</t>
  </si>
  <si>
    <t>Rupert Diamond C</t>
  </si>
  <si>
    <t>1600 Rupert Street</t>
  </si>
  <si>
    <t>1575 W 62nd Av</t>
  </si>
  <si>
    <t>Stanley Park Brockton Diamond SW</t>
  </si>
  <si>
    <t>2000 W Georgia Street</t>
  </si>
  <si>
    <t>Strathcona Diamond C</t>
  </si>
  <si>
    <t>857 Malkin Ave</t>
  </si>
  <si>
    <t>Strathcona Diamond NW</t>
  </si>
  <si>
    <t>Strathcona Diamond SW</t>
  </si>
  <si>
    <t>Sunrise Diamond SE</t>
  </si>
  <si>
    <t>1950 Windermere St</t>
  </si>
  <si>
    <t>Templeton Diamond SE</t>
  </si>
  <si>
    <t>700 Templeton Drive</t>
  </si>
  <si>
    <t>Tisdall Diamond NE</t>
  </si>
  <si>
    <t>6210 Tisdall St</t>
  </si>
  <si>
    <t>Tisdall Diamond SW</t>
  </si>
  <si>
    <t>Trafalgar Diamond SE</t>
  </si>
  <si>
    <t>2610 W 23rd Av</t>
  </si>
  <si>
    <t>Trafalgar Diamond SW</t>
  </si>
  <si>
    <t>Trafalgar Diamond W</t>
  </si>
  <si>
    <t>West Point Grey Diamond NE</t>
  </si>
  <si>
    <t>2250 Trimble St</t>
  </si>
  <si>
    <t>West Point Grey Diamond SE</t>
  </si>
  <si>
    <t>West Point Grey Diamond SW</t>
  </si>
  <si>
    <t>Woodland Diamond NW</t>
  </si>
  <si>
    <t>705 Woodland Drive</t>
  </si>
  <si>
    <t>Field</t>
  </si>
  <si>
    <t>Adanac Field NW</t>
  </si>
  <si>
    <t>Adanac Field SE</t>
  </si>
  <si>
    <t>Adanac Field Summer</t>
  </si>
  <si>
    <t>Adanac Field SW</t>
  </si>
  <si>
    <t>98 Keefer St</t>
  </si>
  <si>
    <t>Balaclava Field Oval</t>
  </si>
  <si>
    <t>Balaclava Field SW</t>
  </si>
  <si>
    <t>Beaconsfield Field Gravel</t>
  </si>
  <si>
    <t>Beaconsfield Field SE</t>
  </si>
  <si>
    <t>Beaconsfield Field SW</t>
  </si>
  <si>
    <t>Bobolink Field NW</t>
  </si>
  <si>
    <t>Bobolink Field SE</t>
  </si>
  <si>
    <t>Bobolink Field SW</t>
  </si>
  <si>
    <t>Braemar Field C</t>
  </si>
  <si>
    <t>Brewers Field C</t>
  </si>
  <si>
    <t>4175 Victoria Drive</t>
  </si>
  <si>
    <t>Carnarvon Field E Summer</t>
  </si>
  <si>
    <t>Carnarvon Field N</t>
  </si>
  <si>
    <t>Carnarvon Field S</t>
  </si>
  <si>
    <t>Carnarvon Field WC Summer</t>
  </si>
  <si>
    <t>Cartier Grass Area</t>
  </si>
  <si>
    <t>Chaldecott Field NW</t>
  </si>
  <si>
    <t>Chaldecott Field SW</t>
  </si>
  <si>
    <t>Champlain Field C</t>
  </si>
  <si>
    <t>Charleson Field C</t>
  </si>
  <si>
    <t>999 Chrleson</t>
  </si>
  <si>
    <t>Clark Field C</t>
  </si>
  <si>
    <t>Clinton Field Gravel</t>
  </si>
  <si>
    <t>Clinton Field NW</t>
  </si>
  <si>
    <t>Clinton Field SW</t>
  </si>
  <si>
    <t>Collingwood Field C</t>
  </si>
  <si>
    <t>Columbia Field C</t>
  </si>
  <si>
    <t>Columbia Field S</t>
  </si>
  <si>
    <t>Connaught Cricket Pitch E</t>
  </si>
  <si>
    <t>Connaught Field C</t>
  </si>
  <si>
    <t>Connaught Field E</t>
  </si>
  <si>
    <t>Connaught Field NW</t>
  </si>
  <si>
    <t>Connaught Field W</t>
  </si>
  <si>
    <t>David Lam Field C</t>
  </si>
  <si>
    <t>1300 Pacific Blvd</t>
  </si>
  <si>
    <t>Douglas Field E</t>
  </si>
  <si>
    <t>Douglas Field E - Cricket Pitch</t>
  </si>
  <si>
    <t>Douglas Field E North</t>
  </si>
  <si>
    <t>Douglas Field W</t>
  </si>
  <si>
    <t>Earles Field C</t>
  </si>
  <si>
    <t>2801 E 41st Av</t>
  </si>
  <si>
    <t>Elm Field C</t>
  </si>
  <si>
    <t>2901 E Hastings St</t>
  </si>
  <si>
    <t>Eric Hamber High School Synthetic Turf</t>
  </si>
  <si>
    <t>5025 Oak St</t>
  </si>
  <si>
    <t>Falaise Field N</t>
  </si>
  <si>
    <t>Garden Field C</t>
  </si>
  <si>
    <t>1851 Garden Drive</t>
  </si>
  <si>
    <t>Gaston Field S</t>
  </si>
  <si>
    <t>General Brock Field N</t>
  </si>
  <si>
    <t>2301 Brock St</t>
  </si>
  <si>
    <t>George Field C</t>
  </si>
  <si>
    <t>500 E 63rd Av</t>
  </si>
  <si>
    <t>Gordon Field NE</t>
  </si>
  <si>
    <t>Gordon Field NW</t>
  </si>
  <si>
    <t>Gordon Field SE</t>
  </si>
  <si>
    <t>Granville Field C</t>
  </si>
  <si>
    <t>3001 Fir St</t>
  </si>
  <si>
    <t>Hillcrest Field E</t>
  </si>
  <si>
    <t>Hillcrest Field Mini NW</t>
  </si>
  <si>
    <t>Hillcrest Field N</t>
  </si>
  <si>
    <t>4501 Clancy Loranger Way</t>
  </si>
  <si>
    <t>Hillcrest Field S</t>
  </si>
  <si>
    <t>Jericho Field E</t>
  </si>
  <si>
    <t>Jericho Grass - E Festival Area</t>
  </si>
  <si>
    <t>John Hendry Field Gravel</t>
  </si>
  <si>
    <t>John Hendry Field NE</t>
  </si>
  <si>
    <t>John Hendry Field NW</t>
  </si>
  <si>
    <t>Jonathan Rogers Field C</t>
  </si>
  <si>
    <t>Jones Field C</t>
  </si>
  <si>
    <t>5350 Commercial St</t>
  </si>
  <si>
    <t>Kensington Field N</t>
  </si>
  <si>
    <t>Kensington Field S</t>
  </si>
  <si>
    <t>Kerrisdale ES Field Gravel N</t>
  </si>
  <si>
    <t>3001-3199 W 41st Avenue</t>
  </si>
  <si>
    <t>Kerrisdale ES Field Gravel S</t>
  </si>
  <si>
    <t>Kerrisdale Field C</t>
  </si>
  <si>
    <t>Killarney Field C</t>
  </si>
  <si>
    <t>Killarney Field EC</t>
  </si>
  <si>
    <t>Killarney Field Gravel</t>
  </si>
  <si>
    <t>Killarney Field Oval</t>
  </si>
  <si>
    <t>Kingcrest Field C</t>
  </si>
  <si>
    <t>4150 Knight St</t>
  </si>
  <si>
    <t>Locarno Beach Field C</t>
  </si>
  <si>
    <t>Maclean Field C</t>
  </si>
  <si>
    <t>710 Keefer St</t>
  </si>
  <si>
    <t>McBride Field C</t>
  </si>
  <si>
    <t>3350 West 4th Ave</t>
  </si>
  <si>
    <t>McSpadden Field C</t>
  </si>
  <si>
    <t>2125 Victoria Drive</t>
  </si>
  <si>
    <t>Memorial South Field NE</t>
  </si>
  <si>
    <t>Memorial South Field NW</t>
  </si>
  <si>
    <t>Memorial South Field Oval</t>
  </si>
  <si>
    <t>Memorial South Field SE</t>
  </si>
  <si>
    <t>Memorial West Field C</t>
  </si>
  <si>
    <t>Memorial West Field SE</t>
  </si>
  <si>
    <t>Moberly Field N</t>
  </si>
  <si>
    <t>Moberly Field S</t>
  </si>
  <si>
    <t>Montgomery Field E</t>
  </si>
  <si>
    <t>Montgomery Field W</t>
  </si>
  <si>
    <t>Musqueam Field E</t>
  </si>
  <si>
    <t>4000 Sw Marine Drive</t>
  </si>
  <si>
    <t>Musqueam Field NW</t>
  </si>
  <si>
    <t>Musqueam Field W</t>
  </si>
  <si>
    <t>NA</t>
  </si>
  <si>
    <t>Nanaimo Field E</t>
  </si>
  <si>
    <t>Nanaimo Field W</t>
  </si>
  <si>
    <t>New Brighton Field N</t>
  </si>
  <si>
    <t>3201 New Brighton Road</t>
  </si>
  <si>
    <t>Norquay Field S</t>
  </si>
  <si>
    <t>Oak Field E</t>
  </si>
  <si>
    <t>Oak Field Gravel</t>
  </si>
  <si>
    <t>Oak Field W</t>
  </si>
  <si>
    <t>Oak Meadows Field C</t>
  </si>
  <si>
    <t>899 W 37th Av</t>
  </si>
  <si>
    <t>Point Grey HS Artificial Field</t>
  </si>
  <si>
    <t>5350 East Blvd</t>
  </si>
  <si>
    <t>Prince Edward Field C</t>
  </si>
  <si>
    <t>3773 Prince Edward St</t>
  </si>
  <si>
    <t>Prince of Wales Field C</t>
  </si>
  <si>
    <t>4780 Haggart St</t>
  </si>
  <si>
    <t>Queen Elizabeth ES Field Gravel</t>
  </si>
  <si>
    <t>4102 W 16th Avenue</t>
  </si>
  <si>
    <t>Quilchena Field NW</t>
  </si>
  <si>
    <t>Quilchena Field SE</t>
  </si>
  <si>
    <t>Renfrew Field C</t>
  </si>
  <si>
    <t>2929 E 22nd Av</t>
  </si>
  <si>
    <t>Riley Field C</t>
  </si>
  <si>
    <t>Robson Field C</t>
  </si>
  <si>
    <t>599 Kingsway</t>
  </si>
  <si>
    <t>Ross Field C</t>
  </si>
  <si>
    <t>Rupert Field C</t>
  </si>
  <si>
    <t>Rupert Field S</t>
  </si>
  <si>
    <t>Shannon Field C</t>
  </si>
  <si>
    <t>Slocan Field C</t>
  </si>
  <si>
    <t>2750 E 29th Av</t>
  </si>
  <si>
    <t>Slocan Field SW</t>
  </si>
  <si>
    <t>Stanley Park Brockton Cricket Field N</t>
  </si>
  <si>
    <t>Stanley Park Brockton Cricket Field S</t>
  </si>
  <si>
    <t>Stanley Park Brockton Field Oval</t>
  </si>
  <si>
    <t>Stanley Park Brockton Field SW</t>
  </si>
  <si>
    <t>Strathcona Field EC</t>
  </si>
  <si>
    <t>Strathcona Field Gravel</t>
  </si>
  <si>
    <t>Strathcona Field Oval</t>
  </si>
  <si>
    <t>Strathcona Field W</t>
  </si>
  <si>
    <t>Sunrise Field C</t>
  </si>
  <si>
    <t>Sunset/Henderson Field C</t>
  </si>
  <si>
    <t>Templeton Field N</t>
  </si>
  <si>
    <t>Templeton Field S</t>
  </si>
  <si>
    <t>Tisdall Field N</t>
  </si>
  <si>
    <t>Tisdall Field S</t>
  </si>
  <si>
    <t>Trafalgar Cricket Pitch C</t>
  </si>
  <si>
    <t>Trafalgar Field C</t>
  </si>
  <si>
    <t>Trafalgar Field E</t>
  </si>
  <si>
    <t>Trafalgar Field NW</t>
  </si>
  <si>
    <t>Trafalgar Field SC</t>
  </si>
  <si>
    <t>600 National Avenue</t>
  </si>
  <si>
    <t>2650 Slocan St</t>
  </si>
  <si>
    <t>West Point Grey Field N</t>
  </si>
  <si>
    <t>West Point Grey Field S</t>
  </si>
  <si>
    <t>7575 Columbia St</t>
  </si>
  <si>
    <t>Woodland Field N</t>
  </si>
  <si>
    <t>Woodland Field S</t>
  </si>
  <si>
    <t xml:space="preserve">Name of Field </t>
  </si>
  <si>
    <t>Name of Park Site</t>
  </si>
  <si>
    <t xml:space="preserve">Neighbourhood </t>
  </si>
  <si>
    <t xml:space="preserve">Site Address </t>
  </si>
  <si>
    <t>Current Classification by Parks</t>
  </si>
  <si>
    <t xml:space="preserve">Field or Diamond </t>
  </si>
  <si>
    <t xml:space="preserve">Rectangular Field Dimension: Length - m </t>
  </si>
  <si>
    <t xml:space="preserve">Rectangular Field Dimension: Width - m </t>
  </si>
  <si>
    <t xml:space="preserve">Rectangular Field Area From Length x Width - m² </t>
  </si>
  <si>
    <t>Overlaps Another Field/ Diamond (Yes=1)</t>
  </si>
  <si>
    <t xml:space="preserve">Season of Use </t>
  </si>
  <si>
    <t>Primary Season Spring / Summer Use (Yes=1)</t>
  </si>
  <si>
    <t>Primary Season Fall / Winter Use (Yes=1)</t>
  </si>
  <si>
    <t>Lighting (Yes=1)</t>
  </si>
  <si>
    <t>Washrooms (Yes=1)</t>
  </si>
  <si>
    <t>Change Rooms (Yes=1)</t>
  </si>
  <si>
    <t>Drinking Fountain (Yes=1)</t>
  </si>
  <si>
    <t>Club House (Yes=1)</t>
  </si>
  <si>
    <t>Storage (Yes=1)</t>
  </si>
  <si>
    <t>Scoreboard (Yes=1)</t>
  </si>
  <si>
    <t>Rectangular Fields: Players Benches (Yes=1)</t>
  </si>
  <si>
    <t>Spectator Seating (Yes=1)</t>
  </si>
  <si>
    <t>Fieldhouse - Exists (Yes=1)</t>
  </si>
  <si>
    <t>Goal Post (Yes=1)</t>
  </si>
  <si>
    <t>Irrigation (Yes=1)</t>
  </si>
  <si>
    <t>Tournament Suitable Field (RCS Desktop) (Yes=1)</t>
  </si>
  <si>
    <t xml:space="preserve">Parking Area Description </t>
  </si>
  <si>
    <t>On site Parking Stall Count</t>
  </si>
  <si>
    <t>Natural Area / Open Space (Yes=1)</t>
  </si>
  <si>
    <t>Other Amenities (Binnie VSFS Assessement)</t>
  </si>
  <si>
    <t xml:space="preserve">Field Accessibility </t>
  </si>
  <si>
    <t>LTD Focus</t>
  </si>
  <si>
    <t xml:space="preserve">Rectangular Fields: Ball Control Fence Length </t>
  </si>
  <si>
    <t xml:space="preserve">Rectangular Fields: Ball Control Fence Height </t>
  </si>
  <si>
    <t>SUM</t>
  </si>
  <si>
    <t>Soccer/U5 - U6 (Yes=1)</t>
  </si>
  <si>
    <t>Soccer/U7 (Yes=1)</t>
  </si>
  <si>
    <t>Soccer/U8-U9 (Yes=1)</t>
  </si>
  <si>
    <t>Soccer/U10 - U11 (Yes=1)</t>
  </si>
  <si>
    <t>Soccer/U12 - U13 9v9 (Yes=1)</t>
  </si>
  <si>
    <t>Soccer/11 v 11 (Yes=1)</t>
  </si>
  <si>
    <t>Cricket/Oval Infield (Yes=1)</t>
  </si>
  <si>
    <t>CFL (Yes=1)</t>
  </si>
  <si>
    <t>NFL (Yes=1)</t>
  </si>
  <si>
    <t>Gaelic Football (Yes=1)</t>
  </si>
  <si>
    <t>Lacrosse (Yes=1)</t>
  </si>
  <si>
    <t>Rugby  (Yes=1)</t>
  </si>
  <si>
    <t>Ultimate Frisbee (Yes=1)</t>
  </si>
  <si>
    <t>Field Notes (Binnie VSFS Assessement)</t>
  </si>
  <si>
    <t>Notable Hazards (Binnie VSFS Assessement)</t>
  </si>
  <si>
    <t>Adanac Park</t>
  </si>
  <si>
    <t>Hastings-Sunrise</t>
  </si>
  <si>
    <t>1025 Boundary Road</t>
  </si>
  <si>
    <t>SS</t>
  </si>
  <si>
    <t>Berm</t>
  </si>
  <si>
    <t>Street</t>
  </si>
  <si>
    <t>Community Garden</t>
  </si>
  <si>
    <t>Good</t>
  </si>
  <si>
    <t>Learn to Train, Active for Life, Fundamentals</t>
  </si>
  <si>
    <t>&lt;Null&gt;</t>
  </si>
  <si>
    <t>None identified</t>
  </si>
  <si>
    <t>FW</t>
  </si>
  <si>
    <t>25 &amp; 50</t>
  </si>
  <si>
    <t>2 Backstop Fences South of Site, grade slopes slighly towards center</t>
  </si>
  <si>
    <t>Andy Livingstone  Artificial Field E</t>
  </si>
  <si>
    <t>Andy Livingstone Park</t>
  </si>
  <si>
    <t>Downtown</t>
  </si>
  <si>
    <t>Synthetic</t>
  </si>
  <si>
    <t>ATF</t>
  </si>
  <si>
    <t>All Year</t>
  </si>
  <si>
    <t>Tennis Courts, dog park, playground</t>
  </si>
  <si>
    <t>Very Good</t>
  </si>
  <si>
    <t>All</t>
  </si>
  <si>
    <t>Field lights are located within runout zone, approximately 1.3m from playing surface</t>
  </si>
  <si>
    <t>Andy Livingstone  Artificial Field W</t>
  </si>
  <si>
    <t>Turf for penalty dot inlays missing in both goal areas</t>
  </si>
  <si>
    <t>Turf Inlays missing for penalty dot</t>
  </si>
  <si>
    <t>Balaclava Park</t>
  </si>
  <si>
    <t>Dunbar-Southlands</t>
  </si>
  <si>
    <t>Dog park, playground, wading pool</t>
  </si>
  <si>
    <t>Poor</t>
  </si>
  <si>
    <t xml:space="preserve">Track has approximately 150mm curb on inner and outer perimeter so poor accessibility, surface and track saturated in areas </t>
  </si>
  <si>
    <t>Rugby goals, lights on north side, goal posts in diamond playing area</t>
  </si>
  <si>
    <t>Beaconsfield Park</t>
  </si>
  <si>
    <t>Renfrew-Collingwood</t>
  </si>
  <si>
    <t>All Weather</t>
  </si>
  <si>
    <t>Benches</t>
  </si>
  <si>
    <t>playground, garden</t>
  </si>
  <si>
    <t>Active Start, First Involvement, Active for Life</t>
  </si>
  <si>
    <t>Bobolink Park</t>
  </si>
  <si>
    <t>Victoria-Fraserview</t>
  </si>
  <si>
    <t>playground, wading pool, Basketball</t>
  </si>
  <si>
    <t>Goal Post placement interferes with Diamond</t>
  </si>
  <si>
    <t>Goal Post Placement</t>
  </si>
  <si>
    <t>Saturated. Local surface ponding throughout. Passive Area?</t>
  </si>
  <si>
    <t>Braemar Park</t>
  </si>
  <si>
    <t>South Cambie</t>
  </si>
  <si>
    <t>One Rugby goal on west end of field, some patchy turf by diamond</t>
  </si>
  <si>
    <t>Brewers Park</t>
  </si>
  <si>
    <t>Kensington-Cedar Cottage</t>
  </si>
  <si>
    <t>Seat walls</t>
  </si>
  <si>
    <t>playground, pickleball, tennis, garden</t>
  </si>
  <si>
    <t>Short 4m tall fences</t>
  </si>
  <si>
    <t>Carnarvon Park</t>
  </si>
  <si>
    <t>Arbutus-Ridge</t>
  </si>
  <si>
    <t>Cartier Park</t>
  </si>
  <si>
    <t>Riley Park</t>
  </si>
  <si>
    <t>390 E 36th Ave</t>
  </si>
  <si>
    <t>Added Post Site Visits by VPB. Visited in May. Backstop is a public art piece. Base paths not cut out. Field and Tee ball.</t>
  </si>
  <si>
    <t>Chaldecott Park</t>
  </si>
  <si>
    <t>Playground, wading pool</t>
  </si>
  <si>
    <t>Some damage and uneveness to the turf</t>
  </si>
  <si>
    <t>Champlain Park</t>
  </si>
  <si>
    <t>Killarney</t>
  </si>
  <si>
    <t>Public Parking</t>
  </si>
  <si>
    <t>Playground</t>
  </si>
  <si>
    <t>Moderate</t>
  </si>
  <si>
    <t>2.5 - 5</t>
  </si>
  <si>
    <t>Ball control fence to west</t>
  </si>
  <si>
    <t>Charleson Park</t>
  </si>
  <si>
    <t>Fairview</t>
  </si>
  <si>
    <t>Pay Parking</t>
  </si>
  <si>
    <t>Double Counted in Downtown and Stanley OSF Lists</t>
  </si>
  <si>
    <t>China Creek Park</t>
  </si>
  <si>
    <t>Mount Pleasant</t>
  </si>
  <si>
    <t>Playground and fitness equipment around field</t>
  </si>
  <si>
    <t>BackstopFence 4m ht, 36.5m len</t>
  </si>
  <si>
    <t>Clark Park</t>
  </si>
  <si>
    <t>Backstop Eastside 70m Length, 4m height, 1.2m height Fence Northside Moderate condition</t>
  </si>
  <si>
    <t>Clinton Park</t>
  </si>
  <si>
    <t>playground, wading pool</t>
  </si>
  <si>
    <t>Some grass and weeds on gravel</t>
  </si>
  <si>
    <t>Overlap with Diamond #45</t>
  </si>
  <si>
    <t>10 x 8m artificial turf installed in goal areas, noticeable high use for mini soccer fields running north-south</t>
  </si>
  <si>
    <t>Collingwood Park</t>
  </si>
  <si>
    <t>5272 Mckinn St</t>
  </si>
  <si>
    <t>Basketball Court, wading pool, Playground</t>
  </si>
  <si>
    <t>Columbia Park</t>
  </si>
  <si>
    <t>Oakridge</t>
  </si>
  <si>
    <t>LB in field north of FIS #53</t>
  </si>
  <si>
    <t>Connaught Park</t>
  </si>
  <si>
    <t>Kitsila</t>
  </si>
  <si>
    <t>Public lot</t>
  </si>
  <si>
    <t>Cricket field made of 2 soccer fields</t>
  </si>
  <si>
    <t>Rectangular</t>
  </si>
  <si>
    <t>Douglas Park</t>
  </si>
  <si>
    <t>Public lot and Street</t>
  </si>
  <si>
    <t>wading pool, enclosed playground - part of daycare onsite</t>
  </si>
  <si>
    <t>Cricket pictch, Mobile goal post</t>
  </si>
  <si>
    <t>Added Post Site Visits by VPB</t>
  </si>
  <si>
    <t>Signs of high wear</t>
  </si>
  <si>
    <t>Earles Park</t>
  </si>
  <si>
    <t>Ground soft and saturated near diamond and at SE corner.</t>
  </si>
  <si>
    <t>Elm Park</t>
  </si>
  <si>
    <t>Kerrisdale</t>
  </si>
  <si>
    <t>Lawn bowlling and tennis courts</t>
  </si>
  <si>
    <t xml:space="preserve">Probably mini soccer only, community has placed their own adirondack chairs in the park. </t>
  </si>
  <si>
    <t>Empire Artificial Field N</t>
  </si>
  <si>
    <t>Empire Park</t>
  </si>
  <si>
    <t>Pay Public Parking</t>
  </si>
  <si>
    <t>Open space is other programmed sport or play space, all other is a vegetated slope</t>
  </si>
  <si>
    <t>Perimeter</t>
  </si>
  <si>
    <t>1.2 - 12</t>
  </si>
  <si>
    <t>Fields are all fenced in</t>
  </si>
  <si>
    <t>Empire Artificial Field S</t>
  </si>
  <si>
    <t>Hamber School (HS)</t>
  </si>
  <si>
    <t>Public Lot, street</t>
  </si>
  <si>
    <t>Field hockey club, there is a building adjacent to the south side site on Oak Meadows Park</t>
  </si>
  <si>
    <t>6.0 - 8</t>
  </si>
  <si>
    <t>Shares bathroom with Oak Meadows. Backstop fence measurement is approximate, some areas could not be measured on site, supplimented with measurements from Google Earth</t>
  </si>
  <si>
    <t>Falaise Park</t>
  </si>
  <si>
    <t>Community Hall, Park is split in two by a road</t>
  </si>
  <si>
    <t>1.5 - 6</t>
  </si>
  <si>
    <t>Garden Park</t>
  </si>
  <si>
    <t>Grandview-Woodland</t>
  </si>
  <si>
    <t>Tennis Courts</t>
  </si>
  <si>
    <t xml:space="preserve">Site slopes east. Goal Posts are mobile.Backstops-Wood and chian link in poor cond. For both North: 15m len 4m ht. South 15.5m len 4.5m ht. </t>
  </si>
  <si>
    <t>Gaston Park</t>
  </si>
  <si>
    <t>School Adjacent, Playground, Basketball Court</t>
  </si>
  <si>
    <t>Train to Win, Compete &amp; Train, Active for Life</t>
  </si>
  <si>
    <t>General Brock Park</t>
  </si>
  <si>
    <t>Benches, Berms</t>
  </si>
  <si>
    <t>Some uneven ground, patches of weeds</t>
  </si>
  <si>
    <t>George Park</t>
  </si>
  <si>
    <t>Sunset</t>
  </si>
  <si>
    <t>building is picnic shelter</t>
  </si>
  <si>
    <t>Gordon Park</t>
  </si>
  <si>
    <t>Rugby goals, some ponding obversed on field</t>
  </si>
  <si>
    <t>Granville Park</t>
  </si>
  <si>
    <t>Field house doubles as Lawn bowling Club house, tennis, playground</t>
  </si>
  <si>
    <t>Lawn Bowling Club</t>
  </si>
  <si>
    <t>Hillcrest Park</t>
  </si>
  <si>
    <t>4501 Clancy Loranger Way </t>
  </si>
  <si>
    <t>Pay Parking lot shared with Hillcrest sports complex and adjacent Baseball club</t>
  </si>
  <si>
    <t xml:space="preserve">Mobile Goal posts, very open, good sight lines. Parking Lot partly covered in trailers at the time of assessments -it was not possible to get an accurate count </t>
  </si>
  <si>
    <t xml:space="preserve">Artifical turf has some minor maintenance issues, Mobile Goal posts. Very open, good sight lines. Parking Lot partly covered in trailers at the time of assessments -it was not possible to get an accurate count </t>
  </si>
  <si>
    <t>Jericho Park</t>
  </si>
  <si>
    <t>West Point Grey</t>
  </si>
  <si>
    <t>2 n descrip buildings</t>
  </si>
  <si>
    <t>Jericho Park/West Point Grey Park</t>
  </si>
  <si>
    <t>Point Grey Rd</t>
  </si>
  <si>
    <t>Pay Public Lot with Lacar</t>
  </si>
  <si>
    <t>Some rushes in NW corner, evidence of pooling water. Lumpy surface.</t>
  </si>
  <si>
    <t>Jericho West Artificial Field</t>
  </si>
  <si>
    <t>Complex of Strorage buildings, beach access</t>
  </si>
  <si>
    <t>Mobile Goal posts</t>
  </si>
  <si>
    <t>John Hendry (Trout Lake) Park</t>
  </si>
  <si>
    <t>Public Lot and Street</t>
  </si>
  <si>
    <t>Community Centre</t>
  </si>
  <si>
    <t>Bleachers</t>
  </si>
  <si>
    <t>Addional Backstop fence to North side -17m length 6m ht.</t>
  </si>
  <si>
    <t>Jones Park</t>
  </si>
  <si>
    <t>Recently renovated, ball diamond removed</t>
  </si>
  <si>
    <t>Kensington Park</t>
  </si>
  <si>
    <t>N/A</t>
  </si>
  <si>
    <t>Kerrisdale Elementary School</t>
  </si>
  <si>
    <t>Shared space with school</t>
  </si>
  <si>
    <t>Tree branches overhanging diamond (with one large 100mm diameter branch down near west goal)</t>
  </si>
  <si>
    <t>Tree limbs are overgrown and encroach on playing area of field, rock retaining wall approx 1.5m from east end</t>
  </si>
  <si>
    <t>There is a diamond backstop at the SW corner, mechanical fence in poor condition</t>
  </si>
  <si>
    <t>Kerrisdale Park</t>
  </si>
  <si>
    <t>Shaughnessy</t>
  </si>
  <si>
    <t>Ice Rink</t>
  </si>
  <si>
    <t>Pedestrian access requires moving through a rooty ramp, no pathways</t>
  </si>
  <si>
    <t>Ramp from track is trip hazard due to roots</t>
  </si>
  <si>
    <t>Killarney Park</t>
  </si>
  <si>
    <t>fitness centre, pool, rink, senior centre</t>
  </si>
  <si>
    <t>Temporary mini goals on field</t>
  </si>
  <si>
    <t>Potentially suitable for future ATF</t>
  </si>
  <si>
    <t>fitness centre, pool, rink, senior centre, Asphalt Running Track</t>
  </si>
  <si>
    <t>Major ground settlement evident, Very nice trees surround field. Maybe not used often or at all?</t>
  </si>
  <si>
    <t>Field planarity not suitable for organized or passive use</t>
  </si>
  <si>
    <t>Kingcrest Park</t>
  </si>
  <si>
    <t>Locar Beach Field Gravel</t>
  </si>
  <si>
    <t>Locar</t>
  </si>
  <si>
    <t>Pay Public Lot with Jericho</t>
  </si>
  <si>
    <t>West Point Grey Community Center</t>
  </si>
  <si>
    <t>Aberthau Mansion</t>
  </si>
  <si>
    <t>Maclean Park</t>
  </si>
  <si>
    <t>Strathcona</t>
  </si>
  <si>
    <t>Spray Park, Playground</t>
  </si>
  <si>
    <t>Not identified on GIS, Bystander stated diamond is rarely used. Not on OSF list of fields.</t>
  </si>
  <si>
    <t>Mcbride Park</t>
  </si>
  <si>
    <t>McSpadden Park</t>
  </si>
  <si>
    <t>Old backstop fence 6m ht, 22m length</t>
  </si>
  <si>
    <t>Memorial South Artifical Field</t>
  </si>
  <si>
    <t>Memorial South Park</t>
  </si>
  <si>
    <t>Bleachers and Grandstands</t>
  </si>
  <si>
    <t>Playground, tennis courts, outdoor fitness area</t>
  </si>
  <si>
    <t>Ball control fence on both sides</t>
  </si>
  <si>
    <t>Ball control fencing north, generally setup as baseball diamond</t>
  </si>
  <si>
    <t>Some patches in grass, very limited bench seating at perimeter</t>
  </si>
  <si>
    <t>Added Post Site Visits by VPB. Barely suitable for passive use, saturated surfance, poor planarity</t>
  </si>
  <si>
    <t>Field Planarity</t>
  </si>
  <si>
    <t>Memorial West Park</t>
  </si>
  <si>
    <t>Public Lot</t>
  </si>
  <si>
    <t>Small between diamonds</t>
  </si>
  <si>
    <t>VPB email correspondence - OSF only permits the C field and is not clear where the SE field boundaries are. We believe the SE is a designated area for events. Added from Ops List</t>
  </si>
  <si>
    <t>Moberly Park</t>
  </si>
  <si>
    <t>Public Lot/Street</t>
  </si>
  <si>
    <t>Arts and Cultural Centre</t>
  </si>
  <si>
    <t>Some minor holes in field.</t>
  </si>
  <si>
    <t>Montgomery Park</t>
  </si>
  <si>
    <t>Under Construction</t>
  </si>
  <si>
    <t>Musqueam Park</t>
  </si>
  <si>
    <t>Minor planarity issues, could use top dressing. Washrooms in Metro Vancouver building to west. Parking very limited</t>
  </si>
  <si>
    <t>Field slopes west, lots of bumps. Parking very limited</t>
  </si>
  <si>
    <t>Uneven surface</t>
  </si>
  <si>
    <t>Nanaimo Park</t>
  </si>
  <si>
    <t>overlaps with diamonds</t>
  </si>
  <si>
    <t>Tire marks from vehicles evident, overlaps with diamonds</t>
  </si>
  <si>
    <t>New Brighton Park</t>
  </si>
  <si>
    <t>Lots of dogs present</t>
  </si>
  <si>
    <t>Norquay Park</t>
  </si>
  <si>
    <t>Playground, Spray Park, Basketball Court</t>
  </si>
  <si>
    <t>Unusual linear wear patterin in grass</t>
  </si>
  <si>
    <t>Oak Park</t>
  </si>
  <si>
    <t>Marpole</t>
  </si>
  <si>
    <t>Community Centre Lot &amp; Street</t>
  </si>
  <si>
    <t>Community Centre and Church, Tennis Court, Playground</t>
  </si>
  <si>
    <t xml:space="preserve">North goalpost is broken - split longitudinally. </t>
  </si>
  <si>
    <t>North Goal Post Broken</t>
  </si>
  <si>
    <t>Oak Meadows Park</t>
  </si>
  <si>
    <t>Point Grey Secondary School</t>
  </si>
  <si>
    <t>Prince Edward Park</t>
  </si>
  <si>
    <t>Prince Of Wales Park</t>
  </si>
  <si>
    <t xml:space="preserve">Lack of vehicle barriers, there is evidence of donuts done on the field. </t>
  </si>
  <si>
    <t>None</t>
  </si>
  <si>
    <t>Queen Elizabeth Elementary School</t>
  </si>
  <si>
    <t>Half covered by modular buildings</t>
  </si>
  <si>
    <t>Quilchena Park</t>
  </si>
  <si>
    <t>4590 Maglia St</t>
  </si>
  <si>
    <t>Skate park, Playground, hellenic Garden</t>
  </si>
  <si>
    <t>Field is well used, so has sparse grass coverage in spots</t>
  </si>
  <si>
    <t>Shade from trees to south affects grass quality in goal area</t>
  </si>
  <si>
    <t>Renfrew Community Park</t>
  </si>
  <si>
    <t>Goal posts not aligned</t>
  </si>
  <si>
    <t>Robson Park</t>
  </si>
  <si>
    <t>Family Centre, Wading Pool, half basketball court, tennis court, playground</t>
  </si>
  <si>
    <t>south goal area could be moderate condition, north is poor condition.</t>
  </si>
  <si>
    <t>Ross Park</t>
  </si>
  <si>
    <t>Picnic Shelter, Wading Pool, Playground</t>
  </si>
  <si>
    <t>Rupert Park</t>
  </si>
  <si>
    <t>unmarked stalls through the under pass</t>
  </si>
  <si>
    <t>Parking lot is on the other side of pedestrain tunnel</t>
  </si>
  <si>
    <t>Shann Park</t>
  </si>
  <si>
    <t>Ball control fencing both ends</t>
  </si>
  <si>
    <t>Slocan Park</t>
  </si>
  <si>
    <t>Some damage/erosion in NW corner. Backstop - Chainlink 39m len 4.5ht Very good cond.</t>
  </si>
  <si>
    <t>Patches of weeds</t>
  </si>
  <si>
    <t>Brockton Park</t>
  </si>
  <si>
    <t>Stanley Park</t>
  </si>
  <si>
    <t>Pavilion</t>
  </si>
  <si>
    <t>Firm ground, Cricket felt in good condition. Nice views</t>
  </si>
  <si>
    <t>Legends of The Moon - gift shop</t>
  </si>
  <si>
    <t>Cricket felt saturated, slippery and peeling. Surface saturated. Nice Views</t>
  </si>
  <si>
    <t>Hard surface access fields, but only stairs in grandstands</t>
  </si>
  <si>
    <t>Fieldhouse, Grandstand</t>
  </si>
  <si>
    <t xml:space="preserve">Lots of sand, may have been top dressed recently. Heavy usage for rugby practice evident. </t>
  </si>
  <si>
    <t>Strathcona Park</t>
  </si>
  <si>
    <t>Picnic Shelter, Playground, Tennis Court</t>
  </si>
  <si>
    <t>Picnic Shelter, Playground, Tennis Court, Gravel Running Track</t>
  </si>
  <si>
    <t>Grass is patchy</t>
  </si>
  <si>
    <t>Sunrise Park</t>
  </si>
  <si>
    <t>Mobile Goal posts. Wing of East backstop acts like a ball control fence for field.</t>
  </si>
  <si>
    <t>Sunset Park</t>
  </si>
  <si>
    <t>404 East 51st Ave </t>
  </si>
  <si>
    <t>Mechanical fence missing many rails, 10m long ball control at each goal area, corner of fence has overhang for diamond</t>
  </si>
  <si>
    <t>Templeton Park</t>
  </si>
  <si>
    <t>In oval track, sign that it will be renovated</t>
  </si>
  <si>
    <t>Tisdall Park</t>
  </si>
  <si>
    <t>Trafalgar Park</t>
  </si>
  <si>
    <t>Cricket pictch is nearing end of life, feels like it is peeling and brittle</t>
  </si>
  <si>
    <t>Grass in good condition throughout</t>
  </si>
  <si>
    <t>Outfield of Trafalgar SW</t>
  </si>
  <si>
    <t>Trillium Artificial Field E</t>
  </si>
  <si>
    <t>Trillium Park</t>
  </si>
  <si>
    <t>6.0 to 8.0</t>
  </si>
  <si>
    <t>Some damage along black centre line going North South</t>
  </si>
  <si>
    <t>Trillium Artificial Field W</t>
  </si>
  <si>
    <t>Very new facility, all items noted to be in great condition. Excellent field access. Minor damage in North and South goal area</t>
  </si>
  <si>
    <t>Van Tech HS Artificial Field</t>
  </si>
  <si>
    <t>Vancouver Technical School</t>
  </si>
  <si>
    <t>Warped fence</t>
  </si>
  <si>
    <t>West Point Grey Park</t>
  </si>
  <si>
    <t>Wina Park</t>
  </si>
  <si>
    <t>Field Slightly frozen</t>
  </si>
  <si>
    <t>Rugby goals, field sligtly frozen</t>
  </si>
  <si>
    <t>Woodland Park</t>
  </si>
  <si>
    <t>Bumpy and some pooling</t>
  </si>
  <si>
    <t xml:space="preserve">Propsed Field Class Equivalent </t>
  </si>
  <si>
    <t>Overlaps ather Field Object (1= Yes)</t>
  </si>
  <si>
    <t>Lighting (1= Yes)</t>
  </si>
  <si>
    <t>Washrooms (1= Yes)</t>
  </si>
  <si>
    <t>Change Rooms (1= Yes)</t>
  </si>
  <si>
    <t>Drinking Fountain (1= Yes)</t>
  </si>
  <si>
    <t>Club House (1= Yes)</t>
  </si>
  <si>
    <t>Storage (1= Yes)</t>
  </si>
  <si>
    <t>Scoreboard (1= Yes)</t>
  </si>
  <si>
    <t>Spectator Seating (1= Yes)</t>
  </si>
  <si>
    <t>Fieldhouse - Exists (1= Yes)</t>
  </si>
  <si>
    <t>Irrigation(1= Yes)</t>
  </si>
  <si>
    <t xml:space="preserve">Tournament Suitable Field (RCS Desktop) </t>
  </si>
  <si>
    <t>Ball Diamonds with a designated out field  (1= Yes)</t>
  </si>
  <si>
    <t>Natural Area / Open Space (1= Yes)</t>
  </si>
  <si>
    <t xml:space="preserve">Other Amenities </t>
  </si>
  <si>
    <t>Diamonds: Outfield Field Fence  (1= Yes)</t>
  </si>
  <si>
    <t xml:space="preserve">Diamonds: Permanent or Temporary Outfield Fence </t>
  </si>
  <si>
    <t xml:space="preserve">Diamonds: Outfield Fence From Home along Foul line </t>
  </si>
  <si>
    <t xml:space="preserve">Diamonds Fence Condition </t>
  </si>
  <si>
    <t xml:space="preserve">Diamonds: Backstop Dimension Wing back wing - m </t>
  </si>
  <si>
    <t xml:space="preserve">Diamonds: Backstop Fence Height - m </t>
  </si>
  <si>
    <t>Diamonds: Base Cut outs</t>
  </si>
  <si>
    <t>Diamonds: Pitching Rubber Pitchers Plate  (1= Yes)</t>
  </si>
  <si>
    <r>
      <t xml:space="preserve">Diamonds: Pitchers Mound </t>
    </r>
    <r>
      <rPr>
        <sz val="11"/>
        <color theme="0"/>
        <rFont val="Raleway"/>
      </rPr>
      <t>(1= Yes)</t>
    </r>
  </si>
  <si>
    <t>Diamonds: Dugout (1= Yes)</t>
  </si>
  <si>
    <t>Diamonds: Scorekeepers_Box  (1= Yes)</t>
  </si>
  <si>
    <t xml:space="preserve">Diamonds: In field material </t>
  </si>
  <si>
    <t xml:space="preserve">Diamonds: Dimension Home to Pitchers Plate - m </t>
  </si>
  <si>
    <t xml:space="preserve">Diamonds: Dimension Home to Second Base -m </t>
  </si>
  <si>
    <t xml:space="preserve">Diamonds: Dimension Home to Infield Arc - m </t>
  </si>
  <si>
    <t xml:space="preserve">Diamonds: Home to First Base Path - m </t>
  </si>
  <si>
    <t>Diamonds: Base Anchors or Plug  (1= Yes)</t>
  </si>
  <si>
    <t>Softball</t>
  </si>
  <si>
    <t>Slopitch</t>
  </si>
  <si>
    <t>Baseball</t>
  </si>
  <si>
    <t xml:space="preserve">BAD? </t>
  </si>
  <si>
    <r>
      <t xml:space="preserve">Softball Men - U15 </t>
    </r>
    <r>
      <rPr>
        <sz val="11"/>
        <color theme="0"/>
        <rFont val="Raleway"/>
      </rPr>
      <t>(1= Yes)</t>
    </r>
  </si>
  <si>
    <r>
      <t xml:space="preserve">Softball Men - U13 </t>
    </r>
    <r>
      <rPr>
        <sz val="11"/>
        <color theme="0"/>
        <rFont val="Raleway"/>
      </rPr>
      <t>(1= Yes)</t>
    </r>
  </si>
  <si>
    <r>
      <t xml:space="preserve">Softball Men - U11 </t>
    </r>
    <r>
      <rPr>
        <sz val="11"/>
        <color theme="0"/>
        <rFont val="Raleway"/>
      </rPr>
      <t>(1= Yes)</t>
    </r>
  </si>
  <si>
    <r>
      <t xml:space="preserve">Softball Men - U9, U7 </t>
    </r>
    <r>
      <rPr>
        <sz val="11"/>
        <color theme="0"/>
        <rFont val="Raleway"/>
      </rPr>
      <t>(1= Yes)</t>
    </r>
  </si>
  <si>
    <t>Softball Female - Masters (1= Yes)</t>
  </si>
  <si>
    <r>
      <t xml:space="preserve">Softball Female - A,B, &amp;C  </t>
    </r>
    <r>
      <rPr>
        <sz val="11"/>
        <color theme="0"/>
        <rFont val="Raleway"/>
      </rPr>
      <t>(1= Yes)</t>
    </r>
  </si>
  <si>
    <t>Softball Female - D  (1= Yes)</t>
  </si>
  <si>
    <t>Softball Female - U19 A &amp; B  (1= Yes)</t>
  </si>
  <si>
    <t>Softball Female - U20 C (1= Yes)</t>
  </si>
  <si>
    <t>Softball Female - U17 (1= Yes)</t>
  </si>
  <si>
    <t>Softball Female - U15 (1= Yes)</t>
  </si>
  <si>
    <t>Softball Female - U13 (1= Yes)</t>
  </si>
  <si>
    <t>Softball Female - U11 (1= Yes)</t>
  </si>
  <si>
    <t>Softball Female - U9, U7 (1= Yes)</t>
  </si>
  <si>
    <t>Slo - Pitch - Mens (1= Yes)</t>
  </si>
  <si>
    <t>Slo - Pitch - Womens (1= Yes)</t>
  </si>
  <si>
    <t>Slo - Pitch - Co-Ed (1= Yes)</t>
  </si>
  <si>
    <t>Baseball - U18 (1= Yes)</t>
  </si>
  <si>
    <t>Baseball - U15 (1= Yes)</t>
  </si>
  <si>
    <t>Baseball - U13 (1= Yes)</t>
  </si>
  <si>
    <t>Baseball - U10 &amp; U11 (1= Yes)</t>
  </si>
  <si>
    <t>Baseball - U9 (1= Yes)</t>
  </si>
  <si>
    <t>Baseball - U9 2 (1= Yes)</t>
  </si>
  <si>
    <t>Baseball - U7 (1= Yes)</t>
  </si>
  <si>
    <t>Natural Turf - Overlap</t>
  </si>
  <si>
    <t>Class B-1</t>
  </si>
  <si>
    <t>9.0+ 3.0 + 9.0</t>
  </si>
  <si>
    <t>Yes</t>
  </si>
  <si>
    <t>Clay Base Paths</t>
  </si>
  <si>
    <t>Rugby goal directly in line with 2nd-3rd base path. Dugout - Benches only</t>
  </si>
  <si>
    <t>Class A (Sand)</t>
  </si>
  <si>
    <t>Class A-1</t>
  </si>
  <si>
    <t>27.5 + 6 + 12.0</t>
  </si>
  <si>
    <t>Fully Skinned</t>
  </si>
  <si>
    <t>River Sand</t>
  </si>
  <si>
    <t>Covered Dugout and scorer's table, 2 sets of bases one has shorter base paths, low spot SE corner of infield</t>
  </si>
  <si>
    <t>12+3+12</t>
  </si>
  <si>
    <t>River Sand and Turf</t>
  </si>
  <si>
    <t>Not skinned in, turf immediately around diamond is moderate, rest of the field is very good.No anchors, base measurements approximate.</t>
  </si>
  <si>
    <t>Class B-2</t>
  </si>
  <si>
    <t>21.5 + 3.0 + 21.5</t>
  </si>
  <si>
    <t>Scorekeepers table almost 1.8m in air. Need ladder to access. No anchors. Weedy infield. Height of Scorekeepers Table , Dugout - Benches only</t>
  </si>
  <si>
    <t xml:space="preserve">12.0 + 2.8 + 12.0 </t>
  </si>
  <si>
    <t>No anchors, base measurements approximate. Dugout - Benches only</t>
  </si>
  <si>
    <t xml:space="preserve">24.0 + 3.0 + 24.0 </t>
  </si>
  <si>
    <t>Scorekeepers table almost 1.8m in air. Need ladder to access.No anchors, base measurements approximate. Height of Scorekeepers Table , Dugout - Benches only</t>
  </si>
  <si>
    <t>26.0 + 3.0 + 59.0</t>
  </si>
  <si>
    <t>East backstop doubles as ball control fence for field, No plates or anchors. Dugout - Benches only</t>
  </si>
  <si>
    <t>15.0 + 3.0 + 15.0</t>
  </si>
  <si>
    <t>Homeless camp setup in south dugout, 2 sets of anchors</t>
  </si>
  <si>
    <t>3+3+3</t>
  </si>
  <si>
    <t>Turf</t>
  </si>
  <si>
    <t>Tee-ball Backstop, only home plate</t>
  </si>
  <si>
    <t>Goal post overlaps outfield</t>
  </si>
  <si>
    <t>Natural Turf - Stand alone</t>
  </si>
  <si>
    <t>Temporary</t>
  </si>
  <si>
    <t>77.5+10+39.5</t>
  </si>
  <si>
    <t>River Sand Base Path , Clay Shale mound, Turf infield</t>
  </si>
  <si>
    <t>62.5+6+24</t>
  </si>
  <si>
    <t>Scoreboard is mobile for whole park. North wing of fence joins NE diamond. Some outfield divits in turf.</t>
  </si>
  <si>
    <t>24+6+23.5</t>
  </si>
  <si>
    <t>No anchors, base measurements approximate. Backstop has minor damage.</t>
  </si>
  <si>
    <t>21 + 2.5 + 21</t>
  </si>
  <si>
    <t>Base paths not cut out</t>
  </si>
  <si>
    <t>39 + 3.5 + 53.5</t>
  </si>
  <si>
    <t>9.0 + 3.0 + 9.0</t>
  </si>
  <si>
    <t>River Sand base paths with Turf Infield</t>
  </si>
  <si>
    <t>Field access not great due to grass slope. No anchors, base measurement approximate. Basepaths turfed in. Dugout - Benches only</t>
  </si>
  <si>
    <t xml:space="preserve"> River Sand base paths with Turf Infield</t>
  </si>
  <si>
    <t>Tree limbs are overgrown and encroach on playing area of diamond</t>
  </si>
  <si>
    <t>18+5.5+17</t>
  </si>
  <si>
    <t>Slightly uneven infield, slopes North. Patchy grass along arc</t>
  </si>
  <si>
    <t>30+6+30</t>
  </si>
  <si>
    <t>Dugout bar being used as workout equipment-gymastic ring hung off of it. Lots of dogs and people using the exersise equipment. No anchors, base measurements approximate. Infield is uneven and has holes. Patchy turf East of arc.</t>
  </si>
  <si>
    <t>Class C</t>
  </si>
  <si>
    <t>65+3+17.5</t>
  </si>
  <si>
    <t>Outdoor Childrens classes using tarp over Dugout. Uneven immediately around arc</t>
  </si>
  <si>
    <t>32 + 3 + 56.7</t>
  </si>
  <si>
    <t>River Sand pads and Turf</t>
  </si>
  <si>
    <t>No anchor, base measurements approximate. Infield and outfield was very uneven and had large holes</t>
  </si>
  <si>
    <t>Goal Post Placed on first base line</t>
  </si>
  <si>
    <t>24.5+2.8+24.5</t>
  </si>
  <si>
    <t>Bleachers and backstock are usable, but nearing end of life. No anchors, base measurements are approximate. Grass has grown into the infield.</t>
  </si>
  <si>
    <t>36.5 + 6.0 + 36.5</t>
  </si>
  <si>
    <t>Permanent home plate</t>
  </si>
  <si>
    <t>18.0 + 2.8 + 18.0</t>
  </si>
  <si>
    <t>Mesh damage &amp; some rust on backstop</t>
  </si>
  <si>
    <t>Fitness facility, ice rink, spray park</t>
  </si>
  <si>
    <t>24.5+6+27.5</t>
  </si>
  <si>
    <t>24+3+24</t>
  </si>
  <si>
    <t>20.5+6+27</t>
  </si>
  <si>
    <t>Pitching anchor marker almost gone. One strand left.</t>
  </si>
  <si>
    <t>Cricket Practice cages</t>
  </si>
  <si>
    <t>27+6+27</t>
  </si>
  <si>
    <t>Backstop very warped</t>
  </si>
  <si>
    <t>9 + 6 + 9</t>
  </si>
  <si>
    <t>River sand</t>
  </si>
  <si>
    <t>No anchors, base measurements approximate. Noticable slope to skinned in area. Dugout - Benches only</t>
  </si>
  <si>
    <t>12 + 6 + 12</t>
  </si>
  <si>
    <t>No gates on dugouts, some pooling in infield. Infield is sloped &gt;2% and uneven. No anchors, base measurements are approximate. Dugout - Benches only</t>
  </si>
  <si>
    <t>Under Construction in druing 2nd Diamond assessment. Dugout - Benches only, No gates</t>
  </si>
  <si>
    <t>11.5m to soccer post. Under Construction in druing 2nd Diamond assessment. Dugout - Benches only, No gates</t>
  </si>
  <si>
    <t>18.4+3.8+18.4</t>
  </si>
  <si>
    <t>Grass in diamond soft and saturated. No anchors, base measuremenets are approximate.</t>
  </si>
  <si>
    <t>36.2 + 6.0 + 45.6</t>
  </si>
  <si>
    <t>Clay and Turf</t>
  </si>
  <si>
    <t>Covered dugout, scorekeepers box is enclosed, nice example of community diamond</t>
  </si>
  <si>
    <t>64+5+55</t>
  </si>
  <si>
    <t>No anchor1st and 2nd base - measurement approximate. Holes around home.</t>
  </si>
  <si>
    <t>Permanent</t>
  </si>
  <si>
    <t>45+2+61</t>
  </si>
  <si>
    <t>Could not find 2nd base anchor - measurement approximate. Small encampment. Deep divits around bases.</t>
  </si>
  <si>
    <t>35+6+35</t>
  </si>
  <si>
    <t>Easy access and nice spectator facilities. No anchors, base measurements are approximate</t>
  </si>
  <si>
    <t>40.0 + 6.0 + 40.0</t>
  </si>
  <si>
    <t>No base anchors, base measurments approximate</t>
  </si>
  <si>
    <t xml:space="preserve">13.0 + 6.0 + 13.0 </t>
  </si>
  <si>
    <t>5.0 + 2.4 + 5.0</t>
  </si>
  <si>
    <t>Dugout - Benches only</t>
  </si>
  <si>
    <t>34.0 + 6.0 + 19.4</t>
  </si>
  <si>
    <t>Hastings Community Park</t>
  </si>
  <si>
    <t>Dugout Shelter</t>
  </si>
  <si>
    <t>28+18+25</t>
  </si>
  <si>
    <t>No anchor, base measurements approximate.Outfield cut off by SW Diamond outfield fence. ~ 8m from NE arc.</t>
  </si>
  <si>
    <t>Sports courts, spray park, playground</t>
  </si>
  <si>
    <t>66.5 + 8 + 63</t>
  </si>
  <si>
    <t>39 + 8.5 + 36.5</t>
  </si>
  <si>
    <t xml:space="preserve">Base anchors, warm up mound, some drainage issues, sea can storage. Parking Lot partly covered in trailers at the time of assessments -it was not possible to get an accurate count </t>
  </si>
  <si>
    <t>40 + 8.5 + 39.5</t>
  </si>
  <si>
    <t xml:space="preserve">drainage issues,weeds in shale. Parking Lot partly covered in trailers at the time of assessments -it was not possible to get an accurate count </t>
  </si>
  <si>
    <t>25 + 6.5 + 24.5</t>
  </si>
  <si>
    <t>Synthetic Infield</t>
  </si>
  <si>
    <t>Synthetic turf</t>
  </si>
  <si>
    <t xml:space="preserve">Bases are intergrated with sythethic field. Parking Lot partly covered in trailers at the time of assessments -it was not possible to get an accurate count </t>
  </si>
  <si>
    <t>62.5 + 11.6 + 62.5</t>
  </si>
  <si>
    <t xml:space="preserve">Gated infield. Parking Lot partly covered in trailers at the time of assessments -it was not possible to get an accurate count </t>
  </si>
  <si>
    <t>Member only parking</t>
  </si>
  <si>
    <t>Brock House - Resturant, Senior Society, Heritage building</t>
  </si>
  <si>
    <t>39+6+38</t>
  </si>
  <si>
    <t>No anchors, base measurement are approximate</t>
  </si>
  <si>
    <t>20+3+20</t>
  </si>
  <si>
    <t>Outfield Turf had pooling and uneven terrain</t>
  </si>
  <si>
    <t>Outfield Planarity</t>
  </si>
  <si>
    <t>25+3+27</t>
  </si>
  <si>
    <t>Signs for 'Trout Lake Baseball', Batting cage, some uneveness in outfield</t>
  </si>
  <si>
    <t>Picnic Shelter</t>
  </si>
  <si>
    <t>18+6+18</t>
  </si>
  <si>
    <t>Infield Turf, pooling and uneven/bumpy terrain</t>
  </si>
  <si>
    <t>17+2.5+29</t>
  </si>
  <si>
    <t>2 Fences,mesh fence behind Chainlink. No anchor, base measurements are approximate.</t>
  </si>
  <si>
    <t>6+3+6</t>
  </si>
  <si>
    <t>Outfield Turf is uneven/lumpy. Slopes along edges. Large gap under kickboards</t>
  </si>
  <si>
    <t>30+2.5+9</t>
  </si>
  <si>
    <t>Gravel</t>
  </si>
  <si>
    <t>Shares field with Gravel Field</t>
  </si>
  <si>
    <t>Jonathan Rogers Park</t>
  </si>
  <si>
    <t>6+3+3</t>
  </si>
  <si>
    <t>No anchor, base measurements approximate. Deep holes in the infield. 2 Fences off backstop</t>
  </si>
  <si>
    <t>Community Hall</t>
  </si>
  <si>
    <t>12.0 + 4.0 + 12.0</t>
  </si>
  <si>
    <t>Large River sand base pads. No Home anchor, planarity is depress around home. Dugout - Benches only</t>
  </si>
  <si>
    <t>Goal Post Placement near infield</t>
  </si>
  <si>
    <t>River sand infield does not match aerial photo. No anchors except for 2nd base, other base measurements are approximate. Dugout - Benches only</t>
  </si>
  <si>
    <t>Square infield. Dugout - Benches only</t>
  </si>
  <si>
    <t>River Sand Base Pads</t>
  </si>
  <si>
    <t>Fence in bad shape, heavy mesh damage and corrosion. No anchors, base measurements are approximate</t>
  </si>
  <si>
    <t>Kerrisdale Centennial Park</t>
  </si>
  <si>
    <t>18 + 5.8 + 18</t>
  </si>
  <si>
    <t>Overland drainage issue across infield, permanent home and pitchers base. Some divits and uneven surface.</t>
  </si>
  <si>
    <t>12.6 + 5.8 + 12.6</t>
  </si>
  <si>
    <t>Base paths are cut in very deep. Permanent home and pitcher's next. Square</t>
  </si>
  <si>
    <t>Base Paths are cut in deep enough to be a tripping hazard (50mm)</t>
  </si>
  <si>
    <t>Killarney Diamond C</t>
  </si>
  <si>
    <t>18.5+6.0+18.5</t>
  </si>
  <si>
    <t>Permanent home and pitchers base, defined pitchers mound. No anchor on 1st and 2nd base, measurement approximate.</t>
  </si>
  <si>
    <t>Killarney Diamond EC</t>
  </si>
  <si>
    <t>29.5+6+30.5</t>
  </si>
  <si>
    <t>No anchor, base measurements approximate</t>
  </si>
  <si>
    <t>Infield overgrown, backstop not found. Abandoned?</t>
  </si>
  <si>
    <t>Backstop damaged with bent rail &amp; broken mesh, Approx. 15m available until conflict with permanent goal for field Killarney Field Gravel. No anchors, base measurements are approximate.</t>
  </si>
  <si>
    <t>Permanent Goal Post for field 129 within 15m of little league home plate</t>
  </si>
  <si>
    <t>Hotel</t>
  </si>
  <si>
    <t>Some bumps. Backstop damage</t>
  </si>
  <si>
    <t>Maple Grove Park</t>
  </si>
  <si>
    <t>Pool, Playground</t>
  </si>
  <si>
    <t>6.0 + 3.0 + 6.0</t>
  </si>
  <si>
    <t>Square infield. No anchors, base measurements approximate. Infield slopes South. Dugout - Benches only, No gates</t>
  </si>
  <si>
    <t>6.0 + 3.0 + 9.0</t>
  </si>
  <si>
    <t>Square infield. No anchors, base measurements approximate. Infield uneven. Dugout - Benches only, No gates</t>
  </si>
  <si>
    <t>21+2.5+21</t>
  </si>
  <si>
    <t>Base paths not cut out. River Sand of material infront of pitcher area.</t>
  </si>
  <si>
    <t>27.5+2.5+27</t>
  </si>
  <si>
    <t>Base paths not cut out. Dugout - Benches only, No gates</t>
  </si>
  <si>
    <t>Grandstands, picnic tables</t>
  </si>
  <si>
    <t>40.0 + 15.0 + 40.0</t>
  </si>
  <si>
    <t>Fence very well used, but functional. Large stadium style grandstand with elevated announcer booth</t>
  </si>
  <si>
    <t>21.6 + 6.0 + 21.6</t>
  </si>
  <si>
    <t>Little leage diamond, enclosed scorekeeper shelter, covered dugouts. Batting Cage.</t>
  </si>
  <si>
    <t>Soccer Goal post and painted lines overlap the infield.</t>
  </si>
  <si>
    <t>Layout conflict</t>
  </si>
  <si>
    <t>Sand base pad at home plate only, the rest is turf. Dugout - Benches only</t>
  </si>
  <si>
    <t>Sand pads at bases and shortstop position in 1st and 2nd base path, permenant home &amp; pitchers plate. Turfed in base paths.</t>
  </si>
  <si>
    <t>Grandstand</t>
  </si>
  <si>
    <t>10.8 + 5.6 + 44.5</t>
  </si>
  <si>
    <t>Very nice diamond, has batting cage, nice storage bins for extra clay. Deep hole around 1st base and uneven surface in the outfield</t>
  </si>
  <si>
    <t>Goal Post Placement at center Field</t>
  </si>
  <si>
    <t>Dunbar Community Center</t>
  </si>
  <si>
    <t>18 + 6 + 18</t>
  </si>
  <si>
    <t>Very nice diamond</t>
  </si>
  <si>
    <t>Little leage diamond, small fence with odd height. Dugout - Benches only</t>
  </si>
  <si>
    <t>18.0 + 3.0 + 18.0</t>
  </si>
  <si>
    <t>Turfed In</t>
  </si>
  <si>
    <t>Turfed in</t>
  </si>
  <si>
    <t>25.0 + 3.0 + 27.5</t>
  </si>
  <si>
    <t>Dugouts very small (0.9m deep with 0.3m bench and 0.4m wide gate). Divits in the infield.</t>
  </si>
  <si>
    <t>Class A (Soil)</t>
  </si>
  <si>
    <t>55.7 + 7 + 29.5</t>
  </si>
  <si>
    <t>No dugout benches, outfield has minor depressions. New Diamond.</t>
  </si>
  <si>
    <t>29.6 + 7 + 29.6</t>
  </si>
  <si>
    <t>Few divits in the outfield</t>
  </si>
  <si>
    <t>29.6 + 7 + 29.7</t>
  </si>
  <si>
    <t>No dugout benches</t>
  </si>
  <si>
    <t>29.8 + 7 + 29.8</t>
  </si>
  <si>
    <t xml:space="preserve">9.0 + 3.0 + 9.0 </t>
  </si>
  <si>
    <t>Outfield cut off by fence. Dugout - Benches only</t>
  </si>
  <si>
    <t>27.5 + 3 + 27.5</t>
  </si>
  <si>
    <t>Scoreboard at centre field</t>
  </si>
  <si>
    <t>37.0 + 6.0 + 37.0</t>
  </si>
  <si>
    <t>Full Baseball diamond</t>
  </si>
  <si>
    <t>22.5 + 3.0 + 22.5</t>
  </si>
  <si>
    <t>No anchor, base measurements approximate.</t>
  </si>
  <si>
    <t>rquay Park</t>
  </si>
  <si>
    <t>4.8 + 2 + 1.8</t>
  </si>
  <si>
    <t>Backstop does not match size of infield and has non-standard design. Dugout - Benches only</t>
  </si>
  <si>
    <t>Back stop not effecitive for size of infield, foul balls are possible in playground area for any age above tee ball</t>
  </si>
  <si>
    <t xml:space="preserve">3.0 + 3.0 + 3.0 </t>
  </si>
  <si>
    <t>Infield all grass</t>
  </si>
  <si>
    <t>33.7 + 5.5 + 33.5</t>
  </si>
  <si>
    <t>Base cut outs are raised</t>
  </si>
  <si>
    <t>9.7 + 2.8 + 9.2</t>
  </si>
  <si>
    <t>Partial outfield fence to east..Dugout - Benches only</t>
  </si>
  <si>
    <t>15.1 + 3.0 + 28.0</t>
  </si>
  <si>
    <t>Goal post placement  is right at second base. Basepaths turfed in. 2 base cut out is raised</t>
  </si>
  <si>
    <t>18 + 6.0 + 18</t>
  </si>
  <si>
    <t>Access is all grass with slopes.Surface of infield and outfield a little lumpy.</t>
  </si>
  <si>
    <t>Google Earth Photographs do t show a building</t>
  </si>
  <si>
    <t>22 + 3 + 58.3</t>
  </si>
  <si>
    <t>Park looks recently renovated, square infield, small T-ball backstop in NE corner, new fence on the west</t>
  </si>
  <si>
    <t>24.0 + 2.8 + 24.3</t>
  </si>
  <si>
    <t>Damage to mesh, rails and skirt board of backstop. Dugout - Benches only</t>
  </si>
  <si>
    <t>13+6+12</t>
  </si>
  <si>
    <t>18.0 + 6.0 + 18.0</t>
  </si>
  <si>
    <t>Square infield. Children playing kickball from the building adjacent observed.</t>
  </si>
  <si>
    <t>18.5 + 6 + 18.5</t>
  </si>
  <si>
    <t>No pathways to access. Golfing activity observed. Lots of holes and divits in outfield area. Low areas around bases. Dugout - Benches only</t>
  </si>
  <si>
    <t>23.5 + 6 + 23.5</t>
  </si>
  <si>
    <t>Major Ponding in infield. No pitcher plate, there is an anchor</t>
  </si>
  <si>
    <t>63.4 + 6 + 63.4</t>
  </si>
  <si>
    <t>No pitching plate, but there is an anchor.</t>
  </si>
  <si>
    <t>24.5 + 3.0 + 24.5</t>
  </si>
  <si>
    <t>3 9+ 6 + 94</t>
  </si>
  <si>
    <t>Backstop shows lots of warping</t>
  </si>
  <si>
    <t>23 + 5 + 36.5</t>
  </si>
  <si>
    <t>All bases are raised above infield turf</t>
  </si>
  <si>
    <t>27.5+6+27.5</t>
  </si>
  <si>
    <t>Closed for construction during 2nd Diamond Assessment</t>
  </si>
  <si>
    <t>30.5+6.0+40.0</t>
  </si>
  <si>
    <t>Closed for construction during 2nd Diamond Assessment.</t>
  </si>
  <si>
    <t>35.5 + 6 + 39</t>
  </si>
  <si>
    <t>No base path cut outs</t>
  </si>
  <si>
    <t>21.5 + 7 + 23</t>
  </si>
  <si>
    <t>Gated, perimeter fence is chainlink and hedge. No anchors, base measurement approximate.</t>
  </si>
  <si>
    <t>27.5 + 5 + 11.5</t>
  </si>
  <si>
    <t>No anchors, base measurement approximate.</t>
  </si>
  <si>
    <t>11.5+2.5+12</t>
  </si>
  <si>
    <t>Base pad cut out, not base paths. Small bumps and uneveness.</t>
  </si>
  <si>
    <t>Damaged and warped fence</t>
  </si>
  <si>
    <t>8.5+4.5+8.5</t>
  </si>
  <si>
    <t>Playground, garden,wading pool</t>
  </si>
  <si>
    <t>24+3+46</t>
  </si>
  <si>
    <t>Lots of depressions</t>
  </si>
  <si>
    <r>
      <t xml:space="preserve">Diamonds: Pitchers Mound </t>
    </r>
    <r>
      <rPr>
        <sz val="10"/>
        <color theme="0"/>
        <rFont val="Raleway"/>
      </rPr>
      <t>(1= Yes)</t>
    </r>
  </si>
  <si>
    <t xml:space="preserve">Softball Men - Masters U23, U20, u17 </t>
  </si>
  <si>
    <t>Home to Pitch (Low)</t>
  </si>
  <si>
    <t>Home to Pitch (High)</t>
  </si>
  <si>
    <t>Home to 1st (Low)</t>
  </si>
  <si>
    <t>Home to 1st (High)</t>
  </si>
  <si>
    <t>AVG</t>
  </si>
  <si>
    <t xml:space="preserve">Softball Men - U15 </t>
  </si>
  <si>
    <t>Home to Pitch (Low)2</t>
  </si>
  <si>
    <t>Home to Pitch (High)3</t>
  </si>
  <si>
    <t>Home to 1st (Low)4</t>
  </si>
  <si>
    <t>Home to 1st (High)5</t>
  </si>
  <si>
    <t>AVG2</t>
  </si>
  <si>
    <t xml:space="preserve">Softball Men - U13 </t>
  </si>
  <si>
    <t>Home to Pitch (Low)22</t>
  </si>
  <si>
    <t>Home to Pitch (High)33</t>
  </si>
  <si>
    <t>Home to 1st (Low)44</t>
  </si>
  <si>
    <t>Home to 1st (High)55</t>
  </si>
  <si>
    <t xml:space="preserve">Softball Men - U11 </t>
  </si>
  <si>
    <t>Home to Pitch (Low)222</t>
  </si>
  <si>
    <t>Home to Pitch (High)333</t>
  </si>
  <si>
    <t>Home to 1st (Low)444</t>
  </si>
  <si>
    <t>Home to 1st (High)555</t>
  </si>
  <si>
    <t xml:space="preserve">Softball Men - U9, U7 </t>
  </si>
  <si>
    <t xml:space="preserve">Softball Female - Masters </t>
  </si>
  <si>
    <t xml:space="preserve">Softball Female - A,B, &amp;C  </t>
  </si>
  <si>
    <t xml:space="preserve">Softball Female - D  </t>
  </si>
  <si>
    <t xml:space="preserve">Softball Female - U19 A &amp; B  </t>
  </si>
  <si>
    <t xml:space="preserve">Softball Female - U20 C </t>
  </si>
  <si>
    <t xml:space="preserve">Softball Female - U17 </t>
  </si>
  <si>
    <t xml:space="preserve">Softball Female - U15 </t>
  </si>
  <si>
    <t xml:space="preserve">Softball Female - U13 </t>
  </si>
  <si>
    <t xml:space="preserve">Softball Female - U11 </t>
  </si>
  <si>
    <t xml:space="preserve">Softball Female - U9, U7 </t>
  </si>
  <si>
    <t xml:space="preserve">Slo - Pitch - Mens </t>
  </si>
  <si>
    <t xml:space="preserve">Slo - Pitch - Womens </t>
  </si>
  <si>
    <t xml:space="preserve">Slo - Pitch - Co-Ed </t>
  </si>
  <si>
    <t xml:space="preserve">Baseball - U18 </t>
  </si>
  <si>
    <t xml:space="preserve">Baseball - U15 </t>
  </si>
  <si>
    <t xml:space="preserve">Baseball - U13 </t>
  </si>
  <si>
    <t xml:space="preserve">Baseball - U10 &amp; U11 </t>
  </si>
  <si>
    <t xml:space="preserve">Baseball - U9 </t>
  </si>
  <si>
    <t xml:space="preserve">Baseball - U9 2 </t>
  </si>
  <si>
    <t xml:space="preserve">Baseball - U7 </t>
  </si>
  <si>
    <t>Baseball - U8</t>
  </si>
  <si>
    <t>Baseball - U9</t>
  </si>
  <si>
    <t>not sized</t>
  </si>
  <si>
    <t>bookable</t>
  </si>
  <si>
    <t>Memorial South Diamond NW</t>
  </si>
  <si>
    <t xml:space="preserve">Locarno Beach Diamond </t>
  </si>
  <si>
    <t>Memorial South Diamond C</t>
  </si>
  <si>
    <t>Shann Diamond SE</t>
  </si>
  <si>
    <t>Columbia Diamond WC</t>
  </si>
  <si>
    <t>3.0 + 3.0 + 3.0</t>
  </si>
  <si>
    <t>River sand pad for home plate</t>
  </si>
  <si>
    <t>Poor surface drainage with signficant ponding. Uneven and patchy infield turf. Dugout - Benches only</t>
  </si>
  <si>
    <t>Spreadsheet Info</t>
  </si>
  <si>
    <t xml:space="preserve">The following sheets (Rec_field_info and Diamond_info) provide field information collected from field assessments and database information collected from previous GIS databases and bookings and parks staff. The table provided below provides measurements for different sports/ activities. When a field is indicated as meeting the requirements with the number 1 in the spreadsheet it is because its measurements align with criteria for that activity or are within 1 foot more or less of the criteria.  In some cases other field characteristics (e.g. a pitchers mound, presence of  base anchors or plug) may allow  some variance for the dimensions to allow for more activities to be played. </t>
  </si>
  <si>
    <t xml:space="preserve">Formula Used </t>
  </si>
  <si>
    <t>COUNTIFS("Criteria Length from Info Spreadhseet","Criteria Length from this Dimensions Sheet","Criteria width from Info Spreadhseet","Criteria Length from this Dimensions Sheet")</t>
  </si>
  <si>
    <t>DESIGNATIONS</t>
  </si>
  <si>
    <t xml:space="preserve"> Criteria for Formulas in Spreadsheet</t>
  </si>
  <si>
    <t xml:space="preserve">Sport/ Age Criteria </t>
  </si>
  <si>
    <t>Width</t>
  </si>
  <si>
    <t>Length</t>
  </si>
  <si>
    <t>Fence Min</t>
  </si>
  <si>
    <t>Fence Max</t>
  </si>
  <si>
    <t>Criteria Width</t>
  </si>
  <si>
    <t>Criteria Width Max</t>
  </si>
  <si>
    <t>Criteria Length</t>
  </si>
  <si>
    <t>Criteria Length Max</t>
  </si>
  <si>
    <t>Soccer/U5 - U6</t>
  </si>
  <si>
    <t>Soccer/U7</t>
  </si>
  <si>
    <t>18 -22 m</t>
  </si>
  <si>
    <t>25 - 30 m</t>
  </si>
  <si>
    <t>&gt;=18</t>
  </si>
  <si>
    <t>&gt;=25</t>
  </si>
  <si>
    <t>Soccer/U8-U9</t>
  </si>
  <si>
    <t>25- 30 m</t>
  </si>
  <si>
    <t xml:space="preserve">30 - 36 m </t>
  </si>
  <si>
    <t>&gt;=30</t>
  </si>
  <si>
    <t>Soccer/U10 - U11</t>
  </si>
  <si>
    <t>40 - 55 m</t>
  </si>
  <si>
    <t>&gt;=40</t>
  </si>
  <si>
    <t>Soccer/U12 - U13 9v9</t>
  </si>
  <si>
    <t>42-55 m</t>
  </si>
  <si>
    <t>60 - 75 m</t>
  </si>
  <si>
    <t>&gt;=42</t>
  </si>
  <si>
    <t>&gt;=60</t>
  </si>
  <si>
    <t xml:space="preserve">Soccer/11 v 11 </t>
  </si>
  <si>
    <t>45 - 90 m</t>
  </si>
  <si>
    <t>90 - 120 m</t>
  </si>
  <si>
    <t>&gt;=45</t>
  </si>
  <si>
    <t>&gt;=90</t>
  </si>
  <si>
    <t>Cricket/Oval Infield</t>
  </si>
  <si>
    <t>124.34 m</t>
  </si>
  <si>
    <t>132.94 m</t>
  </si>
  <si>
    <t>&gt;=124</t>
  </si>
  <si>
    <t>&gt;=132</t>
  </si>
  <si>
    <t>CFL</t>
  </si>
  <si>
    <t>65.436 m</t>
  </si>
  <si>
    <t>147.156 m</t>
  </si>
  <si>
    <t>&gt;=65</t>
  </si>
  <si>
    <t>&gt;=147</t>
  </si>
  <si>
    <t>NFL</t>
  </si>
  <si>
    <t>54.768 m</t>
  </si>
  <si>
    <t>119.728 m</t>
  </si>
  <si>
    <t>&gt;=54</t>
  </si>
  <si>
    <t>&lt;=55</t>
  </si>
  <si>
    <t>&gt;=119</t>
  </si>
  <si>
    <t>&lt;=120</t>
  </si>
  <si>
    <t>Gaelic Football</t>
  </si>
  <si>
    <t>80- 90 m</t>
  </si>
  <si>
    <t>130-145 m</t>
  </si>
  <si>
    <t>&gt;=95</t>
  </si>
  <si>
    <t xml:space="preserve">Lacrosse </t>
  </si>
  <si>
    <t>69.49 m</t>
  </si>
  <si>
    <t>118.87 m</t>
  </si>
  <si>
    <t>&gt;=69</t>
  </si>
  <si>
    <t>&gt;=118</t>
  </si>
  <si>
    <t xml:space="preserve">Rugby </t>
  </si>
  <si>
    <t xml:space="preserve">80 m </t>
  </si>
  <si>
    <t>154 m</t>
  </si>
  <si>
    <t>&gt;=80</t>
  </si>
  <si>
    <t>&gt;=154</t>
  </si>
  <si>
    <t>Ultimate Frisbee</t>
  </si>
  <si>
    <t>46.144 m</t>
  </si>
  <si>
    <t>109.144 m</t>
  </si>
  <si>
    <t>&gt;=46</t>
  </si>
  <si>
    <t>&gt;=109</t>
  </si>
  <si>
    <t>Pitch</t>
  </si>
  <si>
    <t>Base</t>
  </si>
  <si>
    <t>Criteria Home to Pitch Low</t>
  </si>
  <si>
    <t>Criteria Home to Pitch High</t>
  </si>
  <si>
    <t>Criteria  Home to First Base Low</t>
  </si>
  <si>
    <t>Criteria  Home to First Base High</t>
  </si>
  <si>
    <t>Sofball Male - Masters U23, U20, u17</t>
  </si>
  <si>
    <t xml:space="preserve">14.02 m </t>
  </si>
  <si>
    <t xml:space="preserve">18.288 m </t>
  </si>
  <si>
    <t>68.58 m</t>
  </si>
  <si>
    <t>80.77 m</t>
  </si>
  <si>
    <t>&gt;=13.72</t>
  </si>
  <si>
    <t>&lt;=14.32</t>
  </si>
  <si>
    <t>&gt;=17.988</t>
  </si>
  <si>
    <t>&lt;=18.588</t>
  </si>
  <si>
    <t>Softball Men - U15</t>
  </si>
  <si>
    <t>12.8 m</t>
  </si>
  <si>
    <t>64 m</t>
  </si>
  <si>
    <t>76.2 m</t>
  </si>
  <si>
    <t>&gt;=12.5</t>
  </si>
  <si>
    <t>&lt;=13.1</t>
  </si>
  <si>
    <t>Softball Men - U13</t>
  </si>
  <si>
    <t>11.58 m</t>
  </si>
  <si>
    <t>16.764 m</t>
  </si>
  <si>
    <t>51.82 m</t>
  </si>
  <si>
    <t>&gt;=11.2</t>
  </si>
  <si>
    <t>&lt;=11.8</t>
  </si>
  <si>
    <t>&gt;=16.5</t>
  </si>
  <si>
    <t>&lt;=17.04</t>
  </si>
  <si>
    <t>Softball Men - U11</t>
  </si>
  <si>
    <t>10.67  m</t>
  </si>
  <si>
    <t>13.72 m</t>
  </si>
  <si>
    <t>48.77 m</t>
  </si>
  <si>
    <t>&gt;=10.37</t>
  </si>
  <si>
    <t>&lt;=10.97</t>
  </si>
  <si>
    <t>&gt;=13.5</t>
  </si>
  <si>
    <t>&lt;=14.02</t>
  </si>
  <si>
    <t>Softball Men - U9, U7</t>
  </si>
  <si>
    <t>9.144 m</t>
  </si>
  <si>
    <t>&gt;=8.844</t>
  </si>
  <si>
    <t>&lt;=9.44</t>
  </si>
  <si>
    <t>13.12 m</t>
  </si>
  <si>
    <t>18.288 m</t>
  </si>
  <si>
    <t>&gt;=12.9</t>
  </si>
  <si>
    <t>&lt;=13.42</t>
  </si>
  <si>
    <t xml:space="preserve">Softball Female - A,B, &amp;C </t>
  </si>
  <si>
    <t>67.06 m</t>
  </si>
  <si>
    <t>71.63 m</t>
  </si>
  <si>
    <t xml:space="preserve">Softball Female - D </t>
  </si>
  <si>
    <t xml:space="preserve">12.19 m </t>
  </si>
  <si>
    <t>60.96 m</t>
  </si>
  <si>
    <t>&gt;11.89</t>
  </si>
  <si>
    <t>&lt;=12.49</t>
  </si>
  <si>
    <t xml:space="preserve">Softball Female - U19 A &amp; B </t>
  </si>
  <si>
    <t>65 m</t>
  </si>
  <si>
    <t>Softball Female - U20 C</t>
  </si>
  <si>
    <t>66 m</t>
  </si>
  <si>
    <t>Softball Female - U17</t>
  </si>
  <si>
    <t>67 m</t>
  </si>
  <si>
    <t>Softball Female - U15</t>
  </si>
  <si>
    <t>68 m</t>
  </si>
  <si>
    <t>Softball Female - U13</t>
  </si>
  <si>
    <t xml:space="preserve">11.58 m </t>
  </si>
  <si>
    <t>16.76 m</t>
  </si>
  <si>
    <t>69 m</t>
  </si>
  <si>
    <t>&gt;=11.28</t>
  </si>
  <si>
    <t>&lt;=11.88</t>
  </si>
  <si>
    <t>&gt;=16.46</t>
  </si>
  <si>
    <t>&lt;=17.06</t>
  </si>
  <si>
    <t>Softball Female - U11</t>
  </si>
  <si>
    <t>10.67 m</t>
  </si>
  <si>
    <t>45.72 m</t>
  </si>
  <si>
    <t>70 m</t>
  </si>
  <si>
    <t>&gt;=10.97</t>
  </si>
  <si>
    <t>&lt;=11.57</t>
  </si>
  <si>
    <t>&gt;=13.42</t>
  </si>
  <si>
    <t>Softball Female - U9, U7</t>
  </si>
  <si>
    <t>&gt;=8.84</t>
  </si>
  <si>
    <t>Slo - Pitch - Mens</t>
  </si>
  <si>
    <t>15.24 m</t>
  </si>
  <si>
    <t>21.336 m</t>
  </si>
  <si>
    <t>91.44 m</t>
  </si>
  <si>
    <t>114.3 m</t>
  </si>
  <si>
    <t>&gt;=14.84</t>
  </si>
  <si>
    <t>&lt;=15.54</t>
  </si>
  <si>
    <t>&gt;=91.1</t>
  </si>
  <si>
    <t>&lt;=114.6</t>
  </si>
  <si>
    <t>Slo - Pitch - Womens</t>
  </si>
  <si>
    <t>19.81 m</t>
  </si>
  <si>
    <t>83.82 m</t>
  </si>
  <si>
    <t>&gt;=19.51</t>
  </si>
  <si>
    <t>&lt;=20.11</t>
  </si>
  <si>
    <t>Slo - Pitch - Co-Ed</t>
  </si>
  <si>
    <t xml:space="preserve">83.82 m </t>
  </si>
  <si>
    <t>99.06 m</t>
  </si>
  <si>
    <t>Baseball - U18</t>
  </si>
  <si>
    <t>18.44 m</t>
  </si>
  <si>
    <t>27.43 m</t>
  </si>
  <si>
    <t xml:space="preserve">97.536 m </t>
  </si>
  <si>
    <t xml:space="preserve">121.92 m </t>
  </si>
  <si>
    <t>&gt;=18.1</t>
  </si>
  <si>
    <t>&lt;=18.74</t>
  </si>
  <si>
    <t>&gt;=27.13</t>
  </si>
  <si>
    <t>&lt;=27.73</t>
  </si>
  <si>
    <t>Baseball - U15</t>
  </si>
  <si>
    <t>16.45 m</t>
  </si>
  <si>
    <t>24.38 m</t>
  </si>
  <si>
    <t>82.3 m</t>
  </si>
  <si>
    <t>&gt;=16.15</t>
  </si>
  <si>
    <t>&lt;=16.75</t>
  </si>
  <si>
    <t>&gt;=24.08</t>
  </si>
  <si>
    <t>&lt;=24.68</t>
  </si>
  <si>
    <t>Baseball - U13</t>
  </si>
  <si>
    <t>14.63 m</t>
  </si>
  <si>
    <t>21.34 m</t>
  </si>
  <si>
    <t>79.5 m</t>
  </si>
  <si>
    <t>&gt;=14.33</t>
  </si>
  <si>
    <t>&lt;=14.93</t>
  </si>
  <si>
    <t>&gt;=21.13</t>
  </si>
  <si>
    <t>&lt;=21.73</t>
  </si>
  <si>
    <t>Baseball - U10 &amp; U11</t>
  </si>
  <si>
    <t>54.86 m</t>
  </si>
  <si>
    <t>&gt;=17.98</t>
  </si>
  <si>
    <t>&lt;=18.58</t>
  </si>
  <si>
    <t>14.02 m'</t>
  </si>
  <si>
    <t>12.80 m</t>
  </si>
  <si>
    <t>Baseball - U7</t>
  </si>
  <si>
    <t>10.97 m</t>
  </si>
  <si>
    <t>&gt;=10.67</t>
  </si>
  <si>
    <t>&lt;=11.27</t>
  </si>
  <si>
    <t>&gt;=14.94</t>
  </si>
  <si>
    <t>Attributes of Importance for Additional Insight on Activity Suitability</t>
  </si>
  <si>
    <t>Description</t>
  </si>
  <si>
    <t>Rec_Field_Info</t>
  </si>
  <si>
    <t>Goal Post  (1= Yes)</t>
  </si>
  <si>
    <t>Indicates the presence of a goal post</t>
  </si>
  <si>
    <t>Provides field measurements</t>
  </si>
  <si>
    <t xml:space="preserve">Provides information collected during the assessments. This may provide additional context about the site/ amenities. </t>
  </si>
  <si>
    <t>Diamond_info</t>
  </si>
  <si>
    <t>Provides  measurements used to determine if the diamond meets the criteria for an activity outlined above</t>
  </si>
  <si>
    <t>Indicates whether or not bases can be moved/adjusted for different activities noted above</t>
  </si>
  <si>
    <t>Diamonds: Pitchers Mound (1= Yes)</t>
  </si>
  <si>
    <t xml:space="preserve">Indicates whether there is a pitchers mound needed for baseball activities. </t>
  </si>
  <si>
    <t>Other Notes</t>
  </si>
  <si>
    <t xml:space="preserve">Some fields were not measured during assessment, thus could not be assessed based on the measurement criteria for an activity.  For example: most of the fields designated for Cricket specifically were note measured. </t>
  </si>
  <si>
    <t>Class A</t>
  </si>
  <si>
    <t>Class B</t>
  </si>
  <si>
    <t>Class D</t>
  </si>
  <si>
    <t>China Creek rth Field C</t>
  </si>
  <si>
    <t>David Lam Park</t>
  </si>
  <si>
    <t>Tennis and basketball courts, adjacent to waterfront</t>
  </si>
  <si>
    <t>Lots of holes, large bare patch on east end</t>
  </si>
  <si>
    <t>Garden</t>
  </si>
  <si>
    <t>Old backstop fence  for Teeball? 148m - Poor Condition. Lots of dogs.</t>
  </si>
  <si>
    <t xml:space="preserve">Killarney Field SE </t>
  </si>
  <si>
    <t>Design for upgrades in progress, noticed fitness class throwing medicine balls the chainlink fence</t>
  </si>
  <si>
    <t>Wina Field C</t>
  </si>
  <si>
    <t>Wina Field N</t>
  </si>
  <si>
    <t>Wina Field S</t>
  </si>
  <si>
    <t>Sofball Male - Masters U23, U20, u17 (1=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</si>
</sst>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Raleway"/>
    </font>
    <font>
      <b/>
      <sz val="11"/>
      <color theme="0"/>
      <name val="Raleway"/>
    </font>
    <font>
      <b/>
      <sz val="11"/>
      <color theme="1"/>
      <name val="Aptos Narrow"/>
      <family val="2"/>
      <scheme val="minor"/>
    </font>
    <font>
      <sz val="11"/>
      <color theme="0"/>
      <name val="Raleway"/>
    </font>
    <font>
      <b/>
      <sz val="10"/>
      <color theme="0"/>
      <name val="Raleway"/>
    </font>
    <font>
      <sz val="10"/>
      <color theme="0"/>
      <name val="Raleway"/>
    </font>
    <font>
      <sz val="10"/>
      <color theme="1"/>
      <name val="Aptos Narrow"/>
      <family val="2"/>
      <scheme val="minor"/>
    </font>
    <font>
      <sz val="10"/>
      <color theme="1"/>
      <name val="Raleway"/>
    </font>
    <font>
      <sz val="8"/>
      <name val="Aptos Narrow"/>
      <family val="2"/>
      <scheme val="minor"/>
    </font>
    <font>
      <b/>
      <sz val="10"/>
      <color rgb="FFFF0000"/>
      <name val="Aptos Narrow"/>
      <family val="2"/>
      <scheme val="minor"/>
    </font>
    <font>
      <b/>
      <sz val="11"/>
      <color theme="0"/>
      <name val="Aptos Narrow"/>
      <family val="2"/>
      <scheme val="minor"/>
    </font>
  </fonts>
  <fills count="22">
    <fill>
      <patternFill patternType="none"/>
    </fill>
    <fill>
      <patternFill patternType="gray125"/>
    </fill>
    <fill>
      <patternFill patternType="solid">
        <fgColor rgb="FF0070C0"/>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rgb="FFFFFF00"/>
        <bgColor theme="4" tint="0.79998168889431442"/>
      </patternFill>
    </fill>
    <fill>
      <patternFill patternType="solid">
        <fgColor rgb="FFFFC000"/>
        <bgColor theme="4" tint="0.79998168889431442"/>
      </patternFill>
    </fill>
    <fill>
      <patternFill patternType="solid">
        <fgColor theme="5"/>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1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2">
    <xf numFmtId="0" fontId="0" fillId="0" borderId="0" xfId="0"/>
    <xf numFmtId="0" fontId="0" fillId="0" borderId="2" xfId="0" applyBorder="1"/>
    <xf numFmtId="0" fontId="0" fillId="3" borderId="2" xfId="0" applyFill="1" applyBorder="1"/>
    <xf numFmtId="0" fontId="3" fillId="4" borderId="2" xfId="0" applyFont="1" applyFill="1" applyBorder="1"/>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1" fillId="0" borderId="9" xfId="0" applyFont="1" applyBorder="1" applyAlignment="1">
      <alignment horizontal="lef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2" xfId="0" applyBorder="1" applyAlignment="1">
      <alignment horizontal="center"/>
    </xf>
    <xf numFmtId="0" fontId="0" fillId="0" borderId="9" xfId="0" applyBorder="1" applyAlignment="1">
      <alignment horizontal="center"/>
    </xf>
    <xf numFmtId="0" fontId="1" fillId="0" borderId="2" xfId="0" applyFont="1" applyBorder="1" applyAlignment="1">
      <alignment horizontal="center" vertical="center"/>
    </xf>
    <xf numFmtId="0" fontId="2" fillId="2" borderId="2" xfId="0" applyFont="1" applyFill="1" applyBorder="1" applyAlignment="1">
      <alignment horizontal="center" vertical="center" wrapText="1"/>
    </xf>
    <xf numFmtId="0" fontId="1" fillId="5" borderId="2" xfId="0" applyFont="1" applyFill="1" applyBorder="1" applyAlignment="1">
      <alignment horizontal="left" vertical="center"/>
    </xf>
    <xf numFmtId="0" fontId="1" fillId="5" borderId="2" xfId="0" applyFont="1" applyFill="1" applyBorder="1" applyAlignment="1">
      <alignment horizontal="left" vertical="center" wrapText="1"/>
    </xf>
    <xf numFmtId="0" fontId="1" fillId="5" borderId="2" xfId="0" applyFont="1" applyFill="1" applyBorder="1" applyAlignment="1">
      <alignment horizontal="center" vertical="center"/>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0" fillId="0" borderId="0" xfId="0" applyAlignment="1">
      <alignment wrapText="1"/>
    </xf>
    <xf numFmtId="0" fontId="0" fillId="5" borderId="2" xfId="0" applyFill="1" applyBorder="1" applyAlignment="1">
      <alignment horizontal="center" vertical="center"/>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2" fillId="2" borderId="2"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1" fillId="5" borderId="6" xfId="0" applyFont="1" applyFill="1" applyBorder="1" applyAlignment="1">
      <alignment horizontal="left" vertical="center"/>
    </xf>
    <xf numFmtId="0" fontId="1" fillId="0" borderId="7" xfId="0" applyFont="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5" borderId="8" xfId="0" applyFont="1" applyFill="1" applyBorder="1" applyAlignment="1">
      <alignment horizontal="left" vertical="center"/>
    </xf>
    <xf numFmtId="0" fontId="1" fillId="5" borderId="9" xfId="0" applyFont="1" applyFill="1" applyBorder="1" applyAlignment="1">
      <alignment horizontal="left" vertical="center"/>
    </xf>
    <xf numFmtId="0" fontId="1" fillId="5" borderId="9" xfId="0" applyFont="1" applyFill="1" applyBorder="1" applyAlignment="1">
      <alignment horizontal="left" vertical="center" wrapText="1"/>
    </xf>
    <xf numFmtId="0" fontId="1" fillId="5" borderId="9" xfId="0" applyFont="1" applyFill="1" applyBorder="1" applyAlignment="1">
      <alignment horizontal="center" vertical="center"/>
    </xf>
    <xf numFmtId="0" fontId="1" fillId="5" borderId="9" xfId="0" applyFont="1" applyFill="1" applyBorder="1" applyAlignment="1">
      <alignment horizontal="center" vertical="center" wrapText="1"/>
    </xf>
    <xf numFmtId="0" fontId="1" fillId="0" borderId="10" xfId="0" applyFont="1" applyBorder="1" applyAlignment="1">
      <alignment horizontal="left" vertical="center" wrapText="1"/>
    </xf>
    <xf numFmtId="3" fontId="1" fillId="5" borderId="2" xfId="0" applyNumberFormat="1" applyFont="1" applyFill="1" applyBorder="1" applyAlignment="1">
      <alignment horizontal="center" vertical="center"/>
    </xf>
    <xf numFmtId="3" fontId="1" fillId="0" borderId="2" xfId="0" applyNumberFormat="1" applyFont="1" applyBorder="1" applyAlignment="1">
      <alignment horizontal="center" vertical="center"/>
    </xf>
    <xf numFmtId="0" fontId="3" fillId="6" borderId="0" xfId="0" applyFont="1" applyFill="1"/>
    <xf numFmtId="0" fontId="0" fillId="7" borderId="0" xfId="0" applyFill="1"/>
    <xf numFmtId="0" fontId="0" fillId="8" borderId="0" xfId="0" applyFill="1"/>
    <xf numFmtId="0" fontId="3" fillId="6" borderId="0" xfId="0" applyFont="1" applyFill="1" applyAlignment="1">
      <alignment vertical="center" wrapText="1"/>
    </xf>
    <xf numFmtId="0" fontId="3" fillId="6" borderId="0" xfId="0" applyFont="1" applyFill="1" applyAlignment="1">
      <alignment vertical="center"/>
    </xf>
    <xf numFmtId="3" fontId="1" fillId="5" borderId="9" xfId="0" applyNumberFormat="1" applyFont="1" applyFill="1" applyBorder="1" applyAlignment="1">
      <alignment horizontal="center" vertical="center"/>
    </xf>
    <xf numFmtId="0" fontId="3" fillId="9" borderId="0" xfId="0" applyFont="1" applyFill="1"/>
    <xf numFmtId="0" fontId="1" fillId="5" borderId="0" xfId="0" applyFont="1" applyFill="1" applyAlignment="1">
      <alignment horizontal="left" vertical="center"/>
    </xf>
    <xf numFmtId="0" fontId="1" fillId="5" borderId="0" xfId="0" applyFont="1" applyFill="1" applyAlignment="1">
      <alignment horizontal="center" vertical="center" wrapText="1"/>
    </xf>
    <xf numFmtId="0" fontId="0" fillId="0" borderId="0" xfId="0"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xf>
    <xf numFmtId="0" fontId="3" fillId="4" borderId="2"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centerContinuous"/>
    </xf>
    <xf numFmtId="0" fontId="0" fillId="0" borderId="0" xfId="0" applyAlignment="1">
      <alignment horizontal="centerContinuous" vertical="center" wrapText="1"/>
    </xf>
    <xf numFmtId="0" fontId="1" fillId="6" borderId="6" xfId="0" applyFont="1" applyFill="1" applyBorder="1" applyAlignment="1">
      <alignment horizontal="left" vertical="center"/>
    </xf>
    <xf numFmtId="0" fontId="1" fillId="6" borderId="2" xfId="0" applyFont="1" applyFill="1" applyBorder="1" applyAlignment="1">
      <alignment horizontal="left" vertical="center"/>
    </xf>
    <xf numFmtId="0" fontId="1" fillId="6" borderId="2" xfId="0" applyFont="1" applyFill="1" applyBorder="1" applyAlignment="1">
      <alignment horizontal="left" vertical="center" wrapText="1"/>
    </xf>
    <xf numFmtId="0" fontId="1" fillId="6"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0" fillId="6" borderId="2" xfId="0" applyFill="1" applyBorder="1" applyAlignment="1">
      <alignment horizontal="center" vertical="center"/>
    </xf>
    <xf numFmtId="0" fontId="1" fillId="6" borderId="7" xfId="0" applyFont="1" applyFill="1" applyBorder="1" applyAlignment="1">
      <alignment horizontal="left" vertical="center" wrapText="1"/>
    </xf>
    <xf numFmtId="0" fontId="0" fillId="6" borderId="0" xfId="0" applyFill="1"/>
    <xf numFmtId="0" fontId="0" fillId="5" borderId="9" xfId="0"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7" fillId="0" borderId="0" xfId="0" applyFont="1"/>
    <xf numFmtId="0" fontId="8" fillId="5" borderId="6" xfId="0" applyFont="1" applyFill="1" applyBorder="1" applyAlignment="1">
      <alignment horizontal="left" vertical="center"/>
    </xf>
    <xf numFmtId="0" fontId="8" fillId="5" borderId="2" xfId="0" applyFont="1" applyFill="1" applyBorder="1" applyAlignment="1">
      <alignment horizontal="left" vertical="center"/>
    </xf>
    <xf numFmtId="0" fontId="8" fillId="5"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7" fillId="5" borderId="2" xfId="0" applyFont="1" applyFill="1" applyBorder="1" applyAlignment="1">
      <alignment horizontal="center" vertical="center"/>
    </xf>
    <xf numFmtId="0" fontId="8" fillId="0" borderId="2" xfId="0" applyFont="1" applyBorder="1" applyAlignment="1">
      <alignment horizontal="left" vertical="center" wrapText="1"/>
    </xf>
    <xf numFmtId="0" fontId="8" fillId="0" borderId="7" xfId="0" applyFont="1" applyBorder="1" applyAlignment="1">
      <alignment horizontal="left" vertical="center" wrapText="1"/>
    </xf>
    <xf numFmtId="0" fontId="8" fillId="0" borderId="6" xfId="0" applyFont="1" applyBorder="1" applyAlignment="1">
      <alignment horizontal="left" vertical="center"/>
    </xf>
    <xf numFmtId="0" fontId="8" fillId="0" borderId="2"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8" fillId="6" borderId="2" xfId="0" applyFont="1" applyFill="1" applyBorder="1" applyAlignment="1">
      <alignment horizontal="left" vertical="center" wrapText="1"/>
    </xf>
    <xf numFmtId="0" fontId="8" fillId="6" borderId="7" xfId="0" applyFont="1" applyFill="1" applyBorder="1" applyAlignment="1">
      <alignment horizontal="left" vertical="center" wrapText="1"/>
    </xf>
    <xf numFmtId="0" fontId="7" fillId="6" borderId="0" xfId="0" applyFont="1" applyFill="1"/>
    <xf numFmtId="0" fontId="8" fillId="5" borderId="8" xfId="0" applyFont="1" applyFill="1" applyBorder="1" applyAlignment="1">
      <alignment horizontal="left" vertical="center"/>
    </xf>
    <xf numFmtId="0" fontId="8" fillId="5" borderId="9" xfId="0" applyFont="1" applyFill="1" applyBorder="1" applyAlignment="1">
      <alignment horizontal="left" vertical="center"/>
    </xf>
    <xf numFmtId="0" fontId="8" fillId="5" borderId="9" xfId="0" applyFont="1" applyFill="1" applyBorder="1" applyAlignment="1">
      <alignment horizontal="center" vertical="center"/>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7" fillId="5" borderId="9" xfId="0" applyFont="1" applyFill="1" applyBorder="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0" fontId="5" fillId="2" borderId="4" xfId="0" applyFont="1" applyFill="1" applyBorder="1" applyAlignment="1">
      <alignment horizontal="center" vertical="center" textRotation="90" wrapText="1"/>
    </xf>
    <xf numFmtId="0" fontId="0" fillId="6" borderId="2" xfId="0" applyFill="1" applyBorder="1"/>
    <xf numFmtId="0" fontId="0" fillId="6" borderId="2" xfId="0" applyFill="1" applyBorder="1" applyAlignment="1">
      <alignment horizontal="center" vertical="center" wrapText="1"/>
    </xf>
    <xf numFmtId="0" fontId="5" fillId="11" borderId="4" xfId="0" applyFont="1" applyFill="1" applyBorder="1" applyAlignment="1">
      <alignment horizontal="center" vertical="center" wrapText="1"/>
    </xf>
    <xf numFmtId="0" fontId="5" fillId="12"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7" fillId="16" borderId="2" xfId="0" applyFont="1" applyFill="1" applyBorder="1" applyAlignment="1">
      <alignment horizontal="center" vertical="center"/>
    </xf>
    <xf numFmtId="0" fontId="7" fillId="0" borderId="2" xfId="0" applyFont="1" applyBorder="1" applyAlignment="1">
      <alignment horizontal="center" vertical="center"/>
    </xf>
    <xf numFmtId="0" fontId="7" fillId="17" borderId="2" xfId="0" applyFont="1" applyFill="1" applyBorder="1" applyAlignment="1">
      <alignment horizontal="center" vertical="center"/>
    </xf>
    <xf numFmtId="0" fontId="7" fillId="18" borderId="2" xfId="0" applyFont="1" applyFill="1" applyBorder="1" applyAlignment="1">
      <alignment horizontal="center" vertical="center"/>
    </xf>
    <xf numFmtId="0" fontId="7" fillId="19" borderId="2" xfId="0" applyFont="1" applyFill="1" applyBorder="1" applyAlignment="1">
      <alignment horizontal="center" vertical="center"/>
    </xf>
    <xf numFmtId="0" fontId="10" fillId="5" borderId="2" xfId="0" applyFont="1" applyFill="1" applyBorder="1" applyAlignment="1">
      <alignment horizontal="center" vertical="center"/>
    </xf>
    <xf numFmtId="0" fontId="10" fillId="16" borderId="2" xfId="0" applyFont="1" applyFill="1" applyBorder="1" applyAlignment="1">
      <alignment horizontal="center" vertical="center"/>
    </xf>
    <xf numFmtId="0" fontId="10" fillId="18" borderId="2" xfId="0" applyFont="1" applyFill="1" applyBorder="1" applyAlignment="1">
      <alignment horizontal="center" vertical="center"/>
    </xf>
    <xf numFmtId="0" fontId="10" fillId="17" borderId="2" xfId="0" applyFont="1" applyFill="1" applyBorder="1" applyAlignment="1">
      <alignment horizontal="center" vertical="center"/>
    </xf>
    <xf numFmtId="0" fontId="1" fillId="0" borderId="9" xfId="0" applyFont="1" applyBorder="1" applyAlignment="1">
      <alignment horizontal="center" vertical="center"/>
    </xf>
    <xf numFmtId="0" fontId="2" fillId="20" borderId="4" xfId="0" applyFont="1" applyFill="1" applyBorder="1" applyAlignment="1">
      <alignment horizontal="center" vertical="center" wrapText="1"/>
    </xf>
    <xf numFmtId="0" fontId="1" fillId="16" borderId="2" xfId="0" applyFont="1" applyFill="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11" fillId="21" borderId="0" xfId="0" applyFont="1" applyFill="1"/>
    <xf numFmtId="0" fontId="0" fillId="0" borderId="2" xfId="0" applyBorder="1" applyAlignment="1">
      <alignment horizontal="left" vertical="center" wrapText="1"/>
    </xf>
    <xf numFmtId="0" fontId="3" fillId="10" borderId="2" xfId="0" applyFont="1" applyFill="1" applyBorder="1" applyAlignment="1">
      <alignment horizontal="center"/>
    </xf>
  </cellXfs>
  <cellStyles count="1">
    <cellStyle name="Normal" xfId="0" builtinId="0"/>
  </cellStyles>
  <dxfs count="402">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numFmt numFmtId="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numFmt numFmtId="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alignment horizontal="center" vertical="bottom" textRotation="0" wrapText="0" indent="0" justifyLastLine="0" shrinkToFit="0" readingOrder="0"/>
    </dxf>
    <dxf>
      <font>
        <b/>
        <i val="0"/>
        <strike val="0"/>
        <condense val="0"/>
        <extend val="0"/>
        <outline val="0"/>
        <shadow val="0"/>
        <u val="none"/>
        <vertAlign val="baseline"/>
        <sz val="11"/>
        <color theme="0"/>
        <name val="Raleway"/>
        <scheme val="none"/>
      </font>
      <fill>
        <patternFill patternType="solid">
          <fgColor indexed="64"/>
          <bgColor rgb="FF0070C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Raleway"/>
        <scheme val="none"/>
      </font>
      <fill>
        <patternFill patternType="solid">
          <fgColor indexed="64"/>
          <bgColor rgb="FF0070C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Raleway"/>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Raleway"/>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Raleway"/>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Raleway"/>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font>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ptos Narrow"/>
        <family val="2"/>
        <scheme val="none"/>
      </font>
      <fill>
        <patternFill patternType="solid">
          <fgColor rgb="FFC0E6F5"/>
          <bgColor rgb="FFC0E6F5"/>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0"/>
        <name val="Raleway"/>
        <scheme val="none"/>
      </font>
      <fill>
        <patternFill patternType="solid">
          <fgColor indexed="64"/>
          <bgColor rgb="FF0070C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mith, Nalon" id="{AB40DFD1-DC2F-48C0-BDEF-83FAC58DC36B}" userId="S::WOJ7421@vancouver.ca::23d98f2e-3753-4a89-8c51-24a8d4f793b0" providerId="AD"/>
  <person displayName="Smith, Nalon" id="{E61A4E55-B564-4FC8-B2C9-E94EE056876B}" userId="S::woj7421@vancouver.ca::23d98f2e-3753-4a89-8c51-24a8d4f793b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03E422-0E1E-426E-86F1-6B790BE870B6}" name="Table326" displayName="Table326" ref="A1:BT119" totalsRowCount="1" headerRowDxfId="401" dataDxfId="399" totalsRowDxfId="397" headerRowBorderDxfId="400" tableBorderDxfId="398" totalsRowBorderDxfId="396">
  <autoFilter ref="A1:BT118" xr:uid="{F756DD32-1576-4E6C-8FF3-74B59B6DBC10}"/>
  <sortState xmlns:xlrd2="http://schemas.microsoft.com/office/spreadsheetml/2017/richdata2" ref="A32:BT69">
    <sortCondition ref="AE1:AE118"/>
  </sortState>
  <tableColumns count="72">
    <tableColumn id="1" xr3:uid="{E3FB602C-05D8-454D-9329-4F8D4BA04C46}" name="Name of Field " dataDxfId="395" totalsRowDxfId="394"/>
    <tableColumn id="2" xr3:uid="{832240C4-AF53-4B20-8A51-8475BCA5C9A2}" name="Name of Park Site" dataDxfId="393" totalsRowDxfId="392"/>
    <tableColumn id="5" xr3:uid="{986A793F-3A76-4905-B109-20142E26C11E}" name="Current Classification by Parks" dataDxfId="391" totalsRowDxfId="390"/>
    <tableColumn id="6" xr3:uid="{D2B8CEAC-D7DE-41F0-BA0E-0A5AF9C7A1BC}" name="Propsed Field Class Equivalent " dataDxfId="389" totalsRowDxfId="388"/>
    <tableColumn id="28" xr3:uid="{9747C012-05FA-4ACD-8855-25C23645659E}" name="Diamonds: Outfield Field Fence  (1= Yes)" dataDxfId="387" totalsRowDxfId="386"/>
    <tableColumn id="29" xr3:uid="{E2CA38C2-4D88-4E1E-9768-A1DD14A02D14}" name="Diamonds: Permanent or Temporary Outfield Fence " dataDxfId="385" totalsRowDxfId="384"/>
    <tableColumn id="30" xr3:uid="{623AD615-DAAA-4F6A-93C0-D53DF1BC9C5C}" name="Diamonds: Outfield Fence From Home along Foul line " dataDxfId="383" totalsRowDxfId="382"/>
    <tableColumn id="31" xr3:uid="{08BC8CE6-CDBB-4478-B100-32AF45C38AB3}" name="Diamonds Fence Condition " dataDxfId="381" totalsRowDxfId="380"/>
    <tableColumn id="32" xr3:uid="{4A8EC0FF-0BF7-4490-81A6-858125B62EEB}" name="Diamonds: Backstop Dimension Wing back wing - m " dataDxfId="379" totalsRowDxfId="378"/>
    <tableColumn id="33" xr3:uid="{54887270-8EEB-4C52-9C26-E0F18797F02E}" name="Diamonds: Backstop Fence Height - m " dataDxfId="377" totalsRowDxfId="376"/>
    <tableColumn id="34" xr3:uid="{CC4523DF-2138-4A14-9922-549A5ABD68D1}" name="Diamonds: Base Cut outs" dataDxfId="375" totalsRowDxfId="374"/>
    <tableColumn id="35" xr3:uid="{13FDF7C9-1987-44C1-9777-8F31E067D801}" name="Diamonds: Pitching Rubber Pitchers Plate  (1= Yes)" dataDxfId="373" totalsRowDxfId="372"/>
    <tableColumn id="36" xr3:uid="{A7EB87B5-F268-4205-A85A-C92DCE185899}" name="Diamonds: Pitchers Mound (1= Yes)" dataDxfId="371" totalsRowDxfId="370"/>
    <tableColumn id="37" xr3:uid="{22444AF1-C52B-420E-A5E5-30CCD99B0406}" name="Diamonds: Dugout (1= Yes)" dataDxfId="369" totalsRowDxfId="368"/>
    <tableColumn id="38" xr3:uid="{C446C2C6-ECF3-4C05-BE70-463ED7C004B8}" name="Diamonds: Scorekeepers_Box  (1= Yes)" dataDxfId="367" totalsRowDxfId="366"/>
    <tableColumn id="39" xr3:uid="{834B299D-00B8-49D0-950F-E05DC579A52B}" name="Diamonds: In field material " dataDxfId="365" totalsRowDxfId="364"/>
    <tableColumn id="40" xr3:uid="{2C8EB85E-8E10-49FE-99C2-433F5465D262}" name="Diamonds: Dimension Home to Pitchers Plate - m " dataDxfId="363" totalsRowDxfId="362"/>
    <tableColumn id="41" xr3:uid="{295CFAA2-66EC-4150-958C-DB7C2C333AB3}" name="Diamonds: Dimension Home to Second Base -m " dataDxfId="361" totalsRowDxfId="360"/>
    <tableColumn id="42" xr3:uid="{58E38581-E61C-4A7A-B582-6A96CFDCB8DC}" name="Diamonds: Dimension Home to Infield Arc - m " dataDxfId="359" totalsRowDxfId="358"/>
    <tableColumn id="43" xr3:uid="{C6044E24-5D6F-4AAC-A3D3-5207B7D5707B}" name="Diamonds: Home to First Base Path - m " dataDxfId="357" totalsRowDxfId="356"/>
    <tableColumn id="44" xr3:uid="{6541C30C-6402-40E0-B3A9-AFF05C6E8AB1}" name="Diamonds: Base Anchors or Plug  (1= Yes)" totalsRowFunction="custom" dataDxfId="355" totalsRowDxfId="354">
      <totalsRowFormula>SUM(Table326[Diamonds: Base Anchors or Plug  (1= Yes)])</totalsRowFormula>
    </tableColumn>
    <tableColumn id="7" xr3:uid="{8049BC66-6A9D-4A90-9347-2BD505C5081A}" name="Softball" dataDxfId="353" totalsRowDxfId="352">
      <calculatedColumnFormula>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calculatedColumnFormula>
    </tableColumn>
    <tableColumn id="73" xr3:uid="{1BF0F30E-3B94-4551-8519-3DBBB2844743}" name="Slopitch" dataDxfId="351" totalsRowDxfId="350">
      <calculatedColumnFormula>SUM(Table326[[#This Row],[Slo - Pitch - Mens ]:[Slo - Pitch - Co-Ed ]])</calculatedColumnFormula>
    </tableColumn>
    <tableColumn id="74" xr3:uid="{55D94786-D6FA-4874-A81C-B44DB787BBCA}" name="Baseball" dataDxfId="349" totalsRowDxfId="348">
      <calculatedColumnFormula>SUM(Table326[[#This Row],[Baseball - U18 ]:[Baseball - U7 ]])</calculatedColumnFormula>
    </tableColumn>
    <tableColumn id="75" xr3:uid="{80D04FDB-AC9F-48E6-90A2-25645139E627}" name="BAD? " dataDxfId="347" totalsRowDxfId="346">
      <calculatedColumnFormula>IF(SUM(Table326[[#This Row],[Softball]:[Baseball]])=0, "bad", "bookable")</calculatedColumnFormula>
    </tableColumn>
    <tableColumn id="45" xr3:uid="{28168B91-4D7B-4639-854A-E43015DFB617}" name="Softball Men - Masters U23, U20, u17 " totalsRowFunction="custom" dataDxfId="345" totalsRowDxfId="344">
      <calculatedColumnFormula>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calculatedColumnFormula>
      <totalsRowFormula>SUM(Table326[Softball Men - Masters U23, U20, u17 ])</totalsRowFormula>
    </tableColumn>
    <tableColumn id="8" xr3:uid="{941B1DAC-F7F1-43B7-8B6F-C0B27952CB41}" name="Home to Pitch (Low)" dataDxfId="343" totalsRowDxfId="342">
      <calculatedColumnFormula>13.72-Table326[[#This Row],[Diamonds: Dimension Home to Pitchers Plate - m ]]</calculatedColumnFormula>
    </tableColumn>
    <tableColumn id="9" xr3:uid="{317E32FE-C886-4EB5-B261-2893F0F7B911}" name="Home to Pitch (High)" dataDxfId="341" totalsRowDxfId="340">
      <calculatedColumnFormula>14.32-Table326[[#This Row],[Diamonds: Dimension Home to Pitchers Plate - m ]]</calculatedColumnFormula>
    </tableColumn>
    <tableColumn id="11" xr3:uid="{0C6DB1C0-3D7F-4592-A7CE-CB8680B2DF82}" name="Home to 1st (Low)" dataDxfId="339" totalsRowDxfId="338">
      <calculatedColumnFormula>17.988-Table326[[#This Row],[Diamonds: Home to First Base Path - m ]]</calculatedColumnFormula>
    </tableColumn>
    <tableColumn id="10" xr3:uid="{865DF428-B02D-4592-B5C6-98EFB0F7CEE5}" name="Home to 1st (High)" dataDxfId="337" totalsRowDxfId="336">
      <calculatedColumnFormula>18.588-Table326[[#This Row],[Diamonds: Home to First Base Path - m ]]</calculatedColumnFormula>
    </tableColumn>
    <tableColumn id="24" xr3:uid="{8B853D39-CB78-4BB3-AA9C-4814622486E3}" name="AVG" dataDxfId="335" totalsRowDxfId="334">
      <calculatedColumnFormula>AVERAGE(Table326[[#This Row],[Home to Pitch (Low)]:[Home to 1st (High)]])</calculatedColumnFormula>
    </tableColumn>
    <tableColumn id="46" xr3:uid="{B6615300-AB4A-4952-BF5B-DA0A05434D5E}" name="Softball Men - U15 " totalsRowFunction="custom" dataDxfId="333" totalsRowDxfId="332">
      <calculatedColumnFormula>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calculatedColumnFormula>
      <totalsRowFormula>SUM(Table326[Softball Men - U15 ])</totalsRowFormula>
    </tableColumn>
    <tableColumn id="15" xr3:uid="{8384D81B-8394-4F30-9C6F-687667B08413}" name="Home to Pitch (Low)2" dataDxfId="331" totalsRowDxfId="330">
      <calculatedColumnFormula>12.5-Table326[[#This Row],[Diamonds: Dimension Home to Pitchers Plate - m ]]</calculatedColumnFormula>
    </tableColumn>
    <tableColumn id="14" xr3:uid="{F62976A7-2771-40C9-8BF2-2BCC8AB3C51F}" name="Home to Pitch (High)3" dataDxfId="329" totalsRowDxfId="328">
      <calculatedColumnFormula>13.1-Table326[[#This Row],[Diamonds: Dimension Home to Pitchers Plate - m ]]</calculatedColumnFormula>
    </tableColumn>
    <tableColumn id="13" xr3:uid="{CE1EDF9A-C3F0-446A-B41C-4212CBC596BC}" name="Home to 1st (Low)4" dataDxfId="327" totalsRowDxfId="326">
      <calculatedColumnFormula>17.988-Table326[[#This Row],[Diamonds: Home to First Base Path - m ]]</calculatedColumnFormula>
    </tableColumn>
    <tableColumn id="12" xr3:uid="{910E3731-CECD-4F05-9142-CE5546EEF6C7}" name="Home to 1st (High)5" dataDxfId="325" totalsRowDxfId="324">
      <calculatedColumnFormula>18.588-Table326[[#This Row],[Diamonds: Home to First Base Path - m ]]</calculatedColumnFormula>
    </tableColumn>
    <tableColumn id="25" xr3:uid="{77DB89BE-3C7C-478E-A609-226A0BC8D060}" name="AVG2" dataDxfId="323" totalsRowDxfId="322">
      <calculatedColumnFormula>AVERAGE(Table326[[#This Row],[Home to Pitch (Low)2]:[Home to 1st (High)5]])</calculatedColumnFormula>
    </tableColumn>
    <tableColumn id="47" xr3:uid="{77B916D4-2207-4FCB-B1D9-F5C3D88F7977}" name="Softball Men - U13 " totalsRowFunction="custom" dataDxfId="321" totalsRowDxfId="320">
      <calculatedColumnFormula>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calculatedColumnFormula>
      <totalsRowFormula>SUM(Table326[Softball Men - U13 ])</totalsRowFormula>
    </tableColumn>
    <tableColumn id="18" xr3:uid="{F2D7A125-755F-45F5-8CB3-3739DC3EF1D3}" name="Home to Pitch (Low)22" dataDxfId="319" totalsRowDxfId="318">
      <calculatedColumnFormula>11.2-Table326[[#This Row],[Diamonds: Dimension Home to Pitchers Plate - m ]]</calculatedColumnFormula>
    </tableColumn>
    <tableColumn id="19" xr3:uid="{46E42006-8BFD-4028-8E2D-21D60EB7B15E}" name="Home to Pitch (High)33" dataDxfId="317" totalsRowDxfId="316">
      <calculatedColumnFormula>11.8-Table326[[#This Row],[Diamonds: Dimension Home to Pitchers Plate - m ]]</calculatedColumnFormula>
    </tableColumn>
    <tableColumn id="17" xr3:uid="{4BE521DE-28BD-4580-B719-ECADDA4A56FE}" name="Home to 1st (Low)44" dataDxfId="315" totalsRowDxfId="314">
      <calculatedColumnFormula>16.5-Table326[[#This Row],[Diamonds: Home to First Base Path - m ]]</calculatedColumnFormula>
    </tableColumn>
    <tableColumn id="16" xr3:uid="{052B7BD9-C2E1-4B07-955A-CD7CDA9F483B}" name="Home to 1st (High)55" dataDxfId="313" totalsRowDxfId="312">
      <calculatedColumnFormula>17.04-Table326[[#This Row],[Diamonds: Home to First Base Path - m ]]</calculatedColumnFormula>
    </tableColumn>
    <tableColumn id="48" xr3:uid="{2A14DBEC-7B3E-49DA-A867-088591157845}" name="Softball Men - U11 " totalsRowFunction="custom" dataDxfId="311" totalsRowDxfId="310">
      <calculatedColumnFormula>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calculatedColumnFormula>
      <totalsRowFormula>SUM(Table326[Softball Men - U11 ])</totalsRowFormula>
    </tableColumn>
    <tableColumn id="23" xr3:uid="{DE741C0B-822F-42D5-98DB-93BEC201B83D}" name="Home to Pitch (Low)222" dataDxfId="309" totalsRowDxfId="308">
      <calculatedColumnFormula>10.37-Table326[[#This Row],[Diamonds: Dimension Home to Pitchers Plate - m ]]</calculatedColumnFormula>
    </tableColumn>
    <tableColumn id="22" xr3:uid="{A7BE4186-A7F0-40D7-8530-13B254F9224B}" name="Home to Pitch (High)333" dataDxfId="307" totalsRowDxfId="306">
      <calculatedColumnFormula>10.97-Table326[[#This Row],[Diamonds: Dimension Home to Pitchers Plate - m ]]</calculatedColumnFormula>
    </tableColumn>
    <tableColumn id="21" xr3:uid="{32BA9B9F-C089-462E-89C2-C6907FBA0A01}" name="Home to 1st (Low)444" dataDxfId="305" totalsRowDxfId="304">
      <calculatedColumnFormula>13.5-Table326[[#This Row],[Diamonds: Home to First Base Path - m ]]</calculatedColumnFormula>
    </tableColumn>
    <tableColumn id="20" xr3:uid="{62098007-02D0-4E8C-ADA4-DA8E2352CB82}" name="Home to 1st (High)555" dataDxfId="303" totalsRowDxfId="302">
      <calculatedColumnFormula>14.02-Table326[[#This Row],[Diamonds: Home to First Base Path - m ]]</calculatedColumnFormula>
    </tableColumn>
    <tableColumn id="49" xr3:uid="{6689A520-C6B5-4BB6-BB0C-4F58F042921D}" name="Softball Men - U9, U7 " totalsRowFunction="custom" dataDxfId="301" totalsRowDxfId="300">
      <calculatedColumnFormula>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calculatedColumnFormula>
      <totalsRowFormula>SUM(Table326[Softball Men - U9, U7 ])</totalsRowFormula>
    </tableColumn>
    <tableColumn id="50" xr3:uid="{6825DFB1-3179-4D46-9E7E-986B72A42BC6}" name="Softball Female - Masters " totalsRowFunction="custom" dataDxfId="299" totalsRowDxfId="298">
      <calculatedColumnFormula>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calculatedColumnFormula>
      <totalsRowFormula>SUM(Table326[Softball Female - Masters ])</totalsRowFormula>
    </tableColumn>
    <tableColumn id="51" xr3:uid="{4E1312E4-2E42-4C77-A6A4-8573F4F61B91}" name="Softball Female - A,B, &amp;C  " totalsRowFunction="custom" dataDxfId="297" totalsRowDxfId="296">
      <calculatedColumnFormula>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calculatedColumnFormula>
      <totalsRowFormula>SUM(Table326[Softball Female - A,B, &amp;C  ])</totalsRowFormula>
    </tableColumn>
    <tableColumn id="52" xr3:uid="{194F4AC8-F130-46BB-B3ED-55158B8FA506}" name="Softball Female - D  " totalsRowFunction="custom" dataDxfId="295" totalsRowDxfId="294">
      <calculatedColumnFormula>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calculatedColumnFormula>
      <totalsRowFormula>SUM(Table326[Softball Female - D  ])</totalsRowFormula>
    </tableColumn>
    <tableColumn id="53" xr3:uid="{0D3DA81A-0F42-4C1A-87F9-916C64F97DAA}" name="Softball Female - U19 A &amp; B  " totalsRowFunction="custom" dataDxfId="293" totalsRowDxfId="292">
      <calculatedColumnFormula>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calculatedColumnFormula>
      <totalsRowFormula>SUM(Table326[Softball Female - U19 A &amp; B  ])</totalsRowFormula>
    </tableColumn>
    <tableColumn id="54" xr3:uid="{24C053C6-E1AE-424C-A888-449D1C6E3571}" name="Softball Female - U20 C " totalsRowFunction="custom" dataDxfId="291" totalsRowDxfId="290">
      <calculatedColumnFormula>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calculatedColumnFormula>
      <totalsRowFormula>SUM(Table326[Softball Female - U20 C ])</totalsRowFormula>
    </tableColumn>
    <tableColumn id="55" xr3:uid="{99270013-7691-4654-BCC2-9E3039F105C6}" name="Softball Female - U17 " totalsRowFunction="custom" dataDxfId="289" totalsRowDxfId="288">
      <calculatedColumnFormula>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calculatedColumnFormula>
      <totalsRowFormula>SUM(Table326[Softball Female - U17 ])</totalsRowFormula>
    </tableColumn>
    <tableColumn id="56" xr3:uid="{6654454F-D0D7-463E-BFE8-0783D955168E}" name="Softball Female - U15 " totalsRowFunction="custom" dataDxfId="287" totalsRowDxfId="286">
      <calculatedColumnFormula>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calculatedColumnFormula>
      <totalsRowFormula>SUM(Table326[Softball Female - U15 ])</totalsRowFormula>
    </tableColumn>
    <tableColumn id="57" xr3:uid="{6861AAC0-8E2F-4688-933B-6C9231CBC086}" name="Softball Female - U13 " totalsRowFunction="custom" dataDxfId="285" totalsRowDxfId="284">
      <calculatedColumnFormula>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calculatedColumnFormula>
      <totalsRowFormula>SUM(Table326[Softball Female - U13 ])</totalsRowFormula>
    </tableColumn>
    <tableColumn id="58" xr3:uid="{EF36B5FB-AC9A-4D1C-8A9D-77EF532431DE}" name="Softball Female - U11 " totalsRowFunction="custom" dataDxfId="283" totalsRowDxfId="282">
      <calculatedColumnFormula>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calculatedColumnFormula>
      <totalsRowFormula>SUM(Table326[Softball Female - U11 ])</totalsRowFormula>
    </tableColumn>
    <tableColumn id="59" xr3:uid="{1DBFE797-CD84-4D7B-92A7-F160D150407B}" name="Softball Female - U9, U7 " totalsRowFunction="custom" dataDxfId="281" totalsRowDxfId="280">
      <calculatedColumnFormula>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calculatedColumnFormula>
      <totalsRowFormula>SUM(Table326[Softball Female - U9, U7 ])</totalsRowFormula>
    </tableColumn>
    <tableColumn id="60" xr3:uid="{69CB85DB-3E94-4781-96D0-174B8BF48209}" name="Slo - Pitch - Mens " totalsRowFunction="custom" dataDxfId="279" totalsRowDxfId="278">
      <calculatedColumnFormula>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calculatedColumnFormula>
      <totalsRowFormula>SUM(Table326[Slo - Pitch - Mens ])</totalsRowFormula>
    </tableColumn>
    <tableColumn id="61" xr3:uid="{DAC1E8B6-331F-419D-B8BB-9FF13C6E967C}" name="Slo - Pitch - Womens " totalsRowFunction="custom" dataDxfId="277" totalsRowDxfId="276">
      <calculatedColumnFormula>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calculatedColumnFormula>
      <totalsRowFormula>SUM(Table326[Slo - Pitch - Womens ])</totalsRowFormula>
    </tableColumn>
    <tableColumn id="62" xr3:uid="{0F050DB5-72C4-4EA1-BF1D-B3CF1DA05CB1}" name="Slo - Pitch - Co-Ed " totalsRowFunction="custom" dataDxfId="275" totalsRowDxfId="274">
      <calculatedColumnFormula>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calculatedColumnFormula>
      <totalsRowFormula>SUM(Table326[Slo - Pitch - Co-Ed ])</totalsRowFormula>
    </tableColumn>
    <tableColumn id="63" xr3:uid="{1CBF1659-7490-48B4-B343-F826751C5729}" name="Baseball - U18 " totalsRowFunction="custom" dataDxfId="273" totalsRowDxfId="272">
      <calculatedColumnFormula>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calculatedColumnFormula>
      <totalsRowFormula>SUM(Table326[Baseball - U18 ])</totalsRowFormula>
    </tableColumn>
    <tableColumn id="64" xr3:uid="{AFAE1383-7411-4070-8D74-3A7B2F142C0B}" name="Baseball - U15 " totalsRowFunction="custom" dataDxfId="271" totalsRowDxfId="270">
      <calculatedColumnFormula>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calculatedColumnFormula>
      <totalsRowFormula>SUM(Table326[Baseball - U15 ])</totalsRowFormula>
    </tableColumn>
    <tableColumn id="65" xr3:uid="{A3E34262-CA9C-41D6-A405-7BB7BBFE9D14}" name="Baseball - U13 " totalsRowFunction="custom" dataDxfId="269" totalsRowDxfId="268">
      <calculatedColumnFormula>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calculatedColumnFormula>
      <totalsRowFormula>SUM(Table326[Baseball - U13 ])</totalsRowFormula>
    </tableColumn>
    <tableColumn id="66" xr3:uid="{E614DEBD-0B2A-4F5B-953F-0DB59C9B6C15}" name="Baseball - U10 &amp; U11 " totalsRowFunction="custom" dataDxfId="267" totalsRowDxfId="266">
      <calculatedColumnFormula>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calculatedColumnFormula>
      <totalsRowFormula>SUM(Table326[Baseball - U10 &amp; U11 ])</totalsRowFormula>
    </tableColumn>
    <tableColumn id="67" xr3:uid="{43B45BB4-571C-48D9-9FAA-9F76B1FD267B}" name="Baseball - U9 " totalsRowFunction="custom" dataDxfId="265" totalsRowDxfId="264">
      <calculatedColumnFormula>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calculatedColumnFormula>
      <totalsRowFormula>SUM(Table326[Baseball - U9 ])</totalsRowFormula>
    </tableColumn>
    <tableColumn id="68" xr3:uid="{52B39D52-5E3A-4441-94C4-E2226CDB4CF2}" name="Baseball - U9 2 " totalsRowFunction="custom" dataDxfId="263" totalsRowDxfId="262">
      <calculatedColumnFormula>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calculatedColumnFormula>
      <totalsRowFormula>SUM(Table326[Baseball - U9 2 ])</totalsRowFormula>
    </tableColumn>
    <tableColumn id="69" xr3:uid="{41D654A7-7684-416F-9744-BD78D737C4C8}" name="Baseball - U7 " totalsRowFunction="custom" dataDxfId="261" totalsRowDxfId="260">
      <calculatedColumnFormula>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calculatedColumnFormula>
      <totalsRowFormula>SUM(Table326[Baseball - U7 ])</totalsRowFormula>
    </tableColumn>
    <tableColumn id="3" xr3:uid="{87DAF2F1-3F9E-4BCE-AFDC-7C30891678D2}" name="Baseball - U8" dataDxfId="259" totalsRowDxfId="258"/>
    <tableColumn id="4" xr3:uid="{7D90ED06-ACD7-455D-83BE-08D87CC860D4}" name="Baseball - U9" dataDxfId="257" totalsRowDxfId="256"/>
    <tableColumn id="70" xr3:uid="{4EAFA3D5-EFA8-4ECF-BAC0-D91CD1A363B3}" name="Field Notes (Binnie VSFS Assessement)" dataDxfId="255" totalsRowDxfId="254"/>
    <tableColumn id="71" xr3:uid="{DB5EEA61-3825-4AAD-AF66-C95785DEADD6}" name="Notable Hazards (Binnie VSFS Assessement)" dataDxfId="253" totalsRowDxfId="2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56DD32-1576-4E6C-8FF3-74B59B6DBC10}" name="Table3" displayName="Table3" ref="A1:BS119" totalsRowCount="1" headerRowDxfId="251" dataDxfId="249" headerRowBorderDxfId="250" tableBorderDxfId="248" totalsRowBorderDxfId="247">
  <autoFilter ref="A1:BS118" xr:uid="{F756DD32-1576-4E6C-8FF3-74B59B6DBC10}"/>
  <tableColumns count="71">
    <tableColumn id="1" xr3:uid="{7ABCB7A7-81E5-40FC-87DA-DC86BEEBAA9A}" name="Name of Field " dataDxfId="246" totalsRowDxfId="245"/>
    <tableColumn id="2" xr3:uid="{82ACF157-5BA6-4773-8708-B89074A791A3}" name="Name of Park Site" dataDxfId="244" totalsRowDxfId="243"/>
    <tableColumn id="3" xr3:uid="{882623BC-6DA5-4AAC-8417-A02E2651A772}" name="Neighbourhood " dataDxfId="242" totalsRowDxfId="241"/>
    <tableColumn id="4" xr3:uid="{237F8324-200B-415E-84F9-46D56DBD234B}" name="Site Address " dataDxfId="240" totalsRowDxfId="239"/>
    <tableColumn id="5" xr3:uid="{82638136-58D1-4667-AED1-B9B47E1F9B99}" name="Current Classification by Parks" dataDxfId="238" totalsRowDxfId="237"/>
    <tableColumn id="6" xr3:uid="{21F565A7-DB23-4109-BBB4-F5E4970E7295}" name="Propsed Field Class Equivalent " dataDxfId="236" totalsRowDxfId="235"/>
    <tableColumn id="7" xr3:uid="{07333912-CDC5-4ABB-96B5-239E5A6F5A40}" name="Field or Diamond " dataDxfId="234" totalsRowDxfId="233"/>
    <tableColumn id="8" xr3:uid="{FDE87479-9E54-4471-B9D3-1FB411F87657}" name="Overlaps ather Field Object (1= Yes)" dataDxfId="232" totalsRowDxfId="231"/>
    <tableColumn id="9" xr3:uid="{D708AFA3-9FC7-40E2-A0D2-213F9D74E584}" name="Season of Use " dataDxfId="230" totalsRowDxfId="229"/>
    <tableColumn id="10" xr3:uid="{EDD7B543-390C-477C-8938-ECE3C994B2F3}" name="Lighting (1= Yes)" dataDxfId="228" totalsRowDxfId="227"/>
    <tableColumn id="11" xr3:uid="{2F06B086-908C-4427-AAF4-10EA007B5AFA}" name="Washrooms (1= Yes)" dataDxfId="226" totalsRowDxfId="225"/>
    <tableColumn id="12" xr3:uid="{ACF7386A-7EAD-4D2B-8A72-9C058E98EC38}" name="Change Rooms (1= Yes)" dataDxfId="224" totalsRowDxfId="223"/>
    <tableColumn id="13" xr3:uid="{78B724DE-73A3-472A-B688-D45BDB7F9AFD}" name="Drinking Fountain (1= Yes)" dataDxfId="222" totalsRowDxfId="221"/>
    <tableColumn id="14" xr3:uid="{D154E0F6-9209-4D0D-B8A2-A7A93AE855D9}" name="Club House (1= Yes)" dataDxfId="220" totalsRowDxfId="219"/>
    <tableColumn id="15" xr3:uid="{E2AD9358-1E68-4CBB-8046-4527B6CC00D6}" name="Storage (1= Yes)" dataDxfId="218" totalsRowDxfId="217"/>
    <tableColumn id="16" xr3:uid="{9D7C3A34-B038-4A94-A3EB-33B55617B85D}" name="Scoreboard (1= Yes)" dataDxfId="216" totalsRowDxfId="215"/>
    <tableColumn id="17" xr3:uid="{CD3FCF3E-6FF1-41C7-A916-7289FB95D8EB}" name="Spectator Seating (1= Yes)" dataDxfId="214" totalsRowDxfId="213"/>
    <tableColumn id="18" xr3:uid="{7D8FB63F-39EF-4F51-922B-43B10B7D8DE9}" name="Fieldhouse - Exists (1= Yes)" dataDxfId="212" totalsRowDxfId="211"/>
    <tableColumn id="19" xr3:uid="{8EA5B424-2DCA-4292-B24F-9F7BA22F9EB4}" name="Irrigation(1= Yes)" dataDxfId="210" totalsRowDxfId="209"/>
    <tableColumn id="20" xr3:uid="{4A9BAAF4-86C3-4DFA-A643-4BB9DE0D5679}" name="Tournament Suitable Field (RCS Desktop) " dataDxfId="208" totalsRowDxfId="207"/>
    <tableColumn id="21" xr3:uid="{29CF6675-64E7-43BC-BEB6-FC06F66D13C9}" name="Ball Diamonds with a designated out field  (1= Yes)" dataDxfId="206" totalsRowDxfId="205"/>
    <tableColumn id="22" xr3:uid="{2DBF4D52-AEB4-449A-8151-732A48C64D5C}" name="Parking Area Description " dataDxfId="204" totalsRowDxfId="203"/>
    <tableColumn id="23" xr3:uid="{54A9F78E-CB52-48FC-A673-049B89FE9634}" name="On site Parking Stall Count" dataDxfId="202" totalsRowDxfId="201"/>
    <tableColumn id="24" xr3:uid="{B19D78E7-35D8-4672-B988-A2835D507C42}" name="Natural Area / Open Space (1= Yes)" dataDxfId="200" totalsRowDxfId="199"/>
    <tableColumn id="25" xr3:uid="{E7730DFE-EC32-4B02-AADF-1A97F301F12D}" name="Other Amenities " dataDxfId="198" totalsRowDxfId="197"/>
    <tableColumn id="26" xr3:uid="{6F66383E-9FFB-47F2-9649-94067D7DFFAC}" name="Field Accessibility " dataDxfId="196" totalsRowDxfId="195"/>
    <tableColumn id="27" xr3:uid="{ABEC844C-6ACC-4BB7-969F-37079A69C3F4}" name="LTD Focus" dataDxfId="194" totalsRowDxfId="193"/>
    <tableColumn id="28" xr3:uid="{F9D01A82-4448-41D7-81CF-9636C9D1FB26}" name="Diamonds: Outfield Field Fence  (1= Yes)" dataDxfId="192" totalsRowDxfId="191"/>
    <tableColumn id="29" xr3:uid="{4CB792D2-20B6-4DA5-AF3A-A9B71CB7AFFE}" name="Diamonds: Permanent or Temporary Outfield Fence " dataDxfId="190" totalsRowDxfId="189"/>
    <tableColumn id="30" xr3:uid="{2AF783A1-B09E-42EA-82B5-E86A5885A6C0}" name="Diamonds: Outfield Fence From Home along Foul line " dataDxfId="188" totalsRowDxfId="187"/>
    <tableColumn id="31" xr3:uid="{54389732-7FCA-4BB0-95FC-5B70E80AB628}" name="Diamonds Fence Condition " dataDxfId="186" totalsRowDxfId="185"/>
    <tableColumn id="32" xr3:uid="{4D11C089-82D6-4480-9CB4-130AB00B0ABA}" name="Diamonds: Backstop Dimension Wing back wing - m " dataDxfId="184" totalsRowDxfId="183"/>
    <tableColumn id="33" xr3:uid="{004E5F6F-EC9D-4575-B342-1519A27EFC7C}" name="Diamonds: Backstop Fence Height - m " dataDxfId="182" totalsRowDxfId="181"/>
    <tableColumn id="34" xr3:uid="{387E10AB-63B7-48D3-918C-931FF693B634}" name="Diamonds: Base Cut outs" dataDxfId="180" totalsRowDxfId="179"/>
    <tableColumn id="35" xr3:uid="{F8EBD1C8-B3CE-4BA5-80A8-495A2DBE6BB5}" name="Diamonds: Pitching Rubber Pitchers Plate  (1= Yes)" dataDxfId="178" totalsRowDxfId="177"/>
    <tableColumn id="36" xr3:uid="{6D81DD84-1AF5-438D-9B01-0F3BF9EB548E}" name="Diamonds: Pitchers Mound (1= Yes)" dataDxfId="176" totalsRowDxfId="175"/>
    <tableColumn id="37" xr3:uid="{9E8599E1-3971-499D-B85B-70F1880DF13C}" name="Diamonds: Dugout (1= Yes)" dataDxfId="174" totalsRowDxfId="173"/>
    <tableColumn id="38" xr3:uid="{2E66FD95-0E23-4743-B086-C747678A4D7E}" name="Diamonds: Scorekeepers_Box  (1= Yes)" dataDxfId="172" totalsRowDxfId="171"/>
    <tableColumn id="39" xr3:uid="{439ECEC1-1AB2-4F29-A050-FA236B302DF9}" name="Diamonds: In field material " dataDxfId="170" totalsRowDxfId="169"/>
    <tableColumn id="40" xr3:uid="{FC065BFD-492E-40B8-A0C8-4356B181AF46}" name="Diamonds: Dimension Home to Pitchers Plate - m " dataDxfId="168" totalsRowDxfId="167"/>
    <tableColumn id="41" xr3:uid="{885915B7-C40B-4489-8376-E1328BDFFB80}" name="Diamonds: Dimension Home to Second Base -m " dataDxfId="166" totalsRowDxfId="165"/>
    <tableColumn id="42" xr3:uid="{15F904D7-4A7D-4616-9AC9-BCBB578291FA}" name="Diamonds: Dimension Home to Infield Arc - m " dataDxfId="164" totalsRowDxfId="163"/>
    <tableColumn id="43" xr3:uid="{25794123-A496-452E-BF6C-2A10EECF7DB5}" name="Diamonds: Home to First Base Path - m " dataDxfId="162" totalsRowDxfId="161"/>
    <tableColumn id="44" xr3:uid="{F77432A0-BF15-462B-A689-CF4C8DE01715}" name="Diamonds: Base Anchors or Plug  (1= Yes)" totalsRowFunction="custom" dataDxfId="160" totalsRowDxfId="159">
      <totalsRowFormula>SUM(Table3[Diamonds: Base Anchors or Plug  (1= Yes)])</totalsRowFormula>
    </tableColumn>
    <tableColumn id="45" xr3:uid="{5DBC1D53-B941-41D0-941B-8294D120C81A}" name="Sofball Male - Masters U23, U20, u17 (1= Yes)" totalsRowFunction="custom" dataDxfId="158" totalsRowDxfId="157">
      <calculatedColumnFormula>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calculatedColumnFormula>
      <totalsRowFormula>SUM(Table3[Sofball Male - Masters U23, U20, u17 (1= Yes)])</totalsRowFormula>
    </tableColumn>
    <tableColumn id="46" xr3:uid="{CE18D70B-7502-4647-8DE9-ED08E789816D}" name="Softball Men - U15 (1= Yes)" totalsRowFunction="custom" dataDxfId="156" totalsRowDxfId="155">
      <calculatedColumnFormula>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calculatedColumnFormula>
      <totalsRowFormula>SUM(Table3[Softball Men - U15 (1= Yes)])</totalsRowFormula>
    </tableColumn>
    <tableColumn id="47" xr3:uid="{5B99C10D-ED86-4453-93E2-194EB2C34F86}" name="Softball Men - U13 (1= Yes)" totalsRowFunction="custom" dataDxfId="154" totalsRowDxfId="153">
      <calculatedColumnFormula>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calculatedColumnFormula>
      <totalsRowFormula>SUM(Table3[Softball Men - U13 (1= Yes)])</totalsRowFormula>
    </tableColumn>
    <tableColumn id="48" xr3:uid="{2DBB9AAE-D7C3-401A-886C-79F5C47399C0}" name="Softball Men - U11 (1= Yes)" totalsRowFunction="custom" dataDxfId="152" totalsRowDxfId="151">
      <calculatedColumnFormula>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calculatedColumnFormula>
      <totalsRowFormula>SUM(Table3[Softball Men - U11 (1= Yes)])</totalsRowFormula>
    </tableColumn>
    <tableColumn id="49" xr3:uid="{BA1F5CB0-9B6B-45E2-8FD2-EFA616316A17}" name="Softball Men - U9, U7 (1= Yes)" totalsRowFunction="custom" dataDxfId="150" totalsRowDxfId="149">
      <calculatedColumnFormula>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calculatedColumnFormula>
      <totalsRowFormula>SUM(Table3[Softball Men - U9, U7 (1= Yes)])</totalsRowFormula>
    </tableColumn>
    <tableColumn id="50" xr3:uid="{5CCF936E-C630-451D-9B72-15D7D082522C}" name="Softball Female - Masters (1= Yes)" totalsRowFunction="custom" dataDxfId="148" totalsRowDxfId="147">
      <calculatedColumnFormula>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calculatedColumnFormula>
      <totalsRowFormula>SUM(Table3[Softball Female - Masters (1= Yes)])</totalsRowFormula>
    </tableColumn>
    <tableColumn id="51" xr3:uid="{16E61DA7-6337-48FA-8E46-7E545794F61D}" name="Softball Female - A,B, &amp;C  (1= Yes)" totalsRowFunction="custom" dataDxfId="146" totalsRowDxfId="145">
      <calculatedColumnFormula>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calculatedColumnFormula>
      <totalsRowFormula>SUM(Table3[Softball Female - A,B, &amp;C  (1= Yes)])</totalsRowFormula>
    </tableColumn>
    <tableColumn id="52" xr3:uid="{C3602D5F-8E84-43BE-966D-81DA9CE04380}" name="Softball Female - D  (1= Yes)" totalsRowFunction="custom" dataDxfId="144" totalsRowDxfId="143">
      <calculatedColumnFormula>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calculatedColumnFormula>
      <totalsRowFormula>SUM(Table3[Softball Female - D  (1= Yes)])</totalsRowFormula>
    </tableColumn>
    <tableColumn id="53" xr3:uid="{C03CB6DA-35DF-43D5-B556-481E13FDFA2E}" name="Softball Female - U19 A &amp; B  (1= Yes)" totalsRowFunction="custom" dataDxfId="142" totalsRowDxfId="141">
      <calculatedColumnFormula>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calculatedColumnFormula>
      <totalsRowFormula>SUM(Table3[Softball Female - U19 A &amp; B  (1= Yes)])</totalsRowFormula>
    </tableColumn>
    <tableColumn id="54" xr3:uid="{50F0180A-91D8-454E-BBB7-6070BC5F6850}" name="Softball Female - U20 C (1= Yes)" totalsRowFunction="custom" dataDxfId="140" totalsRowDxfId="139">
      <calculatedColumnFormula>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calculatedColumnFormula>
      <totalsRowFormula>SUM(Table3[Softball Female - U20 C (1= Yes)])</totalsRowFormula>
    </tableColumn>
    <tableColumn id="55" xr3:uid="{46E24A45-C427-402D-B8F9-ECB6EEAB1CB0}" name="Softball Female - U17 (1= Yes)" totalsRowFunction="custom" dataDxfId="138" totalsRowDxfId="137">
      <calculatedColumnFormula>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calculatedColumnFormula>
      <totalsRowFormula>SUM(Table3[Softball Female - U17 (1= Yes)])</totalsRowFormula>
    </tableColumn>
    <tableColumn id="56" xr3:uid="{EB5109B8-1972-40B1-9D7E-CAD63C1FBF41}" name="Softball Female - U15 (1= Yes)" totalsRowFunction="custom" dataDxfId="136" totalsRowDxfId="135">
      <calculatedColumnFormula>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calculatedColumnFormula>
      <totalsRowFormula>SUM(Table3[Softball Female - U15 (1= Yes)])</totalsRowFormula>
    </tableColumn>
    <tableColumn id="57" xr3:uid="{2B08C230-BCD5-4BB5-AB6F-AC20C191F5C0}" name="Softball Female - U13 (1= Yes)" totalsRowFunction="custom" dataDxfId="134" totalsRowDxfId="133">
      <calculatedColumnFormula>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calculatedColumnFormula>
      <totalsRowFormula>SUM(Table3[Softball Female - U13 (1= Yes)])</totalsRowFormula>
    </tableColumn>
    <tableColumn id="58" xr3:uid="{E6A234A9-842E-4C50-A91F-9DEE9E06B475}" name="Softball Female - U11 (1= Yes)" totalsRowFunction="custom" dataDxfId="132" totalsRowDxfId="131">
      <calculatedColumnFormula>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calculatedColumnFormula>
      <totalsRowFormula>SUM(Table3[Softball Female - U11 (1= Yes)])</totalsRowFormula>
    </tableColumn>
    <tableColumn id="59" xr3:uid="{905BCC3B-7121-481A-A725-D95191F83FC0}" name="Softball Female - U9, U7 (1= Yes)" totalsRowFunction="custom" dataDxfId="130" totalsRowDxfId="129">
      <calculatedColumnFormula>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calculatedColumnFormula>
      <totalsRowFormula>SUM(Table3[Softball Female - U9, U7 (1= Yes)])</totalsRowFormula>
    </tableColumn>
    <tableColumn id="60" xr3:uid="{BC8AC7B9-33B1-4988-88FE-96C0DDBB2B65}" name="Slo - Pitch - Mens (1= Yes)" totalsRowFunction="custom" dataDxfId="128" totalsRowDxfId="127">
      <calculatedColumnFormula>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calculatedColumnFormula>
      <totalsRowFormula>SUM(Table3[Slo - Pitch - Mens (1= Yes)])</totalsRowFormula>
    </tableColumn>
    <tableColumn id="61" xr3:uid="{81636042-9B36-49BF-A3B2-DCF35AC98D4C}" name="Slo - Pitch - Womens (1= Yes)" totalsRowFunction="custom" dataDxfId="126" totalsRowDxfId="125">
      <calculatedColumnFormula>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calculatedColumnFormula>
      <totalsRowFormula>SUM(Table3[Slo - Pitch - Womens (1= Yes)])</totalsRowFormula>
    </tableColumn>
    <tableColumn id="62" xr3:uid="{949E864E-14FC-4D3B-B502-6686A1B5B82F}" name="Slo - Pitch - Co-Ed (1= Yes)" totalsRowFunction="custom" dataDxfId="124" totalsRowDxfId="123">
      <calculatedColumnFormula>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calculatedColumnFormula>
      <totalsRowFormula>SUM(Table3[Slo - Pitch - Co-Ed (1= Yes)])</totalsRowFormula>
    </tableColumn>
    <tableColumn id="63" xr3:uid="{ED026493-9008-4B39-B2AF-017C33DAB28F}" name="Baseball - U18 (1= Yes)" totalsRowFunction="custom" dataDxfId="122" totalsRowDxfId="121">
      <calculatedColumnFormula>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calculatedColumnFormula>
      <totalsRowFormula>SUM(Table3[Baseball - U18 (1= Yes)])</totalsRowFormula>
    </tableColumn>
    <tableColumn id="64" xr3:uid="{173758E1-03F2-4A40-B38D-8FA347107764}" name="Baseball - U15 (1= Yes)" totalsRowFunction="custom" dataDxfId="120" totalsRowDxfId="119">
      <calculatedColumnFormula>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calculatedColumnFormula>
      <totalsRowFormula>SUM(Table3[Baseball - U15 (1= Yes)])</totalsRowFormula>
    </tableColumn>
    <tableColumn id="65" xr3:uid="{6BFF64E6-1B6C-4691-8E97-34761D674111}" name="Baseball - U13 (1= Yes)" totalsRowFunction="custom" dataDxfId="118" totalsRowDxfId="117">
      <calculatedColumnFormula>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calculatedColumnFormula>
      <totalsRowFormula>SUM(Table3[Baseball - U13 (1= Yes)])</totalsRowFormula>
    </tableColumn>
    <tableColumn id="66" xr3:uid="{D046AC2A-1EBB-4644-A58F-E645DB4C7503}" name="Baseball - U10 &amp; U11 (1= Yes)" totalsRowFunction="custom" dataDxfId="116" totalsRowDxfId="115">
      <calculatedColumnFormula>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calculatedColumnFormula>
      <totalsRowFormula>SUM(Table3[Baseball - U10 &amp; U11 (1= Yes)])</totalsRowFormula>
    </tableColumn>
    <tableColumn id="67" xr3:uid="{9434D468-494C-45D7-81FF-22F50A27F05B}" name="Baseball - U9 (1= Yes)" totalsRowFunction="custom" dataDxfId="114" totalsRowDxfId="113">
      <calculatedColumnFormula>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calculatedColumnFormula>
      <totalsRowFormula>SUM(Table3[Baseball - U9 (1= Yes)])</totalsRowFormula>
    </tableColumn>
    <tableColumn id="68" xr3:uid="{5FDC3F93-0C4A-4178-9B5E-16166364E1D3}" name="Baseball - U9 2 (1= Yes)" totalsRowFunction="custom" dataDxfId="112" totalsRowDxfId="111">
      <calculatedColumnFormula>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calculatedColumnFormula>
      <totalsRowFormula>SUM(Table3[Baseball - U9 2 (1= Yes)])</totalsRowFormula>
    </tableColumn>
    <tableColumn id="69" xr3:uid="{D9663E28-FDD3-43F9-885B-3C8CDE9DEF06}" name="Baseball - U7 (1= Yes)" totalsRowFunction="custom" dataDxfId="110" totalsRowDxfId="109">
      <calculatedColumnFormula>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calculatedColumnFormula>
      <totalsRowFormula>SUM(Table3[Baseball - U7 (1= Yes)])</totalsRowFormula>
    </tableColumn>
    <tableColumn id="70" xr3:uid="{7E97C727-5657-4E07-954E-F62A16A0F5C6}" name="Field Notes (Binnie VSFS Assessement)" dataDxfId="108" totalsRowDxfId="107"/>
    <tableColumn id="71" xr3:uid="{5A9D6E6C-E001-457D-BBB9-51D155F2B15F}" name="Notable Hazards (Binnie VSFS Assessement)" dataDxfId="106" totalsRowDxfId="10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DC4804-BBC7-496D-94A2-9F3D3F2E34DD}" name="Table4" displayName="Table4" ref="A1:AY153" totalsRowCount="1" headerRowDxfId="104" dataDxfId="103" tableBorderDxfId="102">
  <autoFilter ref="A1:AY152" xr:uid="{7BDC4804-BBC7-496D-94A2-9F3D3F2E34DD}"/>
  <sortState xmlns:xlrd2="http://schemas.microsoft.com/office/spreadsheetml/2017/richdata2" ref="A2:AY152">
    <sortCondition ref="A1:A152"/>
  </sortState>
  <tableColumns count="51">
    <tableColumn id="1" xr3:uid="{7B63CFC3-9199-46FD-B512-FC3A77340390}" name="Name of Field " dataDxfId="101" totalsRowDxfId="100"/>
    <tableColumn id="2" xr3:uid="{76E4239A-1D37-43FC-AEDB-87642FF08EEE}" name="Name of Park Site" dataDxfId="99" totalsRowDxfId="98"/>
    <tableColumn id="3" xr3:uid="{1DFF0735-9BC9-4CBF-A88A-846175157929}" name="Neighbourhood " dataDxfId="97" totalsRowDxfId="96"/>
    <tableColumn id="4" xr3:uid="{735A5A4F-7317-4358-9B67-26B39E2F6347}" name="Site Address " dataDxfId="95" totalsRowDxfId="94"/>
    <tableColumn id="5" xr3:uid="{B0D5BFF8-04E9-449E-B7A3-D5EC3F28FB48}" name="Current Classification by Parks" dataDxfId="93" totalsRowDxfId="92"/>
    <tableColumn id="6" xr3:uid="{454F79DA-5675-4B78-BC59-743CB5E45C7C}" name="Propsed Field Class Equivalent " dataDxfId="91" totalsRowDxfId="90"/>
    <tableColumn id="7" xr3:uid="{2439B812-E5B3-475C-922F-CC4879AA9E73}" name="Field or Diamond " dataDxfId="89" totalsRowDxfId="88"/>
    <tableColumn id="8" xr3:uid="{6C520163-0B7B-4112-BD65-AA6F81E0B635}" name="Rectangular Field Dimension: Length - m " dataDxfId="87" totalsRowDxfId="86"/>
    <tableColumn id="9" xr3:uid="{61B8A625-1C44-4D5B-B32B-6874EBC29D32}" name="Rectangular Field Dimension: Width - m " dataDxfId="85" totalsRowDxfId="84"/>
    <tableColumn id="10" xr3:uid="{713530D9-4AB8-4441-AE17-4F4F07832D1D}" name="Rectangular Field Area From Length x Width - m² " dataDxfId="83" totalsRowDxfId="82"/>
    <tableColumn id="11" xr3:uid="{551A3CE3-E222-4048-AD13-AECF1AB5A176}" name="Overlaps Another Field/ Diamond (Yes=1)" dataDxfId="81" totalsRowDxfId="80"/>
    <tableColumn id="12" xr3:uid="{8A092689-0AE7-432E-8A53-26587F92F09B}" name="Season of Use " dataDxfId="79" totalsRowDxfId="78"/>
    <tableColumn id="13" xr3:uid="{C74DC4CC-3BCE-4C8E-A649-0AE508C38B11}" name="Primary Season Spring / Summer Use (Yes=1)" dataDxfId="77" totalsRowDxfId="76"/>
    <tableColumn id="14" xr3:uid="{7B7BAD99-E89A-4D49-8561-6E9437351B52}" name="Primary Season Fall / Winter Use (Yes=1)" dataDxfId="75" totalsRowDxfId="74"/>
    <tableColumn id="15" xr3:uid="{B28B7605-44C2-4861-BE19-1ED13A2D5F6B}" name="Lighting (Yes=1)" dataDxfId="73" totalsRowDxfId="72"/>
    <tableColumn id="16" xr3:uid="{352B5D91-D080-4E6B-A4C1-7D6EB71A71F3}" name="Washrooms (Yes=1)" dataDxfId="71" totalsRowDxfId="70"/>
    <tableColumn id="17" xr3:uid="{3252887C-517F-40D4-98C4-06C67BCA4DD6}" name="Change Rooms (Yes=1)" dataDxfId="69" totalsRowDxfId="68"/>
    <tableColumn id="18" xr3:uid="{4C6AA458-0206-4536-AE66-72FA1CA12152}" name="Drinking Fountain (Yes=1)" dataDxfId="67" totalsRowDxfId="66"/>
    <tableColumn id="19" xr3:uid="{4855FED9-B1B0-4806-A940-E7CFEF757321}" name="Club House (Yes=1)" dataDxfId="65" totalsRowDxfId="64"/>
    <tableColumn id="20" xr3:uid="{B3488CDE-1182-4165-AEC4-3F127EABA98F}" name="Storage (Yes=1)" dataDxfId="63" totalsRowDxfId="62"/>
    <tableColumn id="21" xr3:uid="{DFC24DDA-0C36-4736-9843-44AFEFF72484}" name="Scoreboard (Yes=1)" dataDxfId="61" totalsRowDxfId="60"/>
    <tableColumn id="22" xr3:uid="{4B44CF7B-7627-402D-A9D8-724B3E352F6C}" name="Rectangular Fields: Players Benches (Yes=1)" dataDxfId="59" totalsRowDxfId="58"/>
    <tableColumn id="23" xr3:uid="{7D0EA8F0-A649-459F-9E7E-ABDA45C5F943}" name="Spectator Seating (Yes=1)" dataDxfId="57" totalsRowDxfId="56"/>
    <tableColumn id="24" xr3:uid="{F0C809B8-7E7D-4052-97BC-9FBA8EF167CB}" name="Fieldhouse - Exists (Yes=1)" dataDxfId="55" totalsRowDxfId="54"/>
    <tableColumn id="25" xr3:uid="{E05440C5-3149-4ACF-985F-D4809DFD34E2}" name="Goal Post (Yes=1)" dataDxfId="53" totalsRowDxfId="52"/>
    <tableColumn id="26" xr3:uid="{E5C416F1-B1BE-4B69-8B0D-7691AE1628EB}" name="Irrigation (Yes=1)" dataDxfId="51" totalsRowDxfId="50"/>
    <tableColumn id="27" xr3:uid="{03483185-2BC2-4CDD-89C9-2B509892B768}" name="Tournament Suitable Field (RCS Desktop) (Yes=1)" dataDxfId="49" totalsRowDxfId="48"/>
    <tableColumn id="28" xr3:uid="{D8CB750E-3F4F-4749-82C7-DECE82B1AA0D}" name="Parking Area Description " dataDxfId="47" totalsRowDxfId="46"/>
    <tableColumn id="29" xr3:uid="{9DE10930-C9F6-46FC-BCA1-512DAB90EDEB}" name="On site Parking Stall Count" dataDxfId="45" totalsRowDxfId="44"/>
    <tableColumn id="30" xr3:uid="{9A3E47A0-3877-4423-BCA1-AFFF0E8F1F49}" name="Natural Area / Open Space (Yes=1)" dataDxfId="43" totalsRowDxfId="42"/>
    <tableColumn id="31" xr3:uid="{6CE06F58-6D86-4701-9B63-E44D6CC77F3B}" name="Other Amenities (Binnie VSFS Assessement)" dataDxfId="41" totalsRowDxfId="40"/>
    <tableColumn id="32" xr3:uid="{500FD9C1-FBF0-4969-84D6-D5EAFCF7278A}" name="Field Accessibility " dataDxfId="39" totalsRowDxfId="38"/>
    <tableColumn id="33" xr3:uid="{B19295CA-D767-4A9E-8546-F208D71201E0}" name="LTD Focus" dataDxfId="37" totalsRowDxfId="36"/>
    <tableColumn id="34" xr3:uid="{DED08D3A-4E27-440A-8353-070791F3C9EE}" name="Rectangular Fields: Ball Control Fence Length " dataDxfId="35" totalsRowDxfId="34"/>
    <tableColumn id="35" xr3:uid="{5DDE2AEE-1F93-4306-A1C3-C4C919A7DBB5}" name="Rectangular Fields: Ball Control Fence Height " dataDxfId="33" totalsRowDxfId="32"/>
    <tableColumn id="51" xr3:uid="{E1C0CAAD-3CDF-4D52-8FA4-8478389727CF}" name="SUM" dataDxfId="31" totalsRowDxfId="30">
      <calculatedColumnFormula>SUM(Table4[[#This Row],[Soccer/U7 (Yes=1)]:[Ultimate Frisbee (Yes=1)]])</calculatedColumnFormula>
    </tableColumn>
    <tableColumn id="36" xr3:uid="{2336B707-D162-40D9-9592-5C8F4382C8CA}" name="Soccer/U5 - U6 (Yes=1)" dataDxfId="29" totalsRowDxfId="28"/>
    <tableColumn id="37" xr3:uid="{A6F1F007-DDD0-4157-BB78-11D5F4CE7B45}" name="Soccer/U7 (Yes=1)" dataDxfId="27" totalsRowDxfId="26"/>
    <tableColumn id="38" xr3:uid="{2EBD3723-4D9D-41F3-A75F-A1C5545B0E07}" name="Soccer/U8-U9 (Yes=1)" dataDxfId="25" totalsRowDxfId="24"/>
    <tableColumn id="39" xr3:uid="{3D570CB8-290F-445A-A26D-30CD4055589A}" name="Soccer/U10 - U11 (Yes=1)" totalsRowFunction="custom" dataDxfId="23" totalsRowDxfId="22">
      <totalsRowFormula>SUM(Table4[Soccer/U10 - U11 (Yes=1)])</totalsRowFormula>
    </tableColumn>
    <tableColumn id="40" xr3:uid="{E32D83E2-CEC3-4CC3-9EDE-E8C5C83D002B}" name="Soccer/U12 - U13 9v9 (Yes=1)" totalsRowFunction="custom" dataDxfId="21" totalsRowDxfId="20">
      <totalsRowFormula>SUM(Table4[Soccer/U12 - U13 9v9 (Yes=1)])</totalsRowFormula>
    </tableColumn>
    <tableColumn id="41" xr3:uid="{78B2679C-D2F0-4AFD-9955-A8B65D3539AA}" name="Soccer/11 v 11 (Yes=1)" totalsRowFunction="custom" dataDxfId="19" totalsRowDxfId="18">
      <totalsRowFormula>SUM(Table4[Soccer/11 v 11 (Yes=1)])</totalsRowFormula>
    </tableColumn>
    <tableColumn id="42" xr3:uid="{786ED144-56AB-42B3-9707-8D4E4CE0ACCF}" name="Cricket/Oval Infield (Yes=1)" totalsRowFunction="custom" dataDxfId="17" totalsRowDxfId="16">
      <totalsRowFormula>SUM(Table4[Cricket/Oval Infield (Yes=1)])</totalsRowFormula>
    </tableColumn>
    <tableColumn id="43" xr3:uid="{2443A401-C6B4-463C-879E-1203804B111C}" name="CFL (Yes=1)" totalsRowFunction="custom" dataDxfId="15" totalsRowDxfId="14">
      <totalsRowFormula>SUM(Table4[CFL (Yes=1)])</totalsRowFormula>
    </tableColumn>
    <tableColumn id="44" xr3:uid="{4902A60E-1BC5-4847-AE80-52F415C98904}" name="NFL (Yes=1)" totalsRowFunction="custom" dataDxfId="13" totalsRowDxfId="12">
      <calculatedColumnFormula>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calculatedColumnFormula>
      <totalsRowFormula>SUM(Table4[NFL (Yes=1)])</totalsRowFormula>
    </tableColumn>
    <tableColumn id="45" xr3:uid="{508BF0AB-DADC-46D4-A95A-AFAF914DD946}" name="Gaelic Football (Yes=1)" totalsRowFunction="custom" dataDxfId="11" totalsRowDxfId="10">
      <calculatedColumnFormula>COUNTIFS(Table4[[#This Row],[Rectangular Field Dimension: Length - m ]],Methods_Dimensions!J$16,Table4[[#This Row],[Rectangular Field Dimension: Width - m ]],Methods_Dimensions!H$16)</calculatedColumnFormula>
      <totalsRowFormula>SUM(Table4[Gaelic Football (Yes=1)])</totalsRowFormula>
    </tableColumn>
    <tableColumn id="46" xr3:uid="{C6CB746A-2E05-4253-A5CC-5A5377A666AE}" name="Lacrosse (Yes=1)" totalsRowFunction="custom" dataDxfId="9" totalsRowDxfId="8">
      <calculatedColumnFormula>COUNTIFS(Table4[[#This Row],[Rectangular Field Dimension: Length - m ]],Methods_Dimensions!J$17,Table4[[#This Row],[Rectangular Field Dimension: Width - m ]],Methods_Dimensions!H$17)</calculatedColumnFormula>
      <totalsRowFormula>SUM(Table4[Lacrosse (Yes=1)])</totalsRowFormula>
    </tableColumn>
    <tableColumn id="47" xr3:uid="{77DF53DC-3902-4E19-B682-C43E49B73525}" name="Rugby  (Yes=1)" totalsRowFunction="custom" dataDxfId="7" totalsRowDxfId="6">
      <calculatedColumnFormula>COUNTIFS(Table4[[#This Row],[Rectangular Field Dimension: Length - m ]],Methods_Dimensions!J$18,Table4[[#This Row],[Rectangular Field Dimension: Width - m ]],Methods_Dimensions!H$18)</calculatedColumnFormula>
      <totalsRowFormula>SUM(Table4[Rugby  (Yes=1)])</totalsRowFormula>
    </tableColumn>
    <tableColumn id="48" xr3:uid="{0A392CEF-0859-42C8-89F5-2333DA83097A}" name="Ultimate Frisbee (Yes=1)" totalsRowFunction="custom" dataDxfId="5" totalsRowDxfId="4">
      <totalsRowFormula>SUM(Table4[Ultimate Frisbee (Yes=1)])</totalsRowFormula>
    </tableColumn>
    <tableColumn id="49" xr3:uid="{FB864B42-2BDF-4855-BF7A-2CD0AC713B00}" name="Field Notes (Binnie VSFS Assessement)" dataDxfId="3" totalsRowDxfId="2"/>
    <tableColumn id="50" xr3:uid="{D87A1BBB-EAF6-403F-A01D-F772FBE3F6DC}" name="Notable Hazards (Binnie VSFS Assessemen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3" dT="2025-05-14T00:19:02.22" personId="{E61A4E55-B564-4FC8-B2C9-E94EE056876B}" id="{AD232F0B-90BF-442D-A2BE-29B69BF6DA86}">
    <text>Line items row 66-68 of the diamond inventory have been removed due to FIFA training facilities.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A66" dT="2025-05-14T00:19:02.22" personId="{E61A4E55-B564-4FC8-B2C9-E94EE056876B}" id="{504CD3E5-1BB4-4D05-BDF0-88FF8806F30F}">
    <text>Line items row 66-68 of the diamond inventory have been removed due to FIFA training facilities.</text>
  </threadedComment>
</ThreadedComments>
</file>

<file path=xl/threadedComments/threadedComment3.xml><?xml version="1.0" encoding="utf-8"?>
<ThreadedComments xmlns="http://schemas.microsoft.com/office/spreadsheetml/2018/threadedcomments" xmlns:x="http://schemas.openxmlformats.org/spreadsheetml/2006/main">
  <threadedComment ref="A18" dT="2025-05-14T21:46:46.27" personId="{AB40DFD1-DC2F-48C0-BDEF-83FAC58DC36B}" id="{7C34FA5C-C266-4B0E-82EC-2095DA0EF951}">
    <text xml:space="preserve">Currently the standard listed for Ruby is 80 m width and 154m length, it is an easy adjustment for to simply update the methods_dimensions tab to say the field should be greater 70 m in width and greater than 112m in length if that’s more practical thus Connaugh E &amp; W would meet the requirements
</text>
  </threadedComment>
  <threadedComment ref="A37" dT="2025-05-14T21:48:02.12" personId="{AB40DFD1-DC2F-48C0-BDEF-83FAC58DC36B}" id="{31DB6B6A-CFFD-4A78-A9BA-13C3A7E8C0E1}">
    <text xml:space="preserve">We used official measurements +/- 1 foot for diamond sports, which may not reflect practical use of the diamonds for sports such as slo-pitch.  Those requirements can be adjusted in this table as needed.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FF97-46AC-4625-B2C9-A066A7E56717}">
  <dimension ref="A1:BT119"/>
  <sheetViews>
    <sheetView zoomScaleNormal="100" workbookViewId="0">
      <pane xSplit="1" topLeftCell="V1" activePane="topRight" state="frozen"/>
      <selection pane="topRight" activeCell="AC42" sqref="AC42"/>
    </sheetView>
  </sheetViews>
  <sheetFormatPr defaultColWidth="8.88671875" defaultRowHeight="13.8" x14ac:dyDescent="0.3"/>
  <cols>
    <col min="1" max="1" width="35" style="92" bestFit="1" customWidth="1"/>
    <col min="2" max="2" width="23" style="92" customWidth="1"/>
    <col min="3" max="3" width="19.44140625" style="92" customWidth="1"/>
    <col min="4" max="4" width="19.6640625" style="92" customWidth="1"/>
    <col min="5" max="5" width="24.33203125" style="92" customWidth="1"/>
    <col min="6" max="6" width="21.33203125" style="92" customWidth="1"/>
    <col min="7" max="7" width="20.109375" style="92" customWidth="1"/>
    <col min="8" max="8" width="20.33203125" style="92" customWidth="1"/>
    <col min="9" max="9" width="24.88671875" style="92" customWidth="1"/>
    <col min="10" max="10" width="17.44140625" style="92" customWidth="1"/>
    <col min="11" max="11" width="16.88671875" style="92" customWidth="1"/>
    <col min="12" max="12" width="21.88671875" style="92" customWidth="1"/>
    <col min="13" max="13" width="16.33203125" style="92" customWidth="1"/>
    <col min="14" max="14" width="15" style="92" customWidth="1"/>
    <col min="15" max="15" width="19.33203125" style="92" customWidth="1"/>
    <col min="16" max="16" width="30.5546875" style="93" customWidth="1"/>
    <col min="17" max="17" width="22.33203125" style="92" customWidth="1"/>
    <col min="18" max="18" width="16.33203125" style="92" hidden="1" customWidth="1"/>
    <col min="19" max="19" width="16.88671875" style="92" hidden="1" customWidth="1"/>
    <col min="20" max="20" width="15.88671875" style="92" customWidth="1"/>
    <col min="21" max="21" width="16.33203125" style="92" customWidth="1"/>
    <col min="22" max="22" width="8" style="92" customWidth="1"/>
    <col min="23" max="23" width="5.88671875" style="92" customWidth="1"/>
    <col min="24" max="24" width="4.88671875" style="92" customWidth="1"/>
    <col min="25" max="25" width="15.44140625" style="92" customWidth="1"/>
    <col min="26" max="26" width="19.33203125" style="92" customWidth="1"/>
    <col min="27" max="27" width="11" style="92" customWidth="1"/>
    <col min="28" max="28" width="10.109375" style="92" customWidth="1"/>
    <col min="29" max="29" width="10.6640625" style="92" customWidth="1"/>
    <col min="30" max="31" width="11.88671875" style="92" customWidth="1"/>
    <col min="32" max="37" width="13.6640625" style="92" customWidth="1"/>
    <col min="38" max="42" width="16.6640625" style="92" customWidth="1"/>
    <col min="43" max="47" width="14.5546875" style="92" customWidth="1"/>
    <col min="48" max="48" width="14.33203125" style="92" customWidth="1"/>
    <col min="49" max="49" width="15.6640625" style="92" customWidth="1"/>
    <col min="50" max="50" width="15.88671875" style="92" customWidth="1"/>
    <col min="51" max="51" width="18" style="92" customWidth="1"/>
    <col min="52" max="52" width="19.5546875" style="92" customWidth="1"/>
    <col min="53" max="53" width="19.109375" style="92" customWidth="1"/>
    <col min="54" max="54" width="20" style="92" customWidth="1"/>
    <col min="55" max="55" width="16.6640625" style="92" customWidth="1"/>
    <col min="56" max="56" width="16.109375" style="92" customWidth="1"/>
    <col min="57" max="57" width="18.5546875" style="92" customWidth="1"/>
    <col min="58" max="58" width="18.109375" style="92" customWidth="1"/>
    <col min="59" max="59" width="16.44140625" style="92" customWidth="1"/>
    <col min="60" max="60" width="16.5546875" style="92" customWidth="1"/>
    <col min="61" max="61" width="14.6640625" style="92" customWidth="1"/>
    <col min="62" max="62" width="16.6640625" style="92" customWidth="1"/>
    <col min="63" max="63" width="15.5546875" style="92" customWidth="1"/>
    <col min="64" max="64" width="17.44140625" style="92" customWidth="1"/>
    <col min="65" max="65" width="21.109375" style="92" customWidth="1"/>
    <col min="66" max="66" width="15.33203125" style="92" customWidth="1"/>
    <col min="67" max="70" width="15.5546875" style="92" customWidth="1"/>
    <col min="71" max="71" width="70.109375" style="94" hidden="1" customWidth="1"/>
    <col min="72" max="72" width="54.109375" style="94" hidden="1" customWidth="1"/>
    <col min="73" max="16384" width="8.88671875" style="69"/>
  </cols>
  <sheetData>
    <row r="1" spans="1:72" ht="74.400000000000006" customHeight="1" x14ac:dyDescent="0.3">
      <c r="A1" s="65" t="s">
        <v>328</v>
      </c>
      <c r="B1" s="66" t="s">
        <v>329</v>
      </c>
      <c r="C1" s="66" t="s">
        <v>332</v>
      </c>
      <c r="D1" s="66" t="s">
        <v>678</v>
      </c>
      <c r="E1" s="66" t="s">
        <v>694</v>
      </c>
      <c r="F1" s="66" t="s">
        <v>695</v>
      </c>
      <c r="G1" s="66" t="s">
        <v>696</v>
      </c>
      <c r="H1" s="66" t="s">
        <v>697</v>
      </c>
      <c r="I1" s="66" t="s">
        <v>698</v>
      </c>
      <c r="J1" s="66" t="s">
        <v>699</v>
      </c>
      <c r="K1" s="66" t="s">
        <v>700</v>
      </c>
      <c r="L1" s="66" t="s">
        <v>701</v>
      </c>
      <c r="M1" s="66" t="s">
        <v>996</v>
      </c>
      <c r="N1" s="66" t="s">
        <v>703</v>
      </c>
      <c r="O1" s="66" t="s">
        <v>704</v>
      </c>
      <c r="P1" s="66" t="s">
        <v>705</v>
      </c>
      <c r="Q1" s="98" t="s">
        <v>706</v>
      </c>
      <c r="R1" s="66" t="s">
        <v>707</v>
      </c>
      <c r="S1" s="66" t="s">
        <v>708</v>
      </c>
      <c r="T1" s="98" t="s">
        <v>709</v>
      </c>
      <c r="U1" s="66" t="s">
        <v>710</v>
      </c>
      <c r="V1" s="95" t="s">
        <v>711</v>
      </c>
      <c r="W1" s="95" t="s">
        <v>712</v>
      </c>
      <c r="X1" s="95" t="s">
        <v>713</v>
      </c>
      <c r="Y1" s="66" t="s">
        <v>714</v>
      </c>
      <c r="Z1" s="99" t="s">
        <v>997</v>
      </c>
      <c r="AA1" s="99" t="s">
        <v>998</v>
      </c>
      <c r="AB1" s="99" t="s">
        <v>999</v>
      </c>
      <c r="AC1" s="99" t="s">
        <v>1000</v>
      </c>
      <c r="AD1" s="99" t="s">
        <v>1001</v>
      </c>
      <c r="AE1" s="99" t="s">
        <v>1002</v>
      </c>
      <c r="AF1" s="100" t="s">
        <v>1003</v>
      </c>
      <c r="AG1" s="100" t="s">
        <v>1004</v>
      </c>
      <c r="AH1" s="100" t="s">
        <v>1005</v>
      </c>
      <c r="AI1" s="100" t="s">
        <v>1006</v>
      </c>
      <c r="AJ1" s="100" t="s">
        <v>1007</v>
      </c>
      <c r="AK1" s="100" t="s">
        <v>1008</v>
      </c>
      <c r="AL1" s="101" t="s">
        <v>1009</v>
      </c>
      <c r="AM1" s="101" t="s">
        <v>1010</v>
      </c>
      <c r="AN1" s="101" t="s">
        <v>1011</v>
      </c>
      <c r="AO1" s="101" t="s">
        <v>1012</v>
      </c>
      <c r="AP1" s="101" t="s">
        <v>1013</v>
      </c>
      <c r="AQ1" s="102" t="s">
        <v>1014</v>
      </c>
      <c r="AR1" s="102" t="s">
        <v>1015</v>
      </c>
      <c r="AS1" s="102" t="s">
        <v>1016</v>
      </c>
      <c r="AT1" s="102" t="s">
        <v>1017</v>
      </c>
      <c r="AU1" s="102" t="s">
        <v>1018</v>
      </c>
      <c r="AV1" s="66" t="s">
        <v>1019</v>
      </c>
      <c r="AW1" s="66" t="s">
        <v>1020</v>
      </c>
      <c r="AX1" s="66" t="s">
        <v>1021</v>
      </c>
      <c r="AY1" s="66" t="s">
        <v>1022</v>
      </c>
      <c r="AZ1" s="66" t="s">
        <v>1023</v>
      </c>
      <c r="BA1" s="66" t="s">
        <v>1024</v>
      </c>
      <c r="BB1" s="66" t="s">
        <v>1025</v>
      </c>
      <c r="BC1" s="66" t="s">
        <v>1026</v>
      </c>
      <c r="BD1" s="66" t="s">
        <v>1027</v>
      </c>
      <c r="BE1" s="66" t="s">
        <v>1028</v>
      </c>
      <c r="BF1" s="66" t="s">
        <v>1029</v>
      </c>
      <c r="BG1" s="66" t="s">
        <v>1030</v>
      </c>
      <c r="BH1" s="66" t="s">
        <v>1031</v>
      </c>
      <c r="BI1" s="66" t="s">
        <v>1032</v>
      </c>
      <c r="BJ1" s="66" t="s">
        <v>1033</v>
      </c>
      <c r="BK1" s="66" t="s">
        <v>1034</v>
      </c>
      <c r="BL1" s="66" t="s">
        <v>1035</v>
      </c>
      <c r="BM1" s="66" t="s">
        <v>1036</v>
      </c>
      <c r="BN1" s="66" t="s">
        <v>1037</v>
      </c>
      <c r="BO1" s="66" t="s">
        <v>1038</v>
      </c>
      <c r="BP1" s="66" t="s">
        <v>1039</v>
      </c>
      <c r="BQ1" s="66" t="s">
        <v>1040</v>
      </c>
      <c r="BR1" s="66" t="s">
        <v>1041</v>
      </c>
      <c r="BS1" s="67" t="s">
        <v>376</v>
      </c>
      <c r="BT1" s="68" t="s">
        <v>377</v>
      </c>
    </row>
    <row r="2" spans="1:72" ht="16.8" x14ac:dyDescent="0.3">
      <c r="A2" s="70" t="s">
        <v>58</v>
      </c>
      <c r="B2" s="71" t="s">
        <v>514</v>
      </c>
      <c r="C2" s="71" t="s">
        <v>739</v>
      </c>
      <c r="D2" s="71" t="s">
        <v>789</v>
      </c>
      <c r="E2" s="72"/>
      <c r="F2" s="72"/>
      <c r="G2" s="72"/>
      <c r="H2" s="72" t="s">
        <v>444</v>
      </c>
      <c r="I2" s="72" t="s">
        <v>834</v>
      </c>
      <c r="J2" s="72">
        <v>10</v>
      </c>
      <c r="K2" s="72" t="s">
        <v>742</v>
      </c>
      <c r="L2" s="72">
        <v>1</v>
      </c>
      <c r="M2" s="72">
        <v>1</v>
      </c>
      <c r="N2" s="72">
        <v>1</v>
      </c>
      <c r="O2" s="72">
        <v>1</v>
      </c>
      <c r="P2" s="73" t="s">
        <v>752</v>
      </c>
      <c r="Q2" s="72">
        <v>19.8</v>
      </c>
      <c r="R2" s="72">
        <v>40</v>
      </c>
      <c r="S2" s="72">
        <v>48</v>
      </c>
      <c r="T2" s="72">
        <v>26.8</v>
      </c>
      <c r="U2" s="72"/>
      <c r="V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 s="72">
        <f>SUM(Table326[[#This Row],[Slo - Pitch - Mens ]:[Slo - Pitch - Co-Ed ]])</f>
        <v>0</v>
      </c>
      <c r="X2" s="72">
        <f>SUM(Table326[[#This Row],[Baseball - U18 ]:[Baseball - U7 ]])</f>
        <v>0</v>
      </c>
      <c r="Y2" s="72" t="s">
        <v>1042</v>
      </c>
      <c r="Z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 s="74">
        <f>13.72-Table326[[#This Row],[Diamonds: Dimension Home to Pitchers Plate - m ]]</f>
        <v>-6.08</v>
      </c>
      <c r="AB2" s="74">
        <f>14.32-Table326[[#This Row],[Diamonds: Dimension Home to Pitchers Plate - m ]]</f>
        <v>-5.48</v>
      </c>
      <c r="AC2" s="74">
        <f>17.988-Table326[[#This Row],[Diamonds: Home to First Base Path - m ]]</f>
        <v>-8.8120000000000012</v>
      </c>
      <c r="AD2" s="74">
        <f>18.588-Table326[[#This Row],[Diamonds: Home to First Base Path - m ]]</f>
        <v>-8.2119999999999997</v>
      </c>
      <c r="AE2" s="74">
        <f>AVERAGE(Table326[[#This Row],[Home to Pitch (Low)]:[Home to 1st (High)]])</f>
        <v>-7.1459999999999999</v>
      </c>
      <c r="AF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 s="74">
        <f>12.5-Table326[[#This Row],[Diamonds: Dimension Home to Pitchers Plate - m ]]</f>
        <v>-7.3000000000000007</v>
      </c>
      <c r="AH2" s="74">
        <f>13.1-Table326[[#This Row],[Diamonds: Dimension Home to Pitchers Plate - m ]]</f>
        <v>-6.7000000000000011</v>
      </c>
      <c r="AI2" s="74">
        <f>17.988-Table326[[#This Row],[Diamonds: Home to First Base Path - m ]]</f>
        <v>-8.8120000000000012</v>
      </c>
      <c r="AJ2" s="74">
        <f>18.588-Table326[[#This Row],[Diamonds: Home to First Base Path - m ]]</f>
        <v>-8.2119999999999997</v>
      </c>
      <c r="AK2" s="74">
        <f>AVERAGE(Table326[[#This Row],[Home to Pitch (Low)2]:[Home to 1st (High)5]])</f>
        <v>-7.7560000000000011</v>
      </c>
      <c r="AL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 s="74">
        <f>11.2-Table326[[#This Row],[Diamonds: Dimension Home to Pitchers Plate - m ]]</f>
        <v>-8.6000000000000014</v>
      </c>
      <c r="AN2" s="74">
        <f>11.8-Table326[[#This Row],[Diamonds: Dimension Home to Pitchers Plate - m ]]</f>
        <v>-8</v>
      </c>
      <c r="AO2" s="74">
        <f>16.5-Table326[[#This Row],[Diamonds: Home to First Base Path - m ]]</f>
        <v>-10.3</v>
      </c>
      <c r="AP2" s="74">
        <f>17.04-Table326[[#This Row],[Diamonds: Home to First Base Path - m ]]</f>
        <v>-9.7600000000000016</v>
      </c>
      <c r="AQ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 s="74">
        <f>10.37-Table326[[#This Row],[Diamonds: Dimension Home to Pitchers Plate - m ]]</f>
        <v>-9.4300000000000015</v>
      </c>
      <c r="AS2" s="74">
        <f>10.97-Table326[[#This Row],[Diamonds: Dimension Home to Pitchers Plate - m ]]</f>
        <v>-8.83</v>
      </c>
      <c r="AT2" s="74">
        <f>13.5-Table326[[#This Row],[Diamonds: Home to First Base Path - m ]]</f>
        <v>-13.3</v>
      </c>
      <c r="AU2" s="74">
        <f>14.02-Table326[[#This Row],[Diamonds: Home to First Base Path - m ]]</f>
        <v>-12.780000000000001</v>
      </c>
      <c r="AV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 s="74"/>
      <c r="BR2" s="74"/>
      <c r="BS2" s="75" t="s">
        <v>387</v>
      </c>
      <c r="BT2" s="76" t="s">
        <v>388</v>
      </c>
    </row>
    <row r="3" spans="1:72" ht="33.6" x14ac:dyDescent="0.3">
      <c r="A3" s="77" t="s">
        <v>887</v>
      </c>
      <c r="B3" s="78" t="s">
        <v>553</v>
      </c>
      <c r="C3" s="78" t="s">
        <v>739</v>
      </c>
      <c r="D3" s="78" t="s">
        <v>754</v>
      </c>
      <c r="E3" s="79"/>
      <c r="F3" s="79"/>
      <c r="G3" s="79"/>
      <c r="H3" s="79" t="s">
        <v>444</v>
      </c>
      <c r="I3" s="79" t="s">
        <v>888</v>
      </c>
      <c r="J3" s="79">
        <v>8</v>
      </c>
      <c r="K3" s="79" t="s">
        <v>742</v>
      </c>
      <c r="L3" s="79">
        <v>1</v>
      </c>
      <c r="M3" s="79">
        <v>1</v>
      </c>
      <c r="N3" s="79">
        <v>1</v>
      </c>
      <c r="O3" s="79"/>
      <c r="P3" s="80" t="s">
        <v>781</v>
      </c>
      <c r="Q3" s="79">
        <v>18.5</v>
      </c>
      <c r="R3" s="81">
        <v>35</v>
      </c>
      <c r="S3" s="81">
        <v>42.2</v>
      </c>
      <c r="T3" s="79">
        <v>28</v>
      </c>
      <c r="U3" s="79"/>
      <c r="V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 s="79">
        <f>SUM(Table326[[#This Row],[Slo - Pitch - Mens ]:[Slo - Pitch - Co-Ed ]])</f>
        <v>0</v>
      </c>
      <c r="X3" s="79">
        <f>SUM(Table326[[#This Row],[Baseball - U18 ]:[Baseball - U7 ]])</f>
        <v>0</v>
      </c>
      <c r="Y3" s="79" t="s">
        <v>1042</v>
      </c>
      <c r="Z3" s="10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 s="104">
        <f>13.72-Table326[[#This Row],[Diamonds: Dimension Home to Pitchers Plate - m ]]</f>
        <v>-4.7799999999999994</v>
      </c>
      <c r="AB3" s="104">
        <f>14.32-Table326[[#This Row],[Diamonds: Dimension Home to Pitchers Plate - m ]]</f>
        <v>-4.18</v>
      </c>
      <c r="AC3" s="104">
        <f>17.988-Table326[[#This Row],[Diamonds: Home to First Base Path - m ]]</f>
        <v>-10.012</v>
      </c>
      <c r="AD3" s="104">
        <f>18.588-Table326[[#This Row],[Diamonds: Home to First Base Path - m ]]</f>
        <v>-9.411999999999999</v>
      </c>
      <c r="AE3" s="104">
        <f>AVERAGE(Table326[[#This Row],[Home to Pitch (Low)]:[Home to 1st (High)]])</f>
        <v>-7.0960000000000001</v>
      </c>
      <c r="AF3" s="10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 s="104">
        <f>12.5-Table326[[#This Row],[Diamonds: Dimension Home to Pitchers Plate - m ]]</f>
        <v>-6</v>
      </c>
      <c r="AH3" s="104">
        <f>13.1-Table326[[#This Row],[Diamonds: Dimension Home to Pitchers Plate - m ]]</f>
        <v>-5.4</v>
      </c>
      <c r="AI3" s="104">
        <f>17.988-Table326[[#This Row],[Diamonds: Home to First Base Path - m ]]</f>
        <v>-10.012</v>
      </c>
      <c r="AJ3" s="104">
        <f>18.588-Table326[[#This Row],[Diamonds: Home to First Base Path - m ]]</f>
        <v>-9.411999999999999</v>
      </c>
      <c r="AK3" s="104">
        <f>AVERAGE(Table326[[#This Row],[Home to Pitch (Low)2]:[Home to 1st (High)5]])</f>
        <v>-7.7059999999999995</v>
      </c>
      <c r="AL3" s="10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 s="104">
        <f>11.2-Table326[[#This Row],[Diamonds: Dimension Home to Pitchers Plate - m ]]</f>
        <v>-7.3000000000000007</v>
      </c>
      <c r="AN3" s="104">
        <f>11.8-Table326[[#This Row],[Diamonds: Dimension Home to Pitchers Plate - m ]]</f>
        <v>-6.6999999999999993</v>
      </c>
      <c r="AO3" s="104">
        <f>16.5-Table326[[#This Row],[Diamonds: Home to First Base Path - m ]]</f>
        <v>-11.5</v>
      </c>
      <c r="AP3" s="104">
        <f>17.04-Table326[[#This Row],[Diamonds: Home to First Base Path - m ]]</f>
        <v>-10.96</v>
      </c>
      <c r="AQ3" s="10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 s="104">
        <f>10.37-Table326[[#This Row],[Diamonds: Dimension Home to Pitchers Plate - m ]]</f>
        <v>-8.1300000000000008</v>
      </c>
      <c r="AS3" s="104">
        <f>10.97-Table326[[#This Row],[Diamonds: Dimension Home to Pitchers Plate - m ]]</f>
        <v>-7.5299999999999994</v>
      </c>
      <c r="AT3" s="104">
        <f>13.5-Table326[[#This Row],[Diamonds: Home to First Base Path - m ]]</f>
        <v>-14.5</v>
      </c>
      <c r="AU3" s="104">
        <f>14.02-Table326[[#This Row],[Diamonds: Home to First Base Path - m ]]</f>
        <v>-13.98</v>
      </c>
      <c r="AV3" s="10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 s="10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 s="10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 s="10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 s="10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 s="10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 s="10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 s="10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 s="10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 s="10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 s="10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 s="10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 s="10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 s="10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 s="10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 s="10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 s="10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 s="10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 s="10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 s="10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 s="10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 s="104"/>
      <c r="BR3" s="104"/>
      <c r="BS3" s="83" t="s">
        <v>889</v>
      </c>
      <c r="BT3" s="84" t="s">
        <v>388</v>
      </c>
    </row>
    <row r="4" spans="1:72" ht="33.6" x14ac:dyDescent="0.3">
      <c r="A4" s="70" t="s">
        <v>149</v>
      </c>
      <c r="B4" s="71" t="s">
        <v>659</v>
      </c>
      <c r="C4" s="71" t="s">
        <v>739</v>
      </c>
      <c r="D4" s="71" t="s">
        <v>754</v>
      </c>
      <c r="E4" s="72"/>
      <c r="F4" s="72"/>
      <c r="G4" s="72"/>
      <c r="H4" s="72" t="s">
        <v>399</v>
      </c>
      <c r="I4" s="72" t="s">
        <v>983</v>
      </c>
      <c r="J4" s="72">
        <v>10</v>
      </c>
      <c r="K4" s="72" t="s">
        <v>742</v>
      </c>
      <c r="L4" s="72">
        <v>1</v>
      </c>
      <c r="M4" s="72">
        <v>1</v>
      </c>
      <c r="N4" s="72">
        <v>1</v>
      </c>
      <c r="O4" s="72">
        <v>1</v>
      </c>
      <c r="P4" s="73" t="s">
        <v>772</v>
      </c>
      <c r="Q4" s="72">
        <v>18.7</v>
      </c>
      <c r="R4" s="72">
        <v>39.299999999999997</v>
      </c>
      <c r="S4" s="72"/>
      <c r="T4" s="72">
        <v>27.6</v>
      </c>
      <c r="U4" s="72">
        <v>1</v>
      </c>
      <c r="V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4" s="72">
        <f>SUM(Table326[[#This Row],[Slo - Pitch - Mens ]:[Slo - Pitch - Co-Ed ]])</f>
        <v>0</v>
      </c>
      <c r="X4" s="72">
        <f>SUM(Table326[[#This Row],[Baseball - U18 ]:[Baseball - U7 ]])</f>
        <v>1</v>
      </c>
      <c r="Y4" s="72" t="s">
        <v>1043</v>
      </c>
      <c r="Z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4" s="74">
        <f>13.72-Table326[[#This Row],[Diamonds: Dimension Home to Pitchers Plate - m ]]</f>
        <v>-4.9799999999999986</v>
      </c>
      <c r="AB4" s="74">
        <f>14.32-Table326[[#This Row],[Diamonds: Dimension Home to Pitchers Plate - m ]]</f>
        <v>-4.379999999999999</v>
      </c>
      <c r="AC4" s="74">
        <f>17.988-Table326[[#This Row],[Diamonds: Home to First Base Path - m ]]</f>
        <v>-9.6120000000000019</v>
      </c>
      <c r="AD4" s="74">
        <f>18.588-Table326[[#This Row],[Diamonds: Home to First Base Path - m ]]</f>
        <v>-9.0120000000000005</v>
      </c>
      <c r="AE4" s="74">
        <f>AVERAGE(Table326[[#This Row],[Home to Pitch (Low)]:[Home to 1st (High)]])</f>
        <v>-6.9960000000000004</v>
      </c>
      <c r="AF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 s="74">
        <f>12.5-Table326[[#This Row],[Diamonds: Dimension Home to Pitchers Plate - m ]]</f>
        <v>-6.1999999999999993</v>
      </c>
      <c r="AH4" s="74">
        <f>13.1-Table326[[#This Row],[Diamonds: Dimension Home to Pitchers Plate - m ]]</f>
        <v>-5.6</v>
      </c>
      <c r="AI4" s="74">
        <f>17.988-Table326[[#This Row],[Diamonds: Home to First Base Path - m ]]</f>
        <v>-9.6120000000000019</v>
      </c>
      <c r="AJ4" s="74">
        <f>18.588-Table326[[#This Row],[Diamonds: Home to First Base Path - m ]]</f>
        <v>-9.0120000000000005</v>
      </c>
      <c r="AK4" s="74">
        <f>AVERAGE(Table326[[#This Row],[Home to Pitch (Low)2]:[Home to 1st (High)5]])</f>
        <v>-7.6059999999999999</v>
      </c>
      <c r="AL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 s="74">
        <f>11.2-Table326[[#This Row],[Diamonds: Dimension Home to Pitchers Plate - m ]]</f>
        <v>-7.5</v>
      </c>
      <c r="AN4" s="74">
        <f>11.8-Table326[[#This Row],[Diamonds: Dimension Home to Pitchers Plate - m ]]</f>
        <v>-6.8999999999999986</v>
      </c>
      <c r="AO4" s="74">
        <f>16.5-Table326[[#This Row],[Diamonds: Home to First Base Path - m ]]</f>
        <v>-11.100000000000001</v>
      </c>
      <c r="AP4" s="74">
        <f>17.04-Table326[[#This Row],[Diamonds: Home to First Base Path - m ]]</f>
        <v>-10.560000000000002</v>
      </c>
      <c r="AQ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 s="74">
        <f>10.37-Table326[[#This Row],[Diamonds: Dimension Home to Pitchers Plate - m ]]</f>
        <v>-8.33</v>
      </c>
      <c r="AS4" s="74">
        <f>10.97-Table326[[#This Row],[Diamonds: Dimension Home to Pitchers Plate - m ]]</f>
        <v>-7.7299999999999986</v>
      </c>
      <c r="AT4" s="74">
        <f>13.5-Table326[[#This Row],[Diamonds: Home to First Base Path - m ]]</f>
        <v>-14.100000000000001</v>
      </c>
      <c r="AU4" s="74">
        <f>14.02-Table326[[#This Row],[Diamonds: Home to First Base Path - m ]]</f>
        <v>-13.580000000000002</v>
      </c>
      <c r="AV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1</v>
      </c>
      <c r="BK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 s="74"/>
      <c r="BR4" s="74"/>
      <c r="BS4" s="75" t="s">
        <v>984</v>
      </c>
      <c r="BT4" s="76" t="s">
        <v>388</v>
      </c>
    </row>
    <row r="5" spans="1:72" ht="33.6" x14ac:dyDescent="0.3">
      <c r="A5" s="70" t="s">
        <v>64</v>
      </c>
      <c r="B5" s="71" t="s">
        <v>519</v>
      </c>
      <c r="C5" s="71" t="s">
        <v>739</v>
      </c>
      <c r="D5" s="71" t="s">
        <v>740</v>
      </c>
      <c r="E5" s="72">
        <v>1</v>
      </c>
      <c r="F5" s="72" t="s">
        <v>770</v>
      </c>
      <c r="G5" s="72">
        <v>86.8</v>
      </c>
      <c r="H5" s="72" t="s">
        <v>399</v>
      </c>
      <c r="I5" s="72" t="s">
        <v>843</v>
      </c>
      <c r="J5" s="72">
        <v>11.5</v>
      </c>
      <c r="K5" s="72" t="s">
        <v>742</v>
      </c>
      <c r="L5" s="72">
        <v>1</v>
      </c>
      <c r="M5" s="72">
        <v>1</v>
      </c>
      <c r="N5" s="72">
        <v>1</v>
      </c>
      <c r="O5" s="72"/>
      <c r="P5" s="73" t="s">
        <v>820</v>
      </c>
      <c r="Q5" s="72">
        <v>18.600000000000001</v>
      </c>
      <c r="R5" s="72">
        <v>38.799999999999997</v>
      </c>
      <c r="S5" s="72">
        <v>47</v>
      </c>
      <c r="T5" s="72">
        <v>27.5</v>
      </c>
      <c r="U5" s="72">
        <v>1</v>
      </c>
      <c r="V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5" s="72">
        <f>SUM(Table326[[#This Row],[Slo - Pitch - Mens ]:[Slo - Pitch - Co-Ed ]])</f>
        <v>0</v>
      </c>
      <c r="X5" s="72">
        <f>SUM(Table326[[#This Row],[Baseball - U18 ]:[Baseball - U7 ]])</f>
        <v>1</v>
      </c>
      <c r="Y5" s="72" t="s">
        <v>1043</v>
      </c>
      <c r="Z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5" s="74">
        <f>13.72-Table326[[#This Row],[Diamonds: Dimension Home to Pitchers Plate - m ]]</f>
        <v>-4.8800000000000008</v>
      </c>
      <c r="AB5" s="74">
        <f>14.32-Table326[[#This Row],[Diamonds: Dimension Home to Pitchers Plate - m ]]</f>
        <v>-4.2800000000000011</v>
      </c>
      <c r="AC5" s="74">
        <f>17.988-Table326[[#This Row],[Diamonds: Home to First Base Path - m ]]</f>
        <v>-9.5120000000000005</v>
      </c>
      <c r="AD5" s="74">
        <f>18.588-Table326[[#This Row],[Diamonds: Home to First Base Path - m ]]</f>
        <v>-8.911999999999999</v>
      </c>
      <c r="AE5" s="74">
        <f>AVERAGE(Table326[[#This Row],[Home to Pitch (Low)]:[Home to 1st (High)]])</f>
        <v>-6.8960000000000008</v>
      </c>
      <c r="AF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 s="74">
        <f>12.5-Table326[[#This Row],[Diamonds: Dimension Home to Pitchers Plate - m ]]</f>
        <v>-6.1000000000000014</v>
      </c>
      <c r="AH5" s="74">
        <f>13.1-Table326[[#This Row],[Diamonds: Dimension Home to Pitchers Plate - m ]]</f>
        <v>-5.5000000000000018</v>
      </c>
      <c r="AI5" s="74">
        <f>17.988-Table326[[#This Row],[Diamonds: Home to First Base Path - m ]]</f>
        <v>-9.5120000000000005</v>
      </c>
      <c r="AJ5" s="74">
        <f>18.588-Table326[[#This Row],[Diamonds: Home to First Base Path - m ]]</f>
        <v>-8.911999999999999</v>
      </c>
      <c r="AK5" s="74">
        <f>AVERAGE(Table326[[#This Row],[Home to Pitch (Low)2]:[Home to 1st (High)5]])</f>
        <v>-7.5060000000000002</v>
      </c>
      <c r="AL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 s="74">
        <f>11.2-Table326[[#This Row],[Diamonds: Dimension Home to Pitchers Plate - m ]]</f>
        <v>-7.4000000000000021</v>
      </c>
      <c r="AN5" s="74">
        <f>11.8-Table326[[#This Row],[Diamonds: Dimension Home to Pitchers Plate - m ]]</f>
        <v>-6.8000000000000007</v>
      </c>
      <c r="AO5" s="74">
        <f>16.5-Table326[[#This Row],[Diamonds: Home to First Base Path - m ]]</f>
        <v>-11</v>
      </c>
      <c r="AP5" s="74">
        <f>17.04-Table326[[#This Row],[Diamonds: Home to First Base Path - m ]]</f>
        <v>-10.46</v>
      </c>
      <c r="AQ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 s="74">
        <f>10.37-Table326[[#This Row],[Diamonds: Dimension Home to Pitchers Plate - m ]]</f>
        <v>-8.2300000000000022</v>
      </c>
      <c r="AS5" s="74">
        <f>10.97-Table326[[#This Row],[Diamonds: Dimension Home to Pitchers Plate - m ]]</f>
        <v>-7.6300000000000008</v>
      </c>
      <c r="AT5" s="74">
        <f>13.5-Table326[[#This Row],[Diamonds: Home to First Base Path - m ]]</f>
        <v>-14</v>
      </c>
      <c r="AU5" s="74">
        <f>14.02-Table326[[#This Row],[Diamonds: Home to First Base Path - m ]]</f>
        <v>-13.48</v>
      </c>
      <c r="AV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1</v>
      </c>
      <c r="BK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 s="74"/>
      <c r="BR5" s="74"/>
      <c r="BS5" s="75" t="s">
        <v>844</v>
      </c>
      <c r="BT5" s="76" t="s">
        <v>388</v>
      </c>
    </row>
    <row r="6" spans="1:72" ht="16.8" x14ac:dyDescent="0.3">
      <c r="A6" s="77" t="s">
        <v>116</v>
      </c>
      <c r="B6" s="78" t="s">
        <v>596</v>
      </c>
      <c r="C6" s="78" t="s">
        <v>739</v>
      </c>
      <c r="D6" s="78" t="s">
        <v>754</v>
      </c>
      <c r="E6" s="79"/>
      <c r="F6" s="79" t="s">
        <v>770</v>
      </c>
      <c r="G6" s="79">
        <v>90</v>
      </c>
      <c r="H6" s="79" t="s">
        <v>385</v>
      </c>
      <c r="I6" s="79" t="s">
        <v>942</v>
      </c>
      <c r="J6" s="79">
        <v>9.5</v>
      </c>
      <c r="K6" s="79" t="s">
        <v>742</v>
      </c>
      <c r="L6" s="79">
        <v>1</v>
      </c>
      <c r="M6" s="79">
        <v>1</v>
      </c>
      <c r="N6" s="79">
        <v>1</v>
      </c>
      <c r="O6" s="79">
        <v>1</v>
      </c>
      <c r="P6" s="80" t="s">
        <v>752</v>
      </c>
      <c r="Q6" s="79">
        <v>18.100000000000001</v>
      </c>
      <c r="R6" s="79">
        <v>38.200000000000003</v>
      </c>
      <c r="S6" s="79">
        <v>45.2</v>
      </c>
      <c r="T6" s="79">
        <v>26.6</v>
      </c>
      <c r="U6" s="79"/>
      <c r="V6"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6" s="79">
        <f>SUM(Table326[[#This Row],[Slo - Pitch - Mens ]:[Slo - Pitch - Co-Ed ]])</f>
        <v>0</v>
      </c>
      <c r="X6" s="79">
        <f>SUM(Table326[[#This Row],[Baseball - U18 ]:[Baseball - U7 ]])</f>
        <v>0</v>
      </c>
      <c r="Y6" s="72" t="s">
        <v>1042</v>
      </c>
      <c r="Z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6" s="74">
        <f>13.72-Table326[[#This Row],[Diamonds: Dimension Home to Pitchers Plate - m ]]</f>
        <v>-4.3800000000000008</v>
      </c>
      <c r="AB6" s="74">
        <f>14.32-Table326[[#This Row],[Diamonds: Dimension Home to Pitchers Plate - m ]]</f>
        <v>-3.7800000000000011</v>
      </c>
      <c r="AC6" s="74">
        <f>17.988-Table326[[#This Row],[Diamonds: Home to First Base Path - m ]]</f>
        <v>-8.6120000000000019</v>
      </c>
      <c r="AD6" s="74">
        <f>18.588-Table326[[#This Row],[Diamonds: Home to First Base Path - m ]]</f>
        <v>-8.0120000000000005</v>
      </c>
      <c r="AE6" s="74">
        <f>AVERAGE(Table326[[#This Row],[Home to Pitch (Low)]:[Home to 1st (High)]])</f>
        <v>-6.1960000000000015</v>
      </c>
      <c r="AF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 s="74">
        <f>12.5-Table326[[#This Row],[Diamonds: Dimension Home to Pitchers Plate - m ]]</f>
        <v>-5.6000000000000014</v>
      </c>
      <c r="AH6" s="74">
        <f>13.1-Table326[[#This Row],[Diamonds: Dimension Home to Pitchers Plate - m ]]</f>
        <v>-5.0000000000000018</v>
      </c>
      <c r="AI6" s="74">
        <f>17.988-Table326[[#This Row],[Diamonds: Home to First Base Path - m ]]</f>
        <v>-8.6120000000000019</v>
      </c>
      <c r="AJ6" s="74">
        <f>18.588-Table326[[#This Row],[Diamonds: Home to First Base Path - m ]]</f>
        <v>-8.0120000000000005</v>
      </c>
      <c r="AK6" s="74">
        <f>AVERAGE(Table326[[#This Row],[Home to Pitch (Low)2]:[Home to 1st (High)5]])</f>
        <v>-6.8060000000000009</v>
      </c>
      <c r="AL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 s="74">
        <f>11.2-Table326[[#This Row],[Diamonds: Dimension Home to Pitchers Plate - m ]]</f>
        <v>-6.9000000000000021</v>
      </c>
      <c r="AN6" s="74">
        <f>11.8-Table326[[#This Row],[Diamonds: Dimension Home to Pitchers Plate - m ]]</f>
        <v>-6.3000000000000007</v>
      </c>
      <c r="AO6" s="74">
        <f>16.5-Table326[[#This Row],[Diamonds: Home to First Base Path - m ]]</f>
        <v>-10.100000000000001</v>
      </c>
      <c r="AP6" s="74">
        <f>17.04-Table326[[#This Row],[Diamonds: Home to First Base Path - m ]]</f>
        <v>-9.5600000000000023</v>
      </c>
      <c r="AQ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 s="74">
        <f>10.37-Table326[[#This Row],[Diamonds: Dimension Home to Pitchers Plate - m ]]</f>
        <v>-7.7300000000000022</v>
      </c>
      <c r="AS6" s="74">
        <f>10.97-Table326[[#This Row],[Diamonds: Dimension Home to Pitchers Plate - m ]]</f>
        <v>-7.1300000000000008</v>
      </c>
      <c r="AT6" s="74">
        <f>13.5-Table326[[#This Row],[Diamonds: Home to First Base Path - m ]]</f>
        <v>-13.100000000000001</v>
      </c>
      <c r="AU6" s="74">
        <f>14.02-Table326[[#This Row],[Diamonds: Home to First Base Path - m ]]</f>
        <v>-12.580000000000002</v>
      </c>
      <c r="AV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 s="74"/>
      <c r="BR6" s="74"/>
      <c r="BS6" s="75" t="s">
        <v>943</v>
      </c>
      <c r="BT6" s="76" t="s">
        <v>388</v>
      </c>
    </row>
    <row r="7" spans="1:72" ht="33.6" x14ac:dyDescent="0.3">
      <c r="A7" s="70" t="s">
        <v>142</v>
      </c>
      <c r="B7" s="71" t="s">
        <v>651</v>
      </c>
      <c r="C7" s="71" t="s">
        <v>739</v>
      </c>
      <c r="D7" s="71" t="s">
        <v>740</v>
      </c>
      <c r="E7" s="72"/>
      <c r="F7" s="72"/>
      <c r="G7" s="72"/>
      <c r="H7" s="72" t="s">
        <v>444</v>
      </c>
      <c r="I7" s="72" t="s">
        <v>975</v>
      </c>
      <c r="J7" s="72">
        <v>8</v>
      </c>
      <c r="K7" s="72" t="s">
        <v>742</v>
      </c>
      <c r="L7" s="72">
        <v>1</v>
      </c>
      <c r="M7" s="72">
        <v>1</v>
      </c>
      <c r="N7" s="72">
        <v>1</v>
      </c>
      <c r="O7" s="72">
        <v>1</v>
      </c>
      <c r="P7" s="73" t="s">
        <v>772</v>
      </c>
      <c r="Q7" s="72">
        <v>18.2</v>
      </c>
      <c r="R7" s="72">
        <v>36.299999999999997</v>
      </c>
      <c r="S7" s="72">
        <v>42.7</v>
      </c>
      <c r="T7" s="72">
        <v>25.9</v>
      </c>
      <c r="U7" s="72">
        <v>1</v>
      </c>
      <c r="V7"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7" s="72">
        <f>SUM(Table326[[#This Row],[Slo - Pitch - Mens ]:[Slo - Pitch - Co-Ed ]])</f>
        <v>0</v>
      </c>
      <c r="X7" s="72">
        <f>SUM(Table326[[#This Row],[Baseball - U18 ]:[Baseball - U7 ]])</f>
        <v>0</v>
      </c>
      <c r="Y7" s="72" t="s">
        <v>1042</v>
      </c>
      <c r="Z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 s="74">
        <f>13.72-Table326[[#This Row],[Diamonds: Dimension Home to Pitchers Plate - m ]]</f>
        <v>-4.4799999999999986</v>
      </c>
      <c r="AB7" s="74">
        <f>14.32-Table326[[#This Row],[Diamonds: Dimension Home to Pitchers Plate - m ]]</f>
        <v>-3.879999999999999</v>
      </c>
      <c r="AC7" s="74">
        <f>17.988-Table326[[#This Row],[Diamonds: Home to First Base Path - m ]]</f>
        <v>-7.911999999999999</v>
      </c>
      <c r="AD7" s="74">
        <f>18.588-Table326[[#This Row],[Diamonds: Home to First Base Path - m ]]</f>
        <v>-7.3119999999999976</v>
      </c>
      <c r="AE7" s="74">
        <f>AVERAGE(Table326[[#This Row],[Home to Pitch (Low)]:[Home to 1st (High)]])</f>
        <v>-5.895999999999999</v>
      </c>
      <c r="AF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7" s="74">
        <f>12.5-Table326[[#This Row],[Diamonds: Dimension Home to Pitchers Plate - m ]]</f>
        <v>-5.6999999999999993</v>
      </c>
      <c r="AH7" s="74">
        <f>13.1-Table326[[#This Row],[Diamonds: Dimension Home to Pitchers Plate - m ]]</f>
        <v>-5.0999999999999996</v>
      </c>
      <c r="AI7" s="74">
        <f>17.988-Table326[[#This Row],[Diamonds: Home to First Base Path - m ]]</f>
        <v>-7.911999999999999</v>
      </c>
      <c r="AJ7" s="74">
        <f>18.588-Table326[[#This Row],[Diamonds: Home to First Base Path - m ]]</f>
        <v>-7.3119999999999976</v>
      </c>
      <c r="AK7" s="74">
        <f>AVERAGE(Table326[[#This Row],[Home to Pitch (Low)2]:[Home to 1st (High)5]])</f>
        <v>-6.5059999999999985</v>
      </c>
      <c r="AL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 s="74">
        <f>11.2-Table326[[#This Row],[Diamonds: Dimension Home to Pitchers Plate - m ]]</f>
        <v>-7</v>
      </c>
      <c r="AN7" s="74">
        <f>11.8-Table326[[#This Row],[Diamonds: Dimension Home to Pitchers Plate - m ]]</f>
        <v>-6.3999999999999986</v>
      </c>
      <c r="AO7" s="74">
        <f>16.5-Table326[[#This Row],[Diamonds: Home to First Base Path - m ]]</f>
        <v>-9.3999999999999986</v>
      </c>
      <c r="AP7" s="74">
        <f>17.04-Table326[[#This Row],[Diamonds: Home to First Base Path - m ]]</f>
        <v>-8.86</v>
      </c>
      <c r="AQ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 s="74">
        <f>10.37-Table326[[#This Row],[Diamonds: Dimension Home to Pitchers Plate - m ]]</f>
        <v>-7.83</v>
      </c>
      <c r="AS7" s="74">
        <f>10.97-Table326[[#This Row],[Diamonds: Dimension Home to Pitchers Plate - m ]]</f>
        <v>-7.2299999999999986</v>
      </c>
      <c r="AT7" s="74">
        <f>13.5-Table326[[#This Row],[Diamonds: Home to First Base Path - m ]]</f>
        <v>-12.399999999999999</v>
      </c>
      <c r="AU7" s="74">
        <f>14.02-Table326[[#This Row],[Diamonds: Home to First Base Path - m ]]</f>
        <v>-11.879999999999999</v>
      </c>
      <c r="AV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 s="74"/>
      <c r="BR7" s="74"/>
      <c r="BS7" s="75" t="s">
        <v>976</v>
      </c>
      <c r="BT7" s="76" t="s">
        <v>388</v>
      </c>
    </row>
    <row r="8" spans="1:72" ht="33.6" x14ac:dyDescent="0.3">
      <c r="A8" s="70" t="s">
        <v>29</v>
      </c>
      <c r="B8" s="71" t="s">
        <v>457</v>
      </c>
      <c r="C8" s="71" t="s">
        <v>739</v>
      </c>
      <c r="D8" s="71" t="s">
        <v>789</v>
      </c>
      <c r="E8" s="72"/>
      <c r="F8" s="72"/>
      <c r="G8" s="72"/>
      <c r="H8" s="72" t="s">
        <v>444</v>
      </c>
      <c r="I8" s="72" t="s">
        <v>792</v>
      </c>
      <c r="J8" s="72">
        <v>9.5</v>
      </c>
      <c r="K8" s="72" t="s">
        <v>742</v>
      </c>
      <c r="L8" s="72"/>
      <c r="M8" s="72"/>
      <c r="N8" s="72">
        <v>1</v>
      </c>
      <c r="O8" s="72"/>
      <c r="P8" s="73" t="s">
        <v>793</v>
      </c>
      <c r="Q8" s="72">
        <v>17.100000000000001</v>
      </c>
      <c r="R8" s="72">
        <v>37.299999999999997</v>
      </c>
      <c r="S8" s="72">
        <v>40.5</v>
      </c>
      <c r="T8" s="72">
        <v>25.5</v>
      </c>
      <c r="U8" s="72"/>
      <c r="V8"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 s="72">
        <f>SUM(Table326[[#This Row],[Slo - Pitch - Mens ]:[Slo - Pitch - Co-Ed ]])</f>
        <v>0</v>
      </c>
      <c r="X8" s="72">
        <f>SUM(Table326[[#This Row],[Baseball - U18 ]:[Baseball - U7 ]])</f>
        <v>0</v>
      </c>
      <c r="Y8" s="72" t="s">
        <v>1042</v>
      </c>
      <c r="Z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 s="74">
        <f>13.72-Table326[[#This Row],[Diamonds: Dimension Home to Pitchers Plate - m ]]</f>
        <v>-3.3800000000000008</v>
      </c>
      <c r="AB8" s="74">
        <f>14.32-Table326[[#This Row],[Diamonds: Dimension Home to Pitchers Plate - m ]]</f>
        <v>-2.7800000000000011</v>
      </c>
      <c r="AC8" s="74">
        <f>17.988-Table326[[#This Row],[Diamonds: Home to First Base Path - m ]]</f>
        <v>-7.5120000000000005</v>
      </c>
      <c r="AD8" s="74">
        <f>18.588-Table326[[#This Row],[Diamonds: Home to First Base Path - m ]]</f>
        <v>-6.911999999999999</v>
      </c>
      <c r="AE8" s="74">
        <f>AVERAGE(Table326[[#This Row],[Home to Pitch (Low)]:[Home to 1st (High)]])</f>
        <v>-5.1460000000000008</v>
      </c>
      <c r="AF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 s="74">
        <f>12.5-Table326[[#This Row],[Diamonds: Dimension Home to Pitchers Plate - m ]]</f>
        <v>-4.6000000000000014</v>
      </c>
      <c r="AH8" s="74">
        <f>13.1-Table326[[#This Row],[Diamonds: Dimension Home to Pitchers Plate - m ]]</f>
        <v>-4.0000000000000018</v>
      </c>
      <c r="AI8" s="74">
        <f>17.988-Table326[[#This Row],[Diamonds: Home to First Base Path - m ]]</f>
        <v>-7.5120000000000005</v>
      </c>
      <c r="AJ8" s="74">
        <f>18.588-Table326[[#This Row],[Diamonds: Home to First Base Path - m ]]</f>
        <v>-6.911999999999999</v>
      </c>
      <c r="AK8" s="74">
        <f>AVERAGE(Table326[[#This Row],[Home to Pitch (Low)2]:[Home to 1st (High)5]])</f>
        <v>-5.7560000000000002</v>
      </c>
      <c r="AL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 s="74">
        <f>11.2-Table326[[#This Row],[Diamonds: Dimension Home to Pitchers Plate - m ]]</f>
        <v>-5.9000000000000021</v>
      </c>
      <c r="AN8" s="74">
        <f>11.8-Table326[[#This Row],[Diamonds: Dimension Home to Pitchers Plate - m ]]</f>
        <v>-5.3000000000000007</v>
      </c>
      <c r="AO8" s="74">
        <f>16.5-Table326[[#This Row],[Diamonds: Home to First Base Path - m ]]</f>
        <v>-9</v>
      </c>
      <c r="AP8" s="74">
        <f>17.04-Table326[[#This Row],[Diamonds: Home to First Base Path - m ]]</f>
        <v>-8.4600000000000009</v>
      </c>
      <c r="AQ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 s="74">
        <f>10.37-Table326[[#This Row],[Diamonds: Dimension Home to Pitchers Plate - m ]]</f>
        <v>-6.7300000000000022</v>
      </c>
      <c r="AS8" s="74">
        <f>10.97-Table326[[#This Row],[Diamonds: Dimension Home to Pitchers Plate - m ]]</f>
        <v>-6.1300000000000008</v>
      </c>
      <c r="AT8" s="74">
        <f>13.5-Table326[[#This Row],[Diamonds: Home to First Base Path - m ]]</f>
        <v>-12</v>
      </c>
      <c r="AU8" s="74">
        <f>14.02-Table326[[#This Row],[Diamonds: Home to First Base Path - m ]]</f>
        <v>-11.48</v>
      </c>
      <c r="AV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 s="74"/>
      <c r="BR8" s="74"/>
      <c r="BS8" s="75" t="s">
        <v>794</v>
      </c>
      <c r="BT8" s="76" t="s">
        <v>795</v>
      </c>
    </row>
    <row r="9" spans="1:72" ht="50.4" x14ac:dyDescent="0.3">
      <c r="A9" s="77" t="s">
        <v>63</v>
      </c>
      <c r="B9" s="78" t="s">
        <v>519</v>
      </c>
      <c r="C9" s="78" t="s">
        <v>739</v>
      </c>
      <c r="D9" s="78" t="s">
        <v>740</v>
      </c>
      <c r="E9" s="79"/>
      <c r="F9" s="79" t="s">
        <v>770</v>
      </c>
      <c r="G9" s="79">
        <v>72.5</v>
      </c>
      <c r="H9" s="79" t="s">
        <v>399</v>
      </c>
      <c r="I9" s="79" t="s">
        <v>841</v>
      </c>
      <c r="J9" s="79">
        <v>11.5</v>
      </c>
      <c r="K9" s="79" t="s">
        <v>742</v>
      </c>
      <c r="L9" s="79">
        <v>1</v>
      </c>
      <c r="M9" s="79">
        <v>1</v>
      </c>
      <c r="N9" s="79">
        <v>1</v>
      </c>
      <c r="O9" s="79"/>
      <c r="P9" s="80" t="s">
        <v>772</v>
      </c>
      <c r="Q9" s="79">
        <v>16.5</v>
      </c>
      <c r="R9" s="79">
        <v>34.1</v>
      </c>
      <c r="S9" s="79">
        <v>40.5</v>
      </c>
      <c r="T9" s="79">
        <v>24.2</v>
      </c>
      <c r="U9" s="79">
        <v>1</v>
      </c>
      <c r="V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 s="79">
        <f>SUM(Table326[[#This Row],[Slo - Pitch - Mens ]:[Slo - Pitch - Co-Ed ]])</f>
        <v>0</v>
      </c>
      <c r="X9" s="79">
        <f>SUM(Table326[[#This Row],[Baseball - U18 ]:[Baseball - U7 ]])</f>
        <v>1</v>
      </c>
      <c r="Y9" s="72" t="s">
        <v>1043</v>
      </c>
      <c r="Z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 s="74">
        <f>13.72-Table326[[#This Row],[Diamonds: Dimension Home to Pitchers Plate - m ]]</f>
        <v>-2.7799999999999994</v>
      </c>
      <c r="AB9" s="74">
        <f>14.32-Table326[[#This Row],[Diamonds: Dimension Home to Pitchers Plate - m ]]</f>
        <v>-2.1799999999999997</v>
      </c>
      <c r="AC9" s="74">
        <f>17.988-Table326[[#This Row],[Diamonds: Home to First Base Path - m ]]</f>
        <v>-6.2119999999999997</v>
      </c>
      <c r="AD9" s="74">
        <f>18.588-Table326[[#This Row],[Diamonds: Home to First Base Path - m ]]</f>
        <v>-5.6119999999999983</v>
      </c>
      <c r="AE9" s="74">
        <f>AVERAGE(Table326[[#This Row],[Home to Pitch (Low)]:[Home to 1st (High)]])</f>
        <v>-4.1959999999999997</v>
      </c>
      <c r="AF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 s="74">
        <f>12.5-Table326[[#This Row],[Diamonds: Dimension Home to Pitchers Plate - m ]]</f>
        <v>-4</v>
      </c>
      <c r="AH9" s="74">
        <f>13.1-Table326[[#This Row],[Diamonds: Dimension Home to Pitchers Plate - m ]]</f>
        <v>-3.4000000000000004</v>
      </c>
      <c r="AI9" s="74">
        <f>17.988-Table326[[#This Row],[Diamonds: Home to First Base Path - m ]]</f>
        <v>-6.2119999999999997</v>
      </c>
      <c r="AJ9" s="74">
        <f>18.588-Table326[[#This Row],[Diamonds: Home to First Base Path - m ]]</f>
        <v>-5.6119999999999983</v>
      </c>
      <c r="AK9" s="74">
        <f>AVERAGE(Table326[[#This Row],[Home to Pitch (Low)2]:[Home to 1st (High)5]])</f>
        <v>-4.8059999999999992</v>
      </c>
      <c r="AL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 s="74">
        <f>11.2-Table326[[#This Row],[Diamonds: Dimension Home to Pitchers Plate - m ]]</f>
        <v>-5.3000000000000007</v>
      </c>
      <c r="AN9" s="74">
        <f>11.8-Table326[[#This Row],[Diamonds: Dimension Home to Pitchers Plate - m ]]</f>
        <v>-4.6999999999999993</v>
      </c>
      <c r="AO9" s="74">
        <f>16.5-Table326[[#This Row],[Diamonds: Home to First Base Path - m ]]</f>
        <v>-7.6999999999999993</v>
      </c>
      <c r="AP9" s="74">
        <f>17.04-Table326[[#This Row],[Diamonds: Home to First Base Path - m ]]</f>
        <v>-7.16</v>
      </c>
      <c r="AQ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 s="74">
        <f>10.37-Table326[[#This Row],[Diamonds: Dimension Home to Pitchers Plate - m ]]</f>
        <v>-6.1300000000000008</v>
      </c>
      <c r="AS9" s="74">
        <f>10.97-Table326[[#This Row],[Diamonds: Dimension Home to Pitchers Plate - m ]]</f>
        <v>-5.5299999999999994</v>
      </c>
      <c r="AT9" s="74">
        <f>13.5-Table326[[#This Row],[Diamonds: Home to First Base Path - m ]]</f>
        <v>-10.7</v>
      </c>
      <c r="AU9" s="74">
        <f>14.02-Table326[[#This Row],[Diamonds: Home to First Base Path - m ]]</f>
        <v>-10.18</v>
      </c>
      <c r="AV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1</v>
      </c>
      <c r="BL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 s="74"/>
      <c r="BR9" s="74"/>
      <c r="BS9" s="75" t="s">
        <v>842</v>
      </c>
      <c r="BT9" s="76" t="s">
        <v>388</v>
      </c>
    </row>
    <row r="10" spans="1:72" ht="33.6" x14ac:dyDescent="0.3">
      <c r="A10" s="70" t="s">
        <v>20</v>
      </c>
      <c r="B10" s="71" t="s">
        <v>437</v>
      </c>
      <c r="C10" s="71" t="s">
        <v>739</v>
      </c>
      <c r="D10" s="71" t="s">
        <v>740</v>
      </c>
      <c r="E10" s="72">
        <v>1</v>
      </c>
      <c r="F10" s="72" t="s">
        <v>770</v>
      </c>
      <c r="G10" s="72">
        <v>73.7</v>
      </c>
      <c r="H10" s="72" t="s">
        <v>444</v>
      </c>
      <c r="I10" s="72" t="s">
        <v>779</v>
      </c>
      <c r="J10" s="72">
        <v>8</v>
      </c>
      <c r="K10" s="72" t="s">
        <v>742</v>
      </c>
      <c r="L10" s="72">
        <v>1</v>
      </c>
      <c r="M10" s="72">
        <v>1</v>
      </c>
      <c r="N10" s="72">
        <v>1</v>
      </c>
      <c r="O10" s="72">
        <v>1</v>
      </c>
      <c r="P10" s="73" t="s">
        <v>772</v>
      </c>
      <c r="Q10" s="72">
        <v>16.3</v>
      </c>
      <c r="R10" s="72">
        <v>34</v>
      </c>
      <c r="S10" s="72">
        <v>37.5</v>
      </c>
      <c r="T10" s="72">
        <v>24.2</v>
      </c>
      <c r="U10" s="72">
        <v>1</v>
      </c>
      <c r="V1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 s="72">
        <f>SUM(Table326[[#This Row],[Slo - Pitch - Mens ]:[Slo - Pitch - Co-Ed ]])</f>
        <v>0</v>
      </c>
      <c r="X10" s="72">
        <f>SUM(Table326[[#This Row],[Baseball - U18 ]:[Baseball - U7 ]])</f>
        <v>1</v>
      </c>
      <c r="Y10" s="72" t="s">
        <v>1043</v>
      </c>
      <c r="Z1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 s="74">
        <f>13.72-Table326[[#This Row],[Diamonds: Dimension Home to Pitchers Plate - m ]]</f>
        <v>-2.58</v>
      </c>
      <c r="AB10" s="74">
        <f>14.32-Table326[[#This Row],[Diamonds: Dimension Home to Pitchers Plate - m ]]</f>
        <v>-1.9800000000000004</v>
      </c>
      <c r="AC10" s="74">
        <f>17.988-Table326[[#This Row],[Diamonds: Home to First Base Path - m ]]</f>
        <v>-6.2119999999999997</v>
      </c>
      <c r="AD10" s="74">
        <f>18.588-Table326[[#This Row],[Diamonds: Home to First Base Path - m ]]</f>
        <v>-5.6119999999999983</v>
      </c>
      <c r="AE10" s="74">
        <f>AVERAGE(Table326[[#This Row],[Home to Pitch (Low)]:[Home to 1st (High)]])</f>
        <v>-4.0960000000000001</v>
      </c>
      <c r="AF1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 s="74">
        <f>12.5-Table326[[#This Row],[Diamonds: Dimension Home to Pitchers Plate - m ]]</f>
        <v>-3.8000000000000007</v>
      </c>
      <c r="AH10" s="74">
        <f>13.1-Table326[[#This Row],[Diamonds: Dimension Home to Pitchers Plate - m ]]</f>
        <v>-3.2000000000000011</v>
      </c>
      <c r="AI10" s="74">
        <f>17.988-Table326[[#This Row],[Diamonds: Home to First Base Path - m ]]</f>
        <v>-6.2119999999999997</v>
      </c>
      <c r="AJ10" s="74">
        <f>18.588-Table326[[#This Row],[Diamonds: Home to First Base Path - m ]]</f>
        <v>-5.6119999999999983</v>
      </c>
      <c r="AK10" s="74">
        <f>AVERAGE(Table326[[#This Row],[Home to Pitch (Low)2]:[Home to 1st (High)5]])</f>
        <v>-4.7059999999999995</v>
      </c>
      <c r="AL1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 s="74">
        <f>11.2-Table326[[#This Row],[Diamonds: Dimension Home to Pitchers Plate - m ]]</f>
        <v>-5.1000000000000014</v>
      </c>
      <c r="AN10" s="74">
        <f>11.8-Table326[[#This Row],[Diamonds: Dimension Home to Pitchers Plate - m ]]</f>
        <v>-4.5</v>
      </c>
      <c r="AO10" s="74">
        <f>16.5-Table326[[#This Row],[Diamonds: Home to First Base Path - m ]]</f>
        <v>-7.6999999999999993</v>
      </c>
      <c r="AP10" s="74">
        <f>17.04-Table326[[#This Row],[Diamonds: Home to First Base Path - m ]]</f>
        <v>-7.16</v>
      </c>
      <c r="AQ1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 s="74">
        <f>10.37-Table326[[#This Row],[Diamonds: Dimension Home to Pitchers Plate - m ]]</f>
        <v>-5.9300000000000015</v>
      </c>
      <c r="AS10" s="74">
        <f>10.97-Table326[[#This Row],[Diamonds: Dimension Home to Pitchers Plate - m ]]</f>
        <v>-5.33</v>
      </c>
      <c r="AT10" s="74">
        <f>13.5-Table326[[#This Row],[Diamonds: Home to First Base Path - m ]]</f>
        <v>-10.7</v>
      </c>
      <c r="AU10" s="74">
        <f>14.02-Table326[[#This Row],[Diamonds: Home to First Base Path - m ]]</f>
        <v>-10.18</v>
      </c>
      <c r="AV1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1</v>
      </c>
      <c r="BL1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 s="74"/>
      <c r="BR10" s="74"/>
      <c r="BS10" s="75" t="s">
        <v>387</v>
      </c>
      <c r="BT10" s="76" t="s">
        <v>388</v>
      </c>
    </row>
    <row r="11" spans="1:72" ht="16.8" x14ac:dyDescent="0.3">
      <c r="A11" s="77" t="s">
        <v>1044</v>
      </c>
      <c r="B11" s="78" t="s">
        <v>574</v>
      </c>
      <c r="C11" s="78" t="s">
        <v>739</v>
      </c>
      <c r="D11" s="78" t="s">
        <v>746</v>
      </c>
      <c r="E11" s="79"/>
      <c r="F11" s="79"/>
      <c r="G11" s="79"/>
      <c r="H11" s="79"/>
      <c r="I11" s="79" t="s">
        <v>829</v>
      </c>
      <c r="J11" s="79">
        <v>9.5</v>
      </c>
      <c r="K11" s="79" t="s">
        <v>748</v>
      </c>
      <c r="L11" s="79">
        <v>1</v>
      </c>
      <c r="M11" s="79"/>
      <c r="N11" s="79">
        <v>1</v>
      </c>
      <c r="O11" s="79">
        <v>1</v>
      </c>
      <c r="P11" s="80" t="s">
        <v>749</v>
      </c>
      <c r="Q11" s="79">
        <v>16</v>
      </c>
      <c r="R11" s="79">
        <v>30.7</v>
      </c>
      <c r="S11" s="79">
        <v>36</v>
      </c>
      <c r="T11" s="79">
        <v>20</v>
      </c>
      <c r="U11" s="79"/>
      <c r="V11"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 s="79">
        <f>SUM(Table326[[#This Row],[Slo - Pitch - Mens ]:[Slo - Pitch - Co-Ed ]])</f>
        <v>0</v>
      </c>
      <c r="X11" s="79">
        <f>SUM(Table326[[#This Row],[Baseball - U18 ]:[Baseball - U7 ]])</f>
        <v>0</v>
      </c>
      <c r="Y11" s="72" t="s">
        <v>1042</v>
      </c>
      <c r="Z1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 s="74">
        <f>13.72-Table326[[#This Row],[Diamonds: Dimension Home to Pitchers Plate - m ]]</f>
        <v>-2.2799999999999994</v>
      </c>
      <c r="AB11" s="74">
        <f>14.32-Table326[[#This Row],[Diamonds: Dimension Home to Pitchers Plate - m ]]</f>
        <v>-1.6799999999999997</v>
      </c>
      <c r="AC11" s="74">
        <f>17.988-Table326[[#This Row],[Diamonds: Home to First Base Path - m ]]</f>
        <v>-2.0120000000000005</v>
      </c>
      <c r="AD11" s="74">
        <f>18.588-Table326[[#This Row],[Diamonds: Home to First Base Path - m ]]</f>
        <v>-1.411999999999999</v>
      </c>
      <c r="AE11" s="74">
        <f>AVERAGE(Table326[[#This Row],[Home to Pitch (Low)]:[Home to 1st (High)]])</f>
        <v>-1.8459999999999996</v>
      </c>
      <c r="AF1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 s="74">
        <f>12.5-Table326[[#This Row],[Diamonds: Dimension Home to Pitchers Plate - m ]]</f>
        <v>-3.5</v>
      </c>
      <c r="AH11" s="74">
        <f>13.1-Table326[[#This Row],[Diamonds: Dimension Home to Pitchers Plate - m ]]</f>
        <v>-2.9000000000000004</v>
      </c>
      <c r="AI11" s="74">
        <f>17.988-Table326[[#This Row],[Diamonds: Home to First Base Path - m ]]</f>
        <v>-2.0120000000000005</v>
      </c>
      <c r="AJ11" s="74">
        <f>18.588-Table326[[#This Row],[Diamonds: Home to First Base Path - m ]]</f>
        <v>-1.411999999999999</v>
      </c>
      <c r="AK11" s="74">
        <f>AVERAGE(Table326[[#This Row],[Home to Pitch (Low)2]:[Home to 1st (High)5]])</f>
        <v>-2.456</v>
      </c>
      <c r="AL1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 s="74">
        <f>11.2-Table326[[#This Row],[Diamonds: Dimension Home to Pitchers Plate - m ]]</f>
        <v>-4.8000000000000007</v>
      </c>
      <c r="AN11" s="74">
        <f>11.8-Table326[[#This Row],[Diamonds: Dimension Home to Pitchers Plate - m ]]</f>
        <v>-4.1999999999999993</v>
      </c>
      <c r="AO11" s="74">
        <f>16.5-Table326[[#This Row],[Diamonds: Home to First Base Path - m ]]</f>
        <v>-3.5</v>
      </c>
      <c r="AP11" s="74">
        <f>17.04-Table326[[#This Row],[Diamonds: Home to First Base Path - m ]]</f>
        <v>-2.9600000000000009</v>
      </c>
      <c r="AQ1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 s="74">
        <f>10.37-Table326[[#This Row],[Diamonds: Dimension Home to Pitchers Plate - m ]]</f>
        <v>-5.6300000000000008</v>
      </c>
      <c r="AS11" s="74">
        <f>10.97-Table326[[#This Row],[Diamonds: Dimension Home to Pitchers Plate - m ]]</f>
        <v>-5.0299999999999994</v>
      </c>
      <c r="AT11" s="74">
        <f>13.5-Table326[[#This Row],[Diamonds: Home to First Base Path - m ]]</f>
        <v>-6.5</v>
      </c>
      <c r="AU11" s="74">
        <f>14.02-Table326[[#This Row],[Diamonds: Home to First Base Path - m ]]</f>
        <v>-5.98</v>
      </c>
      <c r="AV1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 s="74"/>
      <c r="BR11" s="74"/>
      <c r="BS11" s="75" t="s">
        <v>913</v>
      </c>
      <c r="BT11" s="76" t="s">
        <v>914</v>
      </c>
    </row>
    <row r="12" spans="1:72" ht="16.8" x14ac:dyDescent="0.3">
      <c r="A12" s="77" t="s">
        <v>133</v>
      </c>
      <c r="B12" s="78" t="s">
        <v>630</v>
      </c>
      <c r="C12" s="78" t="s">
        <v>739</v>
      </c>
      <c r="D12" s="78" t="s">
        <v>740</v>
      </c>
      <c r="E12" s="79"/>
      <c r="F12" s="79"/>
      <c r="G12" s="79"/>
      <c r="H12" s="79" t="s">
        <v>385</v>
      </c>
      <c r="I12" s="79" t="s">
        <v>965</v>
      </c>
      <c r="J12" s="79">
        <v>5</v>
      </c>
      <c r="K12" s="79" t="s">
        <v>748</v>
      </c>
      <c r="L12" s="79"/>
      <c r="M12" s="79"/>
      <c r="N12" s="79">
        <v>1</v>
      </c>
      <c r="O12" s="79">
        <v>1</v>
      </c>
      <c r="P12" s="80" t="s">
        <v>749</v>
      </c>
      <c r="Q12" s="79">
        <v>18</v>
      </c>
      <c r="R12" s="79">
        <v>29.8</v>
      </c>
      <c r="S12" s="79">
        <v>34.5</v>
      </c>
      <c r="T12" s="79">
        <v>18</v>
      </c>
      <c r="U12" s="79"/>
      <c r="V1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2" s="79">
        <f>SUM(Table326[[#This Row],[Slo - Pitch - Mens ]:[Slo - Pitch - Co-Ed ]])</f>
        <v>0</v>
      </c>
      <c r="X12" s="79">
        <f>SUM(Table326[[#This Row],[Baseball - U18 ]:[Baseball - U7 ]])</f>
        <v>0</v>
      </c>
      <c r="Y12" s="72" t="s">
        <v>1042</v>
      </c>
      <c r="Z1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2" s="74">
        <f>13.72-Table326[[#This Row],[Diamonds: Dimension Home to Pitchers Plate - m ]]</f>
        <v>-4.2799999999999994</v>
      </c>
      <c r="AB12" s="74">
        <f>14.32-Table326[[#This Row],[Diamonds: Dimension Home to Pitchers Plate - m ]]</f>
        <v>-3.6799999999999997</v>
      </c>
      <c r="AC12" s="105">
        <f>17.988-Table326[[#This Row],[Diamonds: Home to First Base Path - m ]]</f>
        <v>-1.2000000000000455E-2</v>
      </c>
      <c r="AD12" s="74">
        <f>18.588-Table326[[#This Row],[Diamonds: Home to First Base Path - m ]]</f>
        <v>0.58800000000000097</v>
      </c>
      <c r="AE12" s="74">
        <f>AVERAGE(Table326[[#This Row],[Home to Pitch (Low)]:[Home to 1st (High)]])</f>
        <v>-1.8459999999999996</v>
      </c>
      <c r="AF1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2" s="74">
        <f>12.5-Table326[[#This Row],[Diamonds: Dimension Home to Pitchers Plate - m ]]</f>
        <v>-5.5</v>
      </c>
      <c r="AH12" s="74">
        <f>13.1-Table326[[#This Row],[Diamonds: Dimension Home to Pitchers Plate - m ]]</f>
        <v>-4.9000000000000004</v>
      </c>
      <c r="AI12" s="103">
        <f>17.988-Table326[[#This Row],[Diamonds: Home to First Base Path - m ]]</f>
        <v>-1.2000000000000455E-2</v>
      </c>
      <c r="AJ12" s="106">
        <f>18.588-Table326[[#This Row],[Diamonds: Home to First Base Path - m ]]</f>
        <v>0.58800000000000097</v>
      </c>
      <c r="AK12" s="74">
        <f>AVERAGE(Table326[[#This Row],[Home to Pitch (Low)2]:[Home to 1st (High)5]])</f>
        <v>-2.456</v>
      </c>
      <c r="AL1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2" s="74">
        <f>11.2-Table326[[#This Row],[Diamonds: Dimension Home to Pitchers Plate - m ]]</f>
        <v>-6.8000000000000007</v>
      </c>
      <c r="AN12" s="74">
        <f>11.8-Table326[[#This Row],[Diamonds: Dimension Home to Pitchers Plate - m ]]</f>
        <v>-6.1999999999999993</v>
      </c>
      <c r="AO12" s="74">
        <f>16.5-Table326[[#This Row],[Diamonds: Home to First Base Path - m ]]</f>
        <v>-1.5</v>
      </c>
      <c r="AP12" s="74">
        <f>17.04-Table326[[#This Row],[Diamonds: Home to First Base Path - m ]]</f>
        <v>-0.96000000000000085</v>
      </c>
      <c r="AQ1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2" s="74">
        <f>10.37-Table326[[#This Row],[Diamonds: Dimension Home to Pitchers Plate - m ]]</f>
        <v>-7.6300000000000008</v>
      </c>
      <c r="AS12" s="74">
        <f>10.97-Table326[[#This Row],[Diamonds: Dimension Home to Pitchers Plate - m ]]</f>
        <v>-7.0299999999999994</v>
      </c>
      <c r="AT12" s="74">
        <f>13.5-Table326[[#This Row],[Diamonds: Home to First Base Path - m ]]</f>
        <v>-4.5</v>
      </c>
      <c r="AU12" s="74">
        <f>14.02-Table326[[#This Row],[Diamonds: Home to First Base Path - m ]]</f>
        <v>-3.9800000000000004</v>
      </c>
      <c r="AV1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2" s="74"/>
      <c r="BR12" s="74"/>
      <c r="BS12" s="75" t="s">
        <v>387</v>
      </c>
      <c r="BT12" s="76" t="s">
        <v>388</v>
      </c>
    </row>
    <row r="13" spans="1:72" ht="33.6" x14ac:dyDescent="0.3">
      <c r="A13" s="77" t="s">
        <v>18</v>
      </c>
      <c r="B13" s="78" t="s">
        <v>437</v>
      </c>
      <c r="C13" s="78" t="s">
        <v>739</v>
      </c>
      <c r="D13" s="78" t="s">
        <v>740</v>
      </c>
      <c r="E13" s="79">
        <v>1</v>
      </c>
      <c r="F13" s="79" t="s">
        <v>770</v>
      </c>
      <c r="G13" s="79">
        <v>59.8</v>
      </c>
      <c r="H13" s="79" t="s">
        <v>444</v>
      </c>
      <c r="I13" s="79" t="s">
        <v>777</v>
      </c>
      <c r="J13" s="79">
        <v>5.5</v>
      </c>
      <c r="K13" s="79" t="s">
        <v>742</v>
      </c>
      <c r="L13" s="79">
        <v>1</v>
      </c>
      <c r="M13" s="79">
        <v>1</v>
      </c>
      <c r="N13" s="79">
        <v>1</v>
      </c>
      <c r="O13" s="79">
        <v>1</v>
      </c>
      <c r="P13" s="80" t="s">
        <v>772</v>
      </c>
      <c r="Q13" s="79">
        <v>14.5</v>
      </c>
      <c r="R13" s="79">
        <v>29.8</v>
      </c>
      <c r="S13" s="79"/>
      <c r="T13" s="79">
        <v>21.3</v>
      </c>
      <c r="U13" s="79">
        <v>1</v>
      </c>
      <c r="V1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3" s="79">
        <f>SUM(Table326[[#This Row],[Slo - Pitch - Mens ]:[Slo - Pitch - Co-Ed ]])</f>
        <v>0</v>
      </c>
      <c r="X13" s="79">
        <f>SUM(Table326[[#This Row],[Baseball - U18 ]:[Baseball - U7 ]])</f>
        <v>1</v>
      </c>
      <c r="Y13" s="72" t="s">
        <v>1043</v>
      </c>
      <c r="Z1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3" s="74">
        <f>13.72-Table326[[#This Row],[Diamonds: Dimension Home to Pitchers Plate - m ]]</f>
        <v>-0.77999999999999936</v>
      </c>
      <c r="AB13" s="74">
        <f>14.32-Table326[[#This Row],[Diamonds: Dimension Home to Pitchers Plate - m ]]</f>
        <v>-0.17999999999999972</v>
      </c>
      <c r="AC13" s="74">
        <f>17.988-Table326[[#This Row],[Diamonds: Home to First Base Path - m ]]</f>
        <v>-3.3120000000000012</v>
      </c>
      <c r="AD13" s="74">
        <f>18.588-Table326[[#This Row],[Diamonds: Home to First Base Path - m ]]</f>
        <v>-2.7119999999999997</v>
      </c>
      <c r="AE13" s="74">
        <f>AVERAGE(Table326[[#This Row],[Home to Pitch (Low)]:[Home to 1st (High)]])</f>
        <v>-1.746</v>
      </c>
      <c r="AF1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3" s="74">
        <f>12.5-Table326[[#This Row],[Diamonds: Dimension Home to Pitchers Plate - m ]]</f>
        <v>-2</v>
      </c>
      <c r="AH13" s="74">
        <f>13.1-Table326[[#This Row],[Diamonds: Dimension Home to Pitchers Plate - m ]]</f>
        <v>-1.4000000000000004</v>
      </c>
      <c r="AI13" s="74">
        <f>17.988-Table326[[#This Row],[Diamonds: Home to First Base Path - m ]]</f>
        <v>-3.3120000000000012</v>
      </c>
      <c r="AJ13" s="74">
        <f>18.588-Table326[[#This Row],[Diamonds: Home to First Base Path - m ]]</f>
        <v>-2.7119999999999997</v>
      </c>
      <c r="AK13" s="74">
        <f>AVERAGE(Table326[[#This Row],[Home to Pitch (Low)2]:[Home to 1st (High)5]])</f>
        <v>-2.3560000000000003</v>
      </c>
      <c r="AL1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3" s="74">
        <f>11.2-Table326[[#This Row],[Diamonds: Dimension Home to Pitchers Plate - m ]]</f>
        <v>-3.3000000000000007</v>
      </c>
      <c r="AN13" s="74">
        <f>11.8-Table326[[#This Row],[Diamonds: Dimension Home to Pitchers Plate - m ]]</f>
        <v>-2.6999999999999993</v>
      </c>
      <c r="AO13" s="74">
        <f>16.5-Table326[[#This Row],[Diamonds: Home to First Base Path - m ]]</f>
        <v>-4.8000000000000007</v>
      </c>
      <c r="AP13" s="74">
        <f>17.04-Table326[[#This Row],[Diamonds: Home to First Base Path - m ]]</f>
        <v>-4.2600000000000016</v>
      </c>
      <c r="AQ1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3" s="74">
        <f>10.37-Table326[[#This Row],[Diamonds: Dimension Home to Pitchers Plate - m ]]</f>
        <v>-4.1300000000000008</v>
      </c>
      <c r="AS13" s="74">
        <f>10.97-Table326[[#This Row],[Diamonds: Dimension Home to Pitchers Plate - m ]]</f>
        <v>-3.5299999999999994</v>
      </c>
      <c r="AT13" s="74">
        <f>13.5-Table326[[#This Row],[Diamonds: Home to First Base Path - m ]]</f>
        <v>-7.8000000000000007</v>
      </c>
      <c r="AU13" s="74">
        <f>14.02-Table326[[#This Row],[Diamonds: Home to First Base Path - m ]]</f>
        <v>-7.2800000000000011</v>
      </c>
      <c r="AV1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1</v>
      </c>
      <c r="BM1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3" s="74"/>
      <c r="BR13" s="74"/>
      <c r="BS13" s="75" t="s">
        <v>778</v>
      </c>
      <c r="BT13" s="76" t="s">
        <v>388</v>
      </c>
    </row>
    <row r="14" spans="1:72" ht="16.8" x14ac:dyDescent="0.3">
      <c r="A14" s="70" t="s">
        <v>115</v>
      </c>
      <c r="B14" s="71" t="s">
        <v>596</v>
      </c>
      <c r="C14" s="71" t="s">
        <v>739</v>
      </c>
      <c r="D14" s="71" t="s">
        <v>789</v>
      </c>
      <c r="E14" s="72">
        <v>1</v>
      </c>
      <c r="F14" s="72" t="s">
        <v>770</v>
      </c>
      <c r="G14" s="72">
        <v>63</v>
      </c>
      <c r="H14" s="72" t="s">
        <v>385</v>
      </c>
      <c r="I14" s="72" t="s">
        <v>940</v>
      </c>
      <c r="J14" s="72">
        <v>7.5</v>
      </c>
      <c r="K14" s="72" t="s">
        <v>748</v>
      </c>
      <c r="L14" s="72">
        <v>1</v>
      </c>
      <c r="M14" s="72">
        <v>1</v>
      </c>
      <c r="N14" s="72">
        <v>1</v>
      </c>
      <c r="O14" s="72">
        <v>1</v>
      </c>
      <c r="P14" s="73" t="s">
        <v>749</v>
      </c>
      <c r="Q14" s="72">
        <v>14.5</v>
      </c>
      <c r="R14" s="72">
        <v>26</v>
      </c>
      <c r="S14" s="72">
        <v>33.799999999999997</v>
      </c>
      <c r="T14" s="72">
        <v>21</v>
      </c>
      <c r="U14" s="72"/>
      <c r="V1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4" s="72">
        <f>SUM(Table326[[#This Row],[Slo - Pitch - Mens ]:[Slo - Pitch - Co-Ed ]])</f>
        <v>0</v>
      </c>
      <c r="X14" s="72">
        <f>SUM(Table326[[#This Row],[Baseball - U18 ]:[Baseball - U7 ]])</f>
        <v>0</v>
      </c>
      <c r="Y14" s="72" t="s">
        <v>1042</v>
      </c>
      <c r="Z1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4" s="104">
        <f>13.72-Table326[[#This Row],[Diamonds: Dimension Home to Pitchers Plate - m ]]</f>
        <v>-0.77999999999999936</v>
      </c>
      <c r="AB14" s="82">
        <f>14.32-Table326[[#This Row],[Diamonds: Dimension Home to Pitchers Plate - m ]]</f>
        <v>-0.17999999999999972</v>
      </c>
      <c r="AC14" s="104">
        <f>17.988-Table326[[#This Row],[Diamonds: Home to First Base Path - m ]]</f>
        <v>-3.0120000000000005</v>
      </c>
      <c r="AD14" s="104">
        <f>18.588-Table326[[#This Row],[Diamonds: Home to First Base Path - m ]]</f>
        <v>-2.411999999999999</v>
      </c>
      <c r="AE14" s="104">
        <f>AVERAGE(Table326[[#This Row],[Home to Pitch (Low)]:[Home to 1st (High)]])</f>
        <v>-1.5959999999999996</v>
      </c>
      <c r="AF1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4" s="74">
        <f>12.5-Table326[[#This Row],[Diamonds: Dimension Home to Pitchers Plate - m ]]</f>
        <v>-2</v>
      </c>
      <c r="AH14" s="74">
        <f>13.1-Table326[[#This Row],[Diamonds: Dimension Home to Pitchers Plate - m ]]</f>
        <v>-1.4000000000000004</v>
      </c>
      <c r="AI14" s="74">
        <f>17.988-Table326[[#This Row],[Diamonds: Home to First Base Path - m ]]</f>
        <v>-3.0120000000000005</v>
      </c>
      <c r="AJ14" s="74">
        <f>18.588-Table326[[#This Row],[Diamonds: Home to First Base Path - m ]]</f>
        <v>-2.411999999999999</v>
      </c>
      <c r="AK14" s="74">
        <f>AVERAGE(Table326[[#This Row],[Home to Pitch (Low)2]:[Home to 1st (High)5]])</f>
        <v>-2.206</v>
      </c>
      <c r="AL1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4" s="74">
        <f>11.2-Table326[[#This Row],[Diamonds: Dimension Home to Pitchers Plate - m ]]</f>
        <v>-3.3000000000000007</v>
      </c>
      <c r="AN14" s="74">
        <f>11.8-Table326[[#This Row],[Diamonds: Dimension Home to Pitchers Plate - m ]]</f>
        <v>-2.6999999999999993</v>
      </c>
      <c r="AO14" s="74">
        <f>16.5-Table326[[#This Row],[Diamonds: Home to First Base Path - m ]]</f>
        <v>-4.5</v>
      </c>
      <c r="AP14" s="74">
        <f>17.04-Table326[[#This Row],[Diamonds: Home to First Base Path - m ]]</f>
        <v>-3.9600000000000009</v>
      </c>
      <c r="AQ1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4" s="74">
        <f>10.37-Table326[[#This Row],[Diamonds: Dimension Home to Pitchers Plate - m ]]</f>
        <v>-4.1300000000000008</v>
      </c>
      <c r="AS14" s="74">
        <f>10.97-Table326[[#This Row],[Diamonds: Dimension Home to Pitchers Plate - m ]]</f>
        <v>-3.5299999999999994</v>
      </c>
      <c r="AT14" s="74">
        <f>13.5-Table326[[#This Row],[Diamonds: Home to First Base Path - m ]]</f>
        <v>-7.5</v>
      </c>
      <c r="AU14" s="74">
        <f>14.02-Table326[[#This Row],[Diamonds: Home to First Base Path - m ]]</f>
        <v>-6.98</v>
      </c>
      <c r="AV1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4" s="74"/>
      <c r="BR14" s="74"/>
      <c r="BS14" s="75" t="s">
        <v>941</v>
      </c>
      <c r="BT14" s="76" t="s">
        <v>388</v>
      </c>
    </row>
    <row r="15" spans="1:72" ht="33.6" x14ac:dyDescent="0.3">
      <c r="A15" s="70" t="s">
        <v>76</v>
      </c>
      <c r="B15" s="71" t="s">
        <v>870</v>
      </c>
      <c r="C15" s="71" t="s">
        <v>739</v>
      </c>
      <c r="D15" s="71" t="s">
        <v>789</v>
      </c>
      <c r="E15" s="72"/>
      <c r="F15" s="72"/>
      <c r="G15" s="72"/>
      <c r="H15" s="72" t="s">
        <v>385</v>
      </c>
      <c r="I15" s="72" t="s">
        <v>871</v>
      </c>
      <c r="J15" s="72">
        <v>4</v>
      </c>
      <c r="K15" s="72" t="s">
        <v>742</v>
      </c>
      <c r="L15" s="72"/>
      <c r="M15" s="72"/>
      <c r="N15" s="72">
        <v>1</v>
      </c>
      <c r="O15" s="72"/>
      <c r="P15" s="73" t="s">
        <v>752</v>
      </c>
      <c r="Q15" s="72">
        <v>15</v>
      </c>
      <c r="R15" s="72">
        <v>28.8</v>
      </c>
      <c r="S15" s="72"/>
      <c r="T15" s="72">
        <v>20.5</v>
      </c>
      <c r="U15" s="72"/>
      <c r="V1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5" s="72">
        <f>SUM(Table326[[#This Row],[Slo - Pitch - Mens ]:[Slo - Pitch - Co-Ed ]])</f>
        <v>0</v>
      </c>
      <c r="X15" s="72">
        <f>SUM(Table326[[#This Row],[Baseball - U18 ]:[Baseball - U7 ]])</f>
        <v>0</v>
      </c>
      <c r="Y15" s="72" t="s">
        <v>1042</v>
      </c>
      <c r="Z1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5" s="74">
        <f>13.72-Table326[[#This Row],[Diamonds: Dimension Home to Pitchers Plate - m ]]</f>
        <v>-1.2799999999999994</v>
      </c>
      <c r="AB15" s="74">
        <f>14.32-Table326[[#This Row],[Diamonds: Dimension Home to Pitchers Plate - m ]]</f>
        <v>-0.67999999999999972</v>
      </c>
      <c r="AC15" s="74">
        <f>17.988-Table326[[#This Row],[Diamonds: Home to First Base Path - m ]]</f>
        <v>-2.5120000000000005</v>
      </c>
      <c r="AD15" s="74">
        <f>18.588-Table326[[#This Row],[Diamonds: Home to First Base Path - m ]]</f>
        <v>-1.911999999999999</v>
      </c>
      <c r="AE15" s="74">
        <f>AVERAGE(Table326[[#This Row],[Home to Pitch (Low)]:[Home to 1st (High)]])</f>
        <v>-1.5959999999999996</v>
      </c>
      <c r="AF1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5" s="74">
        <f>12.5-Table326[[#This Row],[Diamonds: Dimension Home to Pitchers Plate - m ]]</f>
        <v>-2.5</v>
      </c>
      <c r="AH15" s="74">
        <f>13.1-Table326[[#This Row],[Diamonds: Dimension Home to Pitchers Plate - m ]]</f>
        <v>-1.9000000000000004</v>
      </c>
      <c r="AI15" s="74">
        <f>17.988-Table326[[#This Row],[Diamonds: Home to First Base Path - m ]]</f>
        <v>-2.5120000000000005</v>
      </c>
      <c r="AJ15" s="74">
        <f>18.588-Table326[[#This Row],[Diamonds: Home to First Base Path - m ]]</f>
        <v>-1.911999999999999</v>
      </c>
      <c r="AK15" s="74">
        <f>AVERAGE(Table326[[#This Row],[Home to Pitch (Low)2]:[Home to 1st (High)5]])</f>
        <v>-2.206</v>
      </c>
      <c r="AL1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5" s="74">
        <f>11.2-Table326[[#This Row],[Diamonds: Dimension Home to Pitchers Plate - m ]]</f>
        <v>-3.8000000000000007</v>
      </c>
      <c r="AN15" s="74">
        <f>11.8-Table326[[#This Row],[Diamonds: Dimension Home to Pitchers Plate - m ]]</f>
        <v>-3.1999999999999993</v>
      </c>
      <c r="AO15" s="74">
        <f>16.5-Table326[[#This Row],[Diamonds: Home to First Base Path - m ]]</f>
        <v>-4</v>
      </c>
      <c r="AP15" s="74">
        <f>17.04-Table326[[#This Row],[Diamonds: Home to First Base Path - m ]]</f>
        <v>-3.4600000000000009</v>
      </c>
      <c r="AQ1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5" s="74">
        <f>10.37-Table326[[#This Row],[Diamonds: Dimension Home to Pitchers Plate - m ]]</f>
        <v>-4.6300000000000008</v>
      </c>
      <c r="AS15" s="74">
        <f>10.97-Table326[[#This Row],[Diamonds: Dimension Home to Pitchers Plate - m ]]</f>
        <v>-4.0299999999999994</v>
      </c>
      <c r="AT15" s="74">
        <f>13.5-Table326[[#This Row],[Diamonds: Home to First Base Path - m ]]</f>
        <v>-7</v>
      </c>
      <c r="AU15" s="74">
        <f>14.02-Table326[[#This Row],[Diamonds: Home to First Base Path - m ]]</f>
        <v>-6.48</v>
      </c>
      <c r="AV1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5" s="74"/>
      <c r="BR15" s="74"/>
      <c r="BS15" s="75" t="s">
        <v>872</v>
      </c>
      <c r="BT15" s="76" t="s">
        <v>388</v>
      </c>
    </row>
    <row r="16" spans="1:72" ht="33.6" x14ac:dyDescent="0.3">
      <c r="A16" s="77" t="s">
        <v>21</v>
      </c>
      <c r="B16" s="78" t="s">
        <v>440</v>
      </c>
      <c r="C16" s="78" t="s">
        <v>739</v>
      </c>
      <c r="D16" s="78" t="s">
        <v>740</v>
      </c>
      <c r="E16" s="79"/>
      <c r="F16" s="79"/>
      <c r="G16" s="79"/>
      <c r="H16" s="79" t="s">
        <v>444</v>
      </c>
      <c r="I16" s="79" t="s">
        <v>780</v>
      </c>
      <c r="J16" s="79">
        <v>5.5</v>
      </c>
      <c r="K16" s="79" t="s">
        <v>742</v>
      </c>
      <c r="L16" s="79"/>
      <c r="M16" s="79"/>
      <c r="N16" s="79">
        <v>1</v>
      </c>
      <c r="O16" s="79"/>
      <c r="P16" s="80" t="s">
        <v>781</v>
      </c>
      <c r="Q16" s="79">
        <v>15</v>
      </c>
      <c r="R16" s="79">
        <v>28.4</v>
      </c>
      <c r="S16" s="79"/>
      <c r="T16" s="79">
        <v>20.399999999999999</v>
      </c>
      <c r="U16" s="79"/>
      <c r="V16"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6" s="79">
        <f>SUM(Table326[[#This Row],[Slo - Pitch - Mens ]:[Slo - Pitch - Co-Ed ]])</f>
        <v>0</v>
      </c>
      <c r="X16" s="79">
        <f>SUM(Table326[[#This Row],[Baseball - U18 ]:[Baseball - U7 ]])</f>
        <v>0</v>
      </c>
      <c r="Y16" s="72" t="s">
        <v>1042</v>
      </c>
      <c r="Z1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6" s="74">
        <f>13.72-Table326[[#This Row],[Diamonds: Dimension Home to Pitchers Plate - m ]]</f>
        <v>-1.2799999999999994</v>
      </c>
      <c r="AB16" s="74">
        <f>14.32-Table326[[#This Row],[Diamonds: Dimension Home to Pitchers Plate - m ]]</f>
        <v>-0.67999999999999972</v>
      </c>
      <c r="AC16" s="74">
        <f>17.988-Table326[[#This Row],[Diamonds: Home to First Base Path - m ]]</f>
        <v>-2.411999999999999</v>
      </c>
      <c r="AD16" s="74">
        <f>18.588-Table326[[#This Row],[Diamonds: Home to First Base Path - m ]]</f>
        <v>-1.8119999999999976</v>
      </c>
      <c r="AE16" s="74">
        <f>AVERAGE(Table326[[#This Row],[Home to Pitch (Low)]:[Home to 1st (High)]])</f>
        <v>-1.5459999999999989</v>
      </c>
      <c r="AF1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6" s="74">
        <f>12.5-Table326[[#This Row],[Diamonds: Dimension Home to Pitchers Plate - m ]]</f>
        <v>-2.5</v>
      </c>
      <c r="AH16" s="74">
        <f>13.1-Table326[[#This Row],[Diamonds: Dimension Home to Pitchers Plate - m ]]</f>
        <v>-1.9000000000000004</v>
      </c>
      <c r="AI16" s="74">
        <f>17.988-Table326[[#This Row],[Diamonds: Home to First Base Path - m ]]</f>
        <v>-2.411999999999999</v>
      </c>
      <c r="AJ16" s="74">
        <f>18.588-Table326[[#This Row],[Diamonds: Home to First Base Path - m ]]</f>
        <v>-1.8119999999999976</v>
      </c>
      <c r="AK16" s="74">
        <f>AVERAGE(Table326[[#This Row],[Home to Pitch (Low)2]:[Home to 1st (High)5]])</f>
        <v>-2.1559999999999993</v>
      </c>
      <c r="AL1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6" s="74">
        <f>11.2-Table326[[#This Row],[Diamonds: Dimension Home to Pitchers Plate - m ]]</f>
        <v>-3.8000000000000007</v>
      </c>
      <c r="AN16" s="74">
        <f>11.8-Table326[[#This Row],[Diamonds: Dimension Home to Pitchers Plate - m ]]</f>
        <v>-3.1999999999999993</v>
      </c>
      <c r="AO16" s="74">
        <f>16.5-Table326[[#This Row],[Diamonds: Home to First Base Path - m ]]</f>
        <v>-3.8999999999999986</v>
      </c>
      <c r="AP16" s="74">
        <f>17.04-Table326[[#This Row],[Diamonds: Home to First Base Path - m ]]</f>
        <v>-3.3599999999999994</v>
      </c>
      <c r="AQ1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6" s="74">
        <f>10.37-Table326[[#This Row],[Diamonds: Dimension Home to Pitchers Plate - m ]]</f>
        <v>-4.6300000000000008</v>
      </c>
      <c r="AS16" s="74">
        <f>10.97-Table326[[#This Row],[Diamonds: Dimension Home to Pitchers Plate - m ]]</f>
        <v>-4.0299999999999994</v>
      </c>
      <c r="AT16" s="74">
        <f>13.5-Table326[[#This Row],[Diamonds: Home to First Base Path - m ]]</f>
        <v>-6.8999999999999986</v>
      </c>
      <c r="AU16" s="74">
        <f>14.02-Table326[[#This Row],[Diamonds: Home to First Base Path - m ]]</f>
        <v>-6.379999999999999</v>
      </c>
      <c r="AV1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6" s="74"/>
      <c r="BR16" s="74"/>
      <c r="BS16" s="75" t="s">
        <v>782</v>
      </c>
      <c r="BT16" s="76" t="s">
        <v>388</v>
      </c>
    </row>
    <row r="17" spans="1:72" ht="16.8" x14ac:dyDescent="0.3">
      <c r="A17" s="77" t="s">
        <v>890</v>
      </c>
      <c r="B17" s="78" t="s">
        <v>553</v>
      </c>
      <c r="C17" s="78" t="s">
        <v>739</v>
      </c>
      <c r="D17" s="78" t="s">
        <v>754</v>
      </c>
      <c r="E17" s="79"/>
      <c r="F17" s="79"/>
      <c r="G17" s="79"/>
      <c r="H17" s="79" t="s">
        <v>399</v>
      </c>
      <c r="I17" s="79" t="s">
        <v>891</v>
      </c>
      <c r="J17" s="79">
        <v>9.5</v>
      </c>
      <c r="K17" s="79"/>
      <c r="L17" s="79"/>
      <c r="M17" s="79">
        <v>1</v>
      </c>
      <c r="N17" s="79">
        <v>1</v>
      </c>
      <c r="O17" s="79">
        <v>1</v>
      </c>
      <c r="P17" s="80" t="s">
        <v>749</v>
      </c>
      <c r="Q17" s="79">
        <v>17</v>
      </c>
      <c r="R17" s="81">
        <v>26.7</v>
      </c>
      <c r="S17" s="81">
        <v>30</v>
      </c>
      <c r="T17" s="79">
        <v>18.399999999999999</v>
      </c>
      <c r="U17" s="79"/>
      <c r="V1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7" s="79">
        <f>SUM(Table326[[#This Row],[Slo - Pitch - Mens ]:[Slo - Pitch - Co-Ed ]])</f>
        <v>0</v>
      </c>
      <c r="X17" s="79">
        <f>SUM(Table326[[#This Row],[Baseball - U18 ]:[Baseball - U7 ]])</f>
        <v>0</v>
      </c>
      <c r="Y17" s="79" t="s">
        <v>1042</v>
      </c>
      <c r="Z17" s="10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7" s="104">
        <f>13.72-Table326[[#This Row],[Diamonds: Dimension Home to Pitchers Plate - m ]]</f>
        <v>-3.2799999999999994</v>
      </c>
      <c r="AB17" s="104">
        <f>14.32-Table326[[#This Row],[Diamonds: Dimension Home to Pitchers Plate - m ]]</f>
        <v>-2.6799999999999997</v>
      </c>
      <c r="AC17" s="104">
        <f>17.988-Table326[[#This Row],[Diamonds: Home to First Base Path - m ]]</f>
        <v>-0.41199999999999903</v>
      </c>
      <c r="AD17" s="104">
        <f>18.588-Table326[[#This Row],[Diamonds: Home to First Base Path - m ]]</f>
        <v>0.18800000000000239</v>
      </c>
      <c r="AE17" s="104">
        <f>AVERAGE(Table326[[#This Row],[Home to Pitch (Low)]:[Home to 1st (High)]])</f>
        <v>-1.5459999999999989</v>
      </c>
      <c r="AF17" s="10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7" s="104">
        <f>12.5-Table326[[#This Row],[Diamonds: Dimension Home to Pitchers Plate - m ]]</f>
        <v>-4.5</v>
      </c>
      <c r="AH17" s="104">
        <f>13.1-Table326[[#This Row],[Diamonds: Dimension Home to Pitchers Plate - m ]]</f>
        <v>-3.9000000000000004</v>
      </c>
      <c r="AI17" s="104">
        <f>17.988-Table326[[#This Row],[Diamonds: Home to First Base Path - m ]]</f>
        <v>-0.41199999999999903</v>
      </c>
      <c r="AJ17" s="104">
        <f>18.588-Table326[[#This Row],[Diamonds: Home to First Base Path - m ]]</f>
        <v>0.18800000000000239</v>
      </c>
      <c r="AK17" s="104">
        <f>AVERAGE(Table326[[#This Row],[Home to Pitch (Low)2]:[Home to 1st (High)5]])</f>
        <v>-2.1559999999999993</v>
      </c>
      <c r="AL17" s="10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7" s="104">
        <f>11.2-Table326[[#This Row],[Diamonds: Dimension Home to Pitchers Plate - m ]]</f>
        <v>-5.8000000000000007</v>
      </c>
      <c r="AN17" s="104">
        <f>11.8-Table326[[#This Row],[Diamonds: Dimension Home to Pitchers Plate - m ]]</f>
        <v>-5.1999999999999993</v>
      </c>
      <c r="AO17" s="104">
        <f>16.5-Table326[[#This Row],[Diamonds: Home to First Base Path - m ]]</f>
        <v>-1.8999999999999986</v>
      </c>
      <c r="AP17" s="104">
        <f>17.04-Table326[[#This Row],[Diamonds: Home to First Base Path - m ]]</f>
        <v>-1.3599999999999994</v>
      </c>
      <c r="AQ17" s="10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7" s="104">
        <f>10.37-Table326[[#This Row],[Diamonds: Dimension Home to Pitchers Plate - m ]]</f>
        <v>-6.6300000000000008</v>
      </c>
      <c r="AS17" s="104">
        <f>10.97-Table326[[#This Row],[Diamonds: Dimension Home to Pitchers Plate - m ]]</f>
        <v>-6.0299999999999994</v>
      </c>
      <c r="AT17" s="104">
        <f>13.5-Table326[[#This Row],[Diamonds: Home to First Base Path - m ]]</f>
        <v>-4.8999999999999986</v>
      </c>
      <c r="AU17" s="104">
        <f>14.02-Table326[[#This Row],[Diamonds: Home to First Base Path - m ]]</f>
        <v>-4.379999999999999</v>
      </c>
      <c r="AV17" s="10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7" s="10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7" s="10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7" s="10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7" s="10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7" s="10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7" s="10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7" s="10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7" s="10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7" s="10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7" s="10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7" s="10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7" s="10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7" s="10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7" s="10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7" s="10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7" s="10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7" s="10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7" s="10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7" s="10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7" s="10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7" s="104"/>
      <c r="BR17" s="104"/>
      <c r="BS17" s="83" t="s">
        <v>892</v>
      </c>
      <c r="BT17" s="84" t="s">
        <v>388</v>
      </c>
    </row>
    <row r="18" spans="1:72" ht="33.6" x14ac:dyDescent="0.3">
      <c r="A18" s="77" t="s">
        <v>80</v>
      </c>
      <c r="B18" s="78" t="s">
        <v>541</v>
      </c>
      <c r="C18" s="78" t="s">
        <v>745</v>
      </c>
      <c r="D18" s="78" t="s">
        <v>746</v>
      </c>
      <c r="E18" s="79"/>
      <c r="F18" s="79"/>
      <c r="G18" s="79"/>
      <c r="H18" s="79" t="s">
        <v>444</v>
      </c>
      <c r="I18" s="79" t="s">
        <v>780</v>
      </c>
      <c r="J18" s="79">
        <v>5.5</v>
      </c>
      <c r="K18" s="79" t="s">
        <v>748</v>
      </c>
      <c r="L18" s="79">
        <v>1</v>
      </c>
      <c r="M18" s="79"/>
      <c r="N18" s="79">
        <v>1</v>
      </c>
      <c r="O18" s="79"/>
      <c r="P18" s="80" t="s">
        <v>749</v>
      </c>
      <c r="Q18" s="79">
        <v>17.399999999999999</v>
      </c>
      <c r="R18" s="79">
        <v>31</v>
      </c>
      <c r="S18" s="79">
        <v>34.5</v>
      </c>
      <c r="T18" s="79">
        <v>18</v>
      </c>
      <c r="U18" s="79">
        <v>1</v>
      </c>
      <c r="V1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8" s="79">
        <f>SUM(Table326[[#This Row],[Slo - Pitch - Mens ]:[Slo - Pitch - Co-Ed ]])</f>
        <v>0</v>
      </c>
      <c r="X18" s="79">
        <f>SUM(Table326[[#This Row],[Baseball - U18 ]:[Baseball - U7 ]])</f>
        <v>0</v>
      </c>
      <c r="Y18" s="72" t="s">
        <v>1042</v>
      </c>
      <c r="Z1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8" s="74">
        <f>13.72-Table326[[#This Row],[Diamonds: Dimension Home to Pitchers Plate - m ]]</f>
        <v>-3.6799999999999979</v>
      </c>
      <c r="AB18" s="74">
        <f>14.32-Table326[[#This Row],[Diamonds: Dimension Home to Pitchers Plate - m ]]</f>
        <v>-3.0799999999999983</v>
      </c>
      <c r="AC18" s="105">
        <f>17.988-Table326[[#This Row],[Diamonds: Home to First Base Path - m ]]</f>
        <v>-1.2000000000000455E-2</v>
      </c>
      <c r="AD18" s="74">
        <f>18.588-Table326[[#This Row],[Diamonds: Home to First Base Path - m ]]</f>
        <v>0.58800000000000097</v>
      </c>
      <c r="AE18" s="74">
        <f>AVERAGE(Table326[[#This Row],[Home to Pitch (Low)]:[Home to 1st (High)]])</f>
        <v>-1.5459999999999989</v>
      </c>
      <c r="AF1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8" s="74">
        <f>12.5-Table326[[#This Row],[Diamonds: Dimension Home to Pitchers Plate - m ]]</f>
        <v>-4.8999999999999986</v>
      </c>
      <c r="AH18" s="74">
        <f>13.1-Table326[[#This Row],[Diamonds: Dimension Home to Pitchers Plate - m ]]</f>
        <v>-4.2999999999999989</v>
      </c>
      <c r="AI18" s="103">
        <f>17.988-Table326[[#This Row],[Diamonds: Home to First Base Path - m ]]</f>
        <v>-1.2000000000000455E-2</v>
      </c>
      <c r="AJ18" s="106">
        <f>18.588-Table326[[#This Row],[Diamonds: Home to First Base Path - m ]]</f>
        <v>0.58800000000000097</v>
      </c>
      <c r="AK18" s="74">
        <f>AVERAGE(Table326[[#This Row],[Home to Pitch (Low)2]:[Home to 1st (High)5]])</f>
        <v>-2.1559999999999993</v>
      </c>
      <c r="AL1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8" s="74">
        <f>11.2-Table326[[#This Row],[Diamonds: Dimension Home to Pitchers Plate - m ]]</f>
        <v>-6.1999999999999993</v>
      </c>
      <c r="AN18" s="74">
        <f>11.8-Table326[[#This Row],[Diamonds: Dimension Home to Pitchers Plate - m ]]</f>
        <v>-5.5999999999999979</v>
      </c>
      <c r="AO18" s="74">
        <f>16.5-Table326[[#This Row],[Diamonds: Home to First Base Path - m ]]</f>
        <v>-1.5</v>
      </c>
      <c r="AP18" s="74">
        <f>17.04-Table326[[#This Row],[Diamonds: Home to First Base Path - m ]]</f>
        <v>-0.96000000000000085</v>
      </c>
      <c r="AQ1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8" s="74">
        <f>10.37-Table326[[#This Row],[Diamonds: Dimension Home to Pitchers Plate - m ]]</f>
        <v>-7.0299999999999994</v>
      </c>
      <c r="AS18" s="74">
        <f>10.97-Table326[[#This Row],[Diamonds: Dimension Home to Pitchers Plate - m ]]</f>
        <v>-6.4299999999999979</v>
      </c>
      <c r="AT18" s="74">
        <f>13.5-Table326[[#This Row],[Diamonds: Home to First Base Path - m ]]</f>
        <v>-4.5</v>
      </c>
      <c r="AU18" s="74">
        <f>14.02-Table326[[#This Row],[Diamonds: Home to First Base Path - m ]]</f>
        <v>-3.9800000000000004</v>
      </c>
      <c r="AV1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8" s="74"/>
      <c r="BR18" s="74"/>
      <c r="BS18" s="75" t="s">
        <v>877</v>
      </c>
      <c r="BT18" s="76" t="s">
        <v>876</v>
      </c>
    </row>
    <row r="19" spans="1:72" ht="16.8" x14ac:dyDescent="0.3">
      <c r="A19" s="77" t="s">
        <v>34</v>
      </c>
      <c r="B19" s="78" t="s">
        <v>465</v>
      </c>
      <c r="C19" s="78" t="s">
        <v>739</v>
      </c>
      <c r="D19" s="78" t="s">
        <v>789</v>
      </c>
      <c r="E19" s="79"/>
      <c r="F19" s="79"/>
      <c r="G19" s="79"/>
      <c r="H19" s="79" t="s">
        <v>408</v>
      </c>
      <c r="I19" s="79" t="s">
        <v>800</v>
      </c>
      <c r="J19" s="79">
        <v>6</v>
      </c>
      <c r="K19" s="79" t="s">
        <v>748</v>
      </c>
      <c r="L19" s="79"/>
      <c r="M19" s="79"/>
      <c r="N19" s="79">
        <v>1</v>
      </c>
      <c r="O19" s="79"/>
      <c r="P19" s="80" t="s">
        <v>749</v>
      </c>
      <c r="Q19" s="79">
        <v>15</v>
      </c>
      <c r="R19" s="79">
        <v>26.8</v>
      </c>
      <c r="S19" s="79">
        <v>30.7</v>
      </c>
      <c r="T19" s="79">
        <v>20</v>
      </c>
      <c r="U19" s="79"/>
      <c r="V1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9" s="79">
        <f>SUM(Table326[[#This Row],[Slo - Pitch - Mens ]:[Slo - Pitch - Co-Ed ]])</f>
        <v>2</v>
      </c>
      <c r="X19" s="79">
        <f>SUM(Table326[[#This Row],[Baseball - U18 ]:[Baseball - U7 ]])</f>
        <v>0</v>
      </c>
      <c r="Y19" s="72" t="s">
        <v>1043</v>
      </c>
      <c r="Z1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9" s="74">
        <f>13.72-Table326[[#This Row],[Diamonds: Dimension Home to Pitchers Plate - m ]]</f>
        <v>-1.2799999999999994</v>
      </c>
      <c r="AB19" s="74">
        <f>14.32-Table326[[#This Row],[Diamonds: Dimension Home to Pitchers Plate - m ]]</f>
        <v>-0.67999999999999972</v>
      </c>
      <c r="AC19" s="74">
        <f>17.988-Table326[[#This Row],[Diamonds: Home to First Base Path - m ]]</f>
        <v>-2.0120000000000005</v>
      </c>
      <c r="AD19" s="74">
        <f>18.588-Table326[[#This Row],[Diamonds: Home to First Base Path - m ]]</f>
        <v>-1.411999999999999</v>
      </c>
      <c r="AE19" s="74">
        <f>AVERAGE(Table326[[#This Row],[Home to Pitch (Low)]:[Home to 1st (High)]])</f>
        <v>-1.3459999999999996</v>
      </c>
      <c r="AF1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9" s="74">
        <f>12.5-Table326[[#This Row],[Diamonds: Dimension Home to Pitchers Plate - m ]]</f>
        <v>-2.5</v>
      </c>
      <c r="AH19" s="74">
        <f>13.1-Table326[[#This Row],[Diamonds: Dimension Home to Pitchers Plate - m ]]</f>
        <v>-1.9000000000000004</v>
      </c>
      <c r="AI19" s="74">
        <f>17.988-Table326[[#This Row],[Diamonds: Home to First Base Path - m ]]</f>
        <v>-2.0120000000000005</v>
      </c>
      <c r="AJ19" s="74">
        <f>18.588-Table326[[#This Row],[Diamonds: Home to First Base Path - m ]]</f>
        <v>-1.411999999999999</v>
      </c>
      <c r="AK19" s="74">
        <f>AVERAGE(Table326[[#This Row],[Home to Pitch (Low)2]:[Home to 1st (High)5]])</f>
        <v>-1.956</v>
      </c>
      <c r="AL1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9" s="74">
        <f>11.2-Table326[[#This Row],[Diamonds: Dimension Home to Pitchers Plate - m ]]</f>
        <v>-3.8000000000000007</v>
      </c>
      <c r="AN19" s="74">
        <f>11.8-Table326[[#This Row],[Diamonds: Dimension Home to Pitchers Plate - m ]]</f>
        <v>-3.1999999999999993</v>
      </c>
      <c r="AO19" s="74">
        <f>16.5-Table326[[#This Row],[Diamonds: Home to First Base Path - m ]]</f>
        <v>-3.5</v>
      </c>
      <c r="AP19" s="74">
        <f>17.04-Table326[[#This Row],[Diamonds: Home to First Base Path - m ]]</f>
        <v>-2.9600000000000009</v>
      </c>
      <c r="AQ1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9" s="74">
        <f>10.37-Table326[[#This Row],[Diamonds: Dimension Home to Pitchers Plate - m ]]</f>
        <v>-4.6300000000000008</v>
      </c>
      <c r="AS19" s="74">
        <f>10.97-Table326[[#This Row],[Diamonds: Dimension Home to Pitchers Plate - m ]]</f>
        <v>-4.0299999999999994</v>
      </c>
      <c r="AT19" s="74">
        <f>13.5-Table326[[#This Row],[Diamonds: Home to First Base Path - m ]]</f>
        <v>-6.5</v>
      </c>
      <c r="AU19" s="74">
        <f>14.02-Table326[[#This Row],[Diamonds: Home to First Base Path - m ]]</f>
        <v>-5.98</v>
      </c>
      <c r="AV1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1</v>
      </c>
      <c r="BI1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1</v>
      </c>
      <c r="BJ1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9" s="74"/>
      <c r="BR19" s="74"/>
      <c r="BS19" s="75" t="s">
        <v>801</v>
      </c>
      <c r="BT19" s="76" t="s">
        <v>388</v>
      </c>
    </row>
    <row r="20" spans="1:72" ht="16.8" x14ac:dyDescent="0.3">
      <c r="A20" s="70" t="s">
        <v>108</v>
      </c>
      <c r="B20" s="71" t="s">
        <v>590</v>
      </c>
      <c r="C20" s="71" t="s">
        <v>930</v>
      </c>
      <c r="D20" s="71" t="s">
        <v>740</v>
      </c>
      <c r="E20" s="72"/>
      <c r="F20" s="72"/>
      <c r="G20" s="72"/>
      <c r="H20" s="72" t="s">
        <v>399</v>
      </c>
      <c r="I20" s="72" t="s">
        <v>931</v>
      </c>
      <c r="J20" s="72">
        <v>11.5</v>
      </c>
      <c r="K20" s="72" t="s">
        <v>748</v>
      </c>
      <c r="L20" s="72"/>
      <c r="M20" s="72"/>
      <c r="N20" s="72">
        <v>1</v>
      </c>
      <c r="O20" s="72">
        <v>1</v>
      </c>
      <c r="P20" s="73" t="s">
        <v>749</v>
      </c>
      <c r="Q20" s="72">
        <v>15.5</v>
      </c>
      <c r="R20" s="72">
        <v>25.5</v>
      </c>
      <c r="S20" s="72">
        <v>31.5</v>
      </c>
      <c r="T20" s="72">
        <v>19.5</v>
      </c>
      <c r="U20" s="72"/>
      <c r="V2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0" s="72">
        <f>SUM(Table326[[#This Row],[Slo - Pitch - Mens ]:[Slo - Pitch - Co-Ed ]])</f>
        <v>0</v>
      </c>
      <c r="X20" s="72">
        <f>SUM(Table326[[#This Row],[Baseball - U18 ]:[Baseball - U7 ]])</f>
        <v>0</v>
      </c>
      <c r="Y20" s="72" t="s">
        <v>1042</v>
      </c>
      <c r="Z2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0" s="74">
        <f>13.72-Table326[[#This Row],[Diamonds: Dimension Home to Pitchers Plate - m ]]</f>
        <v>-1.7799999999999994</v>
      </c>
      <c r="AB20" s="74">
        <f>14.32-Table326[[#This Row],[Diamonds: Dimension Home to Pitchers Plate - m ]]</f>
        <v>-1.1799999999999997</v>
      </c>
      <c r="AC20" s="74">
        <f>17.988-Table326[[#This Row],[Diamonds: Home to First Base Path - m ]]</f>
        <v>-1.5120000000000005</v>
      </c>
      <c r="AD20" s="74">
        <f>18.588-Table326[[#This Row],[Diamonds: Home to First Base Path - m ]]</f>
        <v>-0.91199999999999903</v>
      </c>
      <c r="AE20" s="74">
        <f>AVERAGE(Table326[[#This Row],[Home to Pitch (Low)]:[Home to 1st (High)]])</f>
        <v>-1.3459999999999996</v>
      </c>
      <c r="AF2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0" s="74">
        <f>12.5-Table326[[#This Row],[Diamonds: Dimension Home to Pitchers Plate - m ]]</f>
        <v>-3</v>
      </c>
      <c r="AH20" s="74">
        <f>13.1-Table326[[#This Row],[Diamonds: Dimension Home to Pitchers Plate - m ]]</f>
        <v>-2.4000000000000004</v>
      </c>
      <c r="AI20" s="74">
        <f>17.988-Table326[[#This Row],[Diamonds: Home to First Base Path - m ]]</f>
        <v>-1.5120000000000005</v>
      </c>
      <c r="AJ20" s="74">
        <f>18.588-Table326[[#This Row],[Diamonds: Home to First Base Path - m ]]</f>
        <v>-0.91199999999999903</v>
      </c>
      <c r="AK20" s="74">
        <f>AVERAGE(Table326[[#This Row],[Home to Pitch (Low)2]:[Home to 1st (High)5]])</f>
        <v>-1.956</v>
      </c>
      <c r="AL2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0" s="74">
        <f>11.2-Table326[[#This Row],[Diamonds: Dimension Home to Pitchers Plate - m ]]</f>
        <v>-4.3000000000000007</v>
      </c>
      <c r="AN20" s="74">
        <f>11.8-Table326[[#This Row],[Diamonds: Dimension Home to Pitchers Plate - m ]]</f>
        <v>-3.6999999999999993</v>
      </c>
      <c r="AO20" s="74">
        <f>16.5-Table326[[#This Row],[Diamonds: Home to First Base Path - m ]]</f>
        <v>-3</v>
      </c>
      <c r="AP20" s="74">
        <f>17.04-Table326[[#This Row],[Diamonds: Home to First Base Path - m ]]</f>
        <v>-2.4600000000000009</v>
      </c>
      <c r="AQ2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0" s="74">
        <f>10.37-Table326[[#This Row],[Diamonds: Dimension Home to Pitchers Plate - m ]]</f>
        <v>-5.1300000000000008</v>
      </c>
      <c r="AS20" s="74">
        <f>10.97-Table326[[#This Row],[Diamonds: Dimension Home to Pitchers Plate - m ]]</f>
        <v>-4.5299999999999994</v>
      </c>
      <c r="AT20" s="74">
        <f>13.5-Table326[[#This Row],[Diamonds: Home to First Base Path - m ]]</f>
        <v>-6</v>
      </c>
      <c r="AU20" s="74">
        <f>14.02-Table326[[#This Row],[Diamonds: Home to First Base Path - m ]]</f>
        <v>-5.48</v>
      </c>
      <c r="AV2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0" s="74"/>
      <c r="BR20" s="74"/>
      <c r="BS20" s="75" t="s">
        <v>932</v>
      </c>
      <c r="BT20" s="76" t="s">
        <v>388</v>
      </c>
    </row>
    <row r="21" spans="1:72" ht="33.6" x14ac:dyDescent="0.3">
      <c r="A21" s="70" t="s">
        <v>136</v>
      </c>
      <c r="B21" s="71" t="s">
        <v>638</v>
      </c>
      <c r="C21" s="71" t="s">
        <v>739</v>
      </c>
      <c r="D21" s="71" t="s">
        <v>789</v>
      </c>
      <c r="E21" s="72"/>
      <c r="F21" s="72"/>
      <c r="G21" s="72"/>
      <c r="H21" s="72" t="s">
        <v>444</v>
      </c>
      <c r="I21" s="72" t="s">
        <v>968</v>
      </c>
      <c r="J21" s="72">
        <v>7.5</v>
      </c>
      <c r="K21" s="72" t="s">
        <v>748</v>
      </c>
      <c r="L21" s="72">
        <v>1</v>
      </c>
      <c r="M21" s="72"/>
      <c r="N21" s="72">
        <v>1</v>
      </c>
      <c r="O21" s="72">
        <v>1</v>
      </c>
      <c r="P21" s="73" t="s">
        <v>749</v>
      </c>
      <c r="Q21" s="72">
        <v>14.6</v>
      </c>
      <c r="R21" s="72">
        <v>28.2</v>
      </c>
      <c r="S21" s="72">
        <v>32</v>
      </c>
      <c r="T21" s="72">
        <v>20</v>
      </c>
      <c r="U21" s="72">
        <v>1</v>
      </c>
      <c r="V2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1" s="72">
        <f>SUM(Table326[[#This Row],[Slo - Pitch - Mens ]:[Slo - Pitch - Co-Ed ]])</f>
        <v>0</v>
      </c>
      <c r="X21" s="72">
        <f>SUM(Table326[[#This Row],[Baseball - U18 ]:[Baseball - U7 ]])</f>
        <v>0</v>
      </c>
      <c r="Y21" s="72" t="s">
        <v>1042</v>
      </c>
      <c r="Z2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1" s="74">
        <f>13.72-Table326[[#This Row],[Diamonds: Dimension Home to Pitchers Plate - m ]]</f>
        <v>-0.87999999999999901</v>
      </c>
      <c r="AB21" s="103">
        <f>14.32-Table326[[#This Row],[Diamonds: Dimension Home to Pitchers Plate - m ]]</f>
        <v>-0.27999999999999936</v>
      </c>
      <c r="AC21" s="74">
        <f>17.988-Table326[[#This Row],[Diamonds: Home to First Base Path - m ]]</f>
        <v>-2.0120000000000005</v>
      </c>
      <c r="AD21" s="74">
        <f>18.588-Table326[[#This Row],[Diamonds: Home to First Base Path - m ]]</f>
        <v>-1.411999999999999</v>
      </c>
      <c r="AE21" s="74">
        <f>AVERAGE(Table326[[#This Row],[Home to Pitch (Low)]:[Home to 1st (High)]])</f>
        <v>-1.1459999999999995</v>
      </c>
      <c r="AF2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1" s="74">
        <f>12.5-Table326[[#This Row],[Diamonds: Dimension Home to Pitchers Plate - m ]]</f>
        <v>-2.0999999999999996</v>
      </c>
      <c r="AH21" s="74">
        <f>13.1-Table326[[#This Row],[Diamonds: Dimension Home to Pitchers Plate - m ]]</f>
        <v>-1.5</v>
      </c>
      <c r="AI21" s="74">
        <f>17.988-Table326[[#This Row],[Diamonds: Home to First Base Path - m ]]</f>
        <v>-2.0120000000000005</v>
      </c>
      <c r="AJ21" s="74">
        <f>18.588-Table326[[#This Row],[Diamonds: Home to First Base Path - m ]]</f>
        <v>-1.411999999999999</v>
      </c>
      <c r="AK21" s="74">
        <f>AVERAGE(Table326[[#This Row],[Home to Pitch (Low)2]:[Home to 1st (High)5]])</f>
        <v>-1.7559999999999998</v>
      </c>
      <c r="AL2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1" s="74">
        <f>11.2-Table326[[#This Row],[Diamonds: Dimension Home to Pitchers Plate - m ]]</f>
        <v>-3.4000000000000004</v>
      </c>
      <c r="AN21" s="74">
        <f>11.8-Table326[[#This Row],[Diamonds: Dimension Home to Pitchers Plate - m ]]</f>
        <v>-2.7999999999999989</v>
      </c>
      <c r="AO21" s="74">
        <f>16.5-Table326[[#This Row],[Diamonds: Home to First Base Path - m ]]</f>
        <v>-3.5</v>
      </c>
      <c r="AP21" s="74">
        <f>17.04-Table326[[#This Row],[Diamonds: Home to First Base Path - m ]]</f>
        <v>-2.9600000000000009</v>
      </c>
      <c r="AQ2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1" s="74">
        <f>10.37-Table326[[#This Row],[Diamonds: Dimension Home to Pitchers Plate - m ]]</f>
        <v>-4.2300000000000004</v>
      </c>
      <c r="AS21" s="74">
        <f>10.97-Table326[[#This Row],[Diamonds: Dimension Home to Pitchers Plate - m ]]</f>
        <v>-3.629999999999999</v>
      </c>
      <c r="AT21" s="74">
        <f>13.5-Table326[[#This Row],[Diamonds: Home to First Base Path - m ]]</f>
        <v>-6.5</v>
      </c>
      <c r="AU21" s="74">
        <f>14.02-Table326[[#This Row],[Diamonds: Home to First Base Path - m ]]</f>
        <v>-5.98</v>
      </c>
      <c r="AV2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1" s="74"/>
      <c r="BR21" s="74"/>
      <c r="BS21" s="75" t="s">
        <v>969</v>
      </c>
      <c r="BT21" s="76" t="s">
        <v>388</v>
      </c>
    </row>
    <row r="22" spans="1:72" ht="16.8" x14ac:dyDescent="0.3">
      <c r="A22" s="77" t="s">
        <v>110</v>
      </c>
      <c r="B22" s="78" t="s">
        <v>590</v>
      </c>
      <c r="C22" s="78" t="s">
        <v>739</v>
      </c>
      <c r="D22" s="78" t="s">
        <v>754</v>
      </c>
      <c r="E22" s="79"/>
      <c r="F22" s="79"/>
      <c r="G22" s="79"/>
      <c r="H22" s="79" t="s">
        <v>399</v>
      </c>
      <c r="I22" s="79" t="s">
        <v>933</v>
      </c>
      <c r="J22" s="79">
        <v>11.5</v>
      </c>
      <c r="K22" s="79" t="s">
        <v>748</v>
      </c>
      <c r="L22" s="79"/>
      <c r="M22" s="79"/>
      <c r="N22" s="79">
        <v>1</v>
      </c>
      <c r="O22" s="79">
        <v>1</v>
      </c>
      <c r="P22" s="80" t="s">
        <v>749</v>
      </c>
      <c r="Q22" s="79">
        <v>14.6</v>
      </c>
      <c r="R22" s="79">
        <v>28.9</v>
      </c>
      <c r="S22" s="79">
        <v>33.200000000000003</v>
      </c>
      <c r="T22" s="79">
        <v>19.8</v>
      </c>
      <c r="U22" s="79"/>
      <c r="V2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2" s="79">
        <f>SUM(Table326[[#This Row],[Slo - Pitch - Mens ]:[Slo - Pitch - Co-Ed ]])</f>
        <v>0</v>
      </c>
      <c r="X22" s="79">
        <f>SUM(Table326[[#This Row],[Baseball - U18 ]:[Baseball - U7 ]])</f>
        <v>0</v>
      </c>
      <c r="Y22" s="72" t="s">
        <v>1042</v>
      </c>
      <c r="Z2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2" s="74">
        <f>13.72-Table326[[#This Row],[Diamonds: Dimension Home to Pitchers Plate - m ]]</f>
        <v>-0.87999999999999901</v>
      </c>
      <c r="AB22" s="103">
        <f>14.32-Table326[[#This Row],[Diamonds: Dimension Home to Pitchers Plate - m ]]</f>
        <v>-0.27999999999999936</v>
      </c>
      <c r="AC22" s="74">
        <f>17.988-Table326[[#This Row],[Diamonds: Home to First Base Path - m ]]</f>
        <v>-1.8120000000000012</v>
      </c>
      <c r="AD22" s="74">
        <f>18.588-Table326[[#This Row],[Diamonds: Home to First Base Path - m ]]</f>
        <v>-1.2119999999999997</v>
      </c>
      <c r="AE22" s="74">
        <f>AVERAGE(Table326[[#This Row],[Home to Pitch (Low)]:[Home to 1st (High)]])</f>
        <v>-1.0459999999999998</v>
      </c>
      <c r="AF2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2" s="74">
        <f>12.5-Table326[[#This Row],[Diamonds: Dimension Home to Pitchers Plate - m ]]</f>
        <v>-2.0999999999999996</v>
      </c>
      <c r="AH22" s="74">
        <f>13.1-Table326[[#This Row],[Diamonds: Dimension Home to Pitchers Plate - m ]]</f>
        <v>-1.5</v>
      </c>
      <c r="AI22" s="74">
        <f>17.988-Table326[[#This Row],[Diamonds: Home to First Base Path - m ]]</f>
        <v>-1.8120000000000012</v>
      </c>
      <c r="AJ22" s="74">
        <f>18.588-Table326[[#This Row],[Diamonds: Home to First Base Path - m ]]</f>
        <v>-1.2119999999999997</v>
      </c>
      <c r="AK22" s="74">
        <f>AVERAGE(Table326[[#This Row],[Home to Pitch (Low)2]:[Home to 1st (High)5]])</f>
        <v>-1.6560000000000001</v>
      </c>
      <c r="AL2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2" s="74">
        <f>11.2-Table326[[#This Row],[Diamonds: Dimension Home to Pitchers Plate - m ]]</f>
        <v>-3.4000000000000004</v>
      </c>
      <c r="AN22" s="74">
        <f>11.8-Table326[[#This Row],[Diamonds: Dimension Home to Pitchers Plate - m ]]</f>
        <v>-2.7999999999999989</v>
      </c>
      <c r="AO22" s="74">
        <f>16.5-Table326[[#This Row],[Diamonds: Home to First Base Path - m ]]</f>
        <v>-3.3000000000000007</v>
      </c>
      <c r="AP22" s="74">
        <f>17.04-Table326[[#This Row],[Diamonds: Home to First Base Path - m ]]</f>
        <v>-2.7600000000000016</v>
      </c>
      <c r="AQ2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2" s="74">
        <f>10.37-Table326[[#This Row],[Diamonds: Dimension Home to Pitchers Plate - m ]]</f>
        <v>-4.2300000000000004</v>
      </c>
      <c r="AS22" s="74">
        <f>10.97-Table326[[#This Row],[Diamonds: Dimension Home to Pitchers Plate - m ]]</f>
        <v>-3.629999999999999</v>
      </c>
      <c r="AT22" s="74">
        <f>13.5-Table326[[#This Row],[Diamonds: Home to First Base Path - m ]]</f>
        <v>-6.3000000000000007</v>
      </c>
      <c r="AU22" s="74">
        <f>14.02-Table326[[#This Row],[Diamonds: Home to First Base Path - m ]]</f>
        <v>-5.7800000000000011</v>
      </c>
      <c r="AV2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2" s="74"/>
      <c r="BR22" s="74"/>
      <c r="BS22" s="75" t="s">
        <v>934</v>
      </c>
      <c r="BT22" s="76" t="s">
        <v>388</v>
      </c>
    </row>
    <row r="23" spans="1:72" ht="16.8" x14ac:dyDescent="0.3">
      <c r="A23" s="77" t="s">
        <v>54</v>
      </c>
      <c r="B23" s="78" t="s">
        <v>514</v>
      </c>
      <c r="C23" s="78" t="s">
        <v>739</v>
      </c>
      <c r="D23" s="78" t="s">
        <v>789</v>
      </c>
      <c r="E23" s="79"/>
      <c r="F23" s="79"/>
      <c r="G23" s="79"/>
      <c r="H23" s="79" t="s">
        <v>385</v>
      </c>
      <c r="I23" s="79" t="s">
        <v>829</v>
      </c>
      <c r="J23" s="79">
        <v>9.5</v>
      </c>
      <c r="K23" s="79" t="s">
        <v>748</v>
      </c>
      <c r="L23" s="79"/>
      <c r="M23" s="79"/>
      <c r="N23" s="79">
        <v>1</v>
      </c>
      <c r="O23" s="79">
        <v>1</v>
      </c>
      <c r="P23" s="80" t="s">
        <v>749</v>
      </c>
      <c r="Q23" s="79">
        <v>14</v>
      </c>
      <c r="R23" s="79">
        <v>26.4</v>
      </c>
      <c r="S23" s="79">
        <v>30</v>
      </c>
      <c r="T23" s="79">
        <v>20.399999999999999</v>
      </c>
      <c r="U23" s="79"/>
      <c r="V2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3" s="79">
        <f>SUM(Table326[[#This Row],[Slo - Pitch - Mens ]:[Slo - Pitch - Co-Ed ]])</f>
        <v>0</v>
      </c>
      <c r="X23" s="79">
        <f>SUM(Table326[[#This Row],[Baseball - U18 ]:[Baseball - U7 ]])</f>
        <v>0</v>
      </c>
      <c r="Y23" s="72" t="s">
        <v>1042</v>
      </c>
      <c r="Z2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3" s="103">
        <f>13.72-Table326[[#This Row],[Diamonds: Dimension Home to Pitchers Plate - m ]]</f>
        <v>-0.27999999999999936</v>
      </c>
      <c r="AB23" s="103">
        <f>14.32-Table326[[#This Row],[Diamonds: Dimension Home to Pitchers Plate - m ]]</f>
        <v>0.32000000000000028</v>
      </c>
      <c r="AC23" s="74">
        <f>17.988-Table326[[#This Row],[Diamonds: Home to First Base Path - m ]]</f>
        <v>-2.411999999999999</v>
      </c>
      <c r="AD23" s="74">
        <f>18.588-Table326[[#This Row],[Diamonds: Home to First Base Path - m ]]</f>
        <v>-1.8119999999999976</v>
      </c>
      <c r="AE23" s="74">
        <f>AVERAGE(Table326[[#This Row],[Home to Pitch (Low)]:[Home to 1st (High)]])</f>
        <v>-1.0459999999999989</v>
      </c>
      <c r="AF2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3" s="74">
        <f>12.5-Table326[[#This Row],[Diamonds: Dimension Home to Pitchers Plate - m ]]</f>
        <v>-1.5</v>
      </c>
      <c r="AH23" s="74">
        <f>13.1-Table326[[#This Row],[Diamonds: Dimension Home to Pitchers Plate - m ]]</f>
        <v>-0.90000000000000036</v>
      </c>
      <c r="AI23" s="74">
        <f>17.988-Table326[[#This Row],[Diamonds: Home to First Base Path - m ]]</f>
        <v>-2.411999999999999</v>
      </c>
      <c r="AJ23" s="74">
        <f>18.588-Table326[[#This Row],[Diamonds: Home to First Base Path - m ]]</f>
        <v>-1.8119999999999976</v>
      </c>
      <c r="AK23" s="74">
        <f>AVERAGE(Table326[[#This Row],[Home to Pitch (Low)2]:[Home to 1st (High)5]])</f>
        <v>-1.6559999999999993</v>
      </c>
      <c r="AL2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3" s="74">
        <f>11.2-Table326[[#This Row],[Diamonds: Dimension Home to Pitchers Plate - m ]]</f>
        <v>-2.8000000000000007</v>
      </c>
      <c r="AN23" s="74">
        <f>11.8-Table326[[#This Row],[Diamonds: Dimension Home to Pitchers Plate - m ]]</f>
        <v>-2.1999999999999993</v>
      </c>
      <c r="AO23" s="74">
        <f>16.5-Table326[[#This Row],[Diamonds: Home to First Base Path - m ]]</f>
        <v>-3.8999999999999986</v>
      </c>
      <c r="AP23" s="74">
        <f>17.04-Table326[[#This Row],[Diamonds: Home to First Base Path - m ]]</f>
        <v>-3.3599999999999994</v>
      </c>
      <c r="AQ2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3" s="74">
        <f>10.37-Table326[[#This Row],[Diamonds: Dimension Home to Pitchers Plate - m ]]</f>
        <v>-3.6300000000000008</v>
      </c>
      <c r="AS23" s="74">
        <f>10.97-Table326[[#This Row],[Diamonds: Dimension Home to Pitchers Plate - m ]]</f>
        <v>-3.0299999999999994</v>
      </c>
      <c r="AT23" s="74">
        <f>13.5-Table326[[#This Row],[Diamonds: Home to First Base Path - m ]]</f>
        <v>-6.8999999999999986</v>
      </c>
      <c r="AU23" s="74">
        <f>14.02-Table326[[#This Row],[Diamonds: Home to First Base Path - m ]]</f>
        <v>-6.379999999999999</v>
      </c>
      <c r="AV2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3" s="74"/>
      <c r="BR23" s="74"/>
      <c r="BS23" s="75" t="s">
        <v>830</v>
      </c>
      <c r="BT23" s="76" t="s">
        <v>388</v>
      </c>
    </row>
    <row r="24" spans="1:72" ht="33.6" x14ac:dyDescent="0.3">
      <c r="A24" s="70" t="s">
        <v>78</v>
      </c>
      <c r="B24" s="71" t="s">
        <v>541</v>
      </c>
      <c r="C24" s="71" t="s">
        <v>745</v>
      </c>
      <c r="D24" s="71" t="s">
        <v>746</v>
      </c>
      <c r="E24" s="72"/>
      <c r="F24" s="72"/>
      <c r="G24" s="72"/>
      <c r="H24" s="72" t="s">
        <v>408</v>
      </c>
      <c r="I24" s="72" t="s">
        <v>874</v>
      </c>
      <c r="J24" s="72">
        <v>5.5</v>
      </c>
      <c r="K24" s="72" t="s">
        <v>742</v>
      </c>
      <c r="L24" s="72">
        <v>1</v>
      </c>
      <c r="M24" s="72"/>
      <c r="N24" s="72">
        <v>1</v>
      </c>
      <c r="O24" s="72"/>
      <c r="P24" s="73" t="s">
        <v>752</v>
      </c>
      <c r="Q24" s="72">
        <v>14.2</v>
      </c>
      <c r="R24" s="72">
        <v>27</v>
      </c>
      <c r="S24" s="72"/>
      <c r="T24" s="72">
        <v>20.2</v>
      </c>
      <c r="U24" s="72">
        <v>1</v>
      </c>
      <c r="V2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4" s="72">
        <f>SUM(Table326[[#This Row],[Slo - Pitch - Mens ]:[Slo - Pitch - Co-Ed ]])</f>
        <v>0</v>
      </c>
      <c r="X24" s="72">
        <f>SUM(Table326[[#This Row],[Baseball - U18 ]:[Baseball - U7 ]])</f>
        <v>0</v>
      </c>
      <c r="Y24" s="72" t="s">
        <v>1042</v>
      </c>
      <c r="Z2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4" s="74">
        <f>13.72-Table326[[#This Row],[Diamonds: Dimension Home to Pitchers Plate - m ]]</f>
        <v>-0.47999999999999865</v>
      </c>
      <c r="AB24" s="103">
        <f>14.32-Table326[[#This Row],[Diamonds: Dimension Home to Pitchers Plate - m ]]</f>
        <v>0.12000000000000099</v>
      </c>
      <c r="AC24" s="74">
        <f>17.988-Table326[[#This Row],[Diamonds: Home to First Base Path - m ]]</f>
        <v>-2.2119999999999997</v>
      </c>
      <c r="AD24" s="74">
        <f>18.588-Table326[[#This Row],[Diamonds: Home to First Base Path - m ]]</f>
        <v>-1.6119999999999983</v>
      </c>
      <c r="AE24" s="74">
        <f>AVERAGE(Table326[[#This Row],[Home to Pitch (Low)]:[Home to 1st (High)]])</f>
        <v>-1.0459999999999989</v>
      </c>
      <c r="AF2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4" s="74">
        <f>12.5-Table326[[#This Row],[Diamonds: Dimension Home to Pitchers Plate - m ]]</f>
        <v>-1.6999999999999993</v>
      </c>
      <c r="AH24" s="74">
        <f>13.1-Table326[[#This Row],[Diamonds: Dimension Home to Pitchers Plate - m ]]</f>
        <v>-1.0999999999999996</v>
      </c>
      <c r="AI24" s="74">
        <f>17.988-Table326[[#This Row],[Diamonds: Home to First Base Path - m ]]</f>
        <v>-2.2119999999999997</v>
      </c>
      <c r="AJ24" s="74">
        <f>18.588-Table326[[#This Row],[Diamonds: Home to First Base Path - m ]]</f>
        <v>-1.6119999999999983</v>
      </c>
      <c r="AK24" s="74">
        <f>AVERAGE(Table326[[#This Row],[Home to Pitch (Low)2]:[Home to 1st (High)5]])</f>
        <v>-1.6559999999999993</v>
      </c>
      <c r="AL2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4" s="74">
        <f>11.2-Table326[[#This Row],[Diamonds: Dimension Home to Pitchers Plate - m ]]</f>
        <v>-3</v>
      </c>
      <c r="AN24" s="74">
        <f>11.8-Table326[[#This Row],[Diamonds: Dimension Home to Pitchers Plate - m ]]</f>
        <v>-2.3999999999999986</v>
      </c>
      <c r="AO24" s="74">
        <f>16.5-Table326[[#This Row],[Diamonds: Home to First Base Path - m ]]</f>
        <v>-3.6999999999999993</v>
      </c>
      <c r="AP24" s="74">
        <f>17.04-Table326[[#This Row],[Diamonds: Home to First Base Path - m ]]</f>
        <v>-3.16</v>
      </c>
      <c r="AQ2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4" s="74">
        <f>10.37-Table326[[#This Row],[Diamonds: Dimension Home to Pitchers Plate - m ]]</f>
        <v>-3.83</v>
      </c>
      <c r="AS24" s="74">
        <f>10.97-Table326[[#This Row],[Diamonds: Dimension Home to Pitchers Plate - m ]]</f>
        <v>-3.2299999999999986</v>
      </c>
      <c r="AT24" s="74">
        <f>13.5-Table326[[#This Row],[Diamonds: Home to First Base Path - m ]]</f>
        <v>-6.6999999999999993</v>
      </c>
      <c r="AU24" s="74">
        <f>14.02-Table326[[#This Row],[Diamonds: Home to First Base Path - m ]]</f>
        <v>-6.18</v>
      </c>
      <c r="AV2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4" s="74"/>
      <c r="BR24" s="74"/>
      <c r="BS24" s="75" t="s">
        <v>875</v>
      </c>
      <c r="BT24" s="76" t="s">
        <v>876</v>
      </c>
    </row>
    <row r="25" spans="1:72" ht="16.8" x14ac:dyDescent="0.3">
      <c r="A25" s="77" t="s">
        <v>138</v>
      </c>
      <c r="B25" s="78" t="s">
        <v>647</v>
      </c>
      <c r="C25" s="78" t="s">
        <v>739</v>
      </c>
      <c r="D25" s="78" t="s">
        <v>740</v>
      </c>
      <c r="E25" s="79"/>
      <c r="F25" s="79"/>
      <c r="G25" s="79"/>
      <c r="H25" s="79" t="s">
        <v>385</v>
      </c>
      <c r="I25" s="79" t="s">
        <v>970</v>
      </c>
      <c r="J25" s="79">
        <v>7.5</v>
      </c>
      <c r="K25" s="79" t="s">
        <v>748</v>
      </c>
      <c r="L25" s="79"/>
      <c r="M25" s="79"/>
      <c r="N25" s="79">
        <v>1</v>
      </c>
      <c r="O25" s="79">
        <v>1</v>
      </c>
      <c r="P25" s="80" t="s">
        <v>749</v>
      </c>
      <c r="Q25" s="79">
        <v>14.8</v>
      </c>
      <c r="R25" s="79">
        <v>27.1</v>
      </c>
      <c r="S25" s="79">
        <v>31.3</v>
      </c>
      <c r="T25" s="79">
        <v>19.5</v>
      </c>
      <c r="U25" s="79">
        <v>1</v>
      </c>
      <c r="V2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5" s="79">
        <f>SUM(Table326[[#This Row],[Slo - Pitch - Mens ]:[Slo - Pitch - Co-Ed ]])</f>
        <v>0</v>
      </c>
      <c r="X25" s="79">
        <f>SUM(Table326[[#This Row],[Baseball - U18 ]:[Baseball - U7 ]])</f>
        <v>0</v>
      </c>
      <c r="Y25" s="72" t="s">
        <v>1042</v>
      </c>
      <c r="Z2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5" s="74">
        <f>13.72-Table326[[#This Row],[Diamonds: Dimension Home to Pitchers Plate - m ]]</f>
        <v>-1.08</v>
      </c>
      <c r="AB25" s="74">
        <f>14.32-Table326[[#This Row],[Diamonds: Dimension Home to Pitchers Plate - m ]]</f>
        <v>-0.48000000000000043</v>
      </c>
      <c r="AC25" s="74">
        <f>17.988-Table326[[#This Row],[Diamonds: Home to First Base Path - m ]]</f>
        <v>-1.5120000000000005</v>
      </c>
      <c r="AD25" s="74">
        <f>18.588-Table326[[#This Row],[Diamonds: Home to First Base Path - m ]]</f>
        <v>-0.91199999999999903</v>
      </c>
      <c r="AE25" s="74">
        <f>AVERAGE(Table326[[#This Row],[Home to Pitch (Low)]:[Home to 1st (High)]])</f>
        <v>-0.996</v>
      </c>
      <c r="AF2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5" s="74">
        <f>12.5-Table326[[#This Row],[Diamonds: Dimension Home to Pitchers Plate - m ]]</f>
        <v>-2.3000000000000007</v>
      </c>
      <c r="AH25" s="74">
        <f>13.1-Table326[[#This Row],[Diamonds: Dimension Home to Pitchers Plate - m ]]</f>
        <v>-1.7000000000000011</v>
      </c>
      <c r="AI25" s="74">
        <f>17.988-Table326[[#This Row],[Diamonds: Home to First Base Path - m ]]</f>
        <v>-1.5120000000000005</v>
      </c>
      <c r="AJ25" s="74">
        <f>18.588-Table326[[#This Row],[Diamonds: Home to First Base Path - m ]]</f>
        <v>-0.91199999999999903</v>
      </c>
      <c r="AK25" s="74">
        <f>AVERAGE(Table326[[#This Row],[Home to Pitch (Low)2]:[Home to 1st (High)5]])</f>
        <v>-1.6060000000000003</v>
      </c>
      <c r="AL2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5" s="74">
        <f>11.2-Table326[[#This Row],[Diamonds: Dimension Home to Pitchers Plate - m ]]</f>
        <v>-3.6000000000000014</v>
      </c>
      <c r="AN25" s="74">
        <f>11.8-Table326[[#This Row],[Diamonds: Dimension Home to Pitchers Plate - m ]]</f>
        <v>-3</v>
      </c>
      <c r="AO25" s="74">
        <f>16.5-Table326[[#This Row],[Diamonds: Home to First Base Path - m ]]</f>
        <v>-3</v>
      </c>
      <c r="AP25" s="74">
        <f>17.04-Table326[[#This Row],[Diamonds: Home to First Base Path - m ]]</f>
        <v>-2.4600000000000009</v>
      </c>
      <c r="AQ2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5" s="74">
        <f>10.37-Table326[[#This Row],[Diamonds: Dimension Home to Pitchers Plate - m ]]</f>
        <v>-4.4300000000000015</v>
      </c>
      <c r="AS25" s="74">
        <f>10.97-Table326[[#This Row],[Diamonds: Dimension Home to Pitchers Plate - m ]]</f>
        <v>-3.83</v>
      </c>
      <c r="AT25" s="74">
        <f>13.5-Table326[[#This Row],[Diamonds: Home to First Base Path - m ]]</f>
        <v>-6</v>
      </c>
      <c r="AU25" s="74">
        <f>14.02-Table326[[#This Row],[Diamonds: Home to First Base Path - m ]]</f>
        <v>-5.48</v>
      </c>
      <c r="AV2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5" s="74"/>
      <c r="BR25" s="74"/>
      <c r="BS25" s="75" t="s">
        <v>971</v>
      </c>
      <c r="BT25" s="76" t="s">
        <v>388</v>
      </c>
    </row>
    <row r="26" spans="1:72" ht="16.8" x14ac:dyDescent="0.3">
      <c r="A26" s="77" t="s">
        <v>141</v>
      </c>
      <c r="B26" s="78" t="s">
        <v>647</v>
      </c>
      <c r="C26" s="78" t="s">
        <v>739</v>
      </c>
      <c r="D26" s="78" t="s">
        <v>754</v>
      </c>
      <c r="E26" s="79"/>
      <c r="F26" s="79"/>
      <c r="G26" s="79"/>
      <c r="H26" s="79" t="s">
        <v>408</v>
      </c>
      <c r="I26" s="79" t="s">
        <v>974</v>
      </c>
      <c r="J26" s="79">
        <v>8.5</v>
      </c>
      <c r="K26" s="79" t="s">
        <v>748</v>
      </c>
      <c r="L26" s="79"/>
      <c r="M26" s="79"/>
      <c r="N26" s="79">
        <v>1</v>
      </c>
      <c r="O26" s="79"/>
      <c r="P26" s="80" t="s">
        <v>749</v>
      </c>
      <c r="Q26" s="79">
        <v>15</v>
      </c>
      <c r="R26" s="79">
        <v>27.5</v>
      </c>
      <c r="S26" s="79">
        <v>40</v>
      </c>
      <c r="T26" s="79">
        <v>19.3</v>
      </c>
      <c r="U26" s="79">
        <v>1</v>
      </c>
      <c r="V26"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6" s="79">
        <f>SUM(Table326[[#This Row],[Slo - Pitch - Mens ]:[Slo - Pitch - Co-Ed ]])</f>
        <v>0</v>
      </c>
      <c r="X26" s="79">
        <f>SUM(Table326[[#This Row],[Baseball - U18 ]:[Baseball - U7 ]])</f>
        <v>0</v>
      </c>
      <c r="Y26" s="72" t="s">
        <v>1042</v>
      </c>
      <c r="Z2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6" s="74">
        <f>13.72-Table326[[#This Row],[Diamonds: Dimension Home to Pitchers Plate - m ]]</f>
        <v>-1.2799999999999994</v>
      </c>
      <c r="AB26" s="74">
        <f>14.32-Table326[[#This Row],[Diamonds: Dimension Home to Pitchers Plate - m ]]</f>
        <v>-0.67999999999999972</v>
      </c>
      <c r="AC26" s="74">
        <f>17.988-Table326[[#This Row],[Diamonds: Home to First Base Path - m ]]</f>
        <v>-1.3120000000000012</v>
      </c>
      <c r="AD26" s="74">
        <f>18.588-Table326[[#This Row],[Diamonds: Home to First Base Path - m ]]</f>
        <v>-0.71199999999999974</v>
      </c>
      <c r="AE26" s="74">
        <f>AVERAGE(Table326[[#This Row],[Home to Pitch (Low)]:[Home to 1st (High)]])</f>
        <v>-0.996</v>
      </c>
      <c r="AF2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6" s="74">
        <f>12.5-Table326[[#This Row],[Diamonds: Dimension Home to Pitchers Plate - m ]]</f>
        <v>-2.5</v>
      </c>
      <c r="AH26" s="74">
        <f>13.1-Table326[[#This Row],[Diamonds: Dimension Home to Pitchers Plate - m ]]</f>
        <v>-1.9000000000000004</v>
      </c>
      <c r="AI26" s="74">
        <f>17.988-Table326[[#This Row],[Diamonds: Home to First Base Path - m ]]</f>
        <v>-1.3120000000000012</v>
      </c>
      <c r="AJ26" s="74">
        <f>18.588-Table326[[#This Row],[Diamonds: Home to First Base Path - m ]]</f>
        <v>-0.71199999999999974</v>
      </c>
      <c r="AK26" s="74">
        <f>AVERAGE(Table326[[#This Row],[Home to Pitch (Low)2]:[Home to 1st (High)5]])</f>
        <v>-1.6060000000000003</v>
      </c>
      <c r="AL2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6" s="74">
        <f>11.2-Table326[[#This Row],[Diamonds: Dimension Home to Pitchers Plate - m ]]</f>
        <v>-3.8000000000000007</v>
      </c>
      <c r="AN26" s="74">
        <f>11.8-Table326[[#This Row],[Diamonds: Dimension Home to Pitchers Plate - m ]]</f>
        <v>-3.1999999999999993</v>
      </c>
      <c r="AO26" s="74">
        <f>16.5-Table326[[#This Row],[Diamonds: Home to First Base Path - m ]]</f>
        <v>-2.8000000000000007</v>
      </c>
      <c r="AP26" s="74">
        <f>17.04-Table326[[#This Row],[Diamonds: Home to First Base Path - m ]]</f>
        <v>-2.2600000000000016</v>
      </c>
      <c r="AQ2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6" s="74">
        <f>10.37-Table326[[#This Row],[Diamonds: Dimension Home to Pitchers Plate - m ]]</f>
        <v>-4.6300000000000008</v>
      </c>
      <c r="AS26" s="74">
        <f>10.97-Table326[[#This Row],[Diamonds: Dimension Home to Pitchers Plate - m ]]</f>
        <v>-4.0299999999999994</v>
      </c>
      <c r="AT26" s="74">
        <f>13.5-Table326[[#This Row],[Diamonds: Home to First Base Path - m ]]</f>
        <v>-5.8000000000000007</v>
      </c>
      <c r="AU26" s="74">
        <f>14.02-Table326[[#This Row],[Diamonds: Home to First Base Path - m ]]</f>
        <v>-5.2800000000000011</v>
      </c>
      <c r="AV2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6" s="74"/>
      <c r="BR26" s="74"/>
      <c r="BS26" s="75" t="s">
        <v>973</v>
      </c>
      <c r="BT26" s="76" t="s">
        <v>388</v>
      </c>
    </row>
    <row r="27" spans="1:72" ht="33.6" x14ac:dyDescent="0.3">
      <c r="A27" s="77" t="s">
        <v>31</v>
      </c>
      <c r="B27" s="78" t="s">
        <v>462</v>
      </c>
      <c r="C27" s="78" t="s">
        <v>739</v>
      </c>
      <c r="D27" s="78" t="s">
        <v>789</v>
      </c>
      <c r="E27" s="79"/>
      <c r="F27" s="79"/>
      <c r="G27" s="79"/>
      <c r="H27" s="79" t="s">
        <v>444</v>
      </c>
      <c r="I27" s="79" t="s">
        <v>796</v>
      </c>
      <c r="J27" s="79">
        <v>7.5</v>
      </c>
      <c r="K27" s="79" t="s">
        <v>748</v>
      </c>
      <c r="L27" s="79"/>
      <c r="M27" s="79"/>
      <c r="N27" s="79">
        <v>1</v>
      </c>
      <c r="O27" s="79">
        <v>1</v>
      </c>
      <c r="P27" s="80" t="s">
        <v>749</v>
      </c>
      <c r="Q27" s="79">
        <v>14</v>
      </c>
      <c r="R27" s="79">
        <v>25</v>
      </c>
      <c r="S27" s="79">
        <v>30</v>
      </c>
      <c r="T27" s="79">
        <v>20</v>
      </c>
      <c r="U27" s="79"/>
      <c r="V2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7" s="79">
        <f>SUM(Table326[[#This Row],[Slo - Pitch - Mens ]:[Slo - Pitch - Co-Ed ]])</f>
        <v>0</v>
      </c>
      <c r="X27" s="79">
        <f>SUM(Table326[[#This Row],[Baseball - U18 ]:[Baseball - U7 ]])</f>
        <v>0</v>
      </c>
      <c r="Y27" s="72" t="s">
        <v>1042</v>
      </c>
      <c r="Z2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7" s="103">
        <f>13.72-Table326[[#This Row],[Diamonds: Dimension Home to Pitchers Plate - m ]]</f>
        <v>-0.27999999999999936</v>
      </c>
      <c r="AB27" s="103">
        <f>14.32-Table326[[#This Row],[Diamonds: Dimension Home to Pitchers Plate - m ]]</f>
        <v>0.32000000000000028</v>
      </c>
      <c r="AC27" s="74">
        <f>17.988-Table326[[#This Row],[Diamonds: Home to First Base Path - m ]]</f>
        <v>-2.0120000000000005</v>
      </c>
      <c r="AD27" s="74">
        <f>18.588-Table326[[#This Row],[Diamonds: Home to First Base Path - m ]]</f>
        <v>-1.411999999999999</v>
      </c>
      <c r="AE27" s="74">
        <f>AVERAGE(Table326[[#This Row],[Home to Pitch (Low)]:[Home to 1st (High)]])</f>
        <v>-0.84599999999999964</v>
      </c>
      <c r="AF2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7" s="74">
        <f>12.5-Table326[[#This Row],[Diamonds: Dimension Home to Pitchers Plate - m ]]</f>
        <v>-1.5</v>
      </c>
      <c r="AH27" s="74">
        <f>13.1-Table326[[#This Row],[Diamonds: Dimension Home to Pitchers Plate - m ]]</f>
        <v>-0.90000000000000036</v>
      </c>
      <c r="AI27" s="74">
        <f>17.988-Table326[[#This Row],[Diamonds: Home to First Base Path - m ]]</f>
        <v>-2.0120000000000005</v>
      </c>
      <c r="AJ27" s="74">
        <f>18.588-Table326[[#This Row],[Diamonds: Home to First Base Path - m ]]</f>
        <v>-1.411999999999999</v>
      </c>
      <c r="AK27" s="74">
        <f>AVERAGE(Table326[[#This Row],[Home to Pitch (Low)2]:[Home to 1st (High)5]])</f>
        <v>-1.456</v>
      </c>
      <c r="AL2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7" s="74">
        <f>11.2-Table326[[#This Row],[Diamonds: Dimension Home to Pitchers Plate - m ]]</f>
        <v>-2.8000000000000007</v>
      </c>
      <c r="AN27" s="74">
        <f>11.8-Table326[[#This Row],[Diamonds: Dimension Home to Pitchers Plate - m ]]</f>
        <v>-2.1999999999999993</v>
      </c>
      <c r="AO27" s="74">
        <f>16.5-Table326[[#This Row],[Diamonds: Home to First Base Path - m ]]</f>
        <v>-3.5</v>
      </c>
      <c r="AP27" s="74">
        <f>17.04-Table326[[#This Row],[Diamonds: Home to First Base Path - m ]]</f>
        <v>-2.9600000000000009</v>
      </c>
      <c r="AQ2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7" s="74">
        <f>10.37-Table326[[#This Row],[Diamonds: Dimension Home to Pitchers Plate - m ]]</f>
        <v>-3.6300000000000008</v>
      </c>
      <c r="AS27" s="74">
        <f>10.97-Table326[[#This Row],[Diamonds: Dimension Home to Pitchers Plate - m ]]</f>
        <v>-3.0299999999999994</v>
      </c>
      <c r="AT27" s="74">
        <f>13.5-Table326[[#This Row],[Diamonds: Home to First Base Path - m ]]</f>
        <v>-6.5</v>
      </c>
      <c r="AU27" s="74">
        <f>14.02-Table326[[#This Row],[Diamonds: Home to First Base Path - m ]]</f>
        <v>-5.98</v>
      </c>
      <c r="AV2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7" s="74"/>
      <c r="BR27" s="74"/>
      <c r="BS27" s="75" t="s">
        <v>797</v>
      </c>
      <c r="BT27" s="76" t="s">
        <v>784</v>
      </c>
    </row>
    <row r="28" spans="1:72" ht="16.8" x14ac:dyDescent="0.3">
      <c r="A28" s="70" t="s">
        <v>140</v>
      </c>
      <c r="B28" s="71" t="s">
        <v>647</v>
      </c>
      <c r="C28" s="71" t="s">
        <v>739</v>
      </c>
      <c r="D28" s="71" t="s">
        <v>754</v>
      </c>
      <c r="E28" s="72"/>
      <c r="F28" s="72"/>
      <c r="G28" s="72"/>
      <c r="H28" s="72" t="s">
        <v>444</v>
      </c>
      <c r="I28" s="72" t="s">
        <v>972</v>
      </c>
      <c r="J28" s="72">
        <v>9.5</v>
      </c>
      <c r="K28" s="72" t="s">
        <v>748</v>
      </c>
      <c r="L28" s="72"/>
      <c r="M28" s="72"/>
      <c r="N28" s="72">
        <v>1</v>
      </c>
      <c r="O28" s="72"/>
      <c r="P28" s="73" t="s">
        <v>749</v>
      </c>
      <c r="Q28" s="72">
        <v>14.8</v>
      </c>
      <c r="R28" s="72">
        <v>27.3</v>
      </c>
      <c r="S28" s="72">
        <v>31</v>
      </c>
      <c r="T28" s="72">
        <v>19.2</v>
      </c>
      <c r="U28" s="72">
        <v>1</v>
      </c>
      <c r="V28"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8" s="72">
        <f>SUM(Table326[[#This Row],[Slo - Pitch - Mens ]:[Slo - Pitch - Co-Ed ]])</f>
        <v>0</v>
      </c>
      <c r="X28" s="72">
        <f>SUM(Table326[[#This Row],[Baseball - U18 ]:[Baseball - U7 ]])</f>
        <v>0</v>
      </c>
      <c r="Y28" s="72" t="s">
        <v>1042</v>
      </c>
      <c r="Z2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8" s="74">
        <f>13.72-Table326[[#This Row],[Diamonds: Dimension Home to Pitchers Plate - m ]]</f>
        <v>-1.08</v>
      </c>
      <c r="AB28" s="74">
        <f>14.32-Table326[[#This Row],[Diamonds: Dimension Home to Pitchers Plate - m ]]</f>
        <v>-0.48000000000000043</v>
      </c>
      <c r="AC28" s="74">
        <f>17.988-Table326[[#This Row],[Diamonds: Home to First Base Path - m ]]</f>
        <v>-1.2119999999999997</v>
      </c>
      <c r="AD28" s="74">
        <f>18.588-Table326[[#This Row],[Diamonds: Home to First Base Path - m ]]</f>
        <v>-0.61199999999999832</v>
      </c>
      <c r="AE28" s="74">
        <f>AVERAGE(Table326[[#This Row],[Home to Pitch (Low)]:[Home to 1st (High)]])</f>
        <v>-0.84599999999999964</v>
      </c>
      <c r="AF2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8" s="74">
        <f>12.5-Table326[[#This Row],[Diamonds: Dimension Home to Pitchers Plate - m ]]</f>
        <v>-2.3000000000000007</v>
      </c>
      <c r="AH28" s="74">
        <f>13.1-Table326[[#This Row],[Diamonds: Dimension Home to Pitchers Plate - m ]]</f>
        <v>-1.7000000000000011</v>
      </c>
      <c r="AI28" s="74">
        <f>17.988-Table326[[#This Row],[Diamonds: Home to First Base Path - m ]]</f>
        <v>-1.2119999999999997</v>
      </c>
      <c r="AJ28" s="105">
        <f>18.588-Table326[[#This Row],[Diamonds: Home to First Base Path - m ]]</f>
        <v>-0.61199999999999832</v>
      </c>
      <c r="AK28" s="74">
        <f>AVERAGE(Table326[[#This Row],[Home to Pitch (Low)2]:[Home to 1st (High)5]])</f>
        <v>-1.456</v>
      </c>
      <c r="AL2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8" s="74">
        <f>11.2-Table326[[#This Row],[Diamonds: Dimension Home to Pitchers Plate - m ]]</f>
        <v>-3.6000000000000014</v>
      </c>
      <c r="AN28" s="74">
        <f>11.8-Table326[[#This Row],[Diamonds: Dimension Home to Pitchers Plate - m ]]</f>
        <v>-3</v>
      </c>
      <c r="AO28" s="74">
        <f>16.5-Table326[[#This Row],[Diamonds: Home to First Base Path - m ]]</f>
        <v>-2.6999999999999993</v>
      </c>
      <c r="AP28" s="74">
        <f>17.04-Table326[[#This Row],[Diamonds: Home to First Base Path - m ]]</f>
        <v>-2.16</v>
      </c>
      <c r="AQ2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8" s="74">
        <f>10.37-Table326[[#This Row],[Diamonds: Dimension Home to Pitchers Plate - m ]]</f>
        <v>-4.4300000000000015</v>
      </c>
      <c r="AS28" s="74">
        <f>10.97-Table326[[#This Row],[Diamonds: Dimension Home to Pitchers Plate - m ]]</f>
        <v>-3.83</v>
      </c>
      <c r="AT28" s="74">
        <f>13.5-Table326[[#This Row],[Diamonds: Home to First Base Path - m ]]</f>
        <v>-5.6999999999999993</v>
      </c>
      <c r="AU28" s="74">
        <f>14.02-Table326[[#This Row],[Diamonds: Home to First Base Path - m ]]</f>
        <v>-5.18</v>
      </c>
      <c r="AV2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8" s="74"/>
      <c r="BR28" s="74"/>
      <c r="BS28" s="75" t="s">
        <v>973</v>
      </c>
      <c r="BT28" s="76" t="s">
        <v>388</v>
      </c>
    </row>
    <row r="29" spans="1:72" ht="16.8" x14ac:dyDescent="0.3">
      <c r="A29" s="70" t="s">
        <v>8</v>
      </c>
      <c r="B29" s="71" t="s">
        <v>417</v>
      </c>
      <c r="C29" s="71" t="s">
        <v>739</v>
      </c>
      <c r="D29" s="71" t="s">
        <v>754</v>
      </c>
      <c r="E29" s="72"/>
      <c r="F29" s="72"/>
      <c r="G29" s="72"/>
      <c r="H29" s="72" t="s">
        <v>385</v>
      </c>
      <c r="I29" s="72" t="s">
        <v>757</v>
      </c>
      <c r="J29" s="72">
        <v>5.5</v>
      </c>
      <c r="K29" s="72" t="s">
        <v>748</v>
      </c>
      <c r="L29" s="72"/>
      <c r="M29" s="72"/>
      <c r="N29" s="72">
        <v>1</v>
      </c>
      <c r="O29" s="72"/>
      <c r="P29" s="73" t="s">
        <v>749</v>
      </c>
      <c r="Q29" s="72">
        <v>15.5</v>
      </c>
      <c r="R29" s="72">
        <v>26.7</v>
      </c>
      <c r="S29" s="72">
        <v>29.5</v>
      </c>
      <c r="T29" s="72">
        <v>18.5</v>
      </c>
      <c r="U29" s="72"/>
      <c r="V29"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29" s="72">
        <f>SUM(Table326[[#This Row],[Slo - Pitch - Mens ]:[Slo - Pitch - Co-Ed ]])</f>
        <v>0</v>
      </c>
      <c r="X29" s="72">
        <f>SUM(Table326[[#This Row],[Baseball - U18 ]:[Baseball - U7 ]])</f>
        <v>0</v>
      </c>
      <c r="Y29" s="72" t="s">
        <v>1042</v>
      </c>
      <c r="Z2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29" s="74">
        <f>13.72-Table326[[#This Row],[Diamonds: Dimension Home to Pitchers Plate - m ]]</f>
        <v>-1.7799999999999994</v>
      </c>
      <c r="AB29" s="74">
        <f>14.32-Table326[[#This Row],[Diamonds: Dimension Home to Pitchers Plate - m ]]</f>
        <v>-1.1799999999999997</v>
      </c>
      <c r="AC29" s="74">
        <f>17.988-Table326[[#This Row],[Diamonds: Home to First Base Path - m ]]</f>
        <v>-0.51200000000000045</v>
      </c>
      <c r="AD29" s="105">
        <f>18.588-Table326[[#This Row],[Diamonds: Home to First Base Path - m ]]</f>
        <v>8.8000000000000966E-2</v>
      </c>
      <c r="AE29" s="74">
        <f>AVERAGE(Table326[[#This Row],[Home to Pitch (Low)]:[Home to 1st (High)]])</f>
        <v>-0.84599999999999964</v>
      </c>
      <c r="AF2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29" s="74">
        <f>12.5-Table326[[#This Row],[Diamonds: Dimension Home to Pitchers Plate - m ]]</f>
        <v>-3</v>
      </c>
      <c r="AH29" s="74">
        <f>13.1-Table326[[#This Row],[Diamonds: Dimension Home to Pitchers Plate - m ]]</f>
        <v>-2.4000000000000004</v>
      </c>
      <c r="AI29" s="105">
        <f>17.988-Table326[[#This Row],[Diamonds: Home to First Base Path - m ]]</f>
        <v>-0.51200000000000045</v>
      </c>
      <c r="AJ29" s="103">
        <f>18.588-Table326[[#This Row],[Diamonds: Home to First Base Path - m ]]</f>
        <v>8.8000000000000966E-2</v>
      </c>
      <c r="AK29" s="74">
        <f>AVERAGE(Table326[[#This Row],[Home to Pitch (Low)2]:[Home to 1st (High)5]])</f>
        <v>-1.456</v>
      </c>
      <c r="AL2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29" s="74">
        <f>11.2-Table326[[#This Row],[Diamonds: Dimension Home to Pitchers Plate - m ]]</f>
        <v>-4.3000000000000007</v>
      </c>
      <c r="AN29" s="74">
        <f>11.8-Table326[[#This Row],[Diamonds: Dimension Home to Pitchers Plate - m ]]</f>
        <v>-3.6999999999999993</v>
      </c>
      <c r="AO29" s="74">
        <f>16.5-Table326[[#This Row],[Diamonds: Home to First Base Path - m ]]</f>
        <v>-2</v>
      </c>
      <c r="AP29" s="74">
        <f>17.04-Table326[[#This Row],[Diamonds: Home to First Base Path - m ]]</f>
        <v>-1.4600000000000009</v>
      </c>
      <c r="AQ2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29" s="74">
        <f>10.37-Table326[[#This Row],[Diamonds: Dimension Home to Pitchers Plate - m ]]</f>
        <v>-5.1300000000000008</v>
      </c>
      <c r="AS29" s="74">
        <f>10.97-Table326[[#This Row],[Diamonds: Dimension Home to Pitchers Plate - m ]]</f>
        <v>-4.5299999999999994</v>
      </c>
      <c r="AT29" s="74">
        <f>13.5-Table326[[#This Row],[Diamonds: Home to First Base Path - m ]]</f>
        <v>-5</v>
      </c>
      <c r="AU29" s="74">
        <f>14.02-Table326[[#This Row],[Diamonds: Home to First Base Path - m ]]</f>
        <v>-4.4800000000000004</v>
      </c>
      <c r="AV2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2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2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2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2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2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2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2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2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2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2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2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2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2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2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2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2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2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2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2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2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29" s="74"/>
      <c r="BR29" s="74"/>
      <c r="BS29" s="75" t="s">
        <v>758</v>
      </c>
      <c r="BT29" s="76" t="s">
        <v>421</v>
      </c>
    </row>
    <row r="30" spans="1:72" ht="33.6" x14ac:dyDescent="0.3">
      <c r="A30" s="70" t="s">
        <v>126</v>
      </c>
      <c r="B30" s="71" t="s">
        <v>604</v>
      </c>
      <c r="C30" s="71" t="s">
        <v>739</v>
      </c>
      <c r="D30" s="71" t="s">
        <v>789</v>
      </c>
      <c r="E30" s="72"/>
      <c r="F30" s="72"/>
      <c r="G30" s="72"/>
      <c r="H30" s="72" t="s">
        <v>408</v>
      </c>
      <c r="I30" s="72" t="s">
        <v>956</v>
      </c>
      <c r="J30" s="72">
        <v>7</v>
      </c>
      <c r="K30" s="72" t="s">
        <v>742</v>
      </c>
      <c r="L30" s="72">
        <v>1</v>
      </c>
      <c r="M30" s="72">
        <v>1</v>
      </c>
      <c r="N30" s="72">
        <v>1</v>
      </c>
      <c r="O30" s="72"/>
      <c r="P30" s="73" t="s">
        <v>879</v>
      </c>
      <c r="Q30" s="72">
        <v>14.1</v>
      </c>
      <c r="R30" s="72">
        <v>26.8</v>
      </c>
      <c r="S30" s="72"/>
      <c r="T30" s="72">
        <v>19.3</v>
      </c>
      <c r="U30" s="72"/>
      <c r="V3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0" s="72">
        <f>SUM(Table326[[#This Row],[Slo - Pitch - Mens ]:[Slo - Pitch - Co-Ed ]])</f>
        <v>0</v>
      </c>
      <c r="X30" s="72">
        <f>SUM(Table326[[#This Row],[Baseball - U18 ]:[Baseball - U7 ]])</f>
        <v>0</v>
      </c>
      <c r="Y30" s="72" t="s">
        <v>1042</v>
      </c>
      <c r="Z3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0" s="103">
        <f>13.72-Table326[[#This Row],[Diamonds: Dimension Home to Pitchers Plate - m ]]</f>
        <v>-0.37999999999999901</v>
      </c>
      <c r="AB30" s="103">
        <f>14.32-Table326[[#This Row],[Diamonds: Dimension Home to Pitchers Plate - m ]]</f>
        <v>0.22000000000000064</v>
      </c>
      <c r="AC30" s="74">
        <f>17.988-Table326[[#This Row],[Diamonds: Home to First Base Path - m ]]</f>
        <v>-1.3120000000000012</v>
      </c>
      <c r="AD30" s="74">
        <f>18.588-Table326[[#This Row],[Diamonds: Home to First Base Path - m ]]</f>
        <v>-0.71199999999999974</v>
      </c>
      <c r="AE30" s="74">
        <f>AVERAGE(Table326[[#This Row],[Home to Pitch (Low)]:[Home to 1st (High)]])</f>
        <v>-0.54599999999999982</v>
      </c>
      <c r="AF3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0" s="74">
        <f>12.5-Table326[[#This Row],[Diamonds: Dimension Home to Pitchers Plate - m ]]</f>
        <v>-1.5999999999999996</v>
      </c>
      <c r="AH30" s="74">
        <f>13.1-Table326[[#This Row],[Diamonds: Dimension Home to Pitchers Plate - m ]]</f>
        <v>-1</v>
      </c>
      <c r="AI30" s="74">
        <f>17.988-Table326[[#This Row],[Diamonds: Home to First Base Path - m ]]</f>
        <v>-1.3120000000000012</v>
      </c>
      <c r="AJ30" s="74">
        <f>18.588-Table326[[#This Row],[Diamonds: Home to First Base Path - m ]]</f>
        <v>-0.71199999999999974</v>
      </c>
      <c r="AK30" s="74">
        <f>AVERAGE(Table326[[#This Row],[Home to Pitch (Low)2]:[Home to 1st (High)5]])</f>
        <v>-1.1560000000000001</v>
      </c>
      <c r="AL3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0" s="74">
        <f>11.2-Table326[[#This Row],[Diamonds: Dimension Home to Pitchers Plate - m ]]</f>
        <v>-2.9000000000000004</v>
      </c>
      <c r="AN30" s="74">
        <f>11.8-Table326[[#This Row],[Diamonds: Dimension Home to Pitchers Plate - m ]]</f>
        <v>-2.2999999999999989</v>
      </c>
      <c r="AO30" s="74">
        <f>16.5-Table326[[#This Row],[Diamonds: Home to First Base Path - m ]]</f>
        <v>-2.8000000000000007</v>
      </c>
      <c r="AP30" s="74">
        <f>17.04-Table326[[#This Row],[Diamonds: Home to First Base Path - m ]]</f>
        <v>-2.2600000000000016</v>
      </c>
      <c r="AQ3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0" s="74">
        <f>10.37-Table326[[#This Row],[Diamonds: Dimension Home to Pitchers Plate - m ]]</f>
        <v>-3.7300000000000004</v>
      </c>
      <c r="AS30" s="74">
        <f>10.97-Table326[[#This Row],[Diamonds: Dimension Home to Pitchers Plate - m ]]</f>
        <v>-3.129999999999999</v>
      </c>
      <c r="AT30" s="74">
        <f>13.5-Table326[[#This Row],[Diamonds: Home to First Base Path - m ]]</f>
        <v>-5.8000000000000007</v>
      </c>
      <c r="AU30" s="74">
        <f>14.02-Table326[[#This Row],[Diamonds: Home to First Base Path - m ]]</f>
        <v>-5.2800000000000011</v>
      </c>
      <c r="AV3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0" s="74"/>
      <c r="BR30" s="74"/>
      <c r="BS30" s="75" t="s">
        <v>957</v>
      </c>
      <c r="BT30" s="76" t="s">
        <v>421</v>
      </c>
    </row>
    <row r="31" spans="1:72" ht="16.8" x14ac:dyDescent="0.3">
      <c r="A31" s="70" t="s">
        <v>112</v>
      </c>
      <c r="B31" s="71" t="s">
        <v>590</v>
      </c>
      <c r="C31" s="71" t="s">
        <v>739</v>
      </c>
      <c r="D31" s="71" t="s">
        <v>754</v>
      </c>
      <c r="E31" s="72"/>
      <c r="F31" s="72"/>
      <c r="G31" s="72"/>
      <c r="H31" s="72" t="s">
        <v>399</v>
      </c>
      <c r="I31" s="72" t="s">
        <v>937</v>
      </c>
      <c r="J31" s="72">
        <v>11.5</v>
      </c>
      <c r="K31" s="72" t="s">
        <v>748</v>
      </c>
      <c r="L31" s="72"/>
      <c r="M31" s="72"/>
      <c r="N31" s="72">
        <v>1</v>
      </c>
      <c r="O31" s="72">
        <v>1</v>
      </c>
      <c r="P31" s="73" t="s">
        <v>749</v>
      </c>
      <c r="Q31" s="72">
        <v>14</v>
      </c>
      <c r="R31" s="72">
        <v>26.5</v>
      </c>
      <c r="S31" s="72">
        <v>31.2</v>
      </c>
      <c r="T31" s="72">
        <v>19.3</v>
      </c>
      <c r="U31" s="72"/>
      <c r="V3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1" s="72">
        <f>SUM(Table326[[#This Row],[Slo - Pitch - Mens ]:[Slo - Pitch - Co-Ed ]])</f>
        <v>0</v>
      </c>
      <c r="X31" s="72">
        <f>SUM(Table326[[#This Row],[Baseball - U18 ]:[Baseball - U7 ]])</f>
        <v>0</v>
      </c>
      <c r="Y31" s="72" t="s">
        <v>1042</v>
      </c>
      <c r="Z3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1" s="103">
        <f>13.72-Table326[[#This Row],[Diamonds: Dimension Home to Pitchers Plate - m ]]</f>
        <v>-0.27999999999999936</v>
      </c>
      <c r="AB31" s="103">
        <f>14.32-Table326[[#This Row],[Diamonds: Dimension Home to Pitchers Plate - m ]]</f>
        <v>0.32000000000000028</v>
      </c>
      <c r="AC31" s="74">
        <f>17.988-Table326[[#This Row],[Diamonds: Home to First Base Path - m ]]</f>
        <v>-1.3120000000000012</v>
      </c>
      <c r="AD31" s="74">
        <f>18.588-Table326[[#This Row],[Diamonds: Home to First Base Path - m ]]</f>
        <v>-0.71199999999999974</v>
      </c>
      <c r="AE31" s="74">
        <f>AVERAGE(Table326[[#This Row],[Home to Pitch (Low)]:[Home to 1st (High)]])</f>
        <v>-0.496</v>
      </c>
      <c r="AF3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1" s="74">
        <f>12.5-Table326[[#This Row],[Diamonds: Dimension Home to Pitchers Plate - m ]]</f>
        <v>-1.5</v>
      </c>
      <c r="AH31" s="74">
        <f>13.1-Table326[[#This Row],[Diamonds: Dimension Home to Pitchers Plate - m ]]</f>
        <v>-0.90000000000000036</v>
      </c>
      <c r="AI31" s="74">
        <f>17.988-Table326[[#This Row],[Diamonds: Home to First Base Path - m ]]</f>
        <v>-1.3120000000000012</v>
      </c>
      <c r="AJ31" s="74">
        <f>18.588-Table326[[#This Row],[Diamonds: Home to First Base Path - m ]]</f>
        <v>-0.71199999999999974</v>
      </c>
      <c r="AK31" s="74">
        <f>AVERAGE(Table326[[#This Row],[Home to Pitch (Low)2]:[Home to 1st (High)5]])</f>
        <v>-1.1060000000000003</v>
      </c>
      <c r="AL3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1" s="74">
        <f>11.2-Table326[[#This Row],[Diamonds: Dimension Home to Pitchers Plate - m ]]</f>
        <v>-2.8000000000000007</v>
      </c>
      <c r="AN31" s="74">
        <f>11.8-Table326[[#This Row],[Diamonds: Dimension Home to Pitchers Plate - m ]]</f>
        <v>-2.1999999999999993</v>
      </c>
      <c r="AO31" s="74">
        <f>16.5-Table326[[#This Row],[Diamonds: Home to First Base Path - m ]]</f>
        <v>-2.8000000000000007</v>
      </c>
      <c r="AP31" s="74">
        <f>17.04-Table326[[#This Row],[Diamonds: Home to First Base Path - m ]]</f>
        <v>-2.2600000000000016</v>
      </c>
      <c r="AQ3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1" s="74">
        <f>10.37-Table326[[#This Row],[Diamonds: Dimension Home to Pitchers Plate - m ]]</f>
        <v>-3.6300000000000008</v>
      </c>
      <c r="AS31" s="74">
        <f>10.97-Table326[[#This Row],[Diamonds: Dimension Home to Pitchers Plate - m ]]</f>
        <v>-3.0299999999999994</v>
      </c>
      <c r="AT31" s="74">
        <f>13.5-Table326[[#This Row],[Diamonds: Home to First Base Path - m ]]</f>
        <v>-5.8000000000000007</v>
      </c>
      <c r="AU31" s="74">
        <f>14.02-Table326[[#This Row],[Diamonds: Home to First Base Path - m ]]</f>
        <v>-5.2800000000000011</v>
      </c>
      <c r="AV3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1" s="74"/>
      <c r="BR31" s="74"/>
      <c r="BS31" s="75" t="s">
        <v>936</v>
      </c>
      <c r="BT31" s="76" t="s">
        <v>388</v>
      </c>
    </row>
    <row r="32" spans="1:72" ht="16.8" x14ac:dyDescent="0.3">
      <c r="A32" s="70" t="s">
        <v>93</v>
      </c>
      <c r="B32" s="71" t="s">
        <v>570</v>
      </c>
      <c r="C32" s="71" t="s">
        <v>739</v>
      </c>
      <c r="D32" s="71" t="s">
        <v>746</v>
      </c>
      <c r="E32" s="72"/>
      <c r="F32" s="72"/>
      <c r="G32" s="72"/>
      <c r="H32" s="72" t="s">
        <v>385</v>
      </c>
      <c r="I32" s="72" t="s">
        <v>904</v>
      </c>
      <c r="J32" s="72">
        <v>7</v>
      </c>
      <c r="K32" s="72" t="s">
        <v>742</v>
      </c>
      <c r="L32" s="72"/>
      <c r="M32" s="72"/>
      <c r="N32" s="72">
        <v>1</v>
      </c>
      <c r="O32" s="72"/>
      <c r="P32" s="73" t="s">
        <v>752</v>
      </c>
      <c r="Q32" s="72">
        <v>14.4</v>
      </c>
      <c r="R32" s="72">
        <v>26</v>
      </c>
      <c r="S32" s="72"/>
      <c r="T32" s="72">
        <v>18.7</v>
      </c>
      <c r="U32" s="72"/>
      <c r="V3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32" s="72">
        <f>SUM(Table326[[#This Row],[Slo - Pitch - Mens ]:[Slo - Pitch - Co-Ed ]])</f>
        <v>0</v>
      </c>
      <c r="X32" s="72">
        <f>SUM(Table326[[#This Row],[Baseball - U18 ]:[Baseball - U7 ]])</f>
        <v>0</v>
      </c>
      <c r="Y32" s="72" t="s">
        <v>1042</v>
      </c>
      <c r="Z32" s="74">
        <v>1</v>
      </c>
      <c r="AA32" s="74">
        <f>13.72-Table326[[#This Row],[Diamonds: Dimension Home to Pitchers Plate - m ]]</f>
        <v>-0.67999999999999972</v>
      </c>
      <c r="AB32" s="103">
        <f>14.32-Table326[[#This Row],[Diamonds: Dimension Home to Pitchers Plate - m ]]</f>
        <v>-8.0000000000000071E-2</v>
      </c>
      <c r="AC32" s="74">
        <f>17.988-Table326[[#This Row],[Diamonds: Home to First Base Path - m ]]</f>
        <v>-0.71199999999999974</v>
      </c>
      <c r="AD32" s="105">
        <f>18.588-Table326[[#This Row],[Diamonds: Home to First Base Path - m ]]</f>
        <v>-0.11199999999999832</v>
      </c>
      <c r="AE32" s="74">
        <f>AVERAGE(Table326[[#This Row],[Home to Pitch (Low)]:[Home to 1st (High)]])</f>
        <v>-0.39599999999999946</v>
      </c>
      <c r="AF3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2" s="74">
        <f>12.5-Table326[[#This Row],[Diamonds: Dimension Home to Pitchers Plate - m ]]</f>
        <v>-1.9000000000000004</v>
      </c>
      <c r="AH32" s="74">
        <f>13.1-Table326[[#This Row],[Diamonds: Dimension Home to Pitchers Plate - m ]]</f>
        <v>-1.3000000000000007</v>
      </c>
      <c r="AI32" s="74">
        <f>17.988-Table326[[#This Row],[Diamonds: Home to First Base Path - m ]]</f>
        <v>-0.71199999999999974</v>
      </c>
      <c r="AJ32" s="103">
        <f>18.588-Table326[[#This Row],[Diamonds: Home to First Base Path - m ]]</f>
        <v>-0.11199999999999832</v>
      </c>
      <c r="AK32" s="74">
        <f>AVERAGE(Table326[[#This Row],[Home to Pitch (Low)2]:[Home to 1st (High)5]])</f>
        <v>-1.0059999999999998</v>
      </c>
      <c r="AL3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2" s="74">
        <f>11.2-Table326[[#This Row],[Diamonds: Dimension Home to Pitchers Plate - m ]]</f>
        <v>-3.2000000000000011</v>
      </c>
      <c r="AN32" s="74">
        <f>11.8-Table326[[#This Row],[Diamonds: Dimension Home to Pitchers Plate - m ]]</f>
        <v>-2.5999999999999996</v>
      </c>
      <c r="AO32" s="74">
        <f>16.5-Table326[[#This Row],[Diamonds: Home to First Base Path - m ]]</f>
        <v>-2.1999999999999993</v>
      </c>
      <c r="AP32" s="74">
        <f>17.04-Table326[[#This Row],[Diamonds: Home to First Base Path - m ]]</f>
        <v>-1.6600000000000001</v>
      </c>
      <c r="AQ3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2" s="74">
        <f>10.37-Table326[[#This Row],[Diamonds: Dimension Home to Pitchers Plate - m ]]</f>
        <v>-4.0300000000000011</v>
      </c>
      <c r="AS32" s="74">
        <f>10.97-Table326[[#This Row],[Diamonds: Dimension Home to Pitchers Plate - m ]]</f>
        <v>-3.4299999999999997</v>
      </c>
      <c r="AT32" s="74">
        <f>13.5-Table326[[#This Row],[Diamonds: Home to First Base Path - m ]]</f>
        <v>-5.1999999999999993</v>
      </c>
      <c r="AU32" s="74">
        <f>14.02-Table326[[#This Row],[Diamonds: Home to First Base Path - m ]]</f>
        <v>-4.68</v>
      </c>
      <c r="AV3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2" s="74"/>
      <c r="BR32" s="74"/>
      <c r="BS32" s="75" t="s">
        <v>905</v>
      </c>
      <c r="BT32" s="76" t="s">
        <v>388</v>
      </c>
    </row>
    <row r="33" spans="1:72" ht="33.6" x14ac:dyDescent="0.3">
      <c r="A33" s="77" t="s">
        <v>45</v>
      </c>
      <c r="B33" s="78" t="s">
        <v>479</v>
      </c>
      <c r="C33" s="78" t="s">
        <v>739</v>
      </c>
      <c r="D33" s="78" t="s">
        <v>789</v>
      </c>
      <c r="E33" s="79"/>
      <c r="F33" s="79"/>
      <c r="G33" s="79"/>
      <c r="H33" s="79" t="s">
        <v>385</v>
      </c>
      <c r="I33" s="79" t="s">
        <v>817</v>
      </c>
      <c r="J33" s="79">
        <v>7.5</v>
      </c>
      <c r="K33" s="79" t="s">
        <v>742</v>
      </c>
      <c r="L33" s="79"/>
      <c r="M33" s="79"/>
      <c r="N33" s="79">
        <v>1</v>
      </c>
      <c r="O33" s="79"/>
      <c r="P33" s="80" t="s">
        <v>781</v>
      </c>
      <c r="Q33" s="79">
        <v>15</v>
      </c>
      <c r="R33" s="79">
        <v>26.5</v>
      </c>
      <c r="S33" s="79"/>
      <c r="T33" s="79">
        <v>18</v>
      </c>
      <c r="U33" s="79"/>
      <c r="V3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3" s="79">
        <f>SUM(Table326[[#This Row],[Slo - Pitch - Mens ]:[Slo - Pitch - Co-Ed ]])</f>
        <v>0</v>
      </c>
      <c r="X33" s="79">
        <f>SUM(Table326[[#This Row],[Baseball - U18 ]:[Baseball - U7 ]])</f>
        <v>0</v>
      </c>
      <c r="Y33" s="72" t="s">
        <v>1042</v>
      </c>
      <c r="Z3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3" s="74">
        <f>13.72-Table326[[#This Row],[Diamonds: Dimension Home to Pitchers Plate - m ]]</f>
        <v>-1.2799999999999994</v>
      </c>
      <c r="AB33" s="74">
        <f>14.32-Table326[[#This Row],[Diamonds: Dimension Home to Pitchers Plate - m ]]</f>
        <v>-0.67999999999999972</v>
      </c>
      <c r="AC33" s="105">
        <f>17.988-Table326[[#This Row],[Diamonds: Home to First Base Path - m ]]</f>
        <v>-1.2000000000000455E-2</v>
      </c>
      <c r="AD33" s="74">
        <f>18.588-Table326[[#This Row],[Diamonds: Home to First Base Path - m ]]</f>
        <v>0.58800000000000097</v>
      </c>
      <c r="AE33" s="74">
        <f>AVERAGE(Table326[[#This Row],[Home to Pitch (Low)]:[Home to 1st (High)]])</f>
        <v>-0.34599999999999964</v>
      </c>
      <c r="AF3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3" s="74">
        <f>12.5-Table326[[#This Row],[Diamonds: Dimension Home to Pitchers Plate - m ]]</f>
        <v>-2.5</v>
      </c>
      <c r="AH33" s="74">
        <f>13.1-Table326[[#This Row],[Diamonds: Dimension Home to Pitchers Plate - m ]]</f>
        <v>-1.9000000000000004</v>
      </c>
      <c r="AI33" s="103">
        <f>17.988-Table326[[#This Row],[Diamonds: Home to First Base Path - m ]]</f>
        <v>-1.2000000000000455E-2</v>
      </c>
      <c r="AJ33" s="106">
        <f>18.588-Table326[[#This Row],[Diamonds: Home to First Base Path - m ]]</f>
        <v>0.58800000000000097</v>
      </c>
      <c r="AK33" s="74">
        <f>AVERAGE(Table326[[#This Row],[Home to Pitch (Low)2]:[Home to 1st (High)5]])</f>
        <v>-0.95599999999999996</v>
      </c>
      <c r="AL3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3" s="74">
        <f>11.2-Table326[[#This Row],[Diamonds: Dimension Home to Pitchers Plate - m ]]</f>
        <v>-3.8000000000000007</v>
      </c>
      <c r="AN33" s="74">
        <f>11.8-Table326[[#This Row],[Diamonds: Dimension Home to Pitchers Plate - m ]]</f>
        <v>-3.1999999999999993</v>
      </c>
      <c r="AO33" s="74">
        <f>16.5-Table326[[#This Row],[Diamonds: Home to First Base Path - m ]]</f>
        <v>-1.5</v>
      </c>
      <c r="AP33" s="74">
        <f>17.04-Table326[[#This Row],[Diamonds: Home to First Base Path - m ]]</f>
        <v>-0.96000000000000085</v>
      </c>
      <c r="AQ3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3" s="74">
        <f>10.37-Table326[[#This Row],[Diamonds: Dimension Home to Pitchers Plate - m ]]</f>
        <v>-4.6300000000000008</v>
      </c>
      <c r="AS33" s="74">
        <f>10.97-Table326[[#This Row],[Diamonds: Dimension Home to Pitchers Plate - m ]]</f>
        <v>-4.0299999999999994</v>
      </c>
      <c r="AT33" s="74">
        <f>13.5-Table326[[#This Row],[Diamonds: Home to First Base Path - m ]]</f>
        <v>-4.5</v>
      </c>
      <c r="AU33" s="74">
        <f>14.02-Table326[[#This Row],[Diamonds: Home to First Base Path - m ]]</f>
        <v>-3.9800000000000004</v>
      </c>
      <c r="AV3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3" s="74"/>
      <c r="BR33" s="74"/>
      <c r="BS33" s="75" t="s">
        <v>818</v>
      </c>
      <c r="BT33" s="76" t="s">
        <v>388</v>
      </c>
    </row>
    <row r="34" spans="1:72" ht="33.6" x14ac:dyDescent="0.3">
      <c r="A34" s="77" t="s">
        <v>60</v>
      </c>
      <c r="B34" s="78" t="s">
        <v>835</v>
      </c>
      <c r="C34" s="78" t="s">
        <v>739</v>
      </c>
      <c r="D34" s="78" t="s">
        <v>740</v>
      </c>
      <c r="E34" s="79"/>
      <c r="F34" s="79"/>
      <c r="G34" s="79"/>
      <c r="H34" s="79" t="s">
        <v>399</v>
      </c>
      <c r="I34" s="79" t="s">
        <v>837</v>
      </c>
      <c r="J34" s="79">
        <v>6</v>
      </c>
      <c r="K34" s="79" t="s">
        <v>742</v>
      </c>
      <c r="L34" s="79"/>
      <c r="M34" s="79"/>
      <c r="N34" s="79">
        <v>1</v>
      </c>
      <c r="O34" s="79">
        <v>1</v>
      </c>
      <c r="P34" s="80" t="s">
        <v>749</v>
      </c>
      <c r="Q34" s="79">
        <v>13.4</v>
      </c>
      <c r="R34" s="79">
        <v>25.2</v>
      </c>
      <c r="S34" s="79">
        <v>28.8</v>
      </c>
      <c r="T34" s="79">
        <v>19.5</v>
      </c>
      <c r="U34" s="79"/>
      <c r="V3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4" s="79">
        <f>SUM(Table326[[#This Row],[Slo - Pitch - Mens ]:[Slo - Pitch - Co-Ed ]])</f>
        <v>0</v>
      </c>
      <c r="X34" s="79">
        <f>SUM(Table326[[#This Row],[Baseball - U18 ]:[Baseball - U7 ]])</f>
        <v>0</v>
      </c>
      <c r="Y34" s="72" t="s">
        <v>1042</v>
      </c>
      <c r="Z3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4" s="103">
        <f>13.72-Table326[[#This Row],[Diamonds: Dimension Home to Pitchers Plate - m ]]</f>
        <v>0.32000000000000028</v>
      </c>
      <c r="AB34" s="74">
        <f>14.32-Table326[[#This Row],[Diamonds: Dimension Home to Pitchers Plate - m ]]</f>
        <v>0.91999999999999993</v>
      </c>
      <c r="AC34" s="74">
        <f>17.988-Table326[[#This Row],[Diamonds: Home to First Base Path - m ]]</f>
        <v>-1.5120000000000005</v>
      </c>
      <c r="AD34" s="74">
        <f>18.588-Table326[[#This Row],[Diamonds: Home to First Base Path - m ]]</f>
        <v>-0.91199999999999903</v>
      </c>
      <c r="AE34" s="74">
        <f>AVERAGE(Table326[[#This Row],[Home to Pitch (Low)]:[Home to 1st (High)]])</f>
        <v>-0.29599999999999982</v>
      </c>
      <c r="AF3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4" s="74">
        <f>12.5-Table326[[#This Row],[Diamonds: Dimension Home to Pitchers Plate - m ]]</f>
        <v>-0.90000000000000036</v>
      </c>
      <c r="AH34" s="105">
        <f>13.1-Table326[[#This Row],[Diamonds: Dimension Home to Pitchers Plate - m ]]</f>
        <v>-0.30000000000000071</v>
      </c>
      <c r="AI34" s="74">
        <f>17.988-Table326[[#This Row],[Diamonds: Home to First Base Path - m ]]</f>
        <v>-1.5120000000000005</v>
      </c>
      <c r="AJ34" s="74">
        <f>18.588-Table326[[#This Row],[Diamonds: Home to First Base Path - m ]]</f>
        <v>-0.91199999999999903</v>
      </c>
      <c r="AK34" s="74">
        <f>AVERAGE(Table326[[#This Row],[Home to Pitch (Low)2]:[Home to 1st (High)5]])</f>
        <v>-0.90600000000000014</v>
      </c>
      <c r="AL3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4" s="74">
        <f>11.2-Table326[[#This Row],[Diamonds: Dimension Home to Pitchers Plate - m ]]</f>
        <v>-2.2000000000000011</v>
      </c>
      <c r="AN34" s="74">
        <f>11.8-Table326[[#This Row],[Diamonds: Dimension Home to Pitchers Plate - m ]]</f>
        <v>-1.5999999999999996</v>
      </c>
      <c r="AO34" s="74">
        <f>16.5-Table326[[#This Row],[Diamonds: Home to First Base Path - m ]]</f>
        <v>-3</v>
      </c>
      <c r="AP34" s="74">
        <f>17.04-Table326[[#This Row],[Diamonds: Home to First Base Path - m ]]</f>
        <v>-2.4600000000000009</v>
      </c>
      <c r="AQ3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4" s="74">
        <f>10.37-Table326[[#This Row],[Diamonds: Dimension Home to Pitchers Plate - m ]]</f>
        <v>-3.0300000000000011</v>
      </c>
      <c r="AS34" s="74">
        <f>10.97-Table326[[#This Row],[Diamonds: Dimension Home to Pitchers Plate - m ]]</f>
        <v>-2.4299999999999997</v>
      </c>
      <c r="AT34" s="74">
        <f>13.5-Table326[[#This Row],[Diamonds: Home to First Base Path - m ]]</f>
        <v>-6</v>
      </c>
      <c r="AU34" s="74">
        <f>14.02-Table326[[#This Row],[Diamonds: Home to First Base Path - m ]]</f>
        <v>-5.48</v>
      </c>
      <c r="AV3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4" s="74"/>
      <c r="BR34" s="74"/>
      <c r="BS34" s="75" t="s">
        <v>838</v>
      </c>
      <c r="BT34" s="76" t="s">
        <v>388</v>
      </c>
    </row>
    <row r="35" spans="1:72" ht="33.6" x14ac:dyDescent="0.3">
      <c r="A35" s="70" t="s">
        <v>23</v>
      </c>
      <c r="B35" s="71" t="s">
        <v>440</v>
      </c>
      <c r="C35" s="71" t="s">
        <v>739</v>
      </c>
      <c r="D35" s="71" t="s">
        <v>740</v>
      </c>
      <c r="E35" s="72"/>
      <c r="F35" s="72"/>
      <c r="G35" s="72"/>
      <c r="H35" s="72" t="s">
        <v>385</v>
      </c>
      <c r="I35" s="72" t="s">
        <v>780</v>
      </c>
      <c r="J35" s="72">
        <v>5.5</v>
      </c>
      <c r="K35" s="72" t="s">
        <v>742</v>
      </c>
      <c r="L35" s="72"/>
      <c r="M35" s="72"/>
      <c r="N35" s="72">
        <v>1</v>
      </c>
      <c r="O35" s="72"/>
      <c r="P35" s="73" t="s">
        <v>783</v>
      </c>
      <c r="Q35" s="72">
        <v>13.5</v>
      </c>
      <c r="R35" s="72">
        <v>26.9</v>
      </c>
      <c r="S35" s="72"/>
      <c r="T35" s="72">
        <v>19.2</v>
      </c>
      <c r="U35" s="72"/>
      <c r="V3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5" s="72">
        <f>SUM(Table326[[#This Row],[Slo - Pitch - Mens ]:[Slo - Pitch - Co-Ed ]])</f>
        <v>0</v>
      </c>
      <c r="X35" s="72">
        <f>SUM(Table326[[#This Row],[Baseball - U18 ]:[Baseball - U7 ]])</f>
        <v>0</v>
      </c>
      <c r="Y35" s="72" t="s">
        <v>1042</v>
      </c>
      <c r="Z3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5" s="103">
        <f>13.72-Table326[[#This Row],[Diamonds: Dimension Home to Pitchers Plate - m ]]</f>
        <v>0.22000000000000064</v>
      </c>
      <c r="AB35" s="74">
        <f>14.32-Table326[[#This Row],[Diamonds: Dimension Home to Pitchers Plate - m ]]</f>
        <v>0.82000000000000028</v>
      </c>
      <c r="AC35" s="74">
        <f>17.988-Table326[[#This Row],[Diamonds: Home to First Base Path - m ]]</f>
        <v>-1.2119999999999997</v>
      </c>
      <c r="AD35" s="74">
        <f>18.588-Table326[[#This Row],[Diamonds: Home to First Base Path - m ]]</f>
        <v>-0.61199999999999832</v>
      </c>
      <c r="AE35" s="74">
        <f>AVERAGE(Table326[[#This Row],[Home to Pitch (Low)]:[Home to 1st (High)]])</f>
        <v>-0.19599999999999929</v>
      </c>
      <c r="AF3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5" s="74">
        <f>12.5-Table326[[#This Row],[Diamonds: Dimension Home to Pitchers Plate - m ]]</f>
        <v>-1</v>
      </c>
      <c r="AH35" s="74">
        <f>13.1-Table326[[#This Row],[Diamonds: Dimension Home to Pitchers Plate - m ]]</f>
        <v>-0.40000000000000036</v>
      </c>
      <c r="AI35" s="74">
        <f>17.988-Table326[[#This Row],[Diamonds: Home to First Base Path - m ]]</f>
        <v>-1.2119999999999997</v>
      </c>
      <c r="AJ35" s="105">
        <f>18.588-Table326[[#This Row],[Diamonds: Home to First Base Path - m ]]</f>
        <v>-0.61199999999999832</v>
      </c>
      <c r="AK35" s="74">
        <f>AVERAGE(Table326[[#This Row],[Home to Pitch (Low)2]:[Home to 1st (High)5]])</f>
        <v>-0.80599999999999961</v>
      </c>
      <c r="AL3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5" s="74">
        <f>11.2-Table326[[#This Row],[Diamonds: Dimension Home to Pitchers Plate - m ]]</f>
        <v>-2.3000000000000007</v>
      </c>
      <c r="AN35" s="74">
        <f>11.8-Table326[[#This Row],[Diamonds: Dimension Home to Pitchers Plate - m ]]</f>
        <v>-1.6999999999999993</v>
      </c>
      <c r="AO35" s="74">
        <f>16.5-Table326[[#This Row],[Diamonds: Home to First Base Path - m ]]</f>
        <v>-2.6999999999999993</v>
      </c>
      <c r="AP35" s="74">
        <f>17.04-Table326[[#This Row],[Diamonds: Home to First Base Path - m ]]</f>
        <v>-2.16</v>
      </c>
      <c r="AQ3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5" s="74">
        <f>10.37-Table326[[#This Row],[Diamonds: Dimension Home to Pitchers Plate - m ]]</f>
        <v>-3.1300000000000008</v>
      </c>
      <c r="AS35" s="74">
        <f>10.97-Table326[[#This Row],[Diamonds: Dimension Home to Pitchers Plate - m ]]</f>
        <v>-2.5299999999999994</v>
      </c>
      <c r="AT35" s="74">
        <f>13.5-Table326[[#This Row],[Diamonds: Home to First Base Path - m ]]</f>
        <v>-5.6999999999999993</v>
      </c>
      <c r="AU35" s="74">
        <f>14.02-Table326[[#This Row],[Diamonds: Home to First Base Path - m ]]</f>
        <v>-5.18</v>
      </c>
      <c r="AV3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5" s="74"/>
      <c r="BR35" s="74"/>
      <c r="BS35" s="75" t="s">
        <v>782</v>
      </c>
      <c r="BT35" s="76" t="s">
        <v>784</v>
      </c>
    </row>
    <row r="36" spans="1:72" ht="16.8" x14ac:dyDescent="0.3">
      <c r="A36" s="70" t="s">
        <v>56</v>
      </c>
      <c r="B36" s="71" t="s">
        <v>514</v>
      </c>
      <c r="C36" s="71" t="s">
        <v>739</v>
      </c>
      <c r="D36" s="71" t="s">
        <v>789</v>
      </c>
      <c r="E36" s="72"/>
      <c r="F36" s="72"/>
      <c r="G36" s="72"/>
      <c r="H36" s="72" t="s">
        <v>385</v>
      </c>
      <c r="I36" s="72" t="s">
        <v>831</v>
      </c>
      <c r="J36" s="72">
        <v>6</v>
      </c>
      <c r="K36" s="72" t="s">
        <v>748</v>
      </c>
      <c r="L36" s="72"/>
      <c r="M36" s="72"/>
      <c r="N36" s="72">
        <v>1</v>
      </c>
      <c r="O36" s="72"/>
      <c r="P36" s="73" t="s">
        <v>749</v>
      </c>
      <c r="Q36" s="72">
        <v>14.5</v>
      </c>
      <c r="R36" s="72">
        <v>24.7</v>
      </c>
      <c r="S36" s="72">
        <v>28.8</v>
      </c>
      <c r="T36" s="72">
        <v>18.2</v>
      </c>
      <c r="U36" s="72"/>
      <c r="V3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36" s="72">
        <f>SUM(Table326[[#This Row],[Slo - Pitch - Mens ]:[Slo - Pitch - Co-Ed ]])</f>
        <v>0</v>
      </c>
      <c r="X36" s="72">
        <f>SUM(Table326[[#This Row],[Baseball - U18 ]:[Baseball - U7 ]])</f>
        <v>0</v>
      </c>
      <c r="Y36" s="72" t="s">
        <v>1042</v>
      </c>
      <c r="Z36" s="74">
        <v>1</v>
      </c>
      <c r="AA36" s="104">
        <f>13.72-Table326[[#This Row],[Diamonds: Dimension Home to Pitchers Plate - m ]]</f>
        <v>-0.77999999999999936</v>
      </c>
      <c r="AB36" s="82">
        <f>14.32-Table326[[#This Row],[Diamonds: Dimension Home to Pitchers Plate - m ]]</f>
        <v>-0.17999999999999972</v>
      </c>
      <c r="AC36" s="107">
        <f>17.988-Table326[[#This Row],[Diamonds: Home to First Base Path - m ]]</f>
        <v>-0.21199999999999974</v>
      </c>
      <c r="AD36" s="107">
        <f>18.588-Table326[[#This Row],[Diamonds: Home to First Base Path - m ]]</f>
        <v>0.38800000000000168</v>
      </c>
      <c r="AE36" s="104">
        <f>AVERAGE(Table326[[#This Row],[Home to Pitch (Low)]:[Home to 1st (High)]])</f>
        <v>-0.19599999999999929</v>
      </c>
      <c r="AF3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6" s="74">
        <f>12.5-Table326[[#This Row],[Diamonds: Dimension Home to Pitchers Plate - m ]]</f>
        <v>-2</v>
      </c>
      <c r="AH36" s="74">
        <f>13.1-Table326[[#This Row],[Diamonds: Dimension Home to Pitchers Plate - m ]]</f>
        <v>-1.4000000000000004</v>
      </c>
      <c r="AI36" s="105">
        <f>17.988-Table326[[#This Row],[Diamonds: Home to First Base Path - m ]]</f>
        <v>-0.21199999999999974</v>
      </c>
      <c r="AJ36" s="103">
        <f>18.588-Table326[[#This Row],[Diamonds: Home to First Base Path - m ]]</f>
        <v>0.38800000000000168</v>
      </c>
      <c r="AK36" s="74">
        <f>AVERAGE(Table326[[#This Row],[Home to Pitch (Low)2]:[Home to 1st (High)5]])</f>
        <v>-0.80599999999999961</v>
      </c>
      <c r="AL3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6" s="74">
        <f>11.2-Table326[[#This Row],[Diamonds: Dimension Home to Pitchers Plate - m ]]</f>
        <v>-3.3000000000000007</v>
      </c>
      <c r="AN36" s="74">
        <f>11.8-Table326[[#This Row],[Diamonds: Dimension Home to Pitchers Plate - m ]]</f>
        <v>-2.6999999999999993</v>
      </c>
      <c r="AO36" s="74">
        <f>16.5-Table326[[#This Row],[Diamonds: Home to First Base Path - m ]]</f>
        <v>-1.6999999999999993</v>
      </c>
      <c r="AP36" s="74">
        <f>17.04-Table326[[#This Row],[Diamonds: Home to First Base Path - m ]]</f>
        <v>-1.1600000000000001</v>
      </c>
      <c r="AQ3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6" s="74">
        <f>10.37-Table326[[#This Row],[Diamonds: Dimension Home to Pitchers Plate - m ]]</f>
        <v>-4.1300000000000008</v>
      </c>
      <c r="AS36" s="74">
        <f>10.97-Table326[[#This Row],[Diamonds: Dimension Home to Pitchers Plate - m ]]</f>
        <v>-3.5299999999999994</v>
      </c>
      <c r="AT36" s="74">
        <f>13.5-Table326[[#This Row],[Diamonds: Home to First Base Path - m ]]</f>
        <v>-4.6999999999999993</v>
      </c>
      <c r="AU36" s="74">
        <f>14.02-Table326[[#This Row],[Diamonds: Home to First Base Path - m ]]</f>
        <v>-4.18</v>
      </c>
      <c r="AV3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6" s="74"/>
      <c r="BR36" s="74"/>
      <c r="BS36" s="75" t="s">
        <v>830</v>
      </c>
      <c r="BT36" s="76" t="s">
        <v>388</v>
      </c>
    </row>
    <row r="37" spans="1:72" ht="16.8" x14ac:dyDescent="0.3">
      <c r="A37" s="70" t="s">
        <v>117</v>
      </c>
      <c r="B37" s="71" t="s">
        <v>596</v>
      </c>
      <c r="C37" s="71" t="s">
        <v>739</v>
      </c>
      <c r="D37" s="71" t="s">
        <v>789</v>
      </c>
      <c r="E37" s="72"/>
      <c r="F37" s="72"/>
      <c r="G37" s="72"/>
      <c r="H37" s="72" t="s">
        <v>399</v>
      </c>
      <c r="I37" s="72" t="s">
        <v>944</v>
      </c>
      <c r="J37" s="72">
        <v>5.5</v>
      </c>
      <c r="K37" s="72" t="s">
        <v>748</v>
      </c>
      <c r="L37" s="72">
        <v>1</v>
      </c>
      <c r="M37" s="72">
        <v>1</v>
      </c>
      <c r="N37" s="72">
        <v>1</v>
      </c>
      <c r="O37" s="72">
        <v>1</v>
      </c>
      <c r="P37" s="73" t="s">
        <v>749</v>
      </c>
      <c r="Q37" s="72">
        <v>14.5</v>
      </c>
      <c r="R37" s="72">
        <v>26</v>
      </c>
      <c r="S37" s="72">
        <v>30.3</v>
      </c>
      <c r="T37" s="72">
        <v>18.2</v>
      </c>
      <c r="U37" s="72"/>
      <c r="V37"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37" s="72">
        <f>SUM(Table326[[#This Row],[Slo - Pitch - Mens ]:[Slo - Pitch - Co-Ed ]])</f>
        <v>0</v>
      </c>
      <c r="X37" s="72">
        <f>SUM(Table326[[#This Row],[Baseball - U18 ]:[Baseball - U7 ]])</f>
        <v>0</v>
      </c>
      <c r="Y37" s="72" t="s">
        <v>1042</v>
      </c>
      <c r="Z37" s="74">
        <v>1</v>
      </c>
      <c r="AA37" s="104">
        <f>13.72-Table326[[#This Row],[Diamonds: Dimension Home to Pitchers Plate - m ]]</f>
        <v>-0.77999999999999936</v>
      </c>
      <c r="AB37" s="82">
        <f>14.32-Table326[[#This Row],[Diamonds: Dimension Home to Pitchers Plate - m ]]</f>
        <v>-0.17999999999999972</v>
      </c>
      <c r="AC37" s="107">
        <f>17.988-Table326[[#This Row],[Diamonds: Home to First Base Path - m ]]</f>
        <v>-0.21199999999999974</v>
      </c>
      <c r="AD37" s="107">
        <f>18.588-Table326[[#This Row],[Diamonds: Home to First Base Path - m ]]</f>
        <v>0.38800000000000168</v>
      </c>
      <c r="AE37" s="104">
        <f>AVERAGE(Table326[[#This Row],[Home to Pitch (Low)]:[Home to 1st (High)]])</f>
        <v>-0.19599999999999929</v>
      </c>
      <c r="AF3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7" s="74">
        <f>12.5-Table326[[#This Row],[Diamonds: Dimension Home to Pitchers Plate - m ]]</f>
        <v>-2</v>
      </c>
      <c r="AH37" s="74">
        <f>13.1-Table326[[#This Row],[Diamonds: Dimension Home to Pitchers Plate - m ]]</f>
        <v>-1.4000000000000004</v>
      </c>
      <c r="AI37" s="105">
        <f>17.988-Table326[[#This Row],[Diamonds: Home to First Base Path - m ]]</f>
        <v>-0.21199999999999974</v>
      </c>
      <c r="AJ37" s="103">
        <f>18.588-Table326[[#This Row],[Diamonds: Home to First Base Path - m ]]</f>
        <v>0.38800000000000168</v>
      </c>
      <c r="AK37" s="74">
        <f>AVERAGE(Table326[[#This Row],[Home to Pitch (Low)2]:[Home to 1st (High)5]])</f>
        <v>-0.80599999999999961</v>
      </c>
      <c r="AL3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7" s="74">
        <f>11.2-Table326[[#This Row],[Diamonds: Dimension Home to Pitchers Plate - m ]]</f>
        <v>-3.3000000000000007</v>
      </c>
      <c r="AN37" s="74">
        <f>11.8-Table326[[#This Row],[Diamonds: Dimension Home to Pitchers Plate - m ]]</f>
        <v>-2.6999999999999993</v>
      </c>
      <c r="AO37" s="74">
        <f>16.5-Table326[[#This Row],[Diamonds: Home to First Base Path - m ]]</f>
        <v>-1.6999999999999993</v>
      </c>
      <c r="AP37" s="74">
        <f>17.04-Table326[[#This Row],[Diamonds: Home to First Base Path - m ]]</f>
        <v>-1.1600000000000001</v>
      </c>
      <c r="AQ3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7" s="74">
        <f>10.37-Table326[[#This Row],[Diamonds: Dimension Home to Pitchers Plate - m ]]</f>
        <v>-4.1300000000000008</v>
      </c>
      <c r="AS37" s="74">
        <f>10.97-Table326[[#This Row],[Diamonds: Dimension Home to Pitchers Plate - m ]]</f>
        <v>-3.5299999999999994</v>
      </c>
      <c r="AT37" s="74">
        <f>13.5-Table326[[#This Row],[Diamonds: Home to First Base Path - m ]]</f>
        <v>-4.6999999999999993</v>
      </c>
      <c r="AU37" s="74">
        <f>14.02-Table326[[#This Row],[Diamonds: Home to First Base Path - m ]]</f>
        <v>-4.18</v>
      </c>
      <c r="AV3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7" s="74"/>
      <c r="BR37" s="74"/>
      <c r="BS37" s="75" t="s">
        <v>945</v>
      </c>
      <c r="BT37" s="76" t="s">
        <v>388</v>
      </c>
    </row>
    <row r="38" spans="1:72" ht="33.6" x14ac:dyDescent="0.3">
      <c r="A38" s="77" t="s">
        <v>82</v>
      </c>
      <c r="B38" s="78" t="s">
        <v>541</v>
      </c>
      <c r="C38" s="78" t="s">
        <v>745</v>
      </c>
      <c r="D38" s="78" t="s">
        <v>746</v>
      </c>
      <c r="E38" s="79"/>
      <c r="F38" s="79"/>
      <c r="G38" s="79"/>
      <c r="H38" s="79" t="s">
        <v>408</v>
      </c>
      <c r="I38" s="79" t="s">
        <v>780</v>
      </c>
      <c r="J38" s="79">
        <v>7.5</v>
      </c>
      <c r="K38" s="79" t="s">
        <v>748</v>
      </c>
      <c r="L38" s="79"/>
      <c r="M38" s="79"/>
      <c r="N38" s="79">
        <v>1</v>
      </c>
      <c r="O38" s="79"/>
      <c r="P38" s="80" t="s">
        <v>879</v>
      </c>
      <c r="Q38" s="79">
        <v>15</v>
      </c>
      <c r="R38" s="79">
        <v>27</v>
      </c>
      <c r="S38" s="79">
        <v>35.5</v>
      </c>
      <c r="T38" s="79">
        <v>17.5</v>
      </c>
      <c r="U38" s="79"/>
      <c r="V3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38" s="79">
        <f>SUM(Table326[[#This Row],[Slo - Pitch - Mens ]:[Slo - Pitch - Co-Ed ]])</f>
        <v>0</v>
      </c>
      <c r="X38" s="79">
        <f>SUM(Table326[[#This Row],[Baseball - U18 ]:[Baseball - U7 ]])</f>
        <v>0</v>
      </c>
      <c r="Y38" s="72" t="s">
        <v>1042</v>
      </c>
      <c r="Z3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38" s="74">
        <f>13.72-Table326[[#This Row],[Diamonds: Dimension Home to Pitchers Plate - m ]]</f>
        <v>-1.2799999999999994</v>
      </c>
      <c r="AB38" s="74">
        <f>14.32-Table326[[#This Row],[Diamonds: Dimension Home to Pitchers Plate - m ]]</f>
        <v>-0.67999999999999972</v>
      </c>
      <c r="AC38" s="74">
        <f>17.988-Table326[[#This Row],[Diamonds: Home to First Base Path - m ]]</f>
        <v>0.48799999999999955</v>
      </c>
      <c r="AD38" s="74">
        <f>18.588-Table326[[#This Row],[Diamonds: Home to First Base Path - m ]]</f>
        <v>1.088000000000001</v>
      </c>
      <c r="AE38" s="74">
        <f>AVERAGE(Table326[[#This Row],[Home to Pitch (Low)]:[Home to 1st (High)]])</f>
        <v>-9.5999999999999641E-2</v>
      </c>
      <c r="AF3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38" s="74">
        <f>12.5-Table326[[#This Row],[Diamonds: Dimension Home to Pitchers Plate - m ]]</f>
        <v>-2.5</v>
      </c>
      <c r="AH38" s="74">
        <f>13.1-Table326[[#This Row],[Diamonds: Dimension Home to Pitchers Plate - m ]]</f>
        <v>-1.9000000000000004</v>
      </c>
      <c r="AI38" s="74">
        <f>17.988-Table326[[#This Row],[Diamonds: Home to First Base Path - m ]]</f>
        <v>0.48799999999999955</v>
      </c>
      <c r="AJ38" s="74">
        <f>18.588-Table326[[#This Row],[Diamonds: Home to First Base Path - m ]]</f>
        <v>1.088000000000001</v>
      </c>
      <c r="AK38" s="74">
        <f>AVERAGE(Table326[[#This Row],[Home to Pitch (Low)2]:[Home to 1st (High)5]])</f>
        <v>-0.70599999999999996</v>
      </c>
      <c r="AL3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8" s="74">
        <f>11.2-Table326[[#This Row],[Diamonds: Dimension Home to Pitchers Plate - m ]]</f>
        <v>-3.8000000000000007</v>
      </c>
      <c r="AN38" s="74">
        <f>11.8-Table326[[#This Row],[Diamonds: Dimension Home to Pitchers Plate - m ]]</f>
        <v>-3.1999999999999993</v>
      </c>
      <c r="AO38" s="74">
        <f>16.5-Table326[[#This Row],[Diamonds: Home to First Base Path - m ]]</f>
        <v>-1</v>
      </c>
      <c r="AP38" s="105">
        <f>17.04-Table326[[#This Row],[Diamonds: Home to First Base Path - m ]]</f>
        <v>-0.46000000000000085</v>
      </c>
      <c r="AQ3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8" s="74">
        <f>10.37-Table326[[#This Row],[Diamonds: Dimension Home to Pitchers Plate - m ]]</f>
        <v>-4.6300000000000008</v>
      </c>
      <c r="AS38" s="74">
        <f>10.97-Table326[[#This Row],[Diamonds: Dimension Home to Pitchers Plate - m ]]</f>
        <v>-4.0299999999999994</v>
      </c>
      <c r="AT38" s="74">
        <f>13.5-Table326[[#This Row],[Diamonds: Home to First Base Path - m ]]</f>
        <v>-4</v>
      </c>
      <c r="AU38" s="74">
        <f>14.02-Table326[[#This Row],[Diamonds: Home to First Base Path - m ]]</f>
        <v>-3.4800000000000004</v>
      </c>
      <c r="AV3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8" s="74"/>
      <c r="BR38" s="74"/>
      <c r="BS38" s="75" t="s">
        <v>880</v>
      </c>
      <c r="BT38" s="76" t="s">
        <v>876</v>
      </c>
    </row>
    <row r="39" spans="1:72" ht="16.8" x14ac:dyDescent="0.3">
      <c r="A39" s="70" t="s">
        <v>155</v>
      </c>
      <c r="B39" s="71" t="s">
        <v>672</v>
      </c>
      <c r="C39" s="71" t="s">
        <v>739</v>
      </c>
      <c r="D39" s="71" t="s">
        <v>789</v>
      </c>
      <c r="E39" s="72"/>
      <c r="F39" s="72"/>
      <c r="G39" s="72"/>
      <c r="H39" s="72" t="s">
        <v>408</v>
      </c>
      <c r="I39" s="72" t="s">
        <v>904</v>
      </c>
      <c r="J39" s="72">
        <v>7</v>
      </c>
      <c r="K39" s="72" t="s">
        <v>742</v>
      </c>
      <c r="L39" s="72"/>
      <c r="M39" s="72">
        <v>1</v>
      </c>
      <c r="N39" s="72">
        <v>1</v>
      </c>
      <c r="O39" s="72">
        <v>1</v>
      </c>
      <c r="P39" s="73" t="s">
        <v>752</v>
      </c>
      <c r="Q39" s="72">
        <v>13.4</v>
      </c>
      <c r="R39" s="72">
        <v>26</v>
      </c>
      <c r="S39" s="72">
        <v>29.1</v>
      </c>
      <c r="T39" s="72">
        <v>19</v>
      </c>
      <c r="U39" s="72"/>
      <c r="V39"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2</v>
      </c>
      <c r="W39" s="72">
        <f>SUM(Table326[[#This Row],[Slo - Pitch - Mens ]:[Slo - Pitch - Co-Ed ]])</f>
        <v>0</v>
      </c>
      <c r="X39" s="72">
        <f>SUM(Table326[[#This Row],[Baseball - U18 ]:[Baseball - U7 ]])</f>
        <v>0</v>
      </c>
      <c r="Y39" s="72" t="s">
        <v>1042</v>
      </c>
      <c r="Z39" s="74">
        <v>1</v>
      </c>
      <c r="AA39" s="103">
        <f>13.72-Table326[[#This Row],[Diamonds: Dimension Home to Pitchers Plate - m ]]</f>
        <v>0.32000000000000028</v>
      </c>
      <c r="AB39" s="74">
        <f>14.32-Table326[[#This Row],[Diamonds: Dimension Home to Pitchers Plate - m ]]</f>
        <v>0.91999999999999993</v>
      </c>
      <c r="AC39" s="74">
        <f>17.988-Table326[[#This Row],[Diamonds: Home to First Base Path - m ]]</f>
        <v>-1.0120000000000005</v>
      </c>
      <c r="AD39" s="105">
        <f>18.588-Table326[[#This Row],[Diamonds: Home to First Base Path - m ]]</f>
        <v>-0.41199999999999903</v>
      </c>
      <c r="AE39" s="74">
        <f>AVERAGE(Table326[[#This Row],[Home to Pitch (Low)]:[Home to 1st (High)]])</f>
        <v>-4.5999999999999819E-2</v>
      </c>
      <c r="AF39" s="74">
        <v>1</v>
      </c>
      <c r="AG39" s="108">
        <f>12.5-Table326[[#This Row],[Diamonds: Dimension Home to Pitchers Plate - m ]]</f>
        <v>-0.90000000000000036</v>
      </c>
      <c r="AH39" s="111">
        <f>13.1-Table326[[#This Row],[Diamonds: Dimension Home to Pitchers Plate - m ]]</f>
        <v>-0.30000000000000071</v>
      </c>
      <c r="AI39" s="108">
        <f>17.988-Table326[[#This Row],[Diamonds: Home to First Base Path - m ]]</f>
        <v>-1.0120000000000005</v>
      </c>
      <c r="AJ39" s="111">
        <f>18.588-Table326[[#This Row],[Diamonds: Home to First Base Path - m ]]</f>
        <v>-0.41199999999999903</v>
      </c>
      <c r="AK39" s="74">
        <f>AVERAGE(Table326[[#This Row],[Home to Pitch (Low)2]:[Home to 1st (High)5]])</f>
        <v>-0.65600000000000014</v>
      </c>
      <c r="AL3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39" s="74">
        <f>11.2-Table326[[#This Row],[Diamonds: Dimension Home to Pitchers Plate - m ]]</f>
        <v>-2.2000000000000011</v>
      </c>
      <c r="AN39" s="74">
        <f>11.8-Table326[[#This Row],[Diamonds: Dimension Home to Pitchers Plate - m ]]</f>
        <v>-1.5999999999999996</v>
      </c>
      <c r="AO39" s="74">
        <f>16.5-Table326[[#This Row],[Diamonds: Home to First Base Path - m ]]</f>
        <v>-2.5</v>
      </c>
      <c r="AP39" s="74">
        <f>17.04-Table326[[#This Row],[Diamonds: Home to First Base Path - m ]]</f>
        <v>-1.9600000000000009</v>
      </c>
      <c r="AQ3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39" s="74">
        <f>10.37-Table326[[#This Row],[Diamonds: Dimension Home to Pitchers Plate - m ]]</f>
        <v>-3.0300000000000011</v>
      </c>
      <c r="AS39" s="74">
        <f>10.97-Table326[[#This Row],[Diamonds: Dimension Home to Pitchers Plate - m ]]</f>
        <v>-2.4299999999999997</v>
      </c>
      <c r="AT39" s="74">
        <f>13.5-Table326[[#This Row],[Diamonds: Home to First Base Path - m ]]</f>
        <v>-5.5</v>
      </c>
      <c r="AU39" s="74">
        <f>14.02-Table326[[#This Row],[Diamonds: Home to First Base Path - m ]]</f>
        <v>-4.9800000000000004</v>
      </c>
      <c r="AV3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3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3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3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3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3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3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3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3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3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3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3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3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3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3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3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3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3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3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3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3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39" s="74"/>
      <c r="BR39" s="74"/>
      <c r="BS39" s="75" t="s">
        <v>387</v>
      </c>
      <c r="BT39" s="76" t="s">
        <v>388</v>
      </c>
    </row>
    <row r="40" spans="1:72" ht="33.6" x14ac:dyDescent="0.3">
      <c r="A40" s="70" t="s">
        <v>66</v>
      </c>
      <c r="B40" s="71" t="s">
        <v>519</v>
      </c>
      <c r="C40" s="71" t="s">
        <v>769</v>
      </c>
      <c r="D40" s="71" t="s">
        <v>740</v>
      </c>
      <c r="E40" s="72">
        <v>1</v>
      </c>
      <c r="F40" s="72" t="s">
        <v>824</v>
      </c>
      <c r="G40" s="72">
        <v>60.6</v>
      </c>
      <c r="H40" s="72" t="s">
        <v>399</v>
      </c>
      <c r="I40" s="72" t="s">
        <v>849</v>
      </c>
      <c r="J40" s="72">
        <v>13.5</v>
      </c>
      <c r="K40" s="72" t="s">
        <v>742</v>
      </c>
      <c r="L40" s="72">
        <v>1</v>
      </c>
      <c r="M40" s="72">
        <v>1</v>
      </c>
      <c r="N40" s="72">
        <v>1</v>
      </c>
      <c r="O40" s="72">
        <v>1</v>
      </c>
      <c r="P40" s="73" t="s">
        <v>820</v>
      </c>
      <c r="Q40" s="72">
        <v>14.2</v>
      </c>
      <c r="R40" s="72">
        <v>25.6</v>
      </c>
      <c r="S40" s="72">
        <v>30</v>
      </c>
      <c r="T40" s="72">
        <v>18.2</v>
      </c>
      <c r="U40" s="72">
        <v>1</v>
      </c>
      <c r="V4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0" s="72">
        <f>SUM(Table326[[#This Row],[Slo - Pitch - Mens ]:[Slo - Pitch - Co-Ed ]])</f>
        <v>0</v>
      </c>
      <c r="X40" s="72">
        <f>SUM(Table326[[#This Row],[Baseball - U18 ]:[Baseball - U7 ]])</f>
        <v>2</v>
      </c>
      <c r="Y40" s="72" t="s">
        <v>1043</v>
      </c>
      <c r="Z4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0" s="74">
        <f>13.72-Table326[[#This Row],[Diamonds: Dimension Home to Pitchers Plate - m ]]</f>
        <v>-0.47999999999999865</v>
      </c>
      <c r="AB40" s="74">
        <f>14.32-Table326[[#This Row],[Diamonds: Dimension Home to Pitchers Plate - m ]]</f>
        <v>0.12000000000000099</v>
      </c>
      <c r="AC40" s="74">
        <f>17.988-Table326[[#This Row],[Diamonds: Home to First Base Path - m ]]</f>
        <v>-0.21199999999999974</v>
      </c>
      <c r="AD40" s="74">
        <f>18.588-Table326[[#This Row],[Diamonds: Home to First Base Path - m ]]</f>
        <v>0.38800000000000168</v>
      </c>
      <c r="AE40" s="74">
        <f>AVERAGE(Table326[[#This Row],[Home to Pitch (Low)]:[Home to 1st (High)]])</f>
        <v>-4.5999999999998931E-2</v>
      </c>
      <c r="AF4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0" s="74">
        <f>12.5-Table326[[#This Row],[Diamonds: Dimension Home to Pitchers Plate - m ]]</f>
        <v>-1.6999999999999993</v>
      </c>
      <c r="AH40" s="74">
        <f>13.1-Table326[[#This Row],[Diamonds: Dimension Home to Pitchers Plate - m ]]</f>
        <v>-1.0999999999999996</v>
      </c>
      <c r="AI40" s="74">
        <f>17.988-Table326[[#This Row],[Diamonds: Home to First Base Path - m ]]</f>
        <v>-0.21199999999999974</v>
      </c>
      <c r="AJ40" s="74">
        <f>18.588-Table326[[#This Row],[Diamonds: Home to First Base Path - m ]]</f>
        <v>0.38800000000000168</v>
      </c>
      <c r="AK40" s="74">
        <f>AVERAGE(Table326[[#This Row],[Home to Pitch (Low)2]:[Home to 1st (High)5]])</f>
        <v>-0.65599999999999925</v>
      </c>
      <c r="AL4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0" s="74">
        <f>11.2-Table326[[#This Row],[Diamonds: Dimension Home to Pitchers Plate - m ]]</f>
        <v>-3</v>
      </c>
      <c r="AN40" s="74">
        <f>11.8-Table326[[#This Row],[Diamonds: Dimension Home to Pitchers Plate - m ]]</f>
        <v>-2.3999999999999986</v>
      </c>
      <c r="AO40" s="74">
        <f>16.5-Table326[[#This Row],[Diamonds: Home to First Base Path - m ]]</f>
        <v>-1.6999999999999993</v>
      </c>
      <c r="AP40" s="74">
        <f>17.04-Table326[[#This Row],[Diamonds: Home to First Base Path - m ]]</f>
        <v>-1.1600000000000001</v>
      </c>
      <c r="AQ4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0" s="74">
        <f>10.37-Table326[[#This Row],[Diamonds: Dimension Home to Pitchers Plate - m ]]</f>
        <v>-3.83</v>
      </c>
      <c r="AS40" s="74">
        <f>10.97-Table326[[#This Row],[Diamonds: Dimension Home to Pitchers Plate - m ]]</f>
        <v>-3.2299999999999986</v>
      </c>
      <c r="AT40" s="74">
        <f>13.5-Table326[[#This Row],[Diamonds: Home to First Base Path - m ]]</f>
        <v>-4.6999999999999993</v>
      </c>
      <c r="AU40" s="74">
        <f>14.02-Table326[[#This Row],[Diamonds: Home to First Base Path - m ]]</f>
        <v>-4.18</v>
      </c>
      <c r="AV4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0" s="74"/>
      <c r="BR40" s="74"/>
      <c r="BS40" s="75" t="s">
        <v>850</v>
      </c>
      <c r="BT40" s="76" t="s">
        <v>388</v>
      </c>
    </row>
    <row r="41" spans="1:72" ht="33.6" x14ac:dyDescent="0.3">
      <c r="A41" s="70" t="s">
        <v>62</v>
      </c>
      <c r="B41" s="71" t="s">
        <v>835</v>
      </c>
      <c r="C41" s="71" t="s">
        <v>769</v>
      </c>
      <c r="D41" s="71" t="s">
        <v>740</v>
      </c>
      <c r="E41" s="72">
        <v>1</v>
      </c>
      <c r="F41" s="72" t="s">
        <v>824</v>
      </c>
      <c r="G41" s="72">
        <v>59.7</v>
      </c>
      <c r="H41" s="72" t="s">
        <v>399</v>
      </c>
      <c r="I41" s="72" t="s">
        <v>840</v>
      </c>
      <c r="J41" s="72">
        <v>12.5</v>
      </c>
      <c r="K41" s="72" t="s">
        <v>742</v>
      </c>
      <c r="L41" s="72">
        <v>1</v>
      </c>
      <c r="M41" s="72">
        <v>1</v>
      </c>
      <c r="N41" s="72">
        <v>1</v>
      </c>
      <c r="O41" s="72">
        <v>1</v>
      </c>
      <c r="P41" s="73" t="s">
        <v>772</v>
      </c>
      <c r="Q41" s="72">
        <v>14</v>
      </c>
      <c r="R41" s="72">
        <v>25.7</v>
      </c>
      <c r="S41" s="72">
        <v>29.4</v>
      </c>
      <c r="T41" s="72">
        <v>18.3</v>
      </c>
      <c r="U41" s="72">
        <v>1</v>
      </c>
      <c r="V4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1" s="72">
        <f>SUM(Table326[[#This Row],[Slo - Pitch - Mens ]:[Slo - Pitch - Co-Ed ]])</f>
        <v>0</v>
      </c>
      <c r="X41" s="72">
        <f>SUM(Table326[[#This Row],[Baseball - U18 ]:[Baseball - U7 ]])</f>
        <v>2</v>
      </c>
      <c r="Y41" s="72" t="s">
        <v>1043</v>
      </c>
      <c r="Z4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1" s="74">
        <f>13.72-Table326[[#This Row],[Diamonds: Dimension Home to Pitchers Plate - m ]]</f>
        <v>-0.27999999999999936</v>
      </c>
      <c r="AB41" s="74">
        <f>14.32-Table326[[#This Row],[Diamonds: Dimension Home to Pitchers Plate - m ]]</f>
        <v>0.32000000000000028</v>
      </c>
      <c r="AC41" s="74">
        <f>17.988-Table326[[#This Row],[Diamonds: Home to First Base Path - m ]]</f>
        <v>-0.31200000000000117</v>
      </c>
      <c r="AD41" s="74">
        <f>18.588-Table326[[#This Row],[Diamonds: Home to First Base Path - m ]]</f>
        <v>0.28800000000000026</v>
      </c>
      <c r="AE41" s="74">
        <f>AVERAGE(Table326[[#This Row],[Home to Pitch (Low)]:[Home to 1st (High)]])</f>
        <v>4.0000000000000036E-3</v>
      </c>
      <c r="AF4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1" s="74">
        <f>12.5-Table326[[#This Row],[Diamonds: Dimension Home to Pitchers Plate - m ]]</f>
        <v>-1.5</v>
      </c>
      <c r="AH41" s="74">
        <f>13.1-Table326[[#This Row],[Diamonds: Dimension Home to Pitchers Plate - m ]]</f>
        <v>-0.90000000000000036</v>
      </c>
      <c r="AI41" s="74">
        <f>17.988-Table326[[#This Row],[Diamonds: Home to First Base Path - m ]]</f>
        <v>-0.31200000000000117</v>
      </c>
      <c r="AJ41" s="74">
        <f>18.588-Table326[[#This Row],[Diamonds: Home to First Base Path - m ]]</f>
        <v>0.28800000000000026</v>
      </c>
      <c r="AK41" s="74">
        <f>AVERAGE(Table326[[#This Row],[Home to Pitch (Low)2]:[Home to 1st (High)5]])</f>
        <v>-0.60600000000000032</v>
      </c>
      <c r="AL4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1" s="74">
        <f>11.2-Table326[[#This Row],[Diamonds: Dimension Home to Pitchers Plate - m ]]</f>
        <v>-2.8000000000000007</v>
      </c>
      <c r="AN41" s="74">
        <f>11.8-Table326[[#This Row],[Diamonds: Dimension Home to Pitchers Plate - m ]]</f>
        <v>-2.1999999999999993</v>
      </c>
      <c r="AO41" s="74">
        <f>16.5-Table326[[#This Row],[Diamonds: Home to First Base Path - m ]]</f>
        <v>-1.8000000000000007</v>
      </c>
      <c r="AP41" s="74">
        <f>17.04-Table326[[#This Row],[Diamonds: Home to First Base Path - m ]]</f>
        <v>-1.2600000000000016</v>
      </c>
      <c r="AQ4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1" s="74">
        <f>10.37-Table326[[#This Row],[Diamonds: Dimension Home to Pitchers Plate - m ]]</f>
        <v>-3.6300000000000008</v>
      </c>
      <c r="AS41" s="74">
        <f>10.97-Table326[[#This Row],[Diamonds: Dimension Home to Pitchers Plate - m ]]</f>
        <v>-3.0299999999999994</v>
      </c>
      <c r="AT41" s="74">
        <f>13.5-Table326[[#This Row],[Diamonds: Home to First Base Path - m ]]</f>
        <v>-4.8000000000000007</v>
      </c>
      <c r="AU41" s="74">
        <f>14.02-Table326[[#This Row],[Diamonds: Home to First Base Path - m ]]</f>
        <v>-4.2800000000000011</v>
      </c>
      <c r="AV4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1" s="74"/>
      <c r="BR41" s="74"/>
      <c r="BS41" s="75" t="s">
        <v>387</v>
      </c>
      <c r="BT41" s="76" t="s">
        <v>388</v>
      </c>
    </row>
    <row r="42" spans="1:72" ht="50.4" x14ac:dyDescent="0.3">
      <c r="A42" s="77" t="s">
        <v>65</v>
      </c>
      <c r="B42" s="78" t="s">
        <v>519</v>
      </c>
      <c r="C42" s="78" t="s">
        <v>395</v>
      </c>
      <c r="D42" s="78" t="s">
        <v>396</v>
      </c>
      <c r="E42" s="79"/>
      <c r="F42" s="79"/>
      <c r="G42" s="79"/>
      <c r="H42" s="79" t="s">
        <v>399</v>
      </c>
      <c r="I42" s="79" t="s">
        <v>845</v>
      </c>
      <c r="J42" s="79">
        <v>6.5</v>
      </c>
      <c r="K42" s="79" t="s">
        <v>846</v>
      </c>
      <c r="L42" s="79">
        <v>1</v>
      </c>
      <c r="M42" s="79"/>
      <c r="N42" s="79">
        <v>1</v>
      </c>
      <c r="O42" s="79">
        <v>1</v>
      </c>
      <c r="P42" s="80" t="s">
        <v>847</v>
      </c>
      <c r="Q42" s="79">
        <v>14.2</v>
      </c>
      <c r="R42" s="79">
        <v>26</v>
      </c>
      <c r="S42" s="79">
        <v>29</v>
      </c>
      <c r="T42" s="79">
        <v>18.100000000000001</v>
      </c>
      <c r="U42" s="79">
        <v>1</v>
      </c>
      <c r="V4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2" s="79">
        <f>SUM(Table326[[#This Row],[Slo - Pitch - Mens ]:[Slo - Pitch - Co-Ed ]])</f>
        <v>0</v>
      </c>
      <c r="X42" s="79">
        <f>SUM(Table326[[#This Row],[Baseball - U18 ]:[Baseball - U7 ]])</f>
        <v>2</v>
      </c>
      <c r="Y42" s="72" t="s">
        <v>1043</v>
      </c>
      <c r="Z4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2" s="74">
        <f>13.72-Table326[[#This Row],[Diamonds: Dimension Home to Pitchers Plate - m ]]</f>
        <v>-0.47999999999999865</v>
      </c>
      <c r="AB42" s="74">
        <f>14.32-Table326[[#This Row],[Diamonds: Dimension Home to Pitchers Plate - m ]]</f>
        <v>0.12000000000000099</v>
      </c>
      <c r="AC42" s="74">
        <f>17.988-Table326[[#This Row],[Diamonds: Home to First Base Path - m ]]</f>
        <v>-0.11200000000000188</v>
      </c>
      <c r="AD42" s="74">
        <f>18.588-Table326[[#This Row],[Diamonds: Home to First Base Path - m ]]</f>
        <v>0.48799999999999955</v>
      </c>
      <c r="AE42" s="74">
        <f>AVERAGE(Table326[[#This Row],[Home to Pitch (Low)]:[Home to 1st (High)]])</f>
        <v>4.0000000000000036E-3</v>
      </c>
      <c r="AF4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2" s="74">
        <f>12.5-Table326[[#This Row],[Diamonds: Dimension Home to Pitchers Plate - m ]]</f>
        <v>-1.6999999999999993</v>
      </c>
      <c r="AH42" s="74">
        <f>13.1-Table326[[#This Row],[Diamonds: Dimension Home to Pitchers Plate - m ]]</f>
        <v>-1.0999999999999996</v>
      </c>
      <c r="AI42" s="74">
        <f>17.988-Table326[[#This Row],[Diamonds: Home to First Base Path - m ]]</f>
        <v>-0.11200000000000188</v>
      </c>
      <c r="AJ42" s="74">
        <f>18.588-Table326[[#This Row],[Diamonds: Home to First Base Path - m ]]</f>
        <v>0.48799999999999955</v>
      </c>
      <c r="AK42" s="74">
        <f>AVERAGE(Table326[[#This Row],[Home to Pitch (Low)2]:[Home to 1st (High)5]])</f>
        <v>-0.60600000000000032</v>
      </c>
      <c r="AL4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2" s="74">
        <f>11.2-Table326[[#This Row],[Diamonds: Dimension Home to Pitchers Plate - m ]]</f>
        <v>-3</v>
      </c>
      <c r="AN42" s="74">
        <f>11.8-Table326[[#This Row],[Diamonds: Dimension Home to Pitchers Plate - m ]]</f>
        <v>-2.3999999999999986</v>
      </c>
      <c r="AO42" s="74">
        <f>16.5-Table326[[#This Row],[Diamonds: Home to First Base Path - m ]]</f>
        <v>-1.6000000000000014</v>
      </c>
      <c r="AP42" s="74">
        <f>17.04-Table326[[#This Row],[Diamonds: Home to First Base Path - m ]]</f>
        <v>-1.0600000000000023</v>
      </c>
      <c r="AQ4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2" s="74">
        <f>10.37-Table326[[#This Row],[Diamonds: Dimension Home to Pitchers Plate - m ]]</f>
        <v>-3.83</v>
      </c>
      <c r="AS42" s="74">
        <f>10.97-Table326[[#This Row],[Diamonds: Dimension Home to Pitchers Plate - m ]]</f>
        <v>-3.2299999999999986</v>
      </c>
      <c r="AT42" s="74">
        <f>13.5-Table326[[#This Row],[Diamonds: Home to First Base Path - m ]]</f>
        <v>-4.6000000000000014</v>
      </c>
      <c r="AU42" s="74">
        <f>14.02-Table326[[#This Row],[Diamonds: Home to First Base Path - m ]]</f>
        <v>-4.0800000000000018</v>
      </c>
      <c r="AV4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2" s="74"/>
      <c r="BR42" s="74"/>
      <c r="BS42" s="75" t="s">
        <v>848</v>
      </c>
      <c r="BT42" s="76" t="s">
        <v>388</v>
      </c>
    </row>
    <row r="43" spans="1:72" ht="33.6" x14ac:dyDescent="0.3">
      <c r="A43" s="77" t="s">
        <v>52</v>
      </c>
      <c r="B43" s="78" t="s">
        <v>505</v>
      </c>
      <c r="C43" s="78" t="s">
        <v>739</v>
      </c>
      <c r="D43" s="78" t="s">
        <v>746</v>
      </c>
      <c r="E43" s="79"/>
      <c r="F43" s="79"/>
      <c r="G43" s="79"/>
      <c r="H43" s="79" t="s">
        <v>399</v>
      </c>
      <c r="I43" s="79" t="s">
        <v>827</v>
      </c>
      <c r="J43" s="79">
        <v>7.5</v>
      </c>
      <c r="K43" s="79" t="s">
        <v>748</v>
      </c>
      <c r="L43" s="79"/>
      <c r="M43" s="79"/>
      <c r="N43" s="79">
        <v>1</v>
      </c>
      <c r="O43" s="79">
        <v>1</v>
      </c>
      <c r="P43" s="80" t="s">
        <v>749</v>
      </c>
      <c r="Q43" s="79">
        <v>14.3</v>
      </c>
      <c r="R43" s="79">
        <v>27</v>
      </c>
      <c r="S43" s="79">
        <v>32.700000000000003</v>
      </c>
      <c r="T43" s="79">
        <v>18</v>
      </c>
      <c r="U43" s="79"/>
      <c r="V4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3" s="79">
        <f>SUM(Table326[[#This Row],[Slo - Pitch - Mens ]:[Slo - Pitch - Co-Ed ]])</f>
        <v>0</v>
      </c>
      <c r="X43" s="79">
        <f>SUM(Table326[[#This Row],[Baseball - U18 ]:[Baseball - U7 ]])</f>
        <v>2</v>
      </c>
      <c r="Y43" s="72" t="s">
        <v>1043</v>
      </c>
      <c r="Z4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3" s="74">
        <f>13.72-Table326[[#This Row],[Diamonds: Dimension Home to Pitchers Plate - m ]]</f>
        <v>-0.58000000000000007</v>
      </c>
      <c r="AB43" s="74">
        <f>14.32-Table326[[#This Row],[Diamonds: Dimension Home to Pitchers Plate - m ]]</f>
        <v>1.9999999999999574E-2</v>
      </c>
      <c r="AC43" s="74">
        <f>17.988-Table326[[#This Row],[Diamonds: Home to First Base Path - m ]]</f>
        <v>-1.2000000000000455E-2</v>
      </c>
      <c r="AD43" s="74">
        <f>18.588-Table326[[#This Row],[Diamonds: Home to First Base Path - m ]]</f>
        <v>0.58800000000000097</v>
      </c>
      <c r="AE43" s="74">
        <f>AVERAGE(Table326[[#This Row],[Home to Pitch (Low)]:[Home to 1st (High)]])</f>
        <v>4.0000000000000036E-3</v>
      </c>
      <c r="AF4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3" s="74">
        <f>12.5-Table326[[#This Row],[Diamonds: Dimension Home to Pitchers Plate - m ]]</f>
        <v>-1.8000000000000007</v>
      </c>
      <c r="AH43" s="74">
        <f>13.1-Table326[[#This Row],[Diamonds: Dimension Home to Pitchers Plate - m ]]</f>
        <v>-1.2000000000000011</v>
      </c>
      <c r="AI43" s="74">
        <f>17.988-Table326[[#This Row],[Diamonds: Home to First Base Path - m ]]</f>
        <v>-1.2000000000000455E-2</v>
      </c>
      <c r="AJ43" s="74">
        <f>18.588-Table326[[#This Row],[Diamonds: Home to First Base Path - m ]]</f>
        <v>0.58800000000000097</v>
      </c>
      <c r="AK43" s="74">
        <f>AVERAGE(Table326[[#This Row],[Home to Pitch (Low)2]:[Home to 1st (High)5]])</f>
        <v>-0.60600000000000032</v>
      </c>
      <c r="AL4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3" s="74">
        <f>11.2-Table326[[#This Row],[Diamonds: Dimension Home to Pitchers Plate - m ]]</f>
        <v>-3.1000000000000014</v>
      </c>
      <c r="AN43" s="74">
        <f>11.8-Table326[[#This Row],[Diamonds: Dimension Home to Pitchers Plate - m ]]</f>
        <v>-2.5</v>
      </c>
      <c r="AO43" s="74">
        <f>16.5-Table326[[#This Row],[Diamonds: Home to First Base Path - m ]]</f>
        <v>-1.5</v>
      </c>
      <c r="AP43" s="74">
        <f>17.04-Table326[[#This Row],[Diamonds: Home to First Base Path - m ]]</f>
        <v>-0.96000000000000085</v>
      </c>
      <c r="AQ4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3" s="74">
        <f>10.37-Table326[[#This Row],[Diamonds: Dimension Home to Pitchers Plate - m ]]</f>
        <v>-3.9300000000000015</v>
      </c>
      <c r="AS43" s="74">
        <f>10.97-Table326[[#This Row],[Diamonds: Dimension Home to Pitchers Plate - m ]]</f>
        <v>-3.33</v>
      </c>
      <c r="AT43" s="74">
        <f>13.5-Table326[[#This Row],[Diamonds: Home to First Base Path - m ]]</f>
        <v>-4.5</v>
      </c>
      <c r="AU43" s="74">
        <f>14.02-Table326[[#This Row],[Diamonds: Home to First Base Path - m ]]</f>
        <v>-3.9800000000000004</v>
      </c>
      <c r="AV4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3" s="74"/>
      <c r="BR43" s="74"/>
      <c r="BS43" s="75" t="s">
        <v>828</v>
      </c>
      <c r="BT43" s="76" t="s">
        <v>388</v>
      </c>
    </row>
    <row r="44" spans="1:72" ht="16.8" x14ac:dyDescent="0.3">
      <c r="A44" s="77" t="s">
        <v>59</v>
      </c>
      <c r="B44" s="78" t="s">
        <v>514</v>
      </c>
      <c r="C44" s="78" t="s">
        <v>739</v>
      </c>
      <c r="D44" s="78" t="s">
        <v>789</v>
      </c>
      <c r="E44" s="79"/>
      <c r="F44" s="79"/>
      <c r="G44" s="79"/>
      <c r="H44" s="79" t="s">
        <v>399</v>
      </c>
      <c r="I44" s="79" t="s">
        <v>829</v>
      </c>
      <c r="J44" s="79">
        <v>9.5</v>
      </c>
      <c r="K44" s="79" t="s">
        <v>748</v>
      </c>
      <c r="L44" s="79"/>
      <c r="M44" s="79"/>
      <c r="N44" s="79">
        <v>1</v>
      </c>
      <c r="O44" s="79">
        <v>1</v>
      </c>
      <c r="P44" s="80" t="s">
        <v>749</v>
      </c>
      <c r="Q44" s="79">
        <v>12.1</v>
      </c>
      <c r="R44" s="79">
        <v>23</v>
      </c>
      <c r="S44" s="79">
        <v>29</v>
      </c>
      <c r="T44" s="79">
        <v>20.2</v>
      </c>
      <c r="U44" s="79"/>
      <c r="V4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44" s="79">
        <f>SUM(Table326[[#This Row],[Slo - Pitch - Mens ]:[Slo - Pitch - Co-Ed ]])</f>
        <v>0</v>
      </c>
      <c r="X44" s="79">
        <f>SUM(Table326[[#This Row],[Baseball - U18 ]:[Baseball - U7 ]])</f>
        <v>0</v>
      </c>
      <c r="Y44" s="72" t="s">
        <v>1042</v>
      </c>
      <c r="Z4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44" s="74">
        <f>13.72-Table326[[#This Row],[Diamonds: Dimension Home to Pitchers Plate - m ]]</f>
        <v>1.620000000000001</v>
      </c>
      <c r="AB44" s="74">
        <f>14.32-Table326[[#This Row],[Diamonds: Dimension Home to Pitchers Plate - m ]]</f>
        <v>2.2200000000000006</v>
      </c>
      <c r="AC44" s="74">
        <f>17.988-Table326[[#This Row],[Diamonds: Home to First Base Path - m ]]</f>
        <v>-2.2119999999999997</v>
      </c>
      <c r="AD44" s="74">
        <f>18.588-Table326[[#This Row],[Diamonds: Home to First Base Path - m ]]</f>
        <v>-1.6119999999999983</v>
      </c>
      <c r="AE44" s="74">
        <f>AVERAGE(Table326[[#This Row],[Home to Pitch (Low)]:[Home to 1st (High)]])</f>
        <v>4.0000000000008917E-3</v>
      </c>
      <c r="AF4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4" s="106">
        <f>12.5-Table326[[#This Row],[Diamonds: Dimension Home to Pitchers Plate - m ]]</f>
        <v>0.40000000000000036</v>
      </c>
      <c r="AH44" s="74">
        <f>13.1-Table326[[#This Row],[Diamonds: Dimension Home to Pitchers Plate - m ]]</f>
        <v>1</v>
      </c>
      <c r="AI44" s="74">
        <f>17.988-Table326[[#This Row],[Diamonds: Home to First Base Path - m ]]</f>
        <v>-2.2119999999999997</v>
      </c>
      <c r="AJ44" s="74">
        <f>18.588-Table326[[#This Row],[Diamonds: Home to First Base Path - m ]]</f>
        <v>-1.6119999999999983</v>
      </c>
      <c r="AK44" s="74">
        <f>AVERAGE(Table326[[#This Row],[Home to Pitch (Low)2]:[Home to 1st (High)5]])</f>
        <v>-0.60599999999999943</v>
      </c>
      <c r="AL4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4" s="103">
        <f>11.2-Table326[[#This Row],[Diamonds: Dimension Home to Pitchers Plate - m ]]</f>
        <v>-0.90000000000000036</v>
      </c>
      <c r="AN44" s="103">
        <f>11.8-Table326[[#This Row],[Diamonds: Dimension Home to Pitchers Plate - m ]]</f>
        <v>-0.29999999999999893</v>
      </c>
      <c r="AO44" s="74">
        <f>16.5-Table326[[#This Row],[Diamonds: Home to First Base Path - m ]]</f>
        <v>-3.6999999999999993</v>
      </c>
      <c r="AP44" s="74">
        <f>17.04-Table326[[#This Row],[Diamonds: Home to First Base Path - m ]]</f>
        <v>-3.16</v>
      </c>
      <c r="AQ4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4" s="74">
        <f>10.37-Table326[[#This Row],[Diamonds: Dimension Home to Pitchers Plate - m ]]</f>
        <v>-1.7300000000000004</v>
      </c>
      <c r="AS44" s="74">
        <f>10.97-Table326[[#This Row],[Diamonds: Dimension Home to Pitchers Plate - m ]]</f>
        <v>-1.129999999999999</v>
      </c>
      <c r="AT44" s="74">
        <f>13.5-Table326[[#This Row],[Diamonds: Home to First Base Path - m ]]</f>
        <v>-6.6999999999999993</v>
      </c>
      <c r="AU44" s="74">
        <f>14.02-Table326[[#This Row],[Diamonds: Home to First Base Path - m ]]</f>
        <v>-6.18</v>
      </c>
      <c r="AV4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4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4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4" s="74"/>
      <c r="BR44" s="74"/>
      <c r="BS44" s="75" t="s">
        <v>830</v>
      </c>
      <c r="BT44" s="76" t="s">
        <v>388</v>
      </c>
    </row>
    <row r="45" spans="1:72" ht="33.6" x14ac:dyDescent="0.3">
      <c r="A45" s="70" t="s">
        <v>123</v>
      </c>
      <c r="B45" s="71" t="s">
        <v>604</v>
      </c>
      <c r="C45" s="71" t="s">
        <v>739</v>
      </c>
      <c r="D45" s="71" t="s">
        <v>789</v>
      </c>
      <c r="E45" s="72"/>
      <c r="F45" s="72"/>
      <c r="G45" s="72"/>
      <c r="H45" s="72" t="s">
        <v>399</v>
      </c>
      <c r="I45" s="72" t="s">
        <v>952</v>
      </c>
      <c r="J45" s="72">
        <v>7.5</v>
      </c>
      <c r="K45" s="72" t="s">
        <v>742</v>
      </c>
      <c r="L45" s="72">
        <v>1</v>
      </c>
      <c r="M45" s="72">
        <v>1</v>
      </c>
      <c r="N45" s="72">
        <v>1</v>
      </c>
      <c r="O45" s="72"/>
      <c r="P45" s="73" t="s">
        <v>783</v>
      </c>
      <c r="Q45" s="72">
        <v>14.1</v>
      </c>
      <c r="R45" s="72">
        <v>26</v>
      </c>
      <c r="S45" s="72"/>
      <c r="T45" s="72">
        <v>18</v>
      </c>
      <c r="U45" s="72"/>
      <c r="V4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5" s="72">
        <f>SUM(Table326[[#This Row],[Slo - Pitch - Mens ]:[Slo - Pitch - Co-Ed ]])</f>
        <v>0</v>
      </c>
      <c r="X45" s="72">
        <f>SUM(Table326[[#This Row],[Baseball - U18 ]:[Baseball - U7 ]])</f>
        <v>2</v>
      </c>
      <c r="Y45" s="72" t="s">
        <v>1043</v>
      </c>
      <c r="Z4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5" s="74">
        <f>13.72-Table326[[#This Row],[Diamonds: Dimension Home to Pitchers Plate - m ]]</f>
        <v>-0.37999999999999901</v>
      </c>
      <c r="AB45" s="74">
        <f>14.32-Table326[[#This Row],[Diamonds: Dimension Home to Pitchers Plate - m ]]</f>
        <v>0.22000000000000064</v>
      </c>
      <c r="AC45" s="74">
        <f>17.988-Table326[[#This Row],[Diamonds: Home to First Base Path - m ]]</f>
        <v>-1.2000000000000455E-2</v>
      </c>
      <c r="AD45" s="74">
        <f>18.588-Table326[[#This Row],[Diamonds: Home to First Base Path - m ]]</f>
        <v>0.58800000000000097</v>
      </c>
      <c r="AE45" s="74">
        <f>AVERAGE(Table326[[#This Row],[Home to Pitch (Low)]:[Home to 1st (High)]])</f>
        <v>0.10400000000000054</v>
      </c>
      <c r="AF4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5" s="74">
        <f>12.5-Table326[[#This Row],[Diamonds: Dimension Home to Pitchers Plate - m ]]</f>
        <v>-1.5999999999999996</v>
      </c>
      <c r="AH45" s="74">
        <f>13.1-Table326[[#This Row],[Diamonds: Dimension Home to Pitchers Plate - m ]]</f>
        <v>-1</v>
      </c>
      <c r="AI45" s="74">
        <f>17.988-Table326[[#This Row],[Diamonds: Home to First Base Path - m ]]</f>
        <v>-1.2000000000000455E-2</v>
      </c>
      <c r="AJ45" s="74">
        <f>18.588-Table326[[#This Row],[Diamonds: Home to First Base Path - m ]]</f>
        <v>0.58800000000000097</v>
      </c>
      <c r="AK45" s="74">
        <f>AVERAGE(Table326[[#This Row],[Home to Pitch (Low)2]:[Home to 1st (High)5]])</f>
        <v>-0.50599999999999978</v>
      </c>
      <c r="AL4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5" s="74">
        <f>11.2-Table326[[#This Row],[Diamonds: Dimension Home to Pitchers Plate - m ]]</f>
        <v>-2.9000000000000004</v>
      </c>
      <c r="AN45" s="74">
        <f>11.8-Table326[[#This Row],[Diamonds: Dimension Home to Pitchers Plate - m ]]</f>
        <v>-2.2999999999999989</v>
      </c>
      <c r="AO45" s="74">
        <f>16.5-Table326[[#This Row],[Diamonds: Home to First Base Path - m ]]</f>
        <v>-1.5</v>
      </c>
      <c r="AP45" s="74">
        <f>17.04-Table326[[#This Row],[Diamonds: Home to First Base Path - m ]]</f>
        <v>-0.96000000000000085</v>
      </c>
      <c r="AQ4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5" s="74">
        <f>10.37-Table326[[#This Row],[Diamonds: Dimension Home to Pitchers Plate - m ]]</f>
        <v>-3.7300000000000004</v>
      </c>
      <c r="AS45" s="74">
        <f>10.97-Table326[[#This Row],[Diamonds: Dimension Home to Pitchers Plate - m ]]</f>
        <v>-3.129999999999999</v>
      </c>
      <c r="AT45" s="74">
        <f>13.5-Table326[[#This Row],[Diamonds: Home to First Base Path - m ]]</f>
        <v>-4.5</v>
      </c>
      <c r="AU45" s="74">
        <f>14.02-Table326[[#This Row],[Diamonds: Home to First Base Path - m ]]</f>
        <v>-3.9800000000000004</v>
      </c>
      <c r="AV4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5" s="74"/>
      <c r="BR45" s="74"/>
      <c r="BS45" s="75" t="s">
        <v>953</v>
      </c>
      <c r="BT45" s="76" t="s">
        <v>388</v>
      </c>
    </row>
    <row r="46" spans="1:72" ht="16.8" x14ac:dyDescent="0.3">
      <c r="A46" s="77" t="s">
        <v>111</v>
      </c>
      <c r="B46" s="78" t="s">
        <v>590</v>
      </c>
      <c r="C46" s="78" t="s">
        <v>739</v>
      </c>
      <c r="D46" s="78" t="s">
        <v>754</v>
      </c>
      <c r="E46" s="79"/>
      <c r="F46" s="79"/>
      <c r="G46" s="79"/>
      <c r="H46" s="79" t="s">
        <v>399</v>
      </c>
      <c r="I46" s="79" t="s">
        <v>935</v>
      </c>
      <c r="J46" s="79">
        <v>11.5</v>
      </c>
      <c r="K46" s="79" t="s">
        <v>748</v>
      </c>
      <c r="L46" s="79"/>
      <c r="M46" s="79"/>
      <c r="N46" s="79">
        <v>1</v>
      </c>
      <c r="O46" s="79">
        <v>1</v>
      </c>
      <c r="P46" s="80" t="s">
        <v>749</v>
      </c>
      <c r="Q46" s="79">
        <v>13</v>
      </c>
      <c r="R46" s="79">
        <v>23.4</v>
      </c>
      <c r="S46" s="79">
        <v>31</v>
      </c>
      <c r="T46" s="79">
        <v>19</v>
      </c>
      <c r="U46" s="79"/>
      <c r="V46"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6" s="79">
        <f>SUM(Table326[[#This Row],[Slo - Pitch - Mens ]:[Slo - Pitch - Co-Ed ]])</f>
        <v>0</v>
      </c>
      <c r="X46" s="79">
        <f>SUM(Table326[[#This Row],[Baseball - U18 ]:[Baseball - U7 ]])</f>
        <v>0</v>
      </c>
      <c r="Y46" s="72" t="s">
        <v>1042</v>
      </c>
      <c r="Z4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46" s="74">
        <f>13.72-Table326[[#This Row],[Diamonds: Dimension Home to Pitchers Plate - m ]]</f>
        <v>0.72000000000000064</v>
      </c>
      <c r="AB46" s="74">
        <f>14.32-Table326[[#This Row],[Diamonds: Dimension Home to Pitchers Plate - m ]]</f>
        <v>1.3200000000000003</v>
      </c>
      <c r="AC46" s="74">
        <f>17.988-Table326[[#This Row],[Diamonds: Home to First Base Path - m ]]</f>
        <v>-1.0120000000000005</v>
      </c>
      <c r="AD46" s="105">
        <f>18.588-Table326[[#This Row],[Diamonds: Home to First Base Path - m ]]</f>
        <v>-0.41199999999999903</v>
      </c>
      <c r="AE46" s="74">
        <f>AVERAGE(Table326[[#This Row],[Home to Pitch (Low)]:[Home to 1st (High)]])</f>
        <v>0.15400000000000036</v>
      </c>
      <c r="AF46" s="74">
        <v>1</v>
      </c>
      <c r="AG46" s="108">
        <f>12.5-Table326[[#This Row],[Diamonds: Dimension Home to Pitchers Plate - m ]]</f>
        <v>-0.5</v>
      </c>
      <c r="AH46" s="109">
        <f>13.1-Table326[[#This Row],[Diamonds: Dimension Home to Pitchers Plate - m ]]</f>
        <v>9.9999999999999645E-2</v>
      </c>
      <c r="AI46" s="108">
        <f>17.988-Table326[[#This Row],[Diamonds: Home to First Base Path - m ]]</f>
        <v>-1.0120000000000005</v>
      </c>
      <c r="AJ46" s="111">
        <f>18.588-Table326[[#This Row],[Diamonds: Home to First Base Path - m ]]</f>
        <v>-0.41199999999999903</v>
      </c>
      <c r="AK46" s="74">
        <f>AVERAGE(Table326[[#This Row],[Home to Pitch (Low)2]:[Home to 1st (High)5]])</f>
        <v>-0.45599999999999996</v>
      </c>
      <c r="AL4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6" s="74">
        <f>11.2-Table326[[#This Row],[Diamonds: Dimension Home to Pitchers Plate - m ]]</f>
        <v>-1.8000000000000007</v>
      </c>
      <c r="AN46" s="74">
        <f>11.8-Table326[[#This Row],[Diamonds: Dimension Home to Pitchers Plate - m ]]</f>
        <v>-1.1999999999999993</v>
      </c>
      <c r="AO46" s="74">
        <f>16.5-Table326[[#This Row],[Diamonds: Home to First Base Path - m ]]</f>
        <v>-2.5</v>
      </c>
      <c r="AP46" s="74">
        <f>17.04-Table326[[#This Row],[Diamonds: Home to First Base Path - m ]]</f>
        <v>-1.9600000000000009</v>
      </c>
      <c r="AQ4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6" s="74">
        <f>10.37-Table326[[#This Row],[Diamonds: Dimension Home to Pitchers Plate - m ]]</f>
        <v>-2.6300000000000008</v>
      </c>
      <c r="AS46" s="74">
        <f>10.97-Table326[[#This Row],[Diamonds: Dimension Home to Pitchers Plate - m ]]</f>
        <v>-2.0299999999999994</v>
      </c>
      <c r="AT46" s="74">
        <f>13.5-Table326[[#This Row],[Diamonds: Home to First Base Path - m ]]</f>
        <v>-5.5</v>
      </c>
      <c r="AU46" s="74">
        <f>14.02-Table326[[#This Row],[Diamonds: Home to First Base Path - m ]]</f>
        <v>-4.9800000000000004</v>
      </c>
      <c r="AV4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4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4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6" s="74"/>
      <c r="BR46" s="74"/>
      <c r="BS46" s="75" t="s">
        <v>936</v>
      </c>
      <c r="BT46" s="76" t="s">
        <v>388</v>
      </c>
    </row>
    <row r="47" spans="1:72" ht="16.8" x14ac:dyDescent="0.3">
      <c r="A47" s="70" t="s">
        <v>157</v>
      </c>
      <c r="B47" s="71" t="s">
        <v>676</v>
      </c>
      <c r="C47" s="71" t="s">
        <v>739</v>
      </c>
      <c r="D47" s="71" t="s">
        <v>789</v>
      </c>
      <c r="E47" s="72"/>
      <c r="F47" s="72"/>
      <c r="G47" s="72"/>
      <c r="H47" s="72" t="s">
        <v>408</v>
      </c>
      <c r="I47" s="72" t="s">
        <v>994</v>
      </c>
      <c r="J47" s="72">
        <v>6.5</v>
      </c>
      <c r="K47" s="72" t="s">
        <v>748</v>
      </c>
      <c r="L47" s="72"/>
      <c r="M47" s="72"/>
      <c r="N47" s="72">
        <v>1</v>
      </c>
      <c r="O47" s="72">
        <v>1</v>
      </c>
      <c r="P47" s="73" t="s">
        <v>749</v>
      </c>
      <c r="Q47" s="72">
        <v>13.8</v>
      </c>
      <c r="R47" s="72">
        <v>25.5</v>
      </c>
      <c r="S47" s="72">
        <v>30</v>
      </c>
      <c r="T47" s="72">
        <v>18.2</v>
      </c>
      <c r="U47" s="72"/>
      <c r="V47"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7" s="72">
        <f>SUM(Table326[[#This Row],[Slo - Pitch - Mens ]:[Slo - Pitch - Co-Ed ]])</f>
        <v>0</v>
      </c>
      <c r="X47" s="72">
        <f>SUM(Table326[[#This Row],[Baseball - U18 ]:[Baseball - U7 ]])</f>
        <v>2</v>
      </c>
      <c r="Y47" s="72" t="s">
        <v>1043</v>
      </c>
      <c r="Z4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7" s="74">
        <f>13.72-Table326[[#This Row],[Diamonds: Dimension Home to Pitchers Plate - m ]]</f>
        <v>-8.0000000000000071E-2</v>
      </c>
      <c r="AB47" s="74">
        <f>14.32-Table326[[#This Row],[Diamonds: Dimension Home to Pitchers Plate - m ]]</f>
        <v>0.51999999999999957</v>
      </c>
      <c r="AC47" s="74">
        <f>17.988-Table326[[#This Row],[Diamonds: Home to First Base Path - m ]]</f>
        <v>-0.21199999999999974</v>
      </c>
      <c r="AD47" s="74">
        <f>18.588-Table326[[#This Row],[Diamonds: Home to First Base Path - m ]]</f>
        <v>0.38800000000000168</v>
      </c>
      <c r="AE47" s="74">
        <f>AVERAGE(Table326[[#This Row],[Home to Pitch (Low)]:[Home to 1st (High)]])</f>
        <v>0.15400000000000036</v>
      </c>
      <c r="AF4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7" s="74">
        <f>12.5-Table326[[#This Row],[Diamonds: Dimension Home to Pitchers Plate - m ]]</f>
        <v>-1.3000000000000007</v>
      </c>
      <c r="AH47" s="74">
        <f>13.1-Table326[[#This Row],[Diamonds: Dimension Home to Pitchers Plate - m ]]</f>
        <v>-0.70000000000000107</v>
      </c>
      <c r="AI47" s="74">
        <f>17.988-Table326[[#This Row],[Diamonds: Home to First Base Path - m ]]</f>
        <v>-0.21199999999999974</v>
      </c>
      <c r="AJ47" s="74">
        <f>18.588-Table326[[#This Row],[Diamonds: Home to First Base Path - m ]]</f>
        <v>0.38800000000000168</v>
      </c>
      <c r="AK47" s="74">
        <f>AVERAGE(Table326[[#This Row],[Home to Pitch (Low)2]:[Home to 1st (High)5]])</f>
        <v>-0.45599999999999996</v>
      </c>
      <c r="AL4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7" s="74">
        <f>11.2-Table326[[#This Row],[Diamonds: Dimension Home to Pitchers Plate - m ]]</f>
        <v>-2.6000000000000014</v>
      </c>
      <c r="AN47" s="74">
        <f>11.8-Table326[[#This Row],[Diamonds: Dimension Home to Pitchers Plate - m ]]</f>
        <v>-2</v>
      </c>
      <c r="AO47" s="74">
        <f>16.5-Table326[[#This Row],[Diamonds: Home to First Base Path - m ]]</f>
        <v>-1.6999999999999993</v>
      </c>
      <c r="AP47" s="74">
        <f>17.04-Table326[[#This Row],[Diamonds: Home to First Base Path - m ]]</f>
        <v>-1.1600000000000001</v>
      </c>
      <c r="AQ4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7" s="74">
        <f>10.37-Table326[[#This Row],[Diamonds: Dimension Home to Pitchers Plate - m ]]</f>
        <v>-3.4300000000000015</v>
      </c>
      <c r="AS47" s="74">
        <f>10.97-Table326[[#This Row],[Diamonds: Dimension Home to Pitchers Plate - m ]]</f>
        <v>-2.83</v>
      </c>
      <c r="AT47" s="74">
        <f>13.5-Table326[[#This Row],[Diamonds: Home to First Base Path - m ]]</f>
        <v>-4.6999999999999993</v>
      </c>
      <c r="AU47" s="74">
        <f>14.02-Table326[[#This Row],[Diamonds: Home to First Base Path - m ]]</f>
        <v>-4.18</v>
      </c>
      <c r="AV4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7" s="74"/>
      <c r="BR47" s="74"/>
      <c r="BS47" s="75" t="s">
        <v>995</v>
      </c>
      <c r="BT47" s="76" t="s">
        <v>388</v>
      </c>
    </row>
    <row r="48" spans="1:72" ht="16.8" x14ac:dyDescent="0.3">
      <c r="A48" s="77" t="s">
        <v>35</v>
      </c>
      <c r="B48" s="78" t="s">
        <v>468</v>
      </c>
      <c r="C48" s="78" t="s">
        <v>739</v>
      </c>
      <c r="D48" s="78" t="s">
        <v>740</v>
      </c>
      <c r="E48" s="79"/>
      <c r="F48" s="79"/>
      <c r="G48" s="79"/>
      <c r="H48" s="79" t="s">
        <v>385</v>
      </c>
      <c r="I48" s="79" t="s">
        <v>803</v>
      </c>
      <c r="J48" s="79">
        <v>6</v>
      </c>
      <c r="K48" s="79" t="s">
        <v>748</v>
      </c>
      <c r="L48" s="79">
        <v>1</v>
      </c>
      <c r="M48" s="79">
        <v>1</v>
      </c>
      <c r="N48" s="79">
        <v>1</v>
      </c>
      <c r="O48" s="79">
        <v>1</v>
      </c>
      <c r="P48" s="80" t="s">
        <v>749</v>
      </c>
      <c r="Q48" s="79">
        <v>14</v>
      </c>
      <c r="R48" s="79">
        <v>25.8</v>
      </c>
      <c r="S48" s="79">
        <v>31.5</v>
      </c>
      <c r="T48" s="79">
        <v>18</v>
      </c>
      <c r="U48" s="79">
        <v>1</v>
      </c>
      <c r="V4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8" s="79">
        <f>SUM(Table326[[#This Row],[Slo - Pitch - Mens ]:[Slo - Pitch - Co-Ed ]])</f>
        <v>0</v>
      </c>
      <c r="X48" s="79">
        <f>SUM(Table326[[#This Row],[Baseball - U18 ]:[Baseball - U7 ]])</f>
        <v>2</v>
      </c>
      <c r="Y48" s="72" t="s">
        <v>1043</v>
      </c>
      <c r="Z4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8" s="74">
        <f>13.72-Table326[[#This Row],[Diamonds: Dimension Home to Pitchers Plate - m ]]</f>
        <v>-0.27999999999999936</v>
      </c>
      <c r="AB48" s="74">
        <f>14.32-Table326[[#This Row],[Diamonds: Dimension Home to Pitchers Plate - m ]]</f>
        <v>0.32000000000000028</v>
      </c>
      <c r="AC48" s="74">
        <f>17.988-Table326[[#This Row],[Diamonds: Home to First Base Path - m ]]</f>
        <v>-1.2000000000000455E-2</v>
      </c>
      <c r="AD48" s="74">
        <f>18.588-Table326[[#This Row],[Diamonds: Home to First Base Path - m ]]</f>
        <v>0.58800000000000097</v>
      </c>
      <c r="AE48" s="74">
        <f>AVERAGE(Table326[[#This Row],[Home to Pitch (Low)]:[Home to 1st (High)]])</f>
        <v>0.15400000000000036</v>
      </c>
      <c r="AF4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8" s="74">
        <f>12.5-Table326[[#This Row],[Diamonds: Dimension Home to Pitchers Plate - m ]]</f>
        <v>-1.5</v>
      </c>
      <c r="AH48" s="74">
        <f>13.1-Table326[[#This Row],[Diamonds: Dimension Home to Pitchers Plate - m ]]</f>
        <v>-0.90000000000000036</v>
      </c>
      <c r="AI48" s="74">
        <f>17.988-Table326[[#This Row],[Diamonds: Home to First Base Path - m ]]</f>
        <v>-1.2000000000000455E-2</v>
      </c>
      <c r="AJ48" s="74">
        <f>18.588-Table326[[#This Row],[Diamonds: Home to First Base Path - m ]]</f>
        <v>0.58800000000000097</v>
      </c>
      <c r="AK48" s="74">
        <f>AVERAGE(Table326[[#This Row],[Home to Pitch (Low)2]:[Home to 1st (High)5]])</f>
        <v>-0.45599999999999996</v>
      </c>
      <c r="AL4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8" s="74">
        <f>11.2-Table326[[#This Row],[Diamonds: Dimension Home to Pitchers Plate - m ]]</f>
        <v>-2.8000000000000007</v>
      </c>
      <c r="AN48" s="74">
        <f>11.8-Table326[[#This Row],[Diamonds: Dimension Home to Pitchers Plate - m ]]</f>
        <v>-2.1999999999999993</v>
      </c>
      <c r="AO48" s="74">
        <f>16.5-Table326[[#This Row],[Diamonds: Home to First Base Path - m ]]</f>
        <v>-1.5</v>
      </c>
      <c r="AP48" s="74">
        <f>17.04-Table326[[#This Row],[Diamonds: Home to First Base Path - m ]]</f>
        <v>-0.96000000000000085</v>
      </c>
      <c r="AQ4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8" s="74">
        <f>10.37-Table326[[#This Row],[Diamonds: Dimension Home to Pitchers Plate - m ]]</f>
        <v>-3.6300000000000008</v>
      </c>
      <c r="AS48" s="74">
        <f>10.97-Table326[[#This Row],[Diamonds: Dimension Home to Pitchers Plate - m ]]</f>
        <v>-3.0299999999999994</v>
      </c>
      <c r="AT48" s="74">
        <f>13.5-Table326[[#This Row],[Diamonds: Home to First Base Path - m ]]</f>
        <v>-4.5</v>
      </c>
      <c r="AU48" s="74">
        <f>14.02-Table326[[#This Row],[Diamonds: Home to First Base Path - m ]]</f>
        <v>-3.9800000000000004</v>
      </c>
      <c r="AV4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8" s="74"/>
      <c r="BR48" s="74"/>
      <c r="BS48" s="75" t="s">
        <v>387</v>
      </c>
      <c r="BT48" s="76" t="s">
        <v>388</v>
      </c>
    </row>
    <row r="49" spans="1:72" ht="16.8" x14ac:dyDescent="0.3">
      <c r="A49" s="77" t="s">
        <v>39</v>
      </c>
      <c r="B49" s="78" t="s">
        <v>468</v>
      </c>
      <c r="C49" s="78" t="s">
        <v>739</v>
      </c>
      <c r="D49" s="78" t="s">
        <v>740</v>
      </c>
      <c r="E49" s="79"/>
      <c r="F49" s="79"/>
      <c r="G49" s="79"/>
      <c r="H49" s="79" t="s">
        <v>444</v>
      </c>
      <c r="I49" s="79" t="s">
        <v>808</v>
      </c>
      <c r="J49" s="79">
        <v>9</v>
      </c>
      <c r="K49" s="79" t="s">
        <v>748</v>
      </c>
      <c r="L49" s="79">
        <v>1</v>
      </c>
      <c r="M49" s="79"/>
      <c r="N49" s="79">
        <v>1</v>
      </c>
      <c r="O49" s="79">
        <v>1</v>
      </c>
      <c r="P49" s="80" t="s">
        <v>749</v>
      </c>
      <c r="Q49" s="79">
        <v>14</v>
      </c>
      <c r="R49" s="79">
        <v>25.6</v>
      </c>
      <c r="S49" s="79">
        <v>29.8</v>
      </c>
      <c r="T49" s="79">
        <v>18</v>
      </c>
      <c r="U49" s="79">
        <v>1</v>
      </c>
      <c r="V4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49" s="79">
        <f>SUM(Table326[[#This Row],[Slo - Pitch - Mens ]:[Slo - Pitch - Co-Ed ]])</f>
        <v>0</v>
      </c>
      <c r="X49" s="79">
        <f>SUM(Table326[[#This Row],[Baseball - U18 ]:[Baseball - U7 ]])</f>
        <v>2</v>
      </c>
      <c r="Y49" s="72" t="s">
        <v>1043</v>
      </c>
      <c r="Z4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49" s="74">
        <f>13.72-Table326[[#This Row],[Diamonds: Dimension Home to Pitchers Plate - m ]]</f>
        <v>-0.27999999999999936</v>
      </c>
      <c r="AB49" s="74">
        <f>14.32-Table326[[#This Row],[Diamonds: Dimension Home to Pitchers Plate - m ]]</f>
        <v>0.32000000000000028</v>
      </c>
      <c r="AC49" s="74">
        <f>17.988-Table326[[#This Row],[Diamonds: Home to First Base Path - m ]]</f>
        <v>-1.2000000000000455E-2</v>
      </c>
      <c r="AD49" s="74">
        <f>18.588-Table326[[#This Row],[Diamonds: Home to First Base Path - m ]]</f>
        <v>0.58800000000000097</v>
      </c>
      <c r="AE49" s="74">
        <f>AVERAGE(Table326[[#This Row],[Home to Pitch (Low)]:[Home to 1st (High)]])</f>
        <v>0.15400000000000036</v>
      </c>
      <c r="AF4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49" s="74">
        <f>12.5-Table326[[#This Row],[Diamonds: Dimension Home to Pitchers Plate - m ]]</f>
        <v>-1.5</v>
      </c>
      <c r="AH49" s="74">
        <f>13.1-Table326[[#This Row],[Diamonds: Dimension Home to Pitchers Plate - m ]]</f>
        <v>-0.90000000000000036</v>
      </c>
      <c r="AI49" s="74">
        <f>17.988-Table326[[#This Row],[Diamonds: Home to First Base Path - m ]]</f>
        <v>-1.2000000000000455E-2</v>
      </c>
      <c r="AJ49" s="74">
        <f>18.588-Table326[[#This Row],[Diamonds: Home to First Base Path - m ]]</f>
        <v>0.58800000000000097</v>
      </c>
      <c r="AK49" s="74">
        <f>AVERAGE(Table326[[#This Row],[Home to Pitch (Low)2]:[Home to 1st (High)5]])</f>
        <v>-0.45599999999999996</v>
      </c>
      <c r="AL4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49" s="74">
        <f>11.2-Table326[[#This Row],[Diamonds: Dimension Home to Pitchers Plate - m ]]</f>
        <v>-2.8000000000000007</v>
      </c>
      <c r="AN49" s="74">
        <f>11.8-Table326[[#This Row],[Diamonds: Dimension Home to Pitchers Plate - m ]]</f>
        <v>-2.1999999999999993</v>
      </c>
      <c r="AO49" s="74">
        <f>16.5-Table326[[#This Row],[Diamonds: Home to First Base Path - m ]]</f>
        <v>-1.5</v>
      </c>
      <c r="AP49" s="74">
        <f>17.04-Table326[[#This Row],[Diamonds: Home to First Base Path - m ]]</f>
        <v>-0.96000000000000085</v>
      </c>
      <c r="AQ4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49" s="74">
        <f>10.37-Table326[[#This Row],[Diamonds: Dimension Home to Pitchers Plate - m ]]</f>
        <v>-3.6300000000000008</v>
      </c>
      <c r="AS49" s="74">
        <f>10.97-Table326[[#This Row],[Diamonds: Dimension Home to Pitchers Plate - m ]]</f>
        <v>-3.0299999999999994</v>
      </c>
      <c r="AT49" s="74">
        <f>13.5-Table326[[#This Row],[Diamonds: Home to First Base Path - m ]]</f>
        <v>-4.5</v>
      </c>
      <c r="AU49" s="74">
        <f>14.02-Table326[[#This Row],[Diamonds: Home to First Base Path - m ]]</f>
        <v>-3.9800000000000004</v>
      </c>
      <c r="AV4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4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4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4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4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4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4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4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4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4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4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4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4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4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4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4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4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4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4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4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4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49" s="74"/>
      <c r="BR49" s="74"/>
      <c r="BS49" s="75" t="s">
        <v>809</v>
      </c>
      <c r="BT49" s="76" t="s">
        <v>388</v>
      </c>
    </row>
    <row r="50" spans="1:72" ht="33.6" x14ac:dyDescent="0.3">
      <c r="A50" s="70" t="s">
        <v>47</v>
      </c>
      <c r="B50" s="71" t="s">
        <v>481</v>
      </c>
      <c r="C50" s="71" t="s">
        <v>739</v>
      </c>
      <c r="D50" s="71" t="s">
        <v>740</v>
      </c>
      <c r="E50" s="72">
        <v>1</v>
      </c>
      <c r="F50" s="72" t="s">
        <v>770</v>
      </c>
      <c r="G50" s="72">
        <v>60.5</v>
      </c>
      <c r="H50" s="72" t="s">
        <v>385</v>
      </c>
      <c r="I50" s="72" t="s">
        <v>819</v>
      </c>
      <c r="J50" s="72">
        <v>9.5</v>
      </c>
      <c r="K50" s="72" t="s">
        <v>742</v>
      </c>
      <c r="L50" s="72">
        <v>1</v>
      </c>
      <c r="M50" s="72">
        <v>1</v>
      </c>
      <c r="N50" s="72">
        <v>1</v>
      </c>
      <c r="O50" s="72">
        <v>1</v>
      </c>
      <c r="P50" s="73" t="s">
        <v>820</v>
      </c>
      <c r="Q50" s="72">
        <v>14</v>
      </c>
      <c r="R50" s="72">
        <v>25.8</v>
      </c>
      <c r="S50" s="72">
        <v>30.4</v>
      </c>
      <c r="T50" s="72">
        <v>18</v>
      </c>
      <c r="U50" s="72">
        <v>1</v>
      </c>
      <c r="V5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0" s="72">
        <f>SUM(Table326[[#This Row],[Slo - Pitch - Mens ]:[Slo - Pitch - Co-Ed ]])</f>
        <v>0</v>
      </c>
      <c r="X50" s="72">
        <f>SUM(Table326[[#This Row],[Baseball - U18 ]:[Baseball - U7 ]])</f>
        <v>2</v>
      </c>
      <c r="Y50" s="72" t="s">
        <v>1043</v>
      </c>
      <c r="Z5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0" s="74">
        <f>13.72-Table326[[#This Row],[Diamonds: Dimension Home to Pitchers Plate - m ]]</f>
        <v>-0.27999999999999936</v>
      </c>
      <c r="AB50" s="74">
        <f>14.32-Table326[[#This Row],[Diamonds: Dimension Home to Pitchers Plate - m ]]</f>
        <v>0.32000000000000028</v>
      </c>
      <c r="AC50" s="74">
        <f>17.988-Table326[[#This Row],[Diamonds: Home to First Base Path - m ]]</f>
        <v>-1.2000000000000455E-2</v>
      </c>
      <c r="AD50" s="74">
        <f>18.588-Table326[[#This Row],[Diamonds: Home to First Base Path - m ]]</f>
        <v>0.58800000000000097</v>
      </c>
      <c r="AE50" s="74">
        <f>AVERAGE(Table326[[#This Row],[Home to Pitch (Low)]:[Home to 1st (High)]])</f>
        <v>0.15400000000000036</v>
      </c>
      <c r="AF5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0" s="74">
        <f>12.5-Table326[[#This Row],[Diamonds: Dimension Home to Pitchers Plate - m ]]</f>
        <v>-1.5</v>
      </c>
      <c r="AH50" s="74">
        <f>13.1-Table326[[#This Row],[Diamonds: Dimension Home to Pitchers Plate - m ]]</f>
        <v>-0.90000000000000036</v>
      </c>
      <c r="AI50" s="74">
        <f>17.988-Table326[[#This Row],[Diamonds: Home to First Base Path - m ]]</f>
        <v>-1.2000000000000455E-2</v>
      </c>
      <c r="AJ50" s="74">
        <f>18.588-Table326[[#This Row],[Diamonds: Home to First Base Path - m ]]</f>
        <v>0.58800000000000097</v>
      </c>
      <c r="AK50" s="74">
        <f>AVERAGE(Table326[[#This Row],[Home to Pitch (Low)2]:[Home to 1st (High)5]])</f>
        <v>-0.45599999999999996</v>
      </c>
      <c r="AL5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0" s="74">
        <f>11.2-Table326[[#This Row],[Diamonds: Dimension Home to Pitchers Plate - m ]]</f>
        <v>-2.8000000000000007</v>
      </c>
      <c r="AN50" s="74">
        <f>11.8-Table326[[#This Row],[Diamonds: Dimension Home to Pitchers Plate - m ]]</f>
        <v>-2.1999999999999993</v>
      </c>
      <c r="AO50" s="74">
        <f>16.5-Table326[[#This Row],[Diamonds: Home to First Base Path - m ]]</f>
        <v>-1.5</v>
      </c>
      <c r="AP50" s="74">
        <f>17.04-Table326[[#This Row],[Diamonds: Home to First Base Path - m ]]</f>
        <v>-0.96000000000000085</v>
      </c>
      <c r="AQ5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0" s="74">
        <f>10.37-Table326[[#This Row],[Diamonds: Dimension Home to Pitchers Plate - m ]]</f>
        <v>-3.6300000000000008</v>
      </c>
      <c r="AS50" s="74">
        <f>10.97-Table326[[#This Row],[Diamonds: Dimension Home to Pitchers Plate - m ]]</f>
        <v>-3.0299999999999994</v>
      </c>
      <c r="AT50" s="74">
        <f>13.5-Table326[[#This Row],[Diamonds: Home to First Base Path - m ]]</f>
        <v>-4.5</v>
      </c>
      <c r="AU50" s="74">
        <f>14.02-Table326[[#This Row],[Diamonds: Home to First Base Path - m ]]</f>
        <v>-3.9800000000000004</v>
      </c>
      <c r="AV5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0" s="74"/>
      <c r="BR50" s="74"/>
      <c r="BS50" s="75" t="s">
        <v>821</v>
      </c>
      <c r="BT50" s="76" t="s">
        <v>388</v>
      </c>
    </row>
    <row r="51" spans="1:72" ht="16.8" x14ac:dyDescent="0.3">
      <c r="A51" s="70" t="s">
        <v>69</v>
      </c>
      <c r="B51" s="71" t="s">
        <v>534</v>
      </c>
      <c r="C51" s="71" t="s">
        <v>769</v>
      </c>
      <c r="D51" s="71" t="s">
        <v>754</v>
      </c>
      <c r="E51" s="72">
        <v>1</v>
      </c>
      <c r="F51" s="72" t="s">
        <v>824</v>
      </c>
      <c r="G51" s="72">
        <v>59.1</v>
      </c>
      <c r="H51" s="72" t="s">
        <v>444</v>
      </c>
      <c r="I51" s="72" t="s">
        <v>855</v>
      </c>
      <c r="J51" s="72">
        <v>6</v>
      </c>
      <c r="K51" s="72" t="s">
        <v>748</v>
      </c>
      <c r="L51" s="72">
        <v>1</v>
      </c>
      <c r="M51" s="72">
        <v>1</v>
      </c>
      <c r="N51" s="72">
        <v>1</v>
      </c>
      <c r="O51" s="72">
        <v>1</v>
      </c>
      <c r="P51" s="73" t="s">
        <v>749</v>
      </c>
      <c r="Q51" s="72">
        <v>14</v>
      </c>
      <c r="R51" s="72">
        <v>28.8</v>
      </c>
      <c r="S51" s="72">
        <v>29</v>
      </c>
      <c r="T51" s="72">
        <v>18</v>
      </c>
      <c r="U51" s="72">
        <v>1</v>
      </c>
      <c r="V5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1" s="72">
        <f>SUM(Table326[[#This Row],[Slo - Pitch - Mens ]:[Slo - Pitch - Co-Ed ]])</f>
        <v>0</v>
      </c>
      <c r="X51" s="72">
        <f>SUM(Table326[[#This Row],[Baseball - U18 ]:[Baseball - U7 ]])</f>
        <v>2</v>
      </c>
      <c r="Y51" s="72" t="s">
        <v>1043</v>
      </c>
      <c r="Z5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1" s="74">
        <f>13.72-Table326[[#This Row],[Diamonds: Dimension Home to Pitchers Plate - m ]]</f>
        <v>-0.27999999999999936</v>
      </c>
      <c r="AB51" s="74">
        <f>14.32-Table326[[#This Row],[Diamonds: Dimension Home to Pitchers Plate - m ]]</f>
        <v>0.32000000000000028</v>
      </c>
      <c r="AC51" s="74">
        <f>17.988-Table326[[#This Row],[Diamonds: Home to First Base Path - m ]]</f>
        <v>-1.2000000000000455E-2</v>
      </c>
      <c r="AD51" s="74">
        <f>18.588-Table326[[#This Row],[Diamonds: Home to First Base Path - m ]]</f>
        <v>0.58800000000000097</v>
      </c>
      <c r="AE51" s="74">
        <f>AVERAGE(Table326[[#This Row],[Home to Pitch (Low)]:[Home to 1st (High)]])</f>
        <v>0.15400000000000036</v>
      </c>
      <c r="AF5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1" s="74">
        <f>12.5-Table326[[#This Row],[Diamonds: Dimension Home to Pitchers Plate - m ]]</f>
        <v>-1.5</v>
      </c>
      <c r="AH51" s="74">
        <f>13.1-Table326[[#This Row],[Diamonds: Dimension Home to Pitchers Plate - m ]]</f>
        <v>-0.90000000000000036</v>
      </c>
      <c r="AI51" s="74">
        <f>17.988-Table326[[#This Row],[Diamonds: Home to First Base Path - m ]]</f>
        <v>-1.2000000000000455E-2</v>
      </c>
      <c r="AJ51" s="74">
        <f>18.588-Table326[[#This Row],[Diamonds: Home to First Base Path - m ]]</f>
        <v>0.58800000000000097</v>
      </c>
      <c r="AK51" s="74">
        <f>AVERAGE(Table326[[#This Row],[Home to Pitch (Low)2]:[Home to 1st (High)5]])</f>
        <v>-0.45599999999999996</v>
      </c>
      <c r="AL5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1" s="74">
        <f>11.2-Table326[[#This Row],[Diamonds: Dimension Home to Pitchers Plate - m ]]</f>
        <v>-2.8000000000000007</v>
      </c>
      <c r="AN51" s="74">
        <f>11.8-Table326[[#This Row],[Diamonds: Dimension Home to Pitchers Plate - m ]]</f>
        <v>-2.1999999999999993</v>
      </c>
      <c r="AO51" s="74">
        <f>16.5-Table326[[#This Row],[Diamonds: Home to First Base Path - m ]]</f>
        <v>-1.5</v>
      </c>
      <c r="AP51" s="74">
        <f>17.04-Table326[[#This Row],[Diamonds: Home to First Base Path - m ]]</f>
        <v>-0.96000000000000085</v>
      </c>
      <c r="AQ5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1" s="74">
        <f>10.37-Table326[[#This Row],[Diamonds: Dimension Home to Pitchers Plate - m ]]</f>
        <v>-3.6300000000000008</v>
      </c>
      <c r="AS51" s="74">
        <f>10.97-Table326[[#This Row],[Diamonds: Dimension Home to Pitchers Plate - m ]]</f>
        <v>-3.0299999999999994</v>
      </c>
      <c r="AT51" s="74">
        <f>13.5-Table326[[#This Row],[Diamonds: Home to First Base Path - m ]]</f>
        <v>-4.5</v>
      </c>
      <c r="AU51" s="74">
        <f>14.02-Table326[[#This Row],[Diamonds: Home to First Base Path - m ]]</f>
        <v>-3.9800000000000004</v>
      </c>
      <c r="AV5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1" s="74"/>
      <c r="BR51" s="74"/>
      <c r="BS51" s="75" t="s">
        <v>856</v>
      </c>
      <c r="BT51" s="76" t="s">
        <v>857</v>
      </c>
    </row>
    <row r="52" spans="1:72" ht="16.8" x14ac:dyDescent="0.3">
      <c r="A52" s="77" t="s">
        <v>71</v>
      </c>
      <c r="B52" s="78" t="s">
        <v>534</v>
      </c>
      <c r="C52" s="78" t="s">
        <v>769</v>
      </c>
      <c r="D52" s="78" t="s">
        <v>740</v>
      </c>
      <c r="E52" s="79">
        <v>1</v>
      </c>
      <c r="F52" s="79" t="s">
        <v>824</v>
      </c>
      <c r="G52" s="79">
        <v>60.6</v>
      </c>
      <c r="H52" s="79" t="s">
        <v>399</v>
      </c>
      <c r="I52" s="79" t="s">
        <v>858</v>
      </c>
      <c r="J52" s="79">
        <v>8.5</v>
      </c>
      <c r="K52" s="79" t="s">
        <v>748</v>
      </c>
      <c r="L52" s="79">
        <v>1</v>
      </c>
      <c r="M52" s="79">
        <v>1</v>
      </c>
      <c r="N52" s="79">
        <v>1</v>
      </c>
      <c r="O52" s="79">
        <v>1</v>
      </c>
      <c r="P52" s="80" t="s">
        <v>749</v>
      </c>
      <c r="Q52" s="79">
        <v>14</v>
      </c>
      <c r="R52" s="79">
        <v>25.6</v>
      </c>
      <c r="S52" s="79">
        <v>32</v>
      </c>
      <c r="T52" s="79">
        <v>18</v>
      </c>
      <c r="U52" s="79">
        <v>1</v>
      </c>
      <c r="V5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2" s="79">
        <f>SUM(Table326[[#This Row],[Slo - Pitch - Mens ]:[Slo - Pitch - Co-Ed ]])</f>
        <v>0</v>
      </c>
      <c r="X52" s="79">
        <f>SUM(Table326[[#This Row],[Baseball - U18 ]:[Baseball - U7 ]])</f>
        <v>2</v>
      </c>
      <c r="Y52" s="72" t="s">
        <v>1043</v>
      </c>
      <c r="Z5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2" s="74">
        <f>13.72-Table326[[#This Row],[Diamonds: Dimension Home to Pitchers Plate - m ]]</f>
        <v>-0.27999999999999936</v>
      </c>
      <c r="AB52" s="74">
        <f>14.32-Table326[[#This Row],[Diamonds: Dimension Home to Pitchers Plate - m ]]</f>
        <v>0.32000000000000028</v>
      </c>
      <c r="AC52" s="74">
        <f>17.988-Table326[[#This Row],[Diamonds: Home to First Base Path - m ]]</f>
        <v>-1.2000000000000455E-2</v>
      </c>
      <c r="AD52" s="74">
        <f>18.588-Table326[[#This Row],[Diamonds: Home to First Base Path - m ]]</f>
        <v>0.58800000000000097</v>
      </c>
      <c r="AE52" s="74">
        <f>AVERAGE(Table326[[#This Row],[Home to Pitch (Low)]:[Home to 1st (High)]])</f>
        <v>0.15400000000000036</v>
      </c>
      <c r="AF5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2" s="74">
        <f>12.5-Table326[[#This Row],[Diamonds: Dimension Home to Pitchers Plate - m ]]</f>
        <v>-1.5</v>
      </c>
      <c r="AH52" s="74">
        <f>13.1-Table326[[#This Row],[Diamonds: Dimension Home to Pitchers Plate - m ]]</f>
        <v>-0.90000000000000036</v>
      </c>
      <c r="AI52" s="74">
        <f>17.988-Table326[[#This Row],[Diamonds: Home to First Base Path - m ]]</f>
        <v>-1.2000000000000455E-2</v>
      </c>
      <c r="AJ52" s="74">
        <f>18.588-Table326[[#This Row],[Diamonds: Home to First Base Path - m ]]</f>
        <v>0.58800000000000097</v>
      </c>
      <c r="AK52" s="74">
        <f>AVERAGE(Table326[[#This Row],[Home to Pitch (Low)2]:[Home to 1st (High)5]])</f>
        <v>-0.45599999999999996</v>
      </c>
      <c r="AL5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2" s="74">
        <f>11.2-Table326[[#This Row],[Diamonds: Dimension Home to Pitchers Plate - m ]]</f>
        <v>-2.8000000000000007</v>
      </c>
      <c r="AN52" s="74">
        <f>11.8-Table326[[#This Row],[Diamonds: Dimension Home to Pitchers Plate - m ]]</f>
        <v>-2.1999999999999993</v>
      </c>
      <c r="AO52" s="74">
        <f>16.5-Table326[[#This Row],[Diamonds: Home to First Base Path - m ]]</f>
        <v>-1.5</v>
      </c>
      <c r="AP52" s="74">
        <f>17.04-Table326[[#This Row],[Diamonds: Home to First Base Path - m ]]</f>
        <v>-0.96000000000000085</v>
      </c>
      <c r="AQ5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2" s="74">
        <f>10.37-Table326[[#This Row],[Diamonds: Dimension Home to Pitchers Plate - m ]]</f>
        <v>-3.6300000000000008</v>
      </c>
      <c r="AS52" s="74">
        <f>10.97-Table326[[#This Row],[Diamonds: Dimension Home to Pitchers Plate - m ]]</f>
        <v>-3.0299999999999994</v>
      </c>
      <c r="AT52" s="74">
        <f>13.5-Table326[[#This Row],[Diamonds: Home to First Base Path - m ]]</f>
        <v>-4.5</v>
      </c>
      <c r="AU52" s="74">
        <f>14.02-Table326[[#This Row],[Diamonds: Home to First Base Path - m ]]</f>
        <v>-3.9800000000000004</v>
      </c>
      <c r="AV5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2" s="74"/>
      <c r="BR52" s="74"/>
      <c r="BS52" s="75" t="s">
        <v>859</v>
      </c>
      <c r="BT52" s="76" t="s">
        <v>388</v>
      </c>
    </row>
    <row r="53" spans="1:72" ht="33.6" x14ac:dyDescent="0.3">
      <c r="A53" s="70" t="s">
        <v>73</v>
      </c>
      <c r="B53" s="71" t="s">
        <v>534</v>
      </c>
      <c r="C53" s="71" t="s">
        <v>769</v>
      </c>
      <c r="D53" s="71" t="s">
        <v>789</v>
      </c>
      <c r="E53" s="72"/>
      <c r="F53" s="72"/>
      <c r="G53" s="72"/>
      <c r="H53" s="72" t="s">
        <v>444</v>
      </c>
      <c r="I53" s="72" t="s">
        <v>863</v>
      </c>
      <c r="J53" s="72">
        <v>5</v>
      </c>
      <c r="K53" s="72" t="s">
        <v>748</v>
      </c>
      <c r="L53" s="72"/>
      <c r="M53" s="72"/>
      <c r="N53" s="72">
        <v>1</v>
      </c>
      <c r="O53" s="72">
        <v>1</v>
      </c>
      <c r="P53" s="73" t="s">
        <v>749</v>
      </c>
      <c r="Q53" s="72">
        <v>14</v>
      </c>
      <c r="R53" s="72">
        <v>25</v>
      </c>
      <c r="S53" s="72">
        <v>30</v>
      </c>
      <c r="T53" s="72">
        <v>18</v>
      </c>
      <c r="U53" s="72"/>
      <c r="V53"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3" s="72">
        <f>SUM(Table326[[#This Row],[Slo - Pitch - Mens ]:[Slo - Pitch - Co-Ed ]])</f>
        <v>0</v>
      </c>
      <c r="X53" s="72">
        <f>SUM(Table326[[#This Row],[Baseball - U18 ]:[Baseball - U7 ]])</f>
        <v>2</v>
      </c>
      <c r="Y53" s="72" t="s">
        <v>1043</v>
      </c>
      <c r="Z5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3" s="74">
        <f>13.72-Table326[[#This Row],[Diamonds: Dimension Home to Pitchers Plate - m ]]</f>
        <v>-0.27999999999999936</v>
      </c>
      <c r="AB53" s="74">
        <f>14.32-Table326[[#This Row],[Diamonds: Dimension Home to Pitchers Plate - m ]]</f>
        <v>0.32000000000000028</v>
      </c>
      <c r="AC53" s="74">
        <f>17.988-Table326[[#This Row],[Diamonds: Home to First Base Path - m ]]</f>
        <v>-1.2000000000000455E-2</v>
      </c>
      <c r="AD53" s="74">
        <f>18.588-Table326[[#This Row],[Diamonds: Home to First Base Path - m ]]</f>
        <v>0.58800000000000097</v>
      </c>
      <c r="AE53" s="74">
        <f>AVERAGE(Table326[[#This Row],[Home to Pitch (Low)]:[Home to 1st (High)]])</f>
        <v>0.15400000000000036</v>
      </c>
      <c r="AF5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3" s="74">
        <f>12.5-Table326[[#This Row],[Diamonds: Dimension Home to Pitchers Plate - m ]]</f>
        <v>-1.5</v>
      </c>
      <c r="AH53" s="74">
        <f>13.1-Table326[[#This Row],[Diamonds: Dimension Home to Pitchers Plate - m ]]</f>
        <v>-0.90000000000000036</v>
      </c>
      <c r="AI53" s="74">
        <f>17.988-Table326[[#This Row],[Diamonds: Home to First Base Path - m ]]</f>
        <v>-1.2000000000000455E-2</v>
      </c>
      <c r="AJ53" s="74">
        <f>18.588-Table326[[#This Row],[Diamonds: Home to First Base Path - m ]]</f>
        <v>0.58800000000000097</v>
      </c>
      <c r="AK53" s="74">
        <f>AVERAGE(Table326[[#This Row],[Home to Pitch (Low)2]:[Home to 1st (High)5]])</f>
        <v>-0.45599999999999996</v>
      </c>
      <c r="AL5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3" s="74">
        <f>11.2-Table326[[#This Row],[Diamonds: Dimension Home to Pitchers Plate - m ]]</f>
        <v>-2.8000000000000007</v>
      </c>
      <c r="AN53" s="74">
        <f>11.8-Table326[[#This Row],[Diamonds: Dimension Home to Pitchers Plate - m ]]</f>
        <v>-2.1999999999999993</v>
      </c>
      <c r="AO53" s="74">
        <f>16.5-Table326[[#This Row],[Diamonds: Home to First Base Path - m ]]</f>
        <v>-1.5</v>
      </c>
      <c r="AP53" s="74">
        <f>17.04-Table326[[#This Row],[Diamonds: Home to First Base Path - m ]]</f>
        <v>-0.96000000000000085</v>
      </c>
      <c r="AQ5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3" s="74">
        <f>10.37-Table326[[#This Row],[Diamonds: Dimension Home to Pitchers Plate - m ]]</f>
        <v>-3.6300000000000008</v>
      </c>
      <c r="AS53" s="74">
        <f>10.97-Table326[[#This Row],[Diamonds: Dimension Home to Pitchers Plate - m ]]</f>
        <v>-3.0299999999999994</v>
      </c>
      <c r="AT53" s="74">
        <f>13.5-Table326[[#This Row],[Diamonds: Home to First Base Path - m ]]</f>
        <v>-4.5</v>
      </c>
      <c r="AU53" s="74">
        <f>14.02-Table326[[#This Row],[Diamonds: Home to First Base Path - m ]]</f>
        <v>-3.9800000000000004</v>
      </c>
      <c r="AV5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3" s="74"/>
      <c r="BR53" s="74"/>
      <c r="BS53" s="75" t="s">
        <v>864</v>
      </c>
      <c r="BT53" s="76" t="s">
        <v>388</v>
      </c>
    </row>
    <row r="54" spans="1:72" ht="33.6" x14ac:dyDescent="0.3">
      <c r="A54" s="70" t="s">
        <v>74</v>
      </c>
      <c r="B54" s="71" t="s">
        <v>534</v>
      </c>
      <c r="C54" s="71" t="s">
        <v>769</v>
      </c>
      <c r="D54" s="71" t="s">
        <v>789</v>
      </c>
      <c r="E54" s="72"/>
      <c r="F54" s="72"/>
      <c r="G54" s="72"/>
      <c r="H54" s="72" t="s">
        <v>385</v>
      </c>
      <c r="I54" s="72" t="s">
        <v>865</v>
      </c>
      <c r="J54" s="72">
        <v>6</v>
      </c>
      <c r="K54" s="72" t="s">
        <v>748</v>
      </c>
      <c r="L54" s="72"/>
      <c r="M54" s="72"/>
      <c r="N54" s="72">
        <v>1</v>
      </c>
      <c r="O54" s="72"/>
      <c r="P54" s="73" t="s">
        <v>749</v>
      </c>
      <c r="Q54" s="72">
        <v>14</v>
      </c>
      <c r="R54" s="72">
        <v>26.5</v>
      </c>
      <c r="S54" s="72">
        <v>30</v>
      </c>
      <c r="T54" s="72">
        <v>18</v>
      </c>
      <c r="U54" s="72"/>
      <c r="V5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4" s="72">
        <f>SUM(Table326[[#This Row],[Slo - Pitch - Mens ]:[Slo - Pitch - Co-Ed ]])</f>
        <v>0</v>
      </c>
      <c r="X54" s="72">
        <f>SUM(Table326[[#This Row],[Baseball - U18 ]:[Baseball - U7 ]])</f>
        <v>2</v>
      </c>
      <c r="Y54" s="72" t="s">
        <v>1043</v>
      </c>
      <c r="Z5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4" s="74">
        <f>13.72-Table326[[#This Row],[Diamonds: Dimension Home to Pitchers Plate - m ]]</f>
        <v>-0.27999999999999936</v>
      </c>
      <c r="AB54" s="74">
        <f>14.32-Table326[[#This Row],[Diamonds: Dimension Home to Pitchers Plate - m ]]</f>
        <v>0.32000000000000028</v>
      </c>
      <c r="AC54" s="74">
        <f>17.988-Table326[[#This Row],[Diamonds: Home to First Base Path - m ]]</f>
        <v>-1.2000000000000455E-2</v>
      </c>
      <c r="AD54" s="74">
        <f>18.588-Table326[[#This Row],[Diamonds: Home to First Base Path - m ]]</f>
        <v>0.58800000000000097</v>
      </c>
      <c r="AE54" s="74">
        <f>AVERAGE(Table326[[#This Row],[Home to Pitch (Low)]:[Home to 1st (High)]])</f>
        <v>0.15400000000000036</v>
      </c>
      <c r="AF5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4" s="74">
        <f>12.5-Table326[[#This Row],[Diamonds: Dimension Home to Pitchers Plate - m ]]</f>
        <v>-1.5</v>
      </c>
      <c r="AH54" s="74">
        <f>13.1-Table326[[#This Row],[Diamonds: Dimension Home to Pitchers Plate - m ]]</f>
        <v>-0.90000000000000036</v>
      </c>
      <c r="AI54" s="74">
        <f>17.988-Table326[[#This Row],[Diamonds: Home to First Base Path - m ]]</f>
        <v>-1.2000000000000455E-2</v>
      </c>
      <c r="AJ54" s="74">
        <f>18.588-Table326[[#This Row],[Diamonds: Home to First Base Path - m ]]</f>
        <v>0.58800000000000097</v>
      </c>
      <c r="AK54" s="74">
        <f>AVERAGE(Table326[[#This Row],[Home to Pitch (Low)2]:[Home to 1st (High)5]])</f>
        <v>-0.45599999999999996</v>
      </c>
      <c r="AL5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4" s="74">
        <f>11.2-Table326[[#This Row],[Diamonds: Dimension Home to Pitchers Plate - m ]]</f>
        <v>-2.8000000000000007</v>
      </c>
      <c r="AN54" s="74">
        <f>11.8-Table326[[#This Row],[Diamonds: Dimension Home to Pitchers Plate - m ]]</f>
        <v>-2.1999999999999993</v>
      </c>
      <c r="AO54" s="74">
        <f>16.5-Table326[[#This Row],[Diamonds: Home to First Base Path - m ]]</f>
        <v>-1.5</v>
      </c>
      <c r="AP54" s="74">
        <f>17.04-Table326[[#This Row],[Diamonds: Home to First Base Path - m ]]</f>
        <v>-0.96000000000000085</v>
      </c>
      <c r="AQ5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4" s="74">
        <f>10.37-Table326[[#This Row],[Diamonds: Dimension Home to Pitchers Plate - m ]]</f>
        <v>-3.6300000000000008</v>
      </c>
      <c r="AS54" s="74">
        <f>10.97-Table326[[#This Row],[Diamonds: Dimension Home to Pitchers Plate - m ]]</f>
        <v>-3.0299999999999994</v>
      </c>
      <c r="AT54" s="74">
        <f>13.5-Table326[[#This Row],[Diamonds: Home to First Base Path - m ]]</f>
        <v>-4.5</v>
      </c>
      <c r="AU54" s="74">
        <f>14.02-Table326[[#This Row],[Diamonds: Home to First Base Path - m ]]</f>
        <v>-3.9800000000000004</v>
      </c>
      <c r="AV5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4" s="74"/>
      <c r="BR54" s="74"/>
      <c r="BS54" s="75" t="s">
        <v>866</v>
      </c>
      <c r="BT54" s="76" t="s">
        <v>857</v>
      </c>
    </row>
    <row r="55" spans="1:72" ht="16.8" x14ac:dyDescent="0.3">
      <c r="A55" s="77" t="s">
        <v>1045</v>
      </c>
      <c r="B55" s="78" t="s">
        <v>562</v>
      </c>
      <c r="C55" s="78" t="s">
        <v>739</v>
      </c>
      <c r="D55" s="78" t="s">
        <v>746</v>
      </c>
      <c r="E55" s="79"/>
      <c r="F55" s="79"/>
      <c r="G55" s="79"/>
      <c r="H55" s="79" t="s">
        <v>385</v>
      </c>
      <c r="I55" s="79" t="s">
        <v>861</v>
      </c>
      <c r="J55" s="79">
        <v>7</v>
      </c>
      <c r="K55" s="79" t="s">
        <v>742</v>
      </c>
      <c r="L55" s="79">
        <v>1</v>
      </c>
      <c r="M55" s="79">
        <v>1</v>
      </c>
      <c r="N55" s="79">
        <v>1</v>
      </c>
      <c r="O55" s="79">
        <v>1</v>
      </c>
      <c r="P55" s="80" t="s">
        <v>752</v>
      </c>
      <c r="Q55" s="79">
        <v>14</v>
      </c>
      <c r="R55" s="79">
        <v>25</v>
      </c>
      <c r="S55" s="79">
        <v>28</v>
      </c>
      <c r="T55" s="79">
        <v>18</v>
      </c>
      <c r="U55" s="79">
        <v>1</v>
      </c>
      <c r="V5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5" s="79">
        <f>SUM(Table326[[#This Row],[Slo - Pitch - Mens ]:[Slo - Pitch - Co-Ed ]])</f>
        <v>0</v>
      </c>
      <c r="X55" s="79">
        <f>SUM(Table326[[#This Row],[Baseball - U18 ]:[Baseball - U7 ]])</f>
        <v>2</v>
      </c>
      <c r="Y55" s="72" t="s">
        <v>1043</v>
      </c>
      <c r="Z5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5" s="74">
        <f>13.72-Table326[[#This Row],[Diamonds: Dimension Home to Pitchers Plate - m ]]</f>
        <v>-0.27999999999999936</v>
      </c>
      <c r="AB55" s="74">
        <f>14.32-Table326[[#This Row],[Diamonds: Dimension Home to Pitchers Plate - m ]]</f>
        <v>0.32000000000000028</v>
      </c>
      <c r="AC55" s="74">
        <f>17.988-Table326[[#This Row],[Diamonds: Home to First Base Path - m ]]</f>
        <v>-1.2000000000000455E-2</v>
      </c>
      <c r="AD55" s="74">
        <f>18.588-Table326[[#This Row],[Diamonds: Home to First Base Path - m ]]</f>
        <v>0.58800000000000097</v>
      </c>
      <c r="AE55" s="74">
        <f>AVERAGE(Table326[[#This Row],[Home to Pitch (Low)]:[Home to 1st (High)]])</f>
        <v>0.15400000000000036</v>
      </c>
      <c r="AF5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5" s="74">
        <f>12.5-Table326[[#This Row],[Diamonds: Dimension Home to Pitchers Plate - m ]]</f>
        <v>-1.5</v>
      </c>
      <c r="AH55" s="74">
        <f>13.1-Table326[[#This Row],[Diamonds: Dimension Home to Pitchers Plate - m ]]</f>
        <v>-0.90000000000000036</v>
      </c>
      <c r="AI55" s="74">
        <f>17.988-Table326[[#This Row],[Diamonds: Home to First Base Path - m ]]</f>
        <v>-1.2000000000000455E-2</v>
      </c>
      <c r="AJ55" s="74">
        <f>18.588-Table326[[#This Row],[Diamonds: Home to First Base Path - m ]]</f>
        <v>0.58800000000000097</v>
      </c>
      <c r="AK55" s="74">
        <f>AVERAGE(Table326[[#This Row],[Home to Pitch (Low)2]:[Home to 1st (High)5]])</f>
        <v>-0.45599999999999996</v>
      </c>
      <c r="AL5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5" s="74">
        <f>11.2-Table326[[#This Row],[Diamonds: Dimension Home to Pitchers Plate - m ]]</f>
        <v>-2.8000000000000007</v>
      </c>
      <c r="AN55" s="74">
        <f>11.8-Table326[[#This Row],[Diamonds: Dimension Home to Pitchers Plate - m ]]</f>
        <v>-2.1999999999999993</v>
      </c>
      <c r="AO55" s="74">
        <f>16.5-Table326[[#This Row],[Diamonds: Home to First Base Path - m ]]</f>
        <v>-1.5</v>
      </c>
      <c r="AP55" s="74">
        <f>17.04-Table326[[#This Row],[Diamonds: Home to First Base Path - m ]]</f>
        <v>-0.96000000000000085</v>
      </c>
      <c r="AQ5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5" s="74">
        <f>10.37-Table326[[#This Row],[Diamonds: Dimension Home to Pitchers Plate - m ]]</f>
        <v>-3.6300000000000008</v>
      </c>
      <c r="AS55" s="74">
        <f>10.97-Table326[[#This Row],[Diamonds: Dimension Home to Pitchers Plate - m ]]</f>
        <v>-3.0299999999999994</v>
      </c>
      <c r="AT55" s="74">
        <f>13.5-Table326[[#This Row],[Diamonds: Home to First Base Path - m ]]</f>
        <v>-4.5</v>
      </c>
      <c r="AU55" s="74">
        <f>14.02-Table326[[#This Row],[Diamonds: Home to First Base Path - m ]]</f>
        <v>-3.9800000000000004</v>
      </c>
      <c r="AV5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5" s="74"/>
      <c r="BR55" s="74"/>
      <c r="BS55" s="75" t="s">
        <v>897</v>
      </c>
      <c r="BT55" s="76" t="s">
        <v>388</v>
      </c>
    </row>
    <row r="56" spans="1:72" ht="33.6" x14ac:dyDescent="0.3">
      <c r="A56" s="70" t="s">
        <v>101</v>
      </c>
      <c r="B56" s="71" t="s">
        <v>582</v>
      </c>
      <c r="C56" s="71" t="s">
        <v>739</v>
      </c>
      <c r="D56" s="71" t="s">
        <v>746</v>
      </c>
      <c r="E56" s="72">
        <v>1</v>
      </c>
      <c r="F56" s="72" t="s">
        <v>770</v>
      </c>
      <c r="G56" s="72">
        <v>60.2</v>
      </c>
      <c r="H56" s="72" t="s">
        <v>385</v>
      </c>
      <c r="I56" s="72" t="s">
        <v>918</v>
      </c>
      <c r="J56" s="72">
        <v>7.5</v>
      </c>
      <c r="K56" s="72" t="s">
        <v>742</v>
      </c>
      <c r="L56" s="72">
        <v>1</v>
      </c>
      <c r="M56" s="72">
        <v>1</v>
      </c>
      <c r="N56" s="72">
        <v>1</v>
      </c>
      <c r="O56" s="72">
        <v>1</v>
      </c>
      <c r="P56" s="73" t="s">
        <v>820</v>
      </c>
      <c r="Q56" s="72">
        <v>14</v>
      </c>
      <c r="R56" s="72">
        <v>25.5</v>
      </c>
      <c r="S56" s="72">
        <v>29.5</v>
      </c>
      <c r="T56" s="72">
        <v>18</v>
      </c>
      <c r="U56" s="72">
        <v>1</v>
      </c>
      <c r="V5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6" s="72">
        <f>SUM(Table326[[#This Row],[Slo - Pitch - Mens ]:[Slo - Pitch - Co-Ed ]])</f>
        <v>0</v>
      </c>
      <c r="X56" s="72">
        <f>SUM(Table326[[#This Row],[Baseball - U18 ]:[Baseball - U7 ]])</f>
        <v>2</v>
      </c>
      <c r="Y56" s="72" t="s">
        <v>1043</v>
      </c>
      <c r="Z5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6" s="74">
        <f>13.72-Table326[[#This Row],[Diamonds: Dimension Home to Pitchers Plate - m ]]</f>
        <v>-0.27999999999999936</v>
      </c>
      <c r="AB56" s="74">
        <f>14.32-Table326[[#This Row],[Diamonds: Dimension Home to Pitchers Plate - m ]]</f>
        <v>0.32000000000000028</v>
      </c>
      <c r="AC56" s="74">
        <f>17.988-Table326[[#This Row],[Diamonds: Home to First Base Path - m ]]</f>
        <v>-1.2000000000000455E-2</v>
      </c>
      <c r="AD56" s="74">
        <f>18.588-Table326[[#This Row],[Diamonds: Home to First Base Path - m ]]</f>
        <v>0.58800000000000097</v>
      </c>
      <c r="AE56" s="74">
        <f>AVERAGE(Table326[[#This Row],[Home to Pitch (Low)]:[Home to 1st (High)]])</f>
        <v>0.15400000000000036</v>
      </c>
      <c r="AF5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6" s="74">
        <f>12.5-Table326[[#This Row],[Diamonds: Dimension Home to Pitchers Plate - m ]]</f>
        <v>-1.5</v>
      </c>
      <c r="AH56" s="74">
        <f>13.1-Table326[[#This Row],[Diamonds: Dimension Home to Pitchers Plate - m ]]</f>
        <v>-0.90000000000000036</v>
      </c>
      <c r="AI56" s="74">
        <f>17.988-Table326[[#This Row],[Diamonds: Home to First Base Path - m ]]</f>
        <v>-1.2000000000000455E-2</v>
      </c>
      <c r="AJ56" s="74">
        <f>18.588-Table326[[#This Row],[Diamonds: Home to First Base Path - m ]]</f>
        <v>0.58800000000000097</v>
      </c>
      <c r="AK56" s="74">
        <f>AVERAGE(Table326[[#This Row],[Home to Pitch (Low)2]:[Home to 1st (High)5]])</f>
        <v>-0.45599999999999996</v>
      </c>
      <c r="AL5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6" s="74">
        <f>11.2-Table326[[#This Row],[Diamonds: Dimension Home to Pitchers Plate - m ]]</f>
        <v>-2.8000000000000007</v>
      </c>
      <c r="AN56" s="74">
        <f>11.8-Table326[[#This Row],[Diamonds: Dimension Home to Pitchers Plate - m ]]</f>
        <v>-2.1999999999999993</v>
      </c>
      <c r="AO56" s="74">
        <f>16.5-Table326[[#This Row],[Diamonds: Home to First Base Path - m ]]</f>
        <v>-1.5</v>
      </c>
      <c r="AP56" s="74">
        <f>17.04-Table326[[#This Row],[Diamonds: Home to First Base Path - m ]]</f>
        <v>-0.96000000000000085</v>
      </c>
      <c r="AQ5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6" s="74">
        <f>10.37-Table326[[#This Row],[Diamonds: Dimension Home to Pitchers Plate - m ]]</f>
        <v>-3.6300000000000008</v>
      </c>
      <c r="AS56" s="74">
        <f>10.97-Table326[[#This Row],[Diamonds: Dimension Home to Pitchers Plate - m ]]</f>
        <v>-3.0299999999999994</v>
      </c>
      <c r="AT56" s="74">
        <f>13.5-Table326[[#This Row],[Diamonds: Home to First Base Path - m ]]</f>
        <v>-4.5</v>
      </c>
      <c r="AU56" s="74">
        <f>14.02-Table326[[#This Row],[Diamonds: Home to First Base Path - m ]]</f>
        <v>-3.9800000000000004</v>
      </c>
      <c r="AV5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6" s="74"/>
      <c r="BR56" s="74"/>
      <c r="BS56" s="75" t="s">
        <v>919</v>
      </c>
      <c r="BT56" s="76" t="s">
        <v>920</v>
      </c>
    </row>
    <row r="57" spans="1:72" ht="16.8" x14ac:dyDescent="0.3">
      <c r="A57" s="77" t="s">
        <v>103</v>
      </c>
      <c r="B57" s="78" t="s">
        <v>582</v>
      </c>
      <c r="C57" s="78" t="s">
        <v>739</v>
      </c>
      <c r="D57" s="78" t="s">
        <v>746</v>
      </c>
      <c r="E57" s="79">
        <v>1</v>
      </c>
      <c r="F57" s="79" t="s">
        <v>770</v>
      </c>
      <c r="G57" s="79">
        <v>51.2</v>
      </c>
      <c r="H57" s="79" t="s">
        <v>399</v>
      </c>
      <c r="I57" s="79" t="s">
        <v>922</v>
      </c>
      <c r="J57" s="79">
        <v>7.5</v>
      </c>
      <c r="K57" s="79" t="s">
        <v>742</v>
      </c>
      <c r="L57" s="79">
        <v>1</v>
      </c>
      <c r="M57" s="79">
        <v>1</v>
      </c>
      <c r="N57" s="79">
        <v>1</v>
      </c>
      <c r="O57" s="79">
        <v>1</v>
      </c>
      <c r="P57" s="80" t="s">
        <v>820</v>
      </c>
      <c r="Q57" s="79">
        <v>14</v>
      </c>
      <c r="R57" s="79">
        <v>25.7</v>
      </c>
      <c r="S57" s="79">
        <v>29</v>
      </c>
      <c r="T57" s="79">
        <v>18</v>
      </c>
      <c r="U57" s="79">
        <v>1</v>
      </c>
      <c r="V5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7" s="79">
        <f>SUM(Table326[[#This Row],[Slo - Pitch - Mens ]:[Slo - Pitch - Co-Ed ]])</f>
        <v>0</v>
      </c>
      <c r="X57" s="79">
        <f>SUM(Table326[[#This Row],[Baseball - U18 ]:[Baseball - U7 ]])</f>
        <v>2</v>
      </c>
      <c r="Y57" s="72" t="s">
        <v>1043</v>
      </c>
      <c r="Z5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7" s="74">
        <f>13.72-Table326[[#This Row],[Diamonds: Dimension Home to Pitchers Plate - m ]]</f>
        <v>-0.27999999999999936</v>
      </c>
      <c r="AB57" s="74">
        <f>14.32-Table326[[#This Row],[Diamonds: Dimension Home to Pitchers Plate - m ]]</f>
        <v>0.32000000000000028</v>
      </c>
      <c r="AC57" s="74">
        <f>17.988-Table326[[#This Row],[Diamonds: Home to First Base Path - m ]]</f>
        <v>-1.2000000000000455E-2</v>
      </c>
      <c r="AD57" s="74">
        <f>18.588-Table326[[#This Row],[Diamonds: Home to First Base Path - m ]]</f>
        <v>0.58800000000000097</v>
      </c>
      <c r="AE57" s="74">
        <f>AVERAGE(Table326[[#This Row],[Home to Pitch (Low)]:[Home to 1st (High)]])</f>
        <v>0.15400000000000036</v>
      </c>
      <c r="AF5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7" s="74">
        <f>12.5-Table326[[#This Row],[Diamonds: Dimension Home to Pitchers Plate - m ]]</f>
        <v>-1.5</v>
      </c>
      <c r="AH57" s="74">
        <f>13.1-Table326[[#This Row],[Diamonds: Dimension Home to Pitchers Plate - m ]]</f>
        <v>-0.90000000000000036</v>
      </c>
      <c r="AI57" s="74">
        <f>17.988-Table326[[#This Row],[Diamonds: Home to First Base Path - m ]]</f>
        <v>-1.2000000000000455E-2</v>
      </c>
      <c r="AJ57" s="74">
        <f>18.588-Table326[[#This Row],[Diamonds: Home to First Base Path - m ]]</f>
        <v>0.58800000000000097</v>
      </c>
      <c r="AK57" s="74">
        <f>AVERAGE(Table326[[#This Row],[Home to Pitch (Low)2]:[Home to 1st (High)5]])</f>
        <v>-0.45599999999999996</v>
      </c>
      <c r="AL5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7" s="74">
        <f>11.2-Table326[[#This Row],[Diamonds: Dimension Home to Pitchers Plate - m ]]</f>
        <v>-2.8000000000000007</v>
      </c>
      <c r="AN57" s="74">
        <f>11.8-Table326[[#This Row],[Diamonds: Dimension Home to Pitchers Plate - m ]]</f>
        <v>-2.1999999999999993</v>
      </c>
      <c r="AO57" s="74">
        <f>16.5-Table326[[#This Row],[Diamonds: Home to First Base Path - m ]]</f>
        <v>-1.5</v>
      </c>
      <c r="AP57" s="74">
        <f>17.04-Table326[[#This Row],[Diamonds: Home to First Base Path - m ]]</f>
        <v>-0.96000000000000085</v>
      </c>
      <c r="AQ5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7" s="74">
        <f>10.37-Table326[[#This Row],[Diamonds: Dimension Home to Pitchers Plate - m ]]</f>
        <v>-3.6300000000000008</v>
      </c>
      <c r="AS57" s="74">
        <f>10.97-Table326[[#This Row],[Diamonds: Dimension Home to Pitchers Plate - m ]]</f>
        <v>-3.0299999999999994</v>
      </c>
      <c r="AT57" s="74">
        <f>13.5-Table326[[#This Row],[Diamonds: Home to First Base Path - m ]]</f>
        <v>-4.5</v>
      </c>
      <c r="AU57" s="74">
        <f>14.02-Table326[[#This Row],[Diamonds: Home to First Base Path - m ]]</f>
        <v>-3.9800000000000004</v>
      </c>
      <c r="AV5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7" s="74"/>
      <c r="BR57" s="74"/>
      <c r="BS57" s="75" t="s">
        <v>923</v>
      </c>
      <c r="BT57" s="76" t="s">
        <v>920</v>
      </c>
    </row>
    <row r="58" spans="1:72" ht="16.8" x14ac:dyDescent="0.3">
      <c r="A58" s="77" t="s">
        <v>144</v>
      </c>
      <c r="B58" s="78" t="s">
        <v>656</v>
      </c>
      <c r="C58" s="78" t="s">
        <v>739</v>
      </c>
      <c r="D58" s="78" t="s">
        <v>754</v>
      </c>
      <c r="E58" s="79"/>
      <c r="F58" s="79"/>
      <c r="G58" s="79"/>
      <c r="H58" s="79" t="s">
        <v>399</v>
      </c>
      <c r="I58" s="79" t="s">
        <v>977</v>
      </c>
      <c r="J58" s="79">
        <v>8</v>
      </c>
      <c r="K58" s="79" t="s">
        <v>742</v>
      </c>
      <c r="L58" s="79"/>
      <c r="M58" s="79"/>
      <c r="N58" s="79">
        <v>1</v>
      </c>
      <c r="O58" s="79"/>
      <c r="P58" s="80" t="s">
        <v>752</v>
      </c>
      <c r="Q58" s="79">
        <v>14</v>
      </c>
      <c r="R58" s="79">
        <v>25</v>
      </c>
      <c r="S58" s="79"/>
      <c r="T58" s="79">
        <v>18</v>
      </c>
      <c r="U58" s="79"/>
      <c r="V5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58" s="79">
        <f>SUM(Table326[[#This Row],[Slo - Pitch - Mens ]:[Slo - Pitch - Co-Ed ]])</f>
        <v>0</v>
      </c>
      <c r="X58" s="79">
        <f>SUM(Table326[[#This Row],[Baseball - U18 ]:[Baseball - U7 ]])</f>
        <v>2</v>
      </c>
      <c r="Y58" s="72" t="s">
        <v>1043</v>
      </c>
      <c r="Z5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58" s="74">
        <f>13.72-Table326[[#This Row],[Diamonds: Dimension Home to Pitchers Plate - m ]]</f>
        <v>-0.27999999999999936</v>
      </c>
      <c r="AB58" s="74">
        <f>14.32-Table326[[#This Row],[Diamonds: Dimension Home to Pitchers Plate - m ]]</f>
        <v>0.32000000000000028</v>
      </c>
      <c r="AC58" s="74">
        <f>17.988-Table326[[#This Row],[Diamonds: Home to First Base Path - m ]]</f>
        <v>-1.2000000000000455E-2</v>
      </c>
      <c r="AD58" s="74">
        <f>18.588-Table326[[#This Row],[Diamonds: Home to First Base Path - m ]]</f>
        <v>0.58800000000000097</v>
      </c>
      <c r="AE58" s="74">
        <f>AVERAGE(Table326[[#This Row],[Home to Pitch (Low)]:[Home to 1st (High)]])</f>
        <v>0.15400000000000036</v>
      </c>
      <c r="AF5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8" s="74">
        <f>12.5-Table326[[#This Row],[Diamonds: Dimension Home to Pitchers Plate - m ]]</f>
        <v>-1.5</v>
      </c>
      <c r="AH58" s="74">
        <f>13.1-Table326[[#This Row],[Diamonds: Dimension Home to Pitchers Plate - m ]]</f>
        <v>-0.90000000000000036</v>
      </c>
      <c r="AI58" s="74">
        <f>17.988-Table326[[#This Row],[Diamonds: Home to First Base Path - m ]]</f>
        <v>-1.2000000000000455E-2</v>
      </c>
      <c r="AJ58" s="74">
        <f>18.588-Table326[[#This Row],[Diamonds: Home to First Base Path - m ]]</f>
        <v>0.58800000000000097</v>
      </c>
      <c r="AK58" s="74">
        <f>AVERAGE(Table326[[#This Row],[Home to Pitch (Low)2]:[Home to 1st (High)5]])</f>
        <v>-0.45599999999999996</v>
      </c>
      <c r="AL5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8" s="74">
        <f>11.2-Table326[[#This Row],[Diamonds: Dimension Home to Pitchers Plate - m ]]</f>
        <v>-2.8000000000000007</v>
      </c>
      <c r="AN58" s="74">
        <f>11.8-Table326[[#This Row],[Diamonds: Dimension Home to Pitchers Plate - m ]]</f>
        <v>-2.1999999999999993</v>
      </c>
      <c r="AO58" s="74">
        <f>16.5-Table326[[#This Row],[Diamonds: Home to First Base Path - m ]]</f>
        <v>-1.5</v>
      </c>
      <c r="AP58" s="74">
        <f>17.04-Table326[[#This Row],[Diamonds: Home to First Base Path - m ]]</f>
        <v>-0.96000000000000085</v>
      </c>
      <c r="AQ5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8" s="74">
        <f>10.37-Table326[[#This Row],[Diamonds: Dimension Home to Pitchers Plate - m ]]</f>
        <v>-3.6300000000000008</v>
      </c>
      <c r="AS58" s="74">
        <f>10.97-Table326[[#This Row],[Diamonds: Dimension Home to Pitchers Plate - m ]]</f>
        <v>-3.0299999999999994</v>
      </c>
      <c r="AT58" s="74">
        <f>13.5-Table326[[#This Row],[Diamonds: Home to First Base Path - m ]]</f>
        <v>-4.5</v>
      </c>
      <c r="AU58" s="74">
        <f>14.02-Table326[[#This Row],[Diamonds: Home to First Base Path - m ]]</f>
        <v>-3.9800000000000004</v>
      </c>
      <c r="AV5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5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5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8" s="74"/>
      <c r="BR58" s="74"/>
      <c r="BS58" s="75" t="s">
        <v>978</v>
      </c>
      <c r="BT58" s="76" t="s">
        <v>388</v>
      </c>
    </row>
    <row r="59" spans="1:72" ht="16.8" x14ac:dyDescent="0.3">
      <c r="A59" s="77" t="s">
        <v>67</v>
      </c>
      <c r="B59" s="78" t="s">
        <v>524</v>
      </c>
      <c r="C59" s="78" t="s">
        <v>769</v>
      </c>
      <c r="D59" s="78" t="s">
        <v>789</v>
      </c>
      <c r="E59" s="79"/>
      <c r="F59" s="79"/>
      <c r="G59" s="79"/>
      <c r="H59" s="79" t="s">
        <v>399</v>
      </c>
      <c r="I59" s="79" t="s">
        <v>853</v>
      </c>
      <c r="J59" s="79">
        <v>10</v>
      </c>
      <c r="K59" s="79" t="s">
        <v>748</v>
      </c>
      <c r="L59" s="79"/>
      <c r="M59" s="79"/>
      <c r="N59" s="79">
        <v>1</v>
      </c>
      <c r="O59" s="79">
        <v>1</v>
      </c>
      <c r="P59" s="80" t="s">
        <v>749</v>
      </c>
      <c r="Q59" s="79">
        <v>15</v>
      </c>
      <c r="R59" s="79">
        <v>25</v>
      </c>
      <c r="S59" s="79">
        <v>28</v>
      </c>
      <c r="T59" s="79">
        <v>17</v>
      </c>
      <c r="U59" s="79"/>
      <c r="V5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59" s="79">
        <f>SUM(Table326[[#This Row],[Slo - Pitch - Mens ]:[Slo - Pitch - Co-Ed ]])</f>
        <v>0</v>
      </c>
      <c r="X59" s="79">
        <f>SUM(Table326[[#This Row],[Baseball - U18 ]:[Baseball - U7 ]])</f>
        <v>0</v>
      </c>
      <c r="Y59" s="72" t="s">
        <v>1042</v>
      </c>
      <c r="Z5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59" s="74">
        <f>13.72-Table326[[#This Row],[Diamonds: Dimension Home to Pitchers Plate - m ]]</f>
        <v>-1.2799999999999994</v>
      </c>
      <c r="AB59" s="74">
        <f>14.32-Table326[[#This Row],[Diamonds: Dimension Home to Pitchers Plate - m ]]</f>
        <v>-0.67999999999999972</v>
      </c>
      <c r="AC59" s="74">
        <f>17.988-Table326[[#This Row],[Diamonds: Home to First Base Path - m ]]</f>
        <v>0.98799999999999955</v>
      </c>
      <c r="AD59" s="74">
        <f>18.588-Table326[[#This Row],[Diamonds: Home to First Base Path - m ]]</f>
        <v>1.588000000000001</v>
      </c>
      <c r="AE59" s="74">
        <f>AVERAGE(Table326[[#This Row],[Home to Pitch (Low)]:[Home to 1st (High)]])</f>
        <v>0.15400000000000036</v>
      </c>
      <c r="AF5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59" s="74">
        <f>12.5-Table326[[#This Row],[Diamonds: Dimension Home to Pitchers Plate - m ]]</f>
        <v>-2.5</v>
      </c>
      <c r="AH59" s="74">
        <f>13.1-Table326[[#This Row],[Diamonds: Dimension Home to Pitchers Plate - m ]]</f>
        <v>-1.9000000000000004</v>
      </c>
      <c r="AI59" s="74">
        <f>17.988-Table326[[#This Row],[Diamonds: Home to First Base Path - m ]]</f>
        <v>0.98799999999999955</v>
      </c>
      <c r="AJ59" s="74">
        <f>18.588-Table326[[#This Row],[Diamonds: Home to First Base Path - m ]]</f>
        <v>1.588000000000001</v>
      </c>
      <c r="AK59" s="74">
        <f>AVERAGE(Table326[[#This Row],[Home to Pitch (Low)2]:[Home to 1st (High)5]])</f>
        <v>-0.45599999999999996</v>
      </c>
      <c r="AL5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59" s="74">
        <f>11.2-Table326[[#This Row],[Diamonds: Dimension Home to Pitchers Plate - m ]]</f>
        <v>-3.8000000000000007</v>
      </c>
      <c r="AN59" s="74">
        <f>11.8-Table326[[#This Row],[Diamonds: Dimension Home to Pitchers Plate - m ]]</f>
        <v>-3.1999999999999993</v>
      </c>
      <c r="AO59" s="105">
        <f>16.5-Table326[[#This Row],[Diamonds: Home to First Base Path - m ]]</f>
        <v>-0.5</v>
      </c>
      <c r="AP59" s="105">
        <f>17.04-Table326[[#This Row],[Diamonds: Home to First Base Path - m ]]</f>
        <v>3.9999999999999147E-2</v>
      </c>
      <c r="AQ5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59" s="74">
        <f>10.37-Table326[[#This Row],[Diamonds: Dimension Home to Pitchers Plate - m ]]</f>
        <v>-4.6300000000000008</v>
      </c>
      <c r="AS59" s="74">
        <f>10.97-Table326[[#This Row],[Diamonds: Dimension Home to Pitchers Plate - m ]]</f>
        <v>-4.0299999999999994</v>
      </c>
      <c r="AT59" s="74">
        <f>13.5-Table326[[#This Row],[Diamonds: Home to First Base Path - m ]]</f>
        <v>-3.5</v>
      </c>
      <c r="AU59" s="74">
        <f>14.02-Table326[[#This Row],[Diamonds: Home to First Base Path - m ]]</f>
        <v>-2.9800000000000004</v>
      </c>
      <c r="AV5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5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5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5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5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5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5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5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5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5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5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5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5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5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5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5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5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5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5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5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5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59" s="74"/>
      <c r="BR59" s="74"/>
      <c r="BS59" s="75" t="s">
        <v>854</v>
      </c>
      <c r="BT59" s="76" t="s">
        <v>388</v>
      </c>
    </row>
    <row r="60" spans="1:72" ht="33.6" x14ac:dyDescent="0.3">
      <c r="A60" s="70" t="s">
        <v>128</v>
      </c>
      <c r="B60" s="71" t="s">
        <v>618</v>
      </c>
      <c r="C60" s="71" t="s">
        <v>739</v>
      </c>
      <c r="D60" s="71" t="s">
        <v>789</v>
      </c>
      <c r="E60" s="72"/>
      <c r="F60" s="72"/>
      <c r="G60" s="72"/>
      <c r="H60" s="72" t="s">
        <v>385</v>
      </c>
      <c r="I60" s="72" t="s">
        <v>958</v>
      </c>
      <c r="J60" s="72">
        <v>7.5</v>
      </c>
      <c r="K60" s="72" t="s">
        <v>742</v>
      </c>
      <c r="L60" s="72">
        <v>1</v>
      </c>
      <c r="M60" s="72">
        <v>1</v>
      </c>
      <c r="N60" s="72">
        <v>1</v>
      </c>
      <c r="O60" s="72"/>
      <c r="P60" s="73" t="s">
        <v>772</v>
      </c>
      <c r="Q60" s="72">
        <v>13.8</v>
      </c>
      <c r="R60" s="72">
        <v>26</v>
      </c>
      <c r="S60" s="72"/>
      <c r="T60" s="72">
        <v>18.100000000000001</v>
      </c>
      <c r="U60" s="72">
        <v>1</v>
      </c>
      <c r="V6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0" s="72">
        <f>SUM(Table326[[#This Row],[Slo - Pitch - Mens ]:[Slo - Pitch - Co-Ed ]])</f>
        <v>0</v>
      </c>
      <c r="X60" s="72">
        <f>SUM(Table326[[#This Row],[Baseball - U18 ]:[Baseball - U7 ]])</f>
        <v>2</v>
      </c>
      <c r="Y60" s="72" t="s">
        <v>1043</v>
      </c>
      <c r="Z6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1</v>
      </c>
      <c r="AA60" s="74">
        <f>13.72-Table326[[#This Row],[Diamonds: Dimension Home to Pitchers Plate - m ]]</f>
        <v>-8.0000000000000071E-2</v>
      </c>
      <c r="AB60" s="74">
        <f>14.32-Table326[[#This Row],[Diamonds: Dimension Home to Pitchers Plate - m ]]</f>
        <v>0.51999999999999957</v>
      </c>
      <c r="AC60" s="74">
        <f>17.988-Table326[[#This Row],[Diamonds: Home to First Base Path - m ]]</f>
        <v>-0.11200000000000188</v>
      </c>
      <c r="AD60" s="74">
        <f>18.588-Table326[[#This Row],[Diamonds: Home to First Base Path - m ]]</f>
        <v>0.48799999999999955</v>
      </c>
      <c r="AE60" s="74">
        <f>AVERAGE(Table326[[#This Row],[Home to Pitch (Low)]:[Home to 1st (High)]])</f>
        <v>0.20399999999999929</v>
      </c>
      <c r="AF6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0" s="74">
        <f>12.5-Table326[[#This Row],[Diamonds: Dimension Home to Pitchers Plate - m ]]</f>
        <v>-1.3000000000000007</v>
      </c>
      <c r="AH60" s="74">
        <f>13.1-Table326[[#This Row],[Diamonds: Dimension Home to Pitchers Plate - m ]]</f>
        <v>-0.70000000000000107</v>
      </c>
      <c r="AI60" s="74">
        <f>17.988-Table326[[#This Row],[Diamonds: Home to First Base Path - m ]]</f>
        <v>-0.11200000000000188</v>
      </c>
      <c r="AJ60" s="74">
        <f>18.588-Table326[[#This Row],[Diamonds: Home to First Base Path - m ]]</f>
        <v>0.48799999999999955</v>
      </c>
      <c r="AK60" s="74">
        <f>AVERAGE(Table326[[#This Row],[Home to Pitch (Low)2]:[Home to 1st (High)5]])</f>
        <v>-0.40600000000000103</v>
      </c>
      <c r="AL6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0" s="74">
        <f>11.2-Table326[[#This Row],[Diamonds: Dimension Home to Pitchers Plate - m ]]</f>
        <v>-2.6000000000000014</v>
      </c>
      <c r="AN60" s="74">
        <f>11.8-Table326[[#This Row],[Diamonds: Dimension Home to Pitchers Plate - m ]]</f>
        <v>-2</v>
      </c>
      <c r="AO60" s="74">
        <f>16.5-Table326[[#This Row],[Diamonds: Home to First Base Path - m ]]</f>
        <v>-1.6000000000000014</v>
      </c>
      <c r="AP60" s="74">
        <f>17.04-Table326[[#This Row],[Diamonds: Home to First Base Path - m ]]</f>
        <v>-1.0600000000000023</v>
      </c>
      <c r="AQ6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0" s="74">
        <f>10.37-Table326[[#This Row],[Diamonds: Dimension Home to Pitchers Plate - m ]]</f>
        <v>-3.4300000000000015</v>
      </c>
      <c r="AS60" s="74">
        <f>10.97-Table326[[#This Row],[Diamonds: Dimension Home to Pitchers Plate - m ]]</f>
        <v>-2.83</v>
      </c>
      <c r="AT60" s="74">
        <f>13.5-Table326[[#This Row],[Diamonds: Home to First Base Path - m ]]</f>
        <v>-4.6000000000000014</v>
      </c>
      <c r="AU60" s="74">
        <f>14.02-Table326[[#This Row],[Diamonds: Home to First Base Path - m ]]</f>
        <v>-4.0800000000000018</v>
      </c>
      <c r="AV6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1</v>
      </c>
      <c r="BN6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1</v>
      </c>
      <c r="BO6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0" s="74"/>
      <c r="BR60" s="74"/>
      <c r="BS60" s="75" t="s">
        <v>959</v>
      </c>
      <c r="BT60" s="76" t="s">
        <v>595</v>
      </c>
    </row>
    <row r="61" spans="1:72" ht="33.6" x14ac:dyDescent="0.3">
      <c r="A61" s="77" t="s">
        <v>83</v>
      </c>
      <c r="B61" s="78" t="s">
        <v>881</v>
      </c>
      <c r="C61" s="78" t="s">
        <v>739</v>
      </c>
      <c r="D61" s="78" t="s">
        <v>740</v>
      </c>
      <c r="E61" s="79"/>
      <c r="F61" s="79"/>
      <c r="G61" s="79"/>
      <c r="H61" s="79" t="s">
        <v>385</v>
      </c>
      <c r="I61" s="79" t="s">
        <v>882</v>
      </c>
      <c r="J61" s="79">
        <v>6.5</v>
      </c>
      <c r="K61" s="79" t="s">
        <v>742</v>
      </c>
      <c r="L61" s="79">
        <v>1</v>
      </c>
      <c r="M61" s="79">
        <v>1</v>
      </c>
      <c r="N61" s="79">
        <v>1</v>
      </c>
      <c r="O61" s="79">
        <v>1</v>
      </c>
      <c r="P61" s="80" t="s">
        <v>793</v>
      </c>
      <c r="Q61" s="79">
        <v>14</v>
      </c>
      <c r="R61" s="79">
        <v>25.7</v>
      </c>
      <c r="S61" s="79">
        <v>33.5</v>
      </c>
      <c r="T61" s="79">
        <v>17.899999999999999</v>
      </c>
      <c r="U61" s="79">
        <v>1</v>
      </c>
      <c r="V61"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1" s="79">
        <f>SUM(Table326[[#This Row],[Slo - Pitch - Mens ]:[Slo - Pitch - Co-Ed ]])</f>
        <v>0</v>
      </c>
      <c r="X61" s="79">
        <f>SUM(Table326[[#This Row],[Baseball - U18 ]:[Baseball - U7 ]])</f>
        <v>0</v>
      </c>
      <c r="Y61" s="72" t="s">
        <v>1042</v>
      </c>
      <c r="Z61" s="74">
        <v>1</v>
      </c>
      <c r="AA61" s="82">
        <f>13.72-Table326[[#This Row],[Diamonds: Dimension Home to Pitchers Plate - m ]]</f>
        <v>-0.27999999999999936</v>
      </c>
      <c r="AB61" s="82">
        <f>14.32-Table326[[#This Row],[Diamonds: Dimension Home to Pitchers Plate - m ]]</f>
        <v>0.32000000000000028</v>
      </c>
      <c r="AC61" s="107">
        <f>17.988-Table326[[#This Row],[Diamonds: Home to First Base Path - m ]]</f>
        <v>8.8000000000000966E-2</v>
      </c>
      <c r="AD61" s="104">
        <f>18.588-Table326[[#This Row],[Diamonds: Home to First Base Path - m ]]</f>
        <v>0.68800000000000239</v>
      </c>
      <c r="AE61" s="104">
        <f>AVERAGE(Table326[[#This Row],[Home to Pitch (Low)]:[Home to 1st (High)]])</f>
        <v>0.20400000000000107</v>
      </c>
      <c r="AF6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1" s="74">
        <f>12.5-Table326[[#This Row],[Diamonds: Dimension Home to Pitchers Plate - m ]]</f>
        <v>-1.5</v>
      </c>
      <c r="AH61" s="74">
        <f>13.1-Table326[[#This Row],[Diamonds: Dimension Home to Pitchers Plate - m ]]</f>
        <v>-0.90000000000000036</v>
      </c>
      <c r="AI61" s="106">
        <f>17.988-Table326[[#This Row],[Diamonds: Home to First Base Path - m ]]</f>
        <v>8.8000000000000966E-2</v>
      </c>
      <c r="AJ61" s="74">
        <f>18.588-Table326[[#This Row],[Diamonds: Home to First Base Path - m ]]</f>
        <v>0.68800000000000239</v>
      </c>
      <c r="AK61" s="74">
        <f>AVERAGE(Table326[[#This Row],[Home to Pitch (Low)2]:[Home to 1st (High)5]])</f>
        <v>-0.40599999999999925</v>
      </c>
      <c r="AL6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1" s="74">
        <f>11.2-Table326[[#This Row],[Diamonds: Dimension Home to Pitchers Plate - m ]]</f>
        <v>-2.8000000000000007</v>
      </c>
      <c r="AN61" s="74">
        <f>11.8-Table326[[#This Row],[Diamonds: Dimension Home to Pitchers Plate - m ]]</f>
        <v>-2.1999999999999993</v>
      </c>
      <c r="AO61" s="74">
        <f>16.5-Table326[[#This Row],[Diamonds: Home to First Base Path - m ]]</f>
        <v>-1.3999999999999986</v>
      </c>
      <c r="AP61" s="74">
        <f>17.04-Table326[[#This Row],[Diamonds: Home to First Base Path - m ]]</f>
        <v>-0.85999999999999943</v>
      </c>
      <c r="AQ6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1" s="74">
        <f>10.37-Table326[[#This Row],[Diamonds: Dimension Home to Pitchers Plate - m ]]</f>
        <v>-3.6300000000000008</v>
      </c>
      <c r="AS61" s="74">
        <f>10.97-Table326[[#This Row],[Diamonds: Dimension Home to Pitchers Plate - m ]]</f>
        <v>-3.0299999999999994</v>
      </c>
      <c r="AT61" s="74">
        <f>13.5-Table326[[#This Row],[Diamonds: Home to First Base Path - m ]]</f>
        <v>-4.3999999999999986</v>
      </c>
      <c r="AU61" s="74">
        <f>14.02-Table326[[#This Row],[Diamonds: Home to First Base Path - m ]]</f>
        <v>-3.879999999999999</v>
      </c>
      <c r="AV6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1" s="74"/>
      <c r="BR61" s="74"/>
      <c r="BS61" s="75" t="s">
        <v>883</v>
      </c>
      <c r="BT61" s="76" t="s">
        <v>388</v>
      </c>
    </row>
    <row r="62" spans="1:72" ht="33.6" x14ac:dyDescent="0.3">
      <c r="A62" s="70" t="s">
        <v>15</v>
      </c>
      <c r="B62" s="71" t="s">
        <v>431</v>
      </c>
      <c r="C62" s="71" t="s">
        <v>769</v>
      </c>
      <c r="D62" s="71" t="s">
        <v>740</v>
      </c>
      <c r="E62" s="72">
        <v>1</v>
      </c>
      <c r="F62" s="72" t="s">
        <v>770</v>
      </c>
      <c r="G62" s="72">
        <v>34.700000000000003</v>
      </c>
      <c r="H62" s="72" t="s">
        <v>399</v>
      </c>
      <c r="I62" s="72" t="s">
        <v>771</v>
      </c>
      <c r="J62" s="72">
        <v>12</v>
      </c>
      <c r="K62" s="72" t="s">
        <v>742</v>
      </c>
      <c r="L62" s="72">
        <v>1</v>
      </c>
      <c r="M62" s="72">
        <v>1</v>
      </c>
      <c r="N62" s="72">
        <v>1</v>
      </c>
      <c r="O62" s="72">
        <v>1</v>
      </c>
      <c r="P62" s="73" t="s">
        <v>772</v>
      </c>
      <c r="Q62" s="72">
        <v>14</v>
      </c>
      <c r="R62" s="72">
        <v>25.5</v>
      </c>
      <c r="S62" s="72">
        <v>29.3</v>
      </c>
      <c r="T62" s="72">
        <v>17.8</v>
      </c>
      <c r="U62" s="72">
        <v>1</v>
      </c>
      <c r="V6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2" s="72">
        <f>SUM(Table326[[#This Row],[Slo - Pitch - Mens ]:[Slo - Pitch - Co-Ed ]])</f>
        <v>0</v>
      </c>
      <c r="X62" s="72">
        <f>SUM(Table326[[#This Row],[Baseball - U18 ]:[Baseball - U7 ]])</f>
        <v>0</v>
      </c>
      <c r="Y62" s="72" t="s">
        <v>1042</v>
      </c>
      <c r="Z62" s="74">
        <v>1</v>
      </c>
      <c r="AA62" s="103">
        <f>13.72-Table326[[#This Row],[Diamonds: Dimension Home to Pitchers Plate - m ]]</f>
        <v>-0.27999999999999936</v>
      </c>
      <c r="AB62" s="103">
        <f>14.32-Table326[[#This Row],[Diamonds: Dimension Home to Pitchers Plate - m ]]</f>
        <v>0.32000000000000028</v>
      </c>
      <c r="AC62" s="105">
        <f>17.988-Table326[[#This Row],[Diamonds: Home to First Base Path - m ]]</f>
        <v>0.18799999999999883</v>
      </c>
      <c r="AD62" s="74">
        <f>18.588-Table326[[#This Row],[Diamonds: Home to First Base Path - m ]]</f>
        <v>0.78800000000000026</v>
      </c>
      <c r="AE62" s="74">
        <f>AVERAGE(Table326[[#This Row],[Home to Pitch (Low)]:[Home to 1st (High)]])</f>
        <v>0.254</v>
      </c>
      <c r="AF6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2" s="74">
        <f>12.5-Table326[[#This Row],[Diamonds: Dimension Home to Pitchers Plate - m ]]</f>
        <v>-1.5</v>
      </c>
      <c r="AH62" s="74">
        <f>13.1-Table326[[#This Row],[Diamonds: Dimension Home to Pitchers Plate - m ]]</f>
        <v>-0.90000000000000036</v>
      </c>
      <c r="AI62" s="106">
        <f>17.988-Table326[[#This Row],[Diamonds: Home to First Base Path - m ]]</f>
        <v>0.18799999999999883</v>
      </c>
      <c r="AJ62" s="74">
        <f>18.588-Table326[[#This Row],[Diamonds: Home to First Base Path - m ]]</f>
        <v>0.78800000000000026</v>
      </c>
      <c r="AK62" s="74">
        <f>AVERAGE(Table326[[#This Row],[Home to Pitch (Low)2]:[Home to 1st (High)5]])</f>
        <v>-0.35600000000000032</v>
      </c>
      <c r="AL6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2" s="74">
        <f>11.2-Table326[[#This Row],[Diamonds: Dimension Home to Pitchers Plate - m ]]</f>
        <v>-2.8000000000000007</v>
      </c>
      <c r="AN62" s="74">
        <f>11.8-Table326[[#This Row],[Diamonds: Dimension Home to Pitchers Plate - m ]]</f>
        <v>-2.1999999999999993</v>
      </c>
      <c r="AO62" s="74">
        <f>16.5-Table326[[#This Row],[Diamonds: Home to First Base Path - m ]]</f>
        <v>-1.3000000000000007</v>
      </c>
      <c r="AP62" s="74">
        <f>17.04-Table326[[#This Row],[Diamonds: Home to First Base Path - m ]]</f>
        <v>-0.76000000000000156</v>
      </c>
      <c r="AQ6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2" s="74">
        <f>10.37-Table326[[#This Row],[Diamonds: Dimension Home to Pitchers Plate - m ]]</f>
        <v>-3.6300000000000008</v>
      </c>
      <c r="AS62" s="74">
        <f>10.97-Table326[[#This Row],[Diamonds: Dimension Home to Pitchers Plate - m ]]</f>
        <v>-3.0299999999999994</v>
      </c>
      <c r="AT62" s="74">
        <f>13.5-Table326[[#This Row],[Diamonds: Home to First Base Path - m ]]</f>
        <v>-4.3000000000000007</v>
      </c>
      <c r="AU62" s="74">
        <f>14.02-Table326[[#This Row],[Diamonds: Home to First Base Path - m ]]</f>
        <v>-3.7800000000000011</v>
      </c>
      <c r="AV6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2" s="74"/>
      <c r="BR62" s="74"/>
      <c r="BS62" s="75" t="s">
        <v>387</v>
      </c>
      <c r="BT62" s="76" t="s">
        <v>388</v>
      </c>
    </row>
    <row r="63" spans="1:72" ht="33.6" x14ac:dyDescent="0.3">
      <c r="A63" s="77" t="s">
        <v>16</v>
      </c>
      <c r="B63" s="78" t="s">
        <v>431</v>
      </c>
      <c r="C63" s="78" t="s">
        <v>769</v>
      </c>
      <c r="D63" s="78" t="s">
        <v>740</v>
      </c>
      <c r="E63" s="79">
        <v>1</v>
      </c>
      <c r="F63" s="79" t="s">
        <v>770</v>
      </c>
      <c r="G63" s="79">
        <v>60</v>
      </c>
      <c r="H63" s="79" t="s">
        <v>399</v>
      </c>
      <c r="I63" s="79" t="s">
        <v>773</v>
      </c>
      <c r="J63" s="79">
        <v>10</v>
      </c>
      <c r="K63" s="79" t="s">
        <v>742</v>
      </c>
      <c r="L63" s="79">
        <v>1</v>
      </c>
      <c r="M63" s="79">
        <v>1</v>
      </c>
      <c r="N63" s="79">
        <v>1</v>
      </c>
      <c r="O63" s="79">
        <v>1</v>
      </c>
      <c r="P63" s="80" t="s">
        <v>772</v>
      </c>
      <c r="Q63" s="79">
        <v>14</v>
      </c>
      <c r="R63" s="79">
        <v>25.8</v>
      </c>
      <c r="S63" s="79">
        <v>29.5</v>
      </c>
      <c r="T63" s="79">
        <v>17.8</v>
      </c>
      <c r="U63" s="79">
        <v>1</v>
      </c>
      <c r="V6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3" s="79">
        <f>SUM(Table326[[#This Row],[Slo - Pitch - Mens ]:[Slo - Pitch - Co-Ed ]])</f>
        <v>0</v>
      </c>
      <c r="X63" s="79">
        <f>SUM(Table326[[#This Row],[Baseball - U18 ]:[Baseball - U7 ]])</f>
        <v>0</v>
      </c>
      <c r="Y63" s="72" t="s">
        <v>1042</v>
      </c>
      <c r="Z63" s="74">
        <v>1</v>
      </c>
      <c r="AA63" s="103">
        <f>13.72-Table326[[#This Row],[Diamonds: Dimension Home to Pitchers Plate - m ]]</f>
        <v>-0.27999999999999936</v>
      </c>
      <c r="AB63" s="103">
        <f>14.32-Table326[[#This Row],[Diamonds: Dimension Home to Pitchers Plate - m ]]</f>
        <v>0.32000000000000028</v>
      </c>
      <c r="AC63" s="105">
        <f>17.988-Table326[[#This Row],[Diamonds: Home to First Base Path - m ]]</f>
        <v>0.18799999999999883</v>
      </c>
      <c r="AD63" s="74">
        <f>18.588-Table326[[#This Row],[Diamonds: Home to First Base Path - m ]]</f>
        <v>0.78800000000000026</v>
      </c>
      <c r="AE63" s="74">
        <f>AVERAGE(Table326[[#This Row],[Home to Pitch (Low)]:[Home to 1st (High)]])</f>
        <v>0.254</v>
      </c>
      <c r="AF6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3" s="74">
        <f>12.5-Table326[[#This Row],[Diamonds: Dimension Home to Pitchers Plate - m ]]</f>
        <v>-1.5</v>
      </c>
      <c r="AH63" s="74">
        <f>13.1-Table326[[#This Row],[Diamonds: Dimension Home to Pitchers Plate - m ]]</f>
        <v>-0.90000000000000036</v>
      </c>
      <c r="AI63" s="106">
        <f>17.988-Table326[[#This Row],[Diamonds: Home to First Base Path - m ]]</f>
        <v>0.18799999999999883</v>
      </c>
      <c r="AJ63" s="74">
        <f>18.588-Table326[[#This Row],[Diamonds: Home to First Base Path - m ]]</f>
        <v>0.78800000000000026</v>
      </c>
      <c r="AK63" s="74">
        <f>AVERAGE(Table326[[#This Row],[Home to Pitch (Low)2]:[Home to 1st (High)5]])</f>
        <v>-0.35600000000000032</v>
      </c>
      <c r="AL6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3" s="74">
        <f>11.2-Table326[[#This Row],[Diamonds: Dimension Home to Pitchers Plate - m ]]</f>
        <v>-2.8000000000000007</v>
      </c>
      <c r="AN63" s="74">
        <f>11.8-Table326[[#This Row],[Diamonds: Dimension Home to Pitchers Plate - m ]]</f>
        <v>-2.1999999999999993</v>
      </c>
      <c r="AO63" s="74">
        <f>16.5-Table326[[#This Row],[Diamonds: Home to First Base Path - m ]]</f>
        <v>-1.3000000000000007</v>
      </c>
      <c r="AP63" s="74">
        <f>17.04-Table326[[#This Row],[Diamonds: Home to First Base Path - m ]]</f>
        <v>-0.76000000000000156</v>
      </c>
      <c r="AQ6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3" s="74">
        <f>10.37-Table326[[#This Row],[Diamonds: Dimension Home to Pitchers Plate - m ]]</f>
        <v>-3.6300000000000008</v>
      </c>
      <c r="AS63" s="74">
        <f>10.97-Table326[[#This Row],[Diamonds: Dimension Home to Pitchers Plate - m ]]</f>
        <v>-3.0299999999999994</v>
      </c>
      <c r="AT63" s="74">
        <f>13.5-Table326[[#This Row],[Diamonds: Home to First Base Path - m ]]</f>
        <v>-4.3000000000000007</v>
      </c>
      <c r="AU63" s="74">
        <f>14.02-Table326[[#This Row],[Diamonds: Home to First Base Path - m ]]</f>
        <v>-3.7800000000000011</v>
      </c>
      <c r="AV6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3" s="74"/>
      <c r="BR63" s="74"/>
      <c r="BS63" s="75" t="s">
        <v>774</v>
      </c>
      <c r="BT63" s="76" t="s">
        <v>388</v>
      </c>
    </row>
    <row r="64" spans="1:72" ht="33.6" x14ac:dyDescent="0.3">
      <c r="A64" s="70" t="s">
        <v>1046</v>
      </c>
      <c r="B64" s="71" t="s">
        <v>574</v>
      </c>
      <c r="C64" s="71" t="s">
        <v>739</v>
      </c>
      <c r="D64" s="71" t="s">
        <v>746</v>
      </c>
      <c r="E64" s="72">
        <v>1</v>
      </c>
      <c r="F64" s="72" t="s">
        <v>770</v>
      </c>
      <c r="G64" s="72">
        <v>73.3</v>
      </c>
      <c r="H64" s="72" t="s">
        <v>408</v>
      </c>
      <c r="I64" s="72" t="s">
        <v>909</v>
      </c>
      <c r="J64" s="72">
        <v>8</v>
      </c>
      <c r="K64" s="72" t="s">
        <v>748</v>
      </c>
      <c r="L64" s="72">
        <v>1</v>
      </c>
      <c r="M64" s="72"/>
      <c r="N64" s="72">
        <v>1</v>
      </c>
      <c r="O64" s="72">
        <v>1</v>
      </c>
      <c r="P64" s="73" t="s">
        <v>749</v>
      </c>
      <c r="Q64" s="72">
        <v>14</v>
      </c>
      <c r="R64" s="72">
        <v>25.7</v>
      </c>
      <c r="S64" s="72">
        <v>33.5</v>
      </c>
      <c r="T64" s="72">
        <v>17.8</v>
      </c>
      <c r="U64" s="72">
        <v>1</v>
      </c>
      <c r="V6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4" s="72">
        <f>SUM(Table326[[#This Row],[Slo - Pitch - Mens ]:[Slo - Pitch - Co-Ed ]])</f>
        <v>0</v>
      </c>
      <c r="X64" s="72">
        <f>SUM(Table326[[#This Row],[Baseball - U18 ]:[Baseball - U7 ]])</f>
        <v>0</v>
      </c>
      <c r="Y64" s="72" t="s">
        <v>1042</v>
      </c>
      <c r="Z64" s="74">
        <v>1</v>
      </c>
      <c r="AA64" s="103">
        <f>13.72-Table326[[#This Row],[Diamonds: Dimension Home to Pitchers Plate - m ]]</f>
        <v>-0.27999999999999936</v>
      </c>
      <c r="AB64" s="103">
        <f>14.32-Table326[[#This Row],[Diamonds: Dimension Home to Pitchers Plate - m ]]</f>
        <v>0.32000000000000028</v>
      </c>
      <c r="AC64" s="105">
        <f>17.988-Table326[[#This Row],[Diamonds: Home to First Base Path - m ]]</f>
        <v>0.18799999999999883</v>
      </c>
      <c r="AD64" s="74">
        <f>18.588-Table326[[#This Row],[Diamonds: Home to First Base Path - m ]]</f>
        <v>0.78800000000000026</v>
      </c>
      <c r="AE64" s="74">
        <f>AVERAGE(Table326[[#This Row],[Home to Pitch (Low)]:[Home to 1st (High)]])</f>
        <v>0.254</v>
      </c>
      <c r="AF6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4" s="74">
        <f>12.5-Table326[[#This Row],[Diamonds: Dimension Home to Pitchers Plate - m ]]</f>
        <v>-1.5</v>
      </c>
      <c r="AH64" s="74">
        <f>13.1-Table326[[#This Row],[Diamonds: Dimension Home to Pitchers Plate - m ]]</f>
        <v>-0.90000000000000036</v>
      </c>
      <c r="AI64" s="106">
        <f>17.988-Table326[[#This Row],[Diamonds: Home to First Base Path - m ]]</f>
        <v>0.18799999999999883</v>
      </c>
      <c r="AJ64" s="74">
        <f>18.588-Table326[[#This Row],[Diamonds: Home to First Base Path - m ]]</f>
        <v>0.78800000000000026</v>
      </c>
      <c r="AK64" s="74">
        <f>AVERAGE(Table326[[#This Row],[Home to Pitch (Low)2]:[Home to 1st (High)5]])</f>
        <v>-0.35600000000000032</v>
      </c>
      <c r="AL6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4" s="74">
        <f>11.2-Table326[[#This Row],[Diamonds: Dimension Home to Pitchers Plate - m ]]</f>
        <v>-2.8000000000000007</v>
      </c>
      <c r="AN64" s="74">
        <f>11.8-Table326[[#This Row],[Diamonds: Dimension Home to Pitchers Plate - m ]]</f>
        <v>-2.1999999999999993</v>
      </c>
      <c r="AO64" s="74">
        <f>16.5-Table326[[#This Row],[Diamonds: Home to First Base Path - m ]]</f>
        <v>-1.3000000000000007</v>
      </c>
      <c r="AP64" s="74">
        <f>17.04-Table326[[#This Row],[Diamonds: Home to First Base Path - m ]]</f>
        <v>-0.76000000000000156</v>
      </c>
      <c r="AQ6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4" s="74">
        <f>10.37-Table326[[#This Row],[Diamonds: Dimension Home to Pitchers Plate - m ]]</f>
        <v>-3.6300000000000008</v>
      </c>
      <c r="AS64" s="74">
        <f>10.97-Table326[[#This Row],[Diamonds: Dimension Home to Pitchers Plate - m ]]</f>
        <v>-3.0299999999999994</v>
      </c>
      <c r="AT64" s="74">
        <f>13.5-Table326[[#This Row],[Diamonds: Home to First Base Path - m ]]</f>
        <v>-4.3000000000000007</v>
      </c>
      <c r="AU64" s="74">
        <f>14.02-Table326[[#This Row],[Diamonds: Home to First Base Path - m ]]</f>
        <v>-3.7800000000000011</v>
      </c>
      <c r="AV6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4" s="74"/>
      <c r="BR64" s="74"/>
      <c r="BS64" s="75" t="s">
        <v>910</v>
      </c>
      <c r="BT64" s="76" t="s">
        <v>388</v>
      </c>
    </row>
    <row r="65" spans="1:72" ht="33.6" x14ac:dyDescent="0.3">
      <c r="A65" s="70" t="s">
        <v>98</v>
      </c>
      <c r="B65" s="71" t="s">
        <v>574</v>
      </c>
      <c r="C65" s="71" t="s">
        <v>739</v>
      </c>
      <c r="D65" s="71" t="s">
        <v>746</v>
      </c>
      <c r="E65" s="72">
        <v>1</v>
      </c>
      <c r="F65" s="72" t="s">
        <v>770</v>
      </c>
      <c r="G65" s="72">
        <v>53.2</v>
      </c>
      <c r="H65" s="72" t="s">
        <v>444</v>
      </c>
      <c r="I65" s="72" t="s">
        <v>911</v>
      </c>
      <c r="J65" s="72">
        <v>9.5</v>
      </c>
      <c r="K65" s="72" t="s">
        <v>742</v>
      </c>
      <c r="L65" s="72">
        <v>1</v>
      </c>
      <c r="M65" s="72">
        <v>1</v>
      </c>
      <c r="N65" s="72">
        <v>1</v>
      </c>
      <c r="O65" s="72">
        <v>1</v>
      </c>
      <c r="P65" s="73" t="s">
        <v>820</v>
      </c>
      <c r="Q65" s="72">
        <v>13.7</v>
      </c>
      <c r="R65" s="72">
        <v>23.3</v>
      </c>
      <c r="S65" s="72">
        <v>29.1</v>
      </c>
      <c r="T65" s="72">
        <v>18</v>
      </c>
      <c r="U65" s="72">
        <v>1</v>
      </c>
      <c r="V6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5" s="72">
        <f>SUM(Table326[[#This Row],[Slo - Pitch - Mens ]:[Slo - Pitch - Co-Ed ]])</f>
        <v>0</v>
      </c>
      <c r="X65" s="72">
        <f>SUM(Table326[[#This Row],[Baseball - U18 ]:[Baseball - U7 ]])</f>
        <v>0</v>
      </c>
      <c r="Y65" s="72" t="s">
        <v>1042</v>
      </c>
      <c r="Z65" s="74">
        <v>1</v>
      </c>
      <c r="AA65" s="103">
        <f>13.72-Table326[[#This Row],[Diamonds: Dimension Home to Pitchers Plate - m ]]</f>
        <v>2.000000000000135E-2</v>
      </c>
      <c r="AB65" s="74">
        <f>14.32-Table326[[#This Row],[Diamonds: Dimension Home to Pitchers Plate - m ]]</f>
        <v>0.62000000000000099</v>
      </c>
      <c r="AC65" s="105">
        <f>17.988-Table326[[#This Row],[Diamonds: Home to First Base Path - m ]]</f>
        <v>-1.2000000000000455E-2</v>
      </c>
      <c r="AD65" s="74">
        <f>18.588-Table326[[#This Row],[Diamonds: Home to First Base Path - m ]]</f>
        <v>0.58800000000000097</v>
      </c>
      <c r="AE65" s="74">
        <f>AVERAGE(Table326[[#This Row],[Home to Pitch (Low)]:[Home to 1st (High)]])</f>
        <v>0.30400000000000071</v>
      </c>
      <c r="AF6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5" s="74">
        <f>12.5-Table326[[#This Row],[Diamonds: Dimension Home to Pitchers Plate - m ]]</f>
        <v>-1.1999999999999993</v>
      </c>
      <c r="AH65" s="74">
        <f>13.1-Table326[[#This Row],[Diamonds: Dimension Home to Pitchers Plate - m ]]</f>
        <v>-0.59999999999999964</v>
      </c>
      <c r="AI65" s="103">
        <f>17.988-Table326[[#This Row],[Diamonds: Home to First Base Path - m ]]</f>
        <v>-1.2000000000000455E-2</v>
      </c>
      <c r="AJ65" s="106">
        <f>18.588-Table326[[#This Row],[Diamonds: Home to First Base Path - m ]]</f>
        <v>0.58800000000000097</v>
      </c>
      <c r="AK65" s="74">
        <f>AVERAGE(Table326[[#This Row],[Home to Pitch (Low)2]:[Home to 1st (High)5]])</f>
        <v>-0.30599999999999961</v>
      </c>
      <c r="AL6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5" s="74">
        <f>11.2-Table326[[#This Row],[Diamonds: Dimension Home to Pitchers Plate - m ]]</f>
        <v>-2.5</v>
      </c>
      <c r="AN65" s="74">
        <f>11.8-Table326[[#This Row],[Diamonds: Dimension Home to Pitchers Plate - m ]]</f>
        <v>-1.8999999999999986</v>
      </c>
      <c r="AO65" s="74">
        <f>16.5-Table326[[#This Row],[Diamonds: Home to First Base Path - m ]]</f>
        <v>-1.5</v>
      </c>
      <c r="AP65" s="74">
        <f>17.04-Table326[[#This Row],[Diamonds: Home to First Base Path - m ]]</f>
        <v>-0.96000000000000085</v>
      </c>
      <c r="AQ6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5" s="74">
        <f>10.37-Table326[[#This Row],[Diamonds: Dimension Home to Pitchers Plate - m ]]</f>
        <v>-3.33</v>
      </c>
      <c r="AS65" s="74">
        <f>10.97-Table326[[#This Row],[Diamonds: Dimension Home to Pitchers Plate - m ]]</f>
        <v>-2.7299999999999986</v>
      </c>
      <c r="AT65" s="74">
        <f>13.5-Table326[[#This Row],[Diamonds: Home to First Base Path - m ]]</f>
        <v>-4.5</v>
      </c>
      <c r="AU65" s="74">
        <f>14.02-Table326[[#This Row],[Diamonds: Home to First Base Path - m ]]</f>
        <v>-3.9800000000000004</v>
      </c>
      <c r="AV6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5" s="74"/>
      <c r="BR65" s="74"/>
      <c r="BS65" s="75" t="s">
        <v>912</v>
      </c>
      <c r="BT65" s="76" t="s">
        <v>388</v>
      </c>
    </row>
    <row r="66" spans="1:72" s="85" customFormat="1" ht="33.6" x14ac:dyDescent="0.3">
      <c r="A66" s="70" t="s">
        <v>51</v>
      </c>
      <c r="B66" s="71" t="s">
        <v>498</v>
      </c>
      <c r="C66" s="71" t="s">
        <v>769</v>
      </c>
      <c r="D66" s="71" t="s">
        <v>740</v>
      </c>
      <c r="E66" s="72">
        <v>1</v>
      </c>
      <c r="F66" s="72" t="s">
        <v>824</v>
      </c>
      <c r="G66" s="72">
        <v>60</v>
      </c>
      <c r="H66" s="72" t="s">
        <v>444</v>
      </c>
      <c r="I66" s="72" t="s">
        <v>825</v>
      </c>
      <c r="J66" s="72">
        <v>6</v>
      </c>
      <c r="K66" s="72" t="s">
        <v>748</v>
      </c>
      <c r="L66" s="72">
        <v>1</v>
      </c>
      <c r="M66" s="72">
        <v>1</v>
      </c>
      <c r="N66" s="72">
        <v>1</v>
      </c>
      <c r="O66" s="72">
        <v>1</v>
      </c>
      <c r="P66" s="73" t="s">
        <v>749</v>
      </c>
      <c r="Q66" s="72">
        <v>13.9</v>
      </c>
      <c r="R66" s="72">
        <v>25</v>
      </c>
      <c r="S66" s="72">
        <v>29.3</v>
      </c>
      <c r="T66" s="72">
        <v>17.600000000000001</v>
      </c>
      <c r="U66" s="72"/>
      <c r="V6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66" s="72">
        <f>SUM(Table326[[#This Row],[Slo - Pitch - Mens ]:[Slo - Pitch - Co-Ed ]])</f>
        <v>0</v>
      </c>
      <c r="X66" s="72">
        <f>SUM(Table326[[#This Row],[Baseball - U18 ]:[Baseball - U7 ]])</f>
        <v>0</v>
      </c>
      <c r="Y66" s="72" t="s">
        <v>1042</v>
      </c>
      <c r="Z6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66" s="103">
        <f>13.72-Table326[[#This Row],[Diamonds: Dimension Home to Pitchers Plate - m ]]</f>
        <v>-0.17999999999999972</v>
      </c>
      <c r="AB66" s="74">
        <f>14.32-Table326[[#This Row],[Diamonds: Dimension Home to Pitchers Plate - m ]]</f>
        <v>0.41999999999999993</v>
      </c>
      <c r="AC66" s="74">
        <f>17.988-Table326[[#This Row],[Diamonds: Home to First Base Path - m ]]</f>
        <v>0.38799999999999812</v>
      </c>
      <c r="AD66" s="74">
        <f>18.588-Table326[[#This Row],[Diamonds: Home to First Base Path - m ]]</f>
        <v>0.98799999999999955</v>
      </c>
      <c r="AE66" s="74">
        <f>AVERAGE(Table326[[#This Row],[Home to Pitch (Low)]:[Home to 1st (High)]])</f>
        <v>0.40399999999999947</v>
      </c>
      <c r="AF6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66" s="74">
        <f>12.5-Table326[[#This Row],[Diamonds: Dimension Home to Pitchers Plate - m ]]</f>
        <v>-1.4000000000000004</v>
      </c>
      <c r="AH66" s="74">
        <f>13.1-Table326[[#This Row],[Diamonds: Dimension Home to Pitchers Plate - m ]]</f>
        <v>-0.80000000000000071</v>
      </c>
      <c r="AI66" s="74">
        <f>17.988-Table326[[#This Row],[Diamonds: Home to First Base Path - m ]]</f>
        <v>0.38799999999999812</v>
      </c>
      <c r="AJ66" s="74">
        <f>18.588-Table326[[#This Row],[Diamonds: Home to First Base Path - m ]]</f>
        <v>0.98799999999999955</v>
      </c>
      <c r="AK66" s="74">
        <f>AVERAGE(Table326[[#This Row],[Home to Pitch (Low)2]:[Home to 1st (High)5]])</f>
        <v>-0.20600000000000085</v>
      </c>
      <c r="AL6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6" s="74">
        <f>11.2-Table326[[#This Row],[Diamonds: Dimension Home to Pitchers Plate - m ]]</f>
        <v>-2.7000000000000011</v>
      </c>
      <c r="AN66" s="74">
        <f>11.8-Table326[[#This Row],[Diamonds: Dimension Home to Pitchers Plate - m ]]</f>
        <v>-2.0999999999999996</v>
      </c>
      <c r="AO66" s="74">
        <f>16.5-Table326[[#This Row],[Diamonds: Home to First Base Path - m ]]</f>
        <v>-1.1000000000000014</v>
      </c>
      <c r="AP66" s="105">
        <f>17.04-Table326[[#This Row],[Diamonds: Home to First Base Path - m ]]</f>
        <v>-0.56000000000000227</v>
      </c>
      <c r="AQ6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6" s="74">
        <f>10.37-Table326[[#This Row],[Diamonds: Dimension Home to Pitchers Plate - m ]]</f>
        <v>-3.5300000000000011</v>
      </c>
      <c r="AS66" s="74">
        <f>10.97-Table326[[#This Row],[Diamonds: Dimension Home to Pitchers Plate - m ]]</f>
        <v>-2.9299999999999997</v>
      </c>
      <c r="AT66" s="74">
        <f>13.5-Table326[[#This Row],[Diamonds: Home to First Base Path - m ]]</f>
        <v>-4.1000000000000014</v>
      </c>
      <c r="AU66" s="74">
        <f>14.02-Table326[[#This Row],[Diamonds: Home to First Base Path - m ]]</f>
        <v>-3.5800000000000018</v>
      </c>
      <c r="AV6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6" s="74"/>
      <c r="BR66" s="74"/>
      <c r="BS66" s="75" t="s">
        <v>826</v>
      </c>
      <c r="BT66" s="76" t="s">
        <v>388</v>
      </c>
    </row>
    <row r="67" spans="1:72" s="85" customFormat="1" ht="50.4" x14ac:dyDescent="0.3">
      <c r="A67" s="77" t="s">
        <v>42</v>
      </c>
      <c r="B67" s="78" t="s">
        <v>473</v>
      </c>
      <c r="C67" s="78" t="s">
        <v>739</v>
      </c>
      <c r="D67" s="78" t="s">
        <v>754</v>
      </c>
      <c r="E67" s="79"/>
      <c r="F67" s="79"/>
      <c r="G67" s="79"/>
      <c r="H67" s="79" t="s">
        <v>408</v>
      </c>
      <c r="I67" s="79" t="s">
        <v>813</v>
      </c>
      <c r="J67" s="79">
        <v>5</v>
      </c>
      <c r="K67" s="79" t="s">
        <v>748</v>
      </c>
      <c r="L67" s="79"/>
      <c r="M67" s="79"/>
      <c r="N67" s="79">
        <v>1</v>
      </c>
      <c r="O67" s="79">
        <v>1</v>
      </c>
      <c r="P67" s="80" t="s">
        <v>811</v>
      </c>
      <c r="Q67" s="79">
        <v>12.5</v>
      </c>
      <c r="R67" s="79">
        <v>25</v>
      </c>
      <c r="S67" s="79">
        <v>30.8</v>
      </c>
      <c r="T67" s="79">
        <v>19</v>
      </c>
      <c r="U67" s="79"/>
      <c r="V6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67" s="79">
        <f>SUM(Table326[[#This Row],[Slo - Pitch - Mens ]:[Slo - Pitch - Co-Ed ]])</f>
        <v>0</v>
      </c>
      <c r="X67" s="79">
        <f>SUM(Table326[[#This Row],[Baseball - U18 ]:[Baseball - U7 ]])</f>
        <v>0</v>
      </c>
      <c r="Y67" s="72" t="s">
        <v>1042</v>
      </c>
      <c r="Z6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67" s="74">
        <f>13.72-Table326[[#This Row],[Diamonds: Dimension Home to Pitchers Plate - m ]]</f>
        <v>1.2200000000000006</v>
      </c>
      <c r="AB67" s="74">
        <f>14.32-Table326[[#This Row],[Diamonds: Dimension Home to Pitchers Plate - m ]]</f>
        <v>1.8200000000000003</v>
      </c>
      <c r="AC67" s="74">
        <f>17.988-Table326[[#This Row],[Diamonds: Home to First Base Path - m ]]</f>
        <v>-1.0120000000000005</v>
      </c>
      <c r="AD67" s="105">
        <f>18.588-Table326[[#This Row],[Diamonds: Home to First Base Path - m ]]</f>
        <v>-0.41199999999999903</v>
      </c>
      <c r="AE67" s="74">
        <f>AVERAGE(Table326[[#This Row],[Home to Pitch (Low)]:[Home to 1st (High)]])</f>
        <v>0.40400000000000036</v>
      </c>
      <c r="AF67" s="74">
        <v>1</v>
      </c>
      <c r="AG67" s="109">
        <f>12.5-Table326[[#This Row],[Diamonds: Dimension Home to Pitchers Plate - m ]]</f>
        <v>0</v>
      </c>
      <c r="AH67" s="110">
        <f>13.1-Table326[[#This Row],[Diamonds: Dimension Home to Pitchers Plate - m ]]</f>
        <v>0.59999999999999964</v>
      </c>
      <c r="AI67" s="108">
        <f>17.988-Table326[[#This Row],[Diamonds: Home to First Base Path - m ]]</f>
        <v>-1.0120000000000005</v>
      </c>
      <c r="AJ67" s="111">
        <f>18.588-Table326[[#This Row],[Diamonds: Home to First Base Path - m ]]</f>
        <v>-0.41199999999999903</v>
      </c>
      <c r="AK67" s="74">
        <f>AVERAGE(Table326[[#This Row],[Home to Pitch (Low)2]:[Home to 1st (High)5]])</f>
        <v>-0.20599999999999996</v>
      </c>
      <c r="AL6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7" s="74">
        <f>11.2-Table326[[#This Row],[Diamonds: Dimension Home to Pitchers Plate - m ]]</f>
        <v>-1.3000000000000007</v>
      </c>
      <c r="AN67" s="103">
        <f>11.8-Table326[[#This Row],[Diamonds: Dimension Home to Pitchers Plate - m ]]</f>
        <v>-0.69999999999999929</v>
      </c>
      <c r="AO67" s="74">
        <f>16.5-Table326[[#This Row],[Diamonds: Home to First Base Path - m ]]</f>
        <v>-2.5</v>
      </c>
      <c r="AP67" s="74">
        <f>17.04-Table326[[#This Row],[Diamonds: Home to First Base Path - m ]]</f>
        <v>-1.9600000000000009</v>
      </c>
      <c r="AQ6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7" s="74">
        <f>10.37-Table326[[#This Row],[Diamonds: Dimension Home to Pitchers Plate - m ]]</f>
        <v>-2.1300000000000008</v>
      </c>
      <c r="AS67" s="74">
        <f>10.97-Table326[[#This Row],[Diamonds: Dimension Home to Pitchers Plate - m ]]</f>
        <v>-1.5299999999999994</v>
      </c>
      <c r="AT67" s="74">
        <f>13.5-Table326[[#This Row],[Diamonds: Home to First Base Path - m ]]</f>
        <v>-5.5</v>
      </c>
      <c r="AU67" s="74">
        <f>14.02-Table326[[#This Row],[Diamonds: Home to First Base Path - m ]]</f>
        <v>-4.9800000000000004</v>
      </c>
      <c r="AV6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7" s="74"/>
      <c r="BR67" s="74"/>
      <c r="BS67" s="75" t="s">
        <v>814</v>
      </c>
      <c r="BT67" s="76" t="s">
        <v>388</v>
      </c>
    </row>
    <row r="68" spans="1:72" s="85" customFormat="1" ht="33.6" x14ac:dyDescent="0.3">
      <c r="A68" s="70" t="s">
        <v>10</v>
      </c>
      <c r="B68" s="71" t="s">
        <v>417</v>
      </c>
      <c r="C68" s="71" t="s">
        <v>739</v>
      </c>
      <c r="D68" s="71" t="s">
        <v>754</v>
      </c>
      <c r="E68" s="72"/>
      <c r="F68" s="72"/>
      <c r="G68" s="72"/>
      <c r="H68" s="72" t="s">
        <v>385</v>
      </c>
      <c r="I68" s="72" t="s">
        <v>761</v>
      </c>
      <c r="J68" s="72">
        <v>5.5</v>
      </c>
      <c r="K68" s="72" t="s">
        <v>748</v>
      </c>
      <c r="L68" s="72"/>
      <c r="M68" s="72"/>
      <c r="N68" s="72">
        <v>1</v>
      </c>
      <c r="O68" s="72"/>
      <c r="P68" s="73" t="s">
        <v>749</v>
      </c>
      <c r="Q68" s="72">
        <v>13</v>
      </c>
      <c r="R68" s="72">
        <v>22</v>
      </c>
      <c r="S68" s="72">
        <v>28.8</v>
      </c>
      <c r="T68" s="72">
        <v>18.5</v>
      </c>
      <c r="U68" s="72"/>
      <c r="V68"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68" s="72">
        <f>SUM(Table326[[#This Row],[Slo - Pitch - Mens ]:[Slo - Pitch - Co-Ed ]])</f>
        <v>0</v>
      </c>
      <c r="X68" s="72">
        <f>SUM(Table326[[#This Row],[Baseball - U18 ]:[Baseball - U7 ]])</f>
        <v>1</v>
      </c>
      <c r="Y68" s="72" t="s">
        <v>1043</v>
      </c>
      <c r="Z6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68" s="74">
        <f>13.72-Table326[[#This Row],[Diamonds: Dimension Home to Pitchers Plate - m ]]</f>
        <v>0.72000000000000064</v>
      </c>
      <c r="AB68" s="74">
        <f>14.32-Table326[[#This Row],[Diamonds: Dimension Home to Pitchers Plate - m ]]</f>
        <v>1.3200000000000003</v>
      </c>
      <c r="AC68" s="74">
        <f>17.988-Table326[[#This Row],[Diamonds: Home to First Base Path - m ]]</f>
        <v>-0.51200000000000045</v>
      </c>
      <c r="AD68" s="74">
        <f>18.588-Table326[[#This Row],[Diamonds: Home to First Base Path - m ]]</f>
        <v>8.8000000000000966E-2</v>
      </c>
      <c r="AE68" s="74">
        <f>AVERAGE(Table326[[#This Row],[Home to Pitch (Low)]:[Home to 1st (High)]])</f>
        <v>0.40400000000000036</v>
      </c>
      <c r="AF6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68" s="74">
        <f>12.5-Table326[[#This Row],[Diamonds: Dimension Home to Pitchers Plate - m ]]</f>
        <v>-0.5</v>
      </c>
      <c r="AH68" s="74">
        <f>13.1-Table326[[#This Row],[Diamonds: Dimension Home to Pitchers Plate - m ]]</f>
        <v>9.9999999999999645E-2</v>
      </c>
      <c r="AI68" s="74">
        <f>17.988-Table326[[#This Row],[Diamonds: Home to First Base Path - m ]]</f>
        <v>-0.51200000000000045</v>
      </c>
      <c r="AJ68" s="74">
        <f>18.588-Table326[[#This Row],[Diamonds: Home to First Base Path - m ]]</f>
        <v>8.8000000000000966E-2</v>
      </c>
      <c r="AK68" s="74">
        <f>AVERAGE(Table326[[#This Row],[Home to Pitch (Low)2]:[Home to 1st (High)5]])</f>
        <v>-0.20599999999999996</v>
      </c>
      <c r="AL6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8" s="74">
        <f>11.2-Table326[[#This Row],[Diamonds: Dimension Home to Pitchers Plate - m ]]</f>
        <v>-1.8000000000000007</v>
      </c>
      <c r="AN68" s="74">
        <f>11.8-Table326[[#This Row],[Diamonds: Dimension Home to Pitchers Plate - m ]]</f>
        <v>-1.1999999999999993</v>
      </c>
      <c r="AO68" s="74">
        <f>16.5-Table326[[#This Row],[Diamonds: Home to First Base Path - m ]]</f>
        <v>-2</v>
      </c>
      <c r="AP68" s="74">
        <f>17.04-Table326[[#This Row],[Diamonds: Home to First Base Path - m ]]</f>
        <v>-1.4600000000000009</v>
      </c>
      <c r="AQ6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8" s="74">
        <f>10.37-Table326[[#This Row],[Diamonds: Dimension Home to Pitchers Plate - m ]]</f>
        <v>-2.6300000000000008</v>
      </c>
      <c r="AS68" s="74">
        <f>10.97-Table326[[#This Row],[Diamonds: Dimension Home to Pitchers Plate - m ]]</f>
        <v>-2.0299999999999994</v>
      </c>
      <c r="AT68" s="74">
        <f>13.5-Table326[[#This Row],[Diamonds: Home to First Base Path - m ]]</f>
        <v>-5</v>
      </c>
      <c r="AU68" s="74">
        <f>14.02-Table326[[#This Row],[Diamonds: Home to First Base Path - m ]]</f>
        <v>-4.4800000000000004</v>
      </c>
      <c r="AV6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6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6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6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6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6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6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8" s="74"/>
      <c r="BR68" s="74"/>
      <c r="BS68" s="75" t="s">
        <v>762</v>
      </c>
      <c r="BT68" s="76" t="s">
        <v>421</v>
      </c>
    </row>
    <row r="69" spans="1:72" ht="33.6" x14ac:dyDescent="0.3">
      <c r="A69" s="70" t="s">
        <v>85</v>
      </c>
      <c r="B69" s="71" t="s">
        <v>881</v>
      </c>
      <c r="C69" s="71" t="s">
        <v>739</v>
      </c>
      <c r="D69" s="71" t="s">
        <v>740</v>
      </c>
      <c r="E69" s="72"/>
      <c r="F69" s="72"/>
      <c r="G69" s="72"/>
      <c r="H69" s="72" t="s">
        <v>385</v>
      </c>
      <c r="I69" s="72" t="s">
        <v>884</v>
      </c>
      <c r="J69" s="72">
        <v>6</v>
      </c>
      <c r="K69" s="72" t="s">
        <v>742</v>
      </c>
      <c r="L69" s="72">
        <v>1</v>
      </c>
      <c r="M69" s="72">
        <v>1</v>
      </c>
      <c r="N69" s="72">
        <v>1</v>
      </c>
      <c r="O69" s="72">
        <v>1</v>
      </c>
      <c r="P69" s="73" t="s">
        <v>781</v>
      </c>
      <c r="Q69" s="72">
        <v>13.5</v>
      </c>
      <c r="R69" s="72">
        <v>25.8</v>
      </c>
      <c r="S69" s="72"/>
      <c r="T69" s="72">
        <v>18</v>
      </c>
      <c r="U69" s="72">
        <v>1</v>
      </c>
      <c r="V69"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2</v>
      </c>
      <c r="W69" s="72">
        <f>SUM(Table326[[#This Row],[Slo - Pitch - Mens ]:[Slo - Pitch - Co-Ed ]])</f>
        <v>0</v>
      </c>
      <c r="X69" s="72">
        <f>SUM(Table326[[#This Row],[Baseball - U18 ]:[Baseball - U7 ]])</f>
        <v>0</v>
      </c>
      <c r="Y69" s="72" t="s">
        <v>1042</v>
      </c>
      <c r="Z69" s="74">
        <v>1</v>
      </c>
      <c r="AA69" s="103">
        <f>13.72-Table326[[#This Row],[Diamonds: Dimension Home to Pitchers Plate - m ]]</f>
        <v>0.22000000000000064</v>
      </c>
      <c r="AB69" s="74">
        <f>14.32-Table326[[#This Row],[Diamonds: Dimension Home to Pitchers Plate - m ]]</f>
        <v>0.82000000000000028</v>
      </c>
      <c r="AC69" s="105">
        <f>17.988-Table326[[#This Row],[Diamonds: Home to First Base Path - m ]]</f>
        <v>-1.2000000000000455E-2</v>
      </c>
      <c r="AD69" s="74">
        <f>18.588-Table326[[#This Row],[Diamonds: Home to First Base Path - m ]]</f>
        <v>0.58800000000000097</v>
      </c>
      <c r="AE69" s="74">
        <f>AVERAGE(Table326[[#This Row],[Home to Pitch (Low)]:[Home to 1st (High)]])</f>
        <v>0.40400000000000036</v>
      </c>
      <c r="AF69" s="74">
        <v>1</v>
      </c>
      <c r="AG69" s="108">
        <f>12.5-Table326[[#This Row],[Diamonds: Dimension Home to Pitchers Plate - m ]]</f>
        <v>-1</v>
      </c>
      <c r="AH69" s="111">
        <f>13.1-Table326[[#This Row],[Diamonds: Dimension Home to Pitchers Plate - m ]]</f>
        <v>-0.40000000000000036</v>
      </c>
      <c r="AI69" s="109">
        <f>17.988-Table326[[#This Row],[Diamonds: Home to First Base Path - m ]]</f>
        <v>-1.2000000000000455E-2</v>
      </c>
      <c r="AJ69" s="110">
        <f>18.588-Table326[[#This Row],[Diamonds: Home to First Base Path - m ]]</f>
        <v>0.58800000000000097</v>
      </c>
      <c r="AK69" s="74">
        <f>AVERAGE(Table326[[#This Row],[Home to Pitch (Low)2]:[Home to 1st (High)5]])</f>
        <v>-0.20599999999999996</v>
      </c>
      <c r="AL6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69" s="74">
        <f>11.2-Table326[[#This Row],[Diamonds: Dimension Home to Pitchers Plate - m ]]</f>
        <v>-2.3000000000000007</v>
      </c>
      <c r="AN69" s="74">
        <f>11.8-Table326[[#This Row],[Diamonds: Dimension Home to Pitchers Plate - m ]]</f>
        <v>-1.6999999999999993</v>
      </c>
      <c r="AO69" s="74">
        <f>16.5-Table326[[#This Row],[Diamonds: Home to First Base Path - m ]]</f>
        <v>-1.5</v>
      </c>
      <c r="AP69" s="74">
        <f>17.04-Table326[[#This Row],[Diamonds: Home to First Base Path - m ]]</f>
        <v>-0.96000000000000085</v>
      </c>
      <c r="AQ6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69" s="74">
        <f>10.37-Table326[[#This Row],[Diamonds: Dimension Home to Pitchers Plate - m ]]</f>
        <v>-3.1300000000000008</v>
      </c>
      <c r="AS69" s="74">
        <f>10.97-Table326[[#This Row],[Diamonds: Dimension Home to Pitchers Plate - m ]]</f>
        <v>-2.5299999999999994</v>
      </c>
      <c r="AT69" s="74">
        <f>13.5-Table326[[#This Row],[Diamonds: Home to First Base Path - m ]]</f>
        <v>-4.5</v>
      </c>
      <c r="AU69" s="74">
        <f>14.02-Table326[[#This Row],[Diamonds: Home to First Base Path - m ]]</f>
        <v>-3.9800000000000004</v>
      </c>
      <c r="AV6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6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6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6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6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6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6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6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6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6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6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6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6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6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6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6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6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6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6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6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6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69" s="74"/>
      <c r="BR69" s="74"/>
      <c r="BS69" s="75" t="s">
        <v>885</v>
      </c>
      <c r="BT69" s="76" t="s">
        <v>886</v>
      </c>
    </row>
    <row r="70" spans="1:72" ht="33.6" x14ac:dyDescent="0.3">
      <c r="A70" s="77" t="s">
        <v>127</v>
      </c>
      <c r="B70" s="78" t="s">
        <v>618</v>
      </c>
      <c r="C70" s="78" t="s">
        <v>739</v>
      </c>
      <c r="D70" s="78" t="s">
        <v>789</v>
      </c>
      <c r="E70" s="79"/>
      <c r="F70" s="79"/>
      <c r="G70" s="79"/>
      <c r="H70" s="79" t="s">
        <v>399</v>
      </c>
      <c r="I70" s="79" t="s">
        <v>958</v>
      </c>
      <c r="J70" s="79">
        <v>7.5</v>
      </c>
      <c r="K70" s="79" t="s">
        <v>742</v>
      </c>
      <c r="L70" s="79"/>
      <c r="M70" s="79"/>
      <c r="N70" s="79">
        <v>1</v>
      </c>
      <c r="O70" s="79"/>
      <c r="P70" s="80" t="s">
        <v>772</v>
      </c>
      <c r="Q70" s="79">
        <v>13.1</v>
      </c>
      <c r="R70" s="79">
        <v>24.8</v>
      </c>
      <c r="S70" s="79"/>
      <c r="T70" s="79">
        <v>18</v>
      </c>
      <c r="U70" s="79">
        <v>1</v>
      </c>
      <c r="V70"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0" s="79">
        <f>SUM(Table326[[#This Row],[Slo - Pitch - Mens ]:[Slo - Pitch - Co-Ed ]])</f>
        <v>0</v>
      </c>
      <c r="X70" s="79">
        <f>SUM(Table326[[#This Row],[Baseball - U18 ]:[Baseball - U7 ]])</f>
        <v>1</v>
      </c>
      <c r="Y70" s="72" t="s">
        <v>1043</v>
      </c>
      <c r="Z7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0" s="74">
        <f>13.72-Table326[[#This Row],[Diamonds: Dimension Home to Pitchers Plate - m ]]</f>
        <v>0.62000000000000099</v>
      </c>
      <c r="AB70" s="74">
        <f>14.32-Table326[[#This Row],[Diamonds: Dimension Home to Pitchers Plate - m ]]</f>
        <v>1.2200000000000006</v>
      </c>
      <c r="AC70" s="74">
        <f>17.988-Table326[[#This Row],[Diamonds: Home to First Base Path - m ]]</f>
        <v>-1.2000000000000455E-2</v>
      </c>
      <c r="AD70" s="74">
        <f>18.588-Table326[[#This Row],[Diamonds: Home to First Base Path - m ]]</f>
        <v>0.58800000000000097</v>
      </c>
      <c r="AE70" s="74">
        <f>AVERAGE(Table326[[#This Row],[Home to Pitch (Low)]:[Home to 1st (High)]])</f>
        <v>0.60400000000000054</v>
      </c>
      <c r="AF7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0" s="74">
        <f>12.5-Table326[[#This Row],[Diamonds: Dimension Home to Pitchers Plate - m ]]</f>
        <v>-0.59999999999999964</v>
      </c>
      <c r="AH70" s="74">
        <f>13.1-Table326[[#This Row],[Diamonds: Dimension Home to Pitchers Plate - m ]]</f>
        <v>0</v>
      </c>
      <c r="AI70" s="74">
        <f>17.988-Table326[[#This Row],[Diamonds: Home to First Base Path - m ]]</f>
        <v>-1.2000000000000455E-2</v>
      </c>
      <c r="AJ70" s="74">
        <f>18.588-Table326[[#This Row],[Diamonds: Home to First Base Path - m ]]</f>
        <v>0.58800000000000097</v>
      </c>
      <c r="AK70" s="74">
        <f>AVERAGE(Table326[[#This Row],[Home to Pitch (Low)2]:[Home to 1st (High)5]])</f>
        <v>-5.9999999999997833E-3</v>
      </c>
      <c r="AL7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0" s="74">
        <f>11.2-Table326[[#This Row],[Diamonds: Dimension Home to Pitchers Plate - m ]]</f>
        <v>-1.9000000000000004</v>
      </c>
      <c r="AN70" s="74">
        <f>11.8-Table326[[#This Row],[Diamonds: Dimension Home to Pitchers Plate - m ]]</f>
        <v>-1.2999999999999989</v>
      </c>
      <c r="AO70" s="74">
        <f>16.5-Table326[[#This Row],[Diamonds: Home to First Base Path - m ]]</f>
        <v>-1.5</v>
      </c>
      <c r="AP70" s="74">
        <f>17.04-Table326[[#This Row],[Diamonds: Home to First Base Path - m ]]</f>
        <v>-0.96000000000000085</v>
      </c>
      <c r="AQ7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0" s="74">
        <f>10.37-Table326[[#This Row],[Diamonds: Dimension Home to Pitchers Plate - m ]]</f>
        <v>-2.7300000000000004</v>
      </c>
      <c r="AS70" s="74">
        <f>10.97-Table326[[#This Row],[Diamonds: Dimension Home to Pitchers Plate - m ]]</f>
        <v>-2.129999999999999</v>
      </c>
      <c r="AT70" s="74">
        <f>13.5-Table326[[#This Row],[Diamonds: Home to First Base Path - m ]]</f>
        <v>-4.5</v>
      </c>
      <c r="AU70" s="74">
        <f>14.02-Table326[[#This Row],[Diamonds: Home to First Base Path - m ]]</f>
        <v>-3.9800000000000004</v>
      </c>
      <c r="AV7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0" s="74"/>
      <c r="BR70" s="74"/>
      <c r="BS70" s="75" t="s">
        <v>959</v>
      </c>
      <c r="BT70" s="76" t="s">
        <v>595</v>
      </c>
    </row>
    <row r="71" spans="1:72" ht="16.8" x14ac:dyDescent="0.3">
      <c r="A71" s="70" t="s">
        <v>32</v>
      </c>
      <c r="B71" s="71" t="s">
        <v>465</v>
      </c>
      <c r="C71" s="71" t="s">
        <v>739</v>
      </c>
      <c r="D71" s="71" t="s">
        <v>789</v>
      </c>
      <c r="E71" s="72"/>
      <c r="F71" s="72"/>
      <c r="G71" s="72"/>
      <c r="H71" s="72" t="s">
        <v>444</v>
      </c>
      <c r="I71" s="72" t="s">
        <v>798</v>
      </c>
      <c r="J71" s="72">
        <v>7.5</v>
      </c>
      <c r="K71" s="72" t="s">
        <v>748</v>
      </c>
      <c r="L71" s="72"/>
      <c r="M71" s="72"/>
      <c r="N71" s="72">
        <v>1</v>
      </c>
      <c r="O71" s="72">
        <v>1</v>
      </c>
      <c r="P71" s="73" t="s">
        <v>749</v>
      </c>
      <c r="Q71" s="72">
        <v>12.5</v>
      </c>
      <c r="R71" s="72">
        <v>25.7</v>
      </c>
      <c r="S71" s="72">
        <v>28.2</v>
      </c>
      <c r="T71" s="72">
        <v>18.5</v>
      </c>
      <c r="U71" s="72"/>
      <c r="V7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71" s="72">
        <f>SUM(Table326[[#This Row],[Slo - Pitch - Mens ]:[Slo - Pitch - Co-Ed ]])</f>
        <v>0</v>
      </c>
      <c r="X71" s="72">
        <f>SUM(Table326[[#This Row],[Baseball - U18 ]:[Baseball - U7 ]])</f>
        <v>1</v>
      </c>
      <c r="Y71" s="72" t="s">
        <v>1043</v>
      </c>
      <c r="Z7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1" s="74">
        <f>13.72-Table326[[#This Row],[Diamonds: Dimension Home to Pitchers Plate - m ]]</f>
        <v>1.2200000000000006</v>
      </c>
      <c r="AB71" s="74">
        <f>14.32-Table326[[#This Row],[Diamonds: Dimension Home to Pitchers Plate - m ]]</f>
        <v>1.8200000000000003</v>
      </c>
      <c r="AC71" s="74">
        <f>17.988-Table326[[#This Row],[Diamonds: Home to First Base Path - m ]]</f>
        <v>-0.51200000000000045</v>
      </c>
      <c r="AD71" s="74">
        <f>18.588-Table326[[#This Row],[Diamonds: Home to First Base Path - m ]]</f>
        <v>8.8000000000000966E-2</v>
      </c>
      <c r="AE71" s="74">
        <f>AVERAGE(Table326[[#This Row],[Home to Pitch (Low)]:[Home to 1st (High)]])</f>
        <v>0.65400000000000036</v>
      </c>
      <c r="AF7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1" s="74">
        <f>12.5-Table326[[#This Row],[Diamonds: Dimension Home to Pitchers Plate - m ]]</f>
        <v>0</v>
      </c>
      <c r="AH71" s="74">
        <f>13.1-Table326[[#This Row],[Diamonds: Dimension Home to Pitchers Plate - m ]]</f>
        <v>0.59999999999999964</v>
      </c>
      <c r="AI71" s="74">
        <f>17.988-Table326[[#This Row],[Diamonds: Home to First Base Path - m ]]</f>
        <v>-0.51200000000000045</v>
      </c>
      <c r="AJ71" s="74">
        <f>18.588-Table326[[#This Row],[Diamonds: Home to First Base Path - m ]]</f>
        <v>8.8000000000000966E-2</v>
      </c>
      <c r="AK71" s="74">
        <f>AVERAGE(Table326[[#This Row],[Home to Pitch (Low)2]:[Home to 1st (High)5]])</f>
        <v>4.4000000000000039E-2</v>
      </c>
      <c r="AL7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1" s="74">
        <f>11.2-Table326[[#This Row],[Diamonds: Dimension Home to Pitchers Plate - m ]]</f>
        <v>-1.3000000000000007</v>
      </c>
      <c r="AN71" s="74">
        <f>11.8-Table326[[#This Row],[Diamonds: Dimension Home to Pitchers Plate - m ]]</f>
        <v>-0.69999999999999929</v>
      </c>
      <c r="AO71" s="74">
        <f>16.5-Table326[[#This Row],[Diamonds: Home to First Base Path - m ]]</f>
        <v>-2</v>
      </c>
      <c r="AP71" s="74">
        <f>17.04-Table326[[#This Row],[Diamonds: Home to First Base Path - m ]]</f>
        <v>-1.4600000000000009</v>
      </c>
      <c r="AQ7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1" s="74">
        <f>10.37-Table326[[#This Row],[Diamonds: Dimension Home to Pitchers Plate - m ]]</f>
        <v>-2.1300000000000008</v>
      </c>
      <c r="AS71" s="74">
        <f>10.97-Table326[[#This Row],[Diamonds: Dimension Home to Pitchers Plate - m ]]</f>
        <v>-1.5299999999999994</v>
      </c>
      <c r="AT71" s="74">
        <f>13.5-Table326[[#This Row],[Diamonds: Home to First Base Path - m ]]</f>
        <v>-5</v>
      </c>
      <c r="AU71" s="74">
        <f>14.02-Table326[[#This Row],[Diamonds: Home to First Base Path - m ]]</f>
        <v>-4.4800000000000004</v>
      </c>
      <c r="AV7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7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7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7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7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7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1" s="74"/>
      <c r="BR71" s="74"/>
      <c r="BS71" s="75" t="s">
        <v>799</v>
      </c>
      <c r="BT71" s="76" t="s">
        <v>388</v>
      </c>
    </row>
    <row r="72" spans="1:72" ht="33.6" x14ac:dyDescent="0.3">
      <c r="A72" s="70" t="s">
        <v>4</v>
      </c>
      <c r="B72" s="71" t="s">
        <v>411</v>
      </c>
      <c r="C72" s="71" t="s">
        <v>739</v>
      </c>
      <c r="D72" s="71" t="s">
        <v>740</v>
      </c>
      <c r="E72" s="72"/>
      <c r="F72" s="72"/>
      <c r="G72" s="72"/>
      <c r="H72" s="72" t="s">
        <v>444</v>
      </c>
      <c r="I72" s="72" t="s">
        <v>751</v>
      </c>
      <c r="J72" s="72">
        <v>6</v>
      </c>
      <c r="K72" s="72"/>
      <c r="L72" s="72"/>
      <c r="M72" s="72"/>
      <c r="N72" s="72"/>
      <c r="O72" s="72"/>
      <c r="P72" s="73" t="s">
        <v>752</v>
      </c>
      <c r="Q72" s="72">
        <v>13</v>
      </c>
      <c r="R72" s="72"/>
      <c r="S72" s="72"/>
      <c r="T72" s="72">
        <v>18</v>
      </c>
      <c r="U72" s="72"/>
      <c r="V7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2" s="72">
        <f>SUM(Table326[[#This Row],[Slo - Pitch - Mens ]:[Slo - Pitch - Co-Ed ]])</f>
        <v>0</v>
      </c>
      <c r="X72" s="72">
        <f>SUM(Table326[[#This Row],[Baseball - U18 ]:[Baseball - U7 ]])</f>
        <v>1</v>
      </c>
      <c r="Y72" s="72" t="s">
        <v>1043</v>
      </c>
      <c r="Z7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2" s="74">
        <f>13.72-Table326[[#This Row],[Diamonds: Dimension Home to Pitchers Plate - m ]]</f>
        <v>0.72000000000000064</v>
      </c>
      <c r="AB72" s="74">
        <f>14.32-Table326[[#This Row],[Diamonds: Dimension Home to Pitchers Plate - m ]]</f>
        <v>1.3200000000000003</v>
      </c>
      <c r="AC72" s="74">
        <f>17.988-Table326[[#This Row],[Diamonds: Home to First Base Path - m ]]</f>
        <v>-1.2000000000000455E-2</v>
      </c>
      <c r="AD72" s="74">
        <f>18.588-Table326[[#This Row],[Diamonds: Home to First Base Path - m ]]</f>
        <v>0.58800000000000097</v>
      </c>
      <c r="AE72" s="74">
        <f>AVERAGE(Table326[[#This Row],[Home to Pitch (Low)]:[Home to 1st (High)]])</f>
        <v>0.65400000000000036</v>
      </c>
      <c r="AF7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2" s="74">
        <f>12.5-Table326[[#This Row],[Diamonds: Dimension Home to Pitchers Plate - m ]]</f>
        <v>-0.5</v>
      </c>
      <c r="AH72" s="74">
        <f>13.1-Table326[[#This Row],[Diamonds: Dimension Home to Pitchers Plate - m ]]</f>
        <v>9.9999999999999645E-2</v>
      </c>
      <c r="AI72" s="74">
        <f>17.988-Table326[[#This Row],[Diamonds: Home to First Base Path - m ]]</f>
        <v>-1.2000000000000455E-2</v>
      </c>
      <c r="AJ72" s="74">
        <f>18.588-Table326[[#This Row],[Diamonds: Home to First Base Path - m ]]</f>
        <v>0.58800000000000097</v>
      </c>
      <c r="AK72" s="74">
        <f>AVERAGE(Table326[[#This Row],[Home to Pitch (Low)2]:[Home to 1st (High)5]])</f>
        <v>4.4000000000000039E-2</v>
      </c>
      <c r="AL7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2" s="74">
        <f>11.2-Table326[[#This Row],[Diamonds: Dimension Home to Pitchers Plate - m ]]</f>
        <v>-1.8000000000000007</v>
      </c>
      <c r="AN72" s="74">
        <f>11.8-Table326[[#This Row],[Diamonds: Dimension Home to Pitchers Plate - m ]]</f>
        <v>-1.1999999999999993</v>
      </c>
      <c r="AO72" s="74">
        <f>16.5-Table326[[#This Row],[Diamonds: Home to First Base Path - m ]]</f>
        <v>-1.5</v>
      </c>
      <c r="AP72" s="74">
        <f>17.04-Table326[[#This Row],[Diamonds: Home to First Base Path - m ]]</f>
        <v>-0.96000000000000085</v>
      </c>
      <c r="AQ7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2" s="74">
        <f>10.37-Table326[[#This Row],[Diamonds: Dimension Home to Pitchers Plate - m ]]</f>
        <v>-2.6300000000000008</v>
      </c>
      <c r="AS72" s="74">
        <f>10.97-Table326[[#This Row],[Diamonds: Dimension Home to Pitchers Plate - m ]]</f>
        <v>-2.0299999999999994</v>
      </c>
      <c r="AT72" s="74">
        <f>13.5-Table326[[#This Row],[Diamonds: Home to First Base Path - m ]]</f>
        <v>-4.5</v>
      </c>
      <c r="AU72" s="74">
        <f>14.02-Table326[[#This Row],[Diamonds: Home to First Base Path - m ]]</f>
        <v>-3.9800000000000004</v>
      </c>
      <c r="AV7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2" s="74"/>
      <c r="BR72" s="74"/>
      <c r="BS72" s="75" t="s">
        <v>753</v>
      </c>
      <c r="BT72" s="76" t="s">
        <v>388</v>
      </c>
    </row>
    <row r="73" spans="1:72" ht="16.8" x14ac:dyDescent="0.3">
      <c r="A73" s="70" t="s">
        <v>38</v>
      </c>
      <c r="B73" s="71" t="s">
        <v>468</v>
      </c>
      <c r="C73" s="71" t="s">
        <v>739</v>
      </c>
      <c r="D73" s="71" t="s">
        <v>740</v>
      </c>
      <c r="E73" s="72"/>
      <c r="F73" s="72"/>
      <c r="G73" s="72"/>
      <c r="H73" s="72" t="s">
        <v>385</v>
      </c>
      <c r="I73" s="72" t="s">
        <v>805</v>
      </c>
      <c r="J73" s="72">
        <v>9</v>
      </c>
      <c r="K73" s="72" t="s">
        <v>748</v>
      </c>
      <c r="L73" s="72"/>
      <c r="M73" s="72"/>
      <c r="N73" s="72">
        <v>1</v>
      </c>
      <c r="O73" s="72"/>
      <c r="P73" s="73" t="s">
        <v>749</v>
      </c>
      <c r="Q73" s="72">
        <v>13</v>
      </c>
      <c r="R73" s="72">
        <v>25.5</v>
      </c>
      <c r="S73" s="72">
        <v>28</v>
      </c>
      <c r="T73" s="72">
        <v>18</v>
      </c>
      <c r="U73" s="72">
        <v>1</v>
      </c>
      <c r="V73"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3" s="72">
        <f>SUM(Table326[[#This Row],[Slo - Pitch - Mens ]:[Slo - Pitch - Co-Ed ]])</f>
        <v>0</v>
      </c>
      <c r="X73" s="72">
        <f>SUM(Table326[[#This Row],[Baseball - U18 ]:[Baseball - U7 ]])</f>
        <v>1</v>
      </c>
      <c r="Y73" s="72" t="s">
        <v>1043</v>
      </c>
      <c r="Z7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3" s="74">
        <f>13.72-Table326[[#This Row],[Diamonds: Dimension Home to Pitchers Plate - m ]]</f>
        <v>0.72000000000000064</v>
      </c>
      <c r="AB73" s="74">
        <f>14.32-Table326[[#This Row],[Diamonds: Dimension Home to Pitchers Plate - m ]]</f>
        <v>1.3200000000000003</v>
      </c>
      <c r="AC73" s="74">
        <f>17.988-Table326[[#This Row],[Diamonds: Home to First Base Path - m ]]</f>
        <v>-1.2000000000000455E-2</v>
      </c>
      <c r="AD73" s="74">
        <f>18.588-Table326[[#This Row],[Diamonds: Home to First Base Path - m ]]</f>
        <v>0.58800000000000097</v>
      </c>
      <c r="AE73" s="74">
        <f>AVERAGE(Table326[[#This Row],[Home to Pitch (Low)]:[Home to 1st (High)]])</f>
        <v>0.65400000000000036</v>
      </c>
      <c r="AF7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3" s="74">
        <f>12.5-Table326[[#This Row],[Diamonds: Dimension Home to Pitchers Plate - m ]]</f>
        <v>-0.5</v>
      </c>
      <c r="AH73" s="74">
        <f>13.1-Table326[[#This Row],[Diamonds: Dimension Home to Pitchers Plate - m ]]</f>
        <v>9.9999999999999645E-2</v>
      </c>
      <c r="AI73" s="74">
        <f>17.988-Table326[[#This Row],[Diamonds: Home to First Base Path - m ]]</f>
        <v>-1.2000000000000455E-2</v>
      </c>
      <c r="AJ73" s="74">
        <f>18.588-Table326[[#This Row],[Diamonds: Home to First Base Path - m ]]</f>
        <v>0.58800000000000097</v>
      </c>
      <c r="AK73" s="74">
        <f>AVERAGE(Table326[[#This Row],[Home to Pitch (Low)2]:[Home to 1st (High)5]])</f>
        <v>4.4000000000000039E-2</v>
      </c>
      <c r="AL7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3" s="74">
        <f>11.2-Table326[[#This Row],[Diamonds: Dimension Home to Pitchers Plate - m ]]</f>
        <v>-1.8000000000000007</v>
      </c>
      <c r="AN73" s="74">
        <f>11.8-Table326[[#This Row],[Diamonds: Dimension Home to Pitchers Plate - m ]]</f>
        <v>-1.1999999999999993</v>
      </c>
      <c r="AO73" s="74">
        <f>16.5-Table326[[#This Row],[Diamonds: Home to First Base Path - m ]]</f>
        <v>-1.5</v>
      </c>
      <c r="AP73" s="74">
        <f>17.04-Table326[[#This Row],[Diamonds: Home to First Base Path - m ]]</f>
        <v>-0.96000000000000085</v>
      </c>
      <c r="AQ7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3" s="74">
        <f>10.37-Table326[[#This Row],[Diamonds: Dimension Home to Pitchers Plate - m ]]</f>
        <v>-2.6300000000000008</v>
      </c>
      <c r="AS73" s="74">
        <f>10.97-Table326[[#This Row],[Diamonds: Dimension Home to Pitchers Plate - m ]]</f>
        <v>-2.0299999999999994</v>
      </c>
      <c r="AT73" s="74">
        <f>13.5-Table326[[#This Row],[Diamonds: Home to First Base Path - m ]]</f>
        <v>-4.5</v>
      </c>
      <c r="AU73" s="74">
        <f>14.02-Table326[[#This Row],[Diamonds: Home to First Base Path - m ]]</f>
        <v>-3.9800000000000004</v>
      </c>
      <c r="AV7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3" s="74"/>
      <c r="BR73" s="74"/>
      <c r="BS73" s="75" t="s">
        <v>806</v>
      </c>
      <c r="BT73" s="76" t="s">
        <v>388</v>
      </c>
    </row>
    <row r="74" spans="1:72" ht="16.8" x14ac:dyDescent="0.3">
      <c r="A74" s="70" t="s">
        <v>81</v>
      </c>
      <c r="B74" s="71" t="s">
        <v>541</v>
      </c>
      <c r="C74" s="71" t="s">
        <v>745</v>
      </c>
      <c r="D74" s="71" t="s">
        <v>746</v>
      </c>
      <c r="E74" s="72"/>
      <c r="F74" s="72"/>
      <c r="G74" s="72"/>
      <c r="H74" s="72" t="s">
        <v>408</v>
      </c>
      <c r="I74" s="72" t="s">
        <v>780</v>
      </c>
      <c r="J74" s="72">
        <v>7.5</v>
      </c>
      <c r="K74" s="72" t="s">
        <v>748</v>
      </c>
      <c r="L74" s="72">
        <v>1</v>
      </c>
      <c r="M74" s="72"/>
      <c r="N74" s="72">
        <v>1</v>
      </c>
      <c r="O74" s="72"/>
      <c r="P74" s="73" t="s">
        <v>749</v>
      </c>
      <c r="Q74" s="72">
        <v>13</v>
      </c>
      <c r="R74" s="72">
        <v>24</v>
      </c>
      <c r="S74" s="72">
        <v>31.3</v>
      </c>
      <c r="T74" s="72">
        <v>18</v>
      </c>
      <c r="U74" s="72"/>
      <c r="V74"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4" s="72">
        <f>SUM(Table326[[#This Row],[Slo - Pitch - Mens ]:[Slo - Pitch - Co-Ed ]])</f>
        <v>0</v>
      </c>
      <c r="X74" s="72">
        <f>SUM(Table326[[#This Row],[Baseball - U18 ]:[Baseball - U7 ]])</f>
        <v>1</v>
      </c>
      <c r="Y74" s="72" t="s">
        <v>1043</v>
      </c>
      <c r="Z7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4" s="74">
        <f>13.72-Table326[[#This Row],[Diamonds: Dimension Home to Pitchers Plate - m ]]</f>
        <v>0.72000000000000064</v>
      </c>
      <c r="AB74" s="74">
        <f>14.32-Table326[[#This Row],[Diamonds: Dimension Home to Pitchers Plate - m ]]</f>
        <v>1.3200000000000003</v>
      </c>
      <c r="AC74" s="74">
        <f>17.988-Table326[[#This Row],[Diamonds: Home to First Base Path - m ]]</f>
        <v>-1.2000000000000455E-2</v>
      </c>
      <c r="AD74" s="74">
        <f>18.588-Table326[[#This Row],[Diamonds: Home to First Base Path - m ]]</f>
        <v>0.58800000000000097</v>
      </c>
      <c r="AE74" s="74">
        <f>AVERAGE(Table326[[#This Row],[Home to Pitch (Low)]:[Home to 1st (High)]])</f>
        <v>0.65400000000000036</v>
      </c>
      <c r="AF7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4" s="74">
        <f>12.5-Table326[[#This Row],[Diamonds: Dimension Home to Pitchers Plate - m ]]</f>
        <v>-0.5</v>
      </c>
      <c r="AH74" s="74">
        <f>13.1-Table326[[#This Row],[Diamonds: Dimension Home to Pitchers Plate - m ]]</f>
        <v>9.9999999999999645E-2</v>
      </c>
      <c r="AI74" s="74">
        <f>17.988-Table326[[#This Row],[Diamonds: Home to First Base Path - m ]]</f>
        <v>-1.2000000000000455E-2</v>
      </c>
      <c r="AJ74" s="74">
        <f>18.588-Table326[[#This Row],[Diamonds: Home to First Base Path - m ]]</f>
        <v>0.58800000000000097</v>
      </c>
      <c r="AK74" s="74">
        <f>AVERAGE(Table326[[#This Row],[Home to Pitch (Low)2]:[Home to 1st (High)5]])</f>
        <v>4.4000000000000039E-2</v>
      </c>
      <c r="AL7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4" s="74">
        <f>11.2-Table326[[#This Row],[Diamonds: Dimension Home to Pitchers Plate - m ]]</f>
        <v>-1.8000000000000007</v>
      </c>
      <c r="AN74" s="74">
        <f>11.8-Table326[[#This Row],[Diamonds: Dimension Home to Pitchers Plate - m ]]</f>
        <v>-1.1999999999999993</v>
      </c>
      <c r="AO74" s="74">
        <f>16.5-Table326[[#This Row],[Diamonds: Home to First Base Path - m ]]</f>
        <v>-1.5</v>
      </c>
      <c r="AP74" s="74">
        <f>17.04-Table326[[#This Row],[Diamonds: Home to First Base Path - m ]]</f>
        <v>-0.96000000000000085</v>
      </c>
      <c r="AQ7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4" s="74">
        <f>10.37-Table326[[#This Row],[Diamonds: Dimension Home to Pitchers Plate - m ]]</f>
        <v>-2.6300000000000008</v>
      </c>
      <c r="AS74" s="74">
        <f>10.97-Table326[[#This Row],[Diamonds: Dimension Home to Pitchers Plate - m ]]</f>
        <v>-2.0299999999999994</v>
      </c>
      <c r="AT74" s="74">
        <f>13.5-Table326[[#This Row],[Diamonds: Home to First Base Path - m ]]</f>
        <v>-4.5</v>
      </c>
      <c r="AU74" s="74">
        <f>14.02-Table326[[#This Row],[Diamonds: Home to First Base Path - m ]]</f>
        <v>-3.9800000000000004</v>
      </c>
      <c r="AV7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4" s="74"/>
      <c r="BR74" s="74"/>
      <c r="BS74" s="75" t="s">
        <v>878</v>
      </c>
      <c r="BT74" s="76" t="s">
        <v>388</v>
      </c>
    </row>
    <row r="75" spans="1:72" ht="16.8" x14ac:dyDescent="0.3">
      <c r="A75" s="77" t="s">
        <v>113</v>
      </c>
      <c r="B75" s="78" t="s">
        <v>596</v>
      </c>
      <c r="C75" s="78" t="s">
        <v>739</v>
      </c>
      <c r="D75" s="78" t="s">
        <v>789</v>
      </c>
      <c r="E75" s="79"/>
      <c r="F75" s="79"/>
      <c r="G75" s="79"/>
      <c r="H75" s="79" t="s">
        <v>444</v>
      </c>
      <c r="I75" s="79" t="s">
        <v>938</v>
      </c>
      <c r="J75" s="79">
        <v>4</v>
      </c>
      <c r="K75" s="79" t="s">
        <v>742</v>
      </c>
      <c r="L75" s="79"/>
      <c r="M75" s="79"/>
      <c r="N75" s="79">
        <v>1</v>
      </c>
      <c r="O75" s="79"/>
      <c r="P75" s="80" t="s">
        <v>793</v>
      </c>
      <c r="Q75" s="79">
        <v>13</v>
      </c>
      <c r="R75" s="79"/>
      <c r="S75" s="79"/>
      <c r="T75" s="79">
        <v>18</v>
      </c>
      <c r="U75" s="79"/>
      <c r="V7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5" s="79">
        <f>SUM(Table326[[#This Row],[Slo - Pitch - Mens ]:[Slo - Pitch - Co-Ed ]])</f>
        <v>0</v>
      </c>
      <c r="X75" s="79">
        <f>SUM(Table326[[#This Row],[Baseball - U18 ]:[Baseball - U7 ]])</f>
        <v>1</v>
      </c>
      <c r="Y75" s="72" t="s">
        <v>1043</v>
      </c>
      <c r="Z7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5" s="74">
        <f>13.72-Table326[[#This Row],[Diamonds: Dimension Home to Pitchers Plate - m ]]</f>
        <v>0.72000000000000064</v>
      </c>
      <c r="AB75" s="74">
        <f>14.32-Table326[[#This Row],[Diamonds: Dimension Home to Pitchers Plate - m ]]</f>
        <v>1.3200000000000003</v>
      </c>
      <c r="AC75" s="74">
        <f>17.988-Table326[[#This Row],[Diamonds: Home to First Base Path - m ]]</f>
        <v>-1.2000000000000455E-2</v>
      </c>
      <c r="AD75" s="74">
        <f>18.588-Table326[[#This Row],[Diamonds: Home to First Base Path - m ]]</f>
        <v>0.58800000000000097</v>
      </c>
      <c r="AE75" s="74">
        <f>AVERAGE(Table326[[#This Row],[Home to Pitch (Low)]:[Home to 1st (High)]])</f>
        <v>0.65400000000000036</v>
      </c>
      <c r="AF7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5" s="74">
        <f>12.5-Table326[[#This Row],[Diamonds: Dimension Home to Pitchers Plate - m ]]</f>
        <v>-0.5</v>
      </c>
      <c r="AH75" s="74">
        <f>13.1-Table326[[#This Row],[Diamonds: Dimension Home to Pitchers Plate - m ]]</f>
        <v>9.9999999999999645E-2</v>
      </c>
      <c r="AI75" s="74">
        <f>17.988-Table326[[#This Row],[Diamonds: Home to First Base Path - m ]]</f>
        <v>-1.2000000000000455E-2</v>
      </c>
      <c r="AJ75" s="74">
        <f>18.588-Table326[[#This Row],[Diamonds: Home to First Base Path - m ]]</f>
        <v>0.58800000000000097</v>
      </c>
      <c r="AK75" s="74">
        <f>AVERAGE(Table326[[#This Row],[Home to Pitch (Low)2]:[Home to 1st (High)5]])</f>
        <v>4.4000000000000039E-2</v>
      </c>
      <c r="AL7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5" s="74">
        <f>11.2-Table326[[#This Row],[Diamonds: Dimension Home to Pitchers Plate - m ]]</f>
        <v>-1.8000000000000007</v>
      </c>
      <c r="AN75" s="74">
        <f>11.8-Table326[[#This Row],[Diamonds: Dimension Home to Pitchers Plate - m ]]</f>
        <v>-1.1999999999999993</v>
      </c>
      <c r="AO75" s="74">
        <f>16.5-Table326[[#This Row],[Diamonds: Home to First Base Path - m ]]</f>
        <v>-1.5</v>
      </c>
      <c r="AP75" s="74">
        <f>17.04-Table326[[#This Row],[Diamonds: Home to First Base Path - m ]]</f>
        <v>-0.96000000000000085</v>
      </c>
      <c r="AQ7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5" s="74">
        <f>10.37-Table326[[#This Row],[Diamonds: Dimension Home to Pitchers Plate - m ]]</f>
        <v>-2.6300000000000008</v>
      </c>
      <c r="AS75" s="74">
        <f>10.97-Table326[[#This Row],[Diamonds: Dimension Home to Pitchers Plate - m ]]</f>
        <v>-2.0299999999999994</v>
      </c>
      <c r="AT75" s="74">
        <f>13.5-Table326[[#This Row],[Diamonds: Home to First Base Path - m ]]</f>
        <v>-4.5</v>
      </c>
      <c r="AU75" s="74">
        <f>14.02-Table326[[#This Row],[Diamonds: Home to First Base Path - m ]]</f>
        <v>-3.9800000000000004</v>
      </c>
      <c r="AV7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5" s="74"/>
      <c r="BR75" s="74"/>
      <c r="BS75" s="75" t="s">
        <v>939</v>
      </c>
      <c r="BT75" s="76" t="s">
        <v>388</v>
      </c>
    </row>
    <row r="76" spans="1:72" ht="16.8" x14ac:dyDescent="0.3">
      <c r="A76" s="70" t="s">
        <v>131</v>
      </c>
      <c r="B76" s="71" t="s">
        <v>628</v>
      </c>
      <c r="C76" s="71" t="s">
        <v>739</v>
      </c>
      <c r="D76" s="71" t="s">
        <v>789</v>
      </c>
      <c r="E76" s="72"/>
      <c r="F76" s="72"/>
      <c r="G76" s="72"/>
      <c r="H76" s="72" t="s">
        <v>408</v>
      </c>
      <c r="I76" s="72" t="s">
        <v>963</v>
      </c>
      <c r="J76" s="72">
        <v>7.5</v>
      </c>
      <c r="K76" s="72" t="s">
        <v>748</v>
      </c>
      <c r="L76" s="72"/>
      <c r="M76" s="72"/>
      <c r="N76" s="72">
        <v>1</v>
      </c>
      <c r="O76" s="72">
        <v>1</v>
      </c>
      <c r="P76" s="73" t="s">
        <v>749</v>
      </c>
      <c r="Q76" s="72">
        <v>13</v>
      </c>
      <c r="R76" s="72">
        <v>28</v>
      </c>
      <c r="S76" s="72">
        <v>31.3</v>
      </c>
      <c r="T76" s="72">
        <v>18</v>
      </c>
      <c r="U76" s="72"/>
      <c r="V7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6</v>
      </c>
      <c r="W76" s="72">
        <f>SUM(Table326[[#This Row],[Slo - Pitch - Mens ]:[Slo - Pitch - Co-Ed ]])</f>
        <v>0</v>
      </c>
      <c r="X76" s="72">
        <f>SUM(Table326[[#This Row],[Baseball - U18 ]:[Baseball - U7 ]])</f>
        <v>1</v>
      </c>
      <c r="Y76" s="72" t="s">
        <v>1043</v>
      </c>
      <c r="Z7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6" s="74">
        <f>13.72-Table326[[#This Row],[Diamonds: Dimension Home to Pitchers Plate - m ]]</f>
        <v>0.72000000000000064</v>
      </c>
      <c r="AB76" s="74">
        <f>14.32-Table326[[#This Row],[Diamonds: Dimension Home to Pitchers Plate - m ]]</f>
        <v>1.3200000000000003</v>
      </c>
      <c r="AC76" s="74">
        <f>17.988-Table326[[#This Row],[Diamonds: Home to First Base Path - m ]]</f>
        <v>-1.2000000000000455E-2</v>
      </c>
      <c r="AD76" s="74">
        <f>18.588-Table326[[#This Row],[Diamonds: Home to First Base Path - m ]]</f>
        <v>0.58800000000000097</v>
      </c>
      <c r="AE76" s="74">
        <f>AVERAGE(Table326[[#This Row],[Home to Pitch (Low)]:[Home to 1st (High)]])</f>
        <v>0.65400000000000036</v>
      </c>
      <c r="AF7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1</v>
      </c>
      <c r="AG76" s="74">
        <f>12.5-Table326[[#This Row],[Diamonds: Dimension Home to Pitchers Plate - m ]]</f>
        <v>-0.5</v>
      </c>
      <c r="AH76" s="74">
        <f>13.1-Table326[[#This Row],[Diamonds: Dimension Home to Pitchers Plate - m ]]</f>
        <v>9.9999999999999645E-2</v>
      </c>
      <c r="AI76" s="74">
        <f>17.988-Table326[[#This Row],[Diamonds: Home to First Base Path - m ]]</f>
        <v>-1.2000000000000455E-2</v>
      </c>
      <c r="AJ76" s="74">
        <f>18.588-Table326[[#This Row],[Diamonds: Home to First Base Path - m ]]</f>
        <v>0.58800000000000097</v>
      </c>
      <c r="AK76" s="74">
        <f>AVERAGE(Table326[[#This Row],[Home to Pitch (Low)2]:[Home to 1st (High)5]])</f>
        <v>4.4000000000000039E-2</v>
      </c>
      <c r="AL7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6" s="74">
        <f>11.2-Table326[[#This Row],[Diamonds: Dimension Home to Pitchers Plate - m ]]</f>
        <v>-1.8000000000000007</v>
      </c>
      <c r="AN76" s="74">
        <f>11.8-Table326[[#This Row],[Diamonds: Dimension Home to Pitchers Plate - m ]]</f>
        <v>-1.1999999999999993</v>
      </c>
      <c r="AO76" s="74">
        <f>16.5-Table326[[#This Row],[Diamonds: Home to First Base Path - m ]]</f>
        <v>-1.5</v>
      </c>
      <c r="AP76" s="74">
        <f>17.04-Table326[[#This Row],[Diamonds: Home to First Base Path - m ]]</f>
        <v>-0.96000000000000085</v>
      </c>
      <c r="AQ7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6" s="74">
        <f>10.37-Table326[[#This Row],[Diamonds: Dimension Home to Pitchers Plate - m ]]</f>
        <v>-2.6300000000000008</v>
      </c>
      <c r="AS76" s="74">
        <f>10.97-Table326[[#This Row],[Diamonds: Dimension Home to Pitchers Plate - m ]]</f>
        <v>-2.0299999999999994</v>
      </c>
      <c r="AT76" s="74">
        <f>13.5-Table326[[#This Row],[Diamonds: Home to First Base Path - m ]]</f>
        <v>-4.5</v>
      </c>
      <c r="AU76" s="74">
        <f>14.02-Table326[[#This Row],[Diamonds: Home to First Base Path - m ]]</f>
        <v>-3.9800000000000004</v>
      </c>
      <c r="AV7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1</v>
      </c>
      <c r="AX7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1</v>
      </c>
      <c r="AY7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1</v>
      </c>
      <c r="BA7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1</v>
      </c>
      <c r="BB7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1</v>
      </c>
      <c r="BC7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1</v>
      </c>
      <c r="BP7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6" s="74"/>
      <c r="BR76" s="74"/>
      <c r="BS76" s="75" t="s">
        <v>964</v>
      </c>
      <c r="BT76" s="76" t="s">
        <v>388</v>
      </c>
    </row>
    <row r="77" spans="1:72" ht="16.8" x14ac:dyDescent="0.3">
      <c r="A77" s="70" t="s">
        <v>152</v>
      </c>
      <c r="B77" s="71" t="s">
        <v>659</v>
      </c>
      <c r="C77" s="71" t="s">
        <v>739</v>
      </c>
      <c r="D77" s="71" t="s">
        <v>754</v>
      </c>
      <c r="E77" s="72"/>
      <c r="F77" s="72"/>
      <c r="G77" s="72"/>
      <c r="H77" s="72" t="s">
        <v>399</v>
      </c>
      <c r="I77" s="72" t="s">
        <v>987</v>
      </c>
      <c r="J77" s="72">
        <v>6</v>
      </c>
      <c r="K77" s="72" t="s">
        <v>748</v>
      </c>
      <c r="L77" s="72"/>
      <c r="M77" s="72"/>
      <c r="N77" s="72">
        <v>1</v>
      </c>
      <c r="O77" s="72">
        <v>1</v>
      </c>
      <c r="P77" s="73" t="s">
        <v>811</v>
      </c>
      <c r="Q77" s="72">
        <v>14.8</v>
      </c>
      <c r="R77" s="72">
        <v>23.5</v>
      </c>
      <c r="S77" s="72">
        <v>31</v>
      </c>
      <c r="T77" s="72">
        <v>16.2</v>
      </c>
      <c r="U77" s="72"/>
      <c r="V77"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77" s="72">
        <f>SUM(Table326[[#This Row],[Slo - Pitch - Mens ]:[Slo - Pitch - Co-Ed ]])</f>
        <v>0</v>
      </c>
      <c r="X77" s="72">
        <f>SUM(Table326[[#This Row],[Baseball - U18 ]:[Baseball - U7 ]])</f>
        <v>0</v>
      </c>
      <c r="Y77" s="72" t="s">
        <v>1042</v>
      </c>
      <c r="Z7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7" s="74">
        <f>13.72-Table326[[#This Row],[Diamonds: Dimension Home to Pitchers Plate - m ]]</f>
        <v>-1.08</v>
      </c>
      <c r="AB77" s="74">
        <f>14.32-Table326[[#This Row],[Diamonds: Dimension Home to Pitchers Plate - m ]]</f>
        <v>-0.48000000000000043</v>
      </c>
      <c r="AC77" s="74">
        <f>17.988-Table326[[#This Row],[Diamonds: Home to First Base Path - m ]]</f>
        <v>1.7880000000000003</v>
      </c>
      <c r="AD77" s="74">
        <f>18.588-Table326[[#This Row],[Diamonds: Home to First Base Path - m ]]</f>
        <v>2.3880000000000017</v>
      </c>
      <c r="AE77" s="74">
        <f>AVERAGE(Table326[[#This Row],[Home to Pitch (Low)]:[Home to 1st (High)]])</f>
        <v>0.65400000000000036</v>
      </c>
      <c r="AF7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77" s="74">
        <f>12.5-Table326[[#This Row],[Diamonds: Dimension Home to Pitchers Plate - m ]]</f>
        <v>-2.3000000000000007</v>
      </c>
      <c r="AH77" s="74">
        <f>13.1-Table326[[#This Row],[Diamonds: Dimension Home to Pitchers Plate - m ]]</f>
        <v>-1.7000000000000011</v>
      </c>
      <c r="AI77" s="74">
        <f>17.988-Table326[[#This Row],[Diamonds: Home to First Base Path - m ]]</f>
        <v>1.7880000000000003</v>
      </c>
      <c r="AJ77" s="74">
        <f>18.588-Table326[[#This Row],[Diamonds: Home to First Base Path - m ]]</f>
        <v>2.3880000000000017</v>
      </c>
      <c r="AK77" s="74">
        <f>AVERAGE(Table326[[#This Row],[Home to Pitch (Low)2]:[Home to 1st (High)5]])</f>
        <v>4.4000000000000039E-2</v>
      </c>
      <c r="AL7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7" s="74">
        <f>11.2-Table326[[#This Row],[Diamonds: Dimension Home to Pitchers Plate - m ]]</f>
        <v>-3.6000000000000014</v>
      </c>
      <c r="AN77" s="74">
        <f>11.8-Table326[[#This Row],[Diamonds: Dimension Home to Pitchers Plate - m ]]</f>
        <v>-3</v>
      </c>
      <c r="AO77" s="105">
        <f>16.5-Table326[[#This Row],[Diamonds: Home to First Base Path - m ]]</f>
        <v>0.30000000000000071</v>
      </c>
      <c r="AP77" s="74">
        <f>17.04-Table326[[#This Row],[Diamonds: Home to First Base Path - m ]]</f>
        <v>0.83999999999999986</v>
      </c>
      <c r="AQ7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7" s="74">
        <f>10.37-Table326[[#This Row],[Diamonds: Dimension Home to Pitchers Plate - m ]]</f>
        <v>-4.4300000000000015</v>
      </c>
      <c r="AS77" s="74">
        <f>10.97-Table326[[#This Row],[Diamonds: Dimension Home to Pitchers Plate - m ]]</f>
        <v>-3.83</v>
      </c>
      <c r="AT77" s="74">
        <f>13.5-Table326[[#This Row],[Diamonds: Home to First Base Path - m ]]</f>
        <v>-2.6999999999999993</v>
      </c>
      <c r="AU77" s="74">
        <f>14.02-Table326[[#This Row],[Diamonds: Home to First Base Path - m ]]</f>
        <v>-2.1799999999999997</v>
      </c>
      <c r="AV7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7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7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7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7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7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7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7" s="74"/>
      <c r="BR77" s="74"/>
      <c r="BS77" s="75" t="s">
        <v>988</v>
      </c>
      <c r="BT77" s="76" t="s">
        <v>388</v>
      </c>
    </row>
    <row r="78" spans="1:72" ht="33.6" x14ac:dyDescent="0.3">
      <c r="A78" s="77" t="s">
        <v>27</v>
      </c>
      <c r="B78" s="78" t="s">
        <v>455</v>
      </c>
      <c r="C78" s="78" t="s">
        <v>739</v>
      </c>
      <c r="D78" s="78" t="s">
        <v>789</v>
      </c>
      <c r="E78" s="79"/>
      <c r="F78" s="79"/>
      <c r="G78" s="79"/>
      <c r="H78" s="79" t="s">
        <v>444</v>
      </c>
      <c r="I78" s="79" t="s">
        <v>790</v>
      </c>
      <c r="J78" s="79">
        <v>5</v>
      </c>
      <c r="K78" s="79" t="s">
        <v>748</v>
      </c>
      <c r="L78" s="79">
        <v>1</v>
      </c>
      <c r="M78" s="79"/>
      <c r="N78" s="79">
        <v>1</v>
      </c>
      <c r="O78" s="79"/>
      <c r="P78" s="80" t="s">
        <v>749</v>
      </c>
      <c r="Q78" s="79">
        <v>13</v>
      </c>
      <c r="R78" s="79">
        <v>22.6</v>
      </c>
      <c r="S78" s="79">
        <v>27</v>
      </c>
      <c r="T78" s="79">
        <v>17.899999999999999</v>
      </c>
      <c r="U78" s="79"/>
      <c r="V7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78" s="79">
        <f>SUM(Table326[[#This Row],[Slo - Pitch - Mens ]:[Slo - Pitch - Co-Ed ]])</f>
        <v>0</v>
      </c>
      <c r="X78" s="79">
        <f>SUM(Table326[[#This Row],[Baseball - U18 ]:[Baseball - U7 ]])</f>
        <v>0</v>
      </c>
      <c r="Y78" s="72" t="s">
        <v>1042</v>
      </c>
      <c r="Z7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8" s="74">
        <f>13.72-Table326[[#This Row],[Diamonds: Dimension Home to Pitchers Plate - m ]]</f>
        <v>0.72000000000000064</v>
      </c>
      <c r="AB78" s="74">
        <f>14.32-Table326[[#This Row],[Diamonds: Dimension Home to Pitchers Plate - m ]]</f>
        <v>1.3200000000000003</v>
      </c>
      <c r="AC78" s="105">
        <f>17.988-Table326[[#This Row],[Diamonds: Home to First Base Path - m ]]</f>
        <v>8.8000000000000966E-2</v>
      </c>
      <c r="AD78" s="74">
        <f>18.588-Table326[[#This Row],[Diamonds: Home to First Base Path - m ]]</f>
        <v>0.68800000000000239</v>
      </c>
      <c r="AE78" s="74">
        <f>AVERAGE(Table326[[#This Row],[Home to Pitch (Low)]:[Home to 1st (High)]])</f>
        <v>0.70400000000000107</v>
      </c>
      <c r="AF78" s="74">
        <v>1</v>
      </c>
      <c r="AG78" s="108">
        <f>12.5-Table326[[#This Row],[Diamonds: Dimension Home to Pitchers Plate - m ]]</f>
        <v>-0.5</v>
      </c>
      <c r="AH78" s="109">
        <f>13.1-Table326[[#This Row],[Diamonds: Dimension Home to Pitchers Plate - m ]]</f>
        <v>9.9999999999999645E-2</v>
      </c>
      <c r="AI78" s="110">
        <f>17.988-Table326[[#This Row],[Diamonds: Home to First Base Path - m ]]</f>
        <v>8.8000000000000966E-2</v>
      </c>
      <c r="AJ78" s="108">
        <f>18.588-Table326[[#This Row],[Diamonds: Home to First Base Path - m ]]</f>
        <v>0.68800000000000239</v>
      </c>
      <c r="AK78" s="74">
        <f>AVERAGE(Table326[[#This Row],[Home to Pitch (Low)2]:[Home to 1st (High)5]])</f>
        <v>9.400000000000075E-2</v>
      </c>
      <c r="AL7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8" s="74">
        <f>11.2-Table326[[#This Row],[Diamonds: Dimension Home to Pitchers Plate - m ]]</f>
        <v>-1.8000000000000007</v>
      </c>
      <c r="AN78" s="74">
        <f>11.8-Table326[[#This Row],[Diamonds: Dimension Home to Pitchers Plate - m ]]</f>
        <v>-1.1999999999999993</v>
      </c>
      <c r="AO78" s="74">
        <f>16.5-Table326[[#This Row],[Diamonds: Home to First Base Path - m ]]</f>
        <v>-1.3999999999999986</v>
      </c>
      <c r="AP78" s="74">
        <f>17.04-Table326[[#This Row],[Diamonds: Home to First Base Path - m ]]</f>
        <v>-0.85999999999999943</v>
      </c>
      <c r="AQ7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8" s="74">
        <f>10.37-Table326[[#This Row],[Diamonds: Dimension Home to Pitchers Plate - m ]]</f>
        <v>-2.6300000000000008</v>
      </c>
      <c r="AS78" s="74">
        <f>10.97-Table326[[#This Row],[Diamonds: Dimension Home to Pitchers Plate - m ]]</f>
        <v>-2.0299999999999994</v>
      </c>
      <c r="AT78" s="74">
        <f>13.5-Table326[[#This Row],[Diamonds: Home to First Base Path - m ]]</f>
        <v>-4.3999999999999986</v>
      </c>
      <c r="AU78" s="74">
        <f>14.02-Table326[[#This Row],[Diamonds: Home to First Base Path - m ]]</f>
        <v>-3.879999999999999</v>
      </c>
      <c r="AV7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7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7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7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7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7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7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8" s="74"/>
      <c r="BR78" s="74"/>
      <c r="BS78" s="75" t="s">
        <v>791</v>
      </c>
      <c r="BT78" s="76" t="s">
        <v>388</v>
      </c>
    </row>
    <row r="79" spans="1:72" ht="16.8" x14ac:dyDescent="0.3">
      <c r="A79" s="77" t="s">
        <v>153</v>
      </c>
      <c r="B79" s="78" t="s">
        <v>672</v>
      </c>
      <c r="C79" s="78" t="s">
        <v>739</v>
      </c>
      <c r="D79" s="78" t="s">
        <v>789</v>
      </c>
      <c r="E79" s="79"/>
      <c r="F79" s="79"/>
      <c r="G79" s="79"/>
      <c r="H79" s="79" t="s">
        <v>444</v>
      </c>
      <c r="I79" s="79" t="s">
        <v>989</v>
      </c>
      <c r="J79" s="79">
        <v>5</v>
      </c>
      <c r="K79" s="79" t="s">
        <v>742</v>
      </c>
      <c r="L79" s="79">
        <v>1</v>
      </c>
      <c r="M79" s="79">
        <v>1</v>
      </c>
      <c r="N79" s="79">
        <v>1</v>
      </c>
      <c r="O79" s="79"/>
      <c r="P79" s="80" t="s">
        <v>752</v>
      </c>
      <c r="Q79" s="79">
        <v>13.8</v>
      </c>
      <c r="R79" s="79">
        <v>24.7</v>
      </c>
      <c r="S79" s="79"/>
      <c r="T79" s="79">
        <v>17</v>
      </c>
      <c r="U79" s="79"/>
      <c r="V7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79" s="79">
        <f>SUM(Table326[[#This Row],[Slo - Pitch - Mens ]:[Slo - Pitch - Co-Ed ]])</f>
        <v>0</v>
      </c>
      <c r="X79" s="79">
        <f>SUM(Table326[[#This Row],[Baseball - U18 ]:[Baseball - U7 ]])</f>
        <v>0</v>
      </c>
      <c r="Y79" s="72" t="s">
        <v>1042</v>
      </c>
      <c r="Z7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79" s="103">
        <f>13.72-Table326[[#This Row],[Diamonds: Dimension Home to Pitchers Plate - m ]]</f>
        <v>-8.0000000000000071E-2</v>
      </c>
      <c r="AB79" s="74">
        <f>14.32-Table326[[#This Row],[Diamonds: Dimension Home to Pitchers Plate - m ]]</f>
        <v>0.51999999999999957</v>
      </c>
      <c r="AC79" s="74">
        <f>17.988-Table326[[#This Row],[Diamonds: Home to First Base Path - m ]]</f>
        <v>0.98799999999999955</v>
      </c>
      <c r="AD79" s="74">
        <f>18.588-Table326[[#This Row],[Diamonds: Home to First Base Path - m ]]</f>
        <v>1.588000000000001</v>
      </c>
      <c r="AE79" s="74">
        <f>AVERAGE(Table326[[#This Row],[Home to Pitch (Low)]:[Home to 1st (High)]])</f>
        <v>0.754</v>
      </c>
      <c r="AF7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79" s="74">
        <f>12.5-Table326[[#This Row],[Diamonds: Dimension Home to Pitchers Plate - m ]]</f>
        <v>-1.3000000000000007</v>
      </c>
      <c r="AH79" s="74">
        <f>13.1-Table326[[#This Row],[Diamonds: Dimension Home to Pitchers Plate - m ]]</f>
        <v>-0.70000000000000107</v>
      </c>
      <c r="AI79" s="74">
        <f>17.988-Table326[[#This Row],[Diamonds: Home to First Base Path - m ]]</f>
        <v>0.98799999999999955</v>
      </c>
      <c r="AJ79" s="74">
        <f>18.588-Table326[[#This Row],[Diamonds: Home to First Base Path - m ]]</f>
        <v>1.588000000000001</v>
      </c>
      <c r="AK79" s="74">
        <f>AVERAGE(Table326[[#This Row],[Home to Pitch (Low)2]:[Home to 1st (High)5]])</f>
        <v>0.14399999999999968</v>
      </c>
      <c r="AL7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79" s="74">
        <f>11.2-Table326[[#This Row],[Diamonds: Dimension Home to Pitchers Plate - m ]]</f>
        <v>-2.6000000000000014</v>
      </c>
      <c r="AN79" s="74">
        <f>11.8-Table326[[#This Row],[Diamonds: Dimension Home to Pitchers Plate - m ]]</f>
        <v>-2</v>
      </c>
      <c r="AO79" s="105">
        <f>16.5-Table326[[#This Row],[Diamonds: Home to First Base Path - m ]]</f>
        <v>-0.5</v>
      </c>
      <c r="AP79" s="105">
        <f>17.04-Table326[[#This Row],[Diamonds: Home to First Base Path - m ]]</f>
        <v>3.9999999999999147E-2</v>
      </c>
      <c r="AQ7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79" s="74">
        <f>10.37-Table326[[#This Row],[Diamonds: Dimension Home to Pitchers Plate - m ]]</f>
        <v>-3.4300000000000015</v>
      </c>
      <c r="AS79" s="74">
        <f>10.97-Table326[[#This Row],[Diamonds: Dimension Home to Pitchers Plate - m ]]</f>
        <v>-2.83</v>
      </c>
      <c r="AT79" s="74">
        <f>13.5-Table326[[#This Row],[Diamonds: Home to First Base Path - m ]]</f>
        <v>-3.5</v>
      </c>
      <c r="AU79" s="74">
        <f>14.02-Table326[[#This Row],[Diamonds: Home to First Base Path - m ]]</f>
        <v>-2.9800000000000004</v>
      </c>
      <c r="AV7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7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7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7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7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7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7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7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7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7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7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7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7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7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7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7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7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7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7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7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7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79" s="74"/>
      <c r="BR79" s="74"/>
      <c r="BS79" s="75" t="s">
        <v>990</v>
      </c>
      <c r="BT79" s="76" t="s">
        <v>991</v>
      </c>
    </row>
    <row r="80" spans="1:72" ht="33.6" x14ac:dyDescent="0.3">
      <c r="A80" s="70" t="s">
        <v>100</v>
      </c>
      <c r="B80" s="71" t="s">
        <v>574</v>
      </c>
      <c r="C80" s="71" t="s">
        <v>739</v>
      </c>
      <c r="D80" s="71" t="s">
        <v>746</v>
      </c>
      <c r="E80" s="72"/>
      <c r="F80" s="72"/>
      <c r="G80" s="72"/>
      <c r="H80" s="72" t="s">
        <v>385</v>
      </c>
      <c r="I80" s="72" t="s">
        <v>780</v>
      </c>
      <c r="J80" s="72">
        <v>4</v>
      </c>
      <c r="K80" s="72" t="s">
        <v>742</v>
      </c>
      <c r="L80" s="72">
        <v>1</v>
      </c>
      <c r="M80" s="72"/>
      <c r="N80" s="72">
        <v>1</v>
      </c>
      <c r="O80" s="72"/>
      <c r="P80" s="73" t="s">
        <v>793</v>
      </c>
      <c r="Q80" s="72">
        <v>12.3</v>
      </c>
      <c r="R80" s="72">
        <v>24.5</v>
      </c>
      <c r="S80" s="72"/>
      <c r="T80" s="72">
        <v>18.3</v>
      </c>
      <c r="U80" s="72"/>
      <c r="V8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2</v>
      </c>
      <c r="W80" s="72">
        <f>SUM(Table326[[#This Row],[Slo - Pitch - Mens ]:[Slo - Pitch - Co-Ed ]])</f>
        <v>0</v>
      </c>
      <c r="X80" s="72">
        <f>SUM(Table326[[#This Row],[Baseball - U18 ]:[Baseball - U7 ]])</f>
        <v>0</v>
      </c>
      <c r="Y80" s="72" t="s">
        <v>1043</v>
      </c>
      <c r="Z8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0" s="74">
        <f>13.72-Table326[[#This Row],[Diamonds: Dimension Home to Pitchers Plate - m ]]</f>
        <v>1.42</v>
      </c>
      <c r="AB80" s="74">
        <f>14.32-Table326[[#This Row],[Diamonds: Dimension Home to Pitchers Plate - m ]]</f>
        <v>2.0199999999999996</v>
      </c>
      <c r="AC80" s="74">
        <f>17.988-Table326[[#This Row],[Diamonds: Home to First Base Path - m ]]</f>
        <v>-0.31200000000000117</v>
      </c>
      <c r="AD80" s="74">
        <f>18.588-Table326[[#This Row],[Diamonds: Home to First Base Path - m ]]</f>
        <v>0.28800000000000026</v>
      </c>
      <c r="AE80" s="74">
        <f>AVERAGE(Table326[[#This Row],[Home to Pitch (Low)]:[Home to 1st (High)]])</f>
        <v>0.85399999999999965</v>
      </c>
      <c r="AF8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0" s="74">
        <f>12.5-Table326[[#This Row],[Diamonds: Dimension Home to Pitchers Plate - m ]]</f>
        <v>0.19999999999999929</v>
      </c>
      <c r="AH80" s="74">
        <f>13.1-Table326[[#This Row],[Diamonds: Dimension Home to Pitchers Plate - m ]]</f>
        <v>0.79999999999999893</v>
      </c>
      <c r="AI80" s="74">
        <f>17.988-Table326[[#This Row],[Diamonds: Home to First Base Path - m ]]</f>
        <v>-0.31200000000000117</v>
      </c>
      <c r="AJ80" s="74">
        <f>18.588-Table326[[#This Row],[Diamonds: Home to First Base Path - m ]]</f>
        <v>0.28800000000000026</v>
      </c>
      <c r="AK80" s="74">
        <f>AVERAGE(Table326[[#This Row],[Home to Pitch (Low)2]:[Home to 1st (High)5]])</f>
        <v>0.24399999999999933</v>
      </c>
      <c r="AL8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0" s="74">
        <f>11.2-Table326[[#This Row],[Diamonds: Dimension Home to Pitchers Plate - m ]]</f>
        <v>-1.1000000000000014</v>
      </c>
      <c r="AN80" s="74">
        <f>11.8-Table326[[#This Row],[Diamonds: Dimension Home to Pitchers Plate - m ]]</f>
        <v>-0.5</v>
      </c>
      <c r="AO80" s="74">
        <f>16.5-Table326[[#This Row],[Diamonds: Home to First Base Path - m ]]</f>
        <v>-1.8000000000000007</v>
      </c>
      <c r="AP80" s="74">
        <f>17.04-Table326[[#This Row],[Diamonds: Home to First Base Path - m ]]</f>
        <v>-1.2600000000000016</v>
      </c>
      <c r="AQ8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0" s="74">
        <f>10.37-Table326[[#This Row],[Diamonds: Dimension Home to Pitchers Plate - m ]]</f>
        <v>-1.9300000000000015</v>
      </c>
      <c r="AS80" s="74">
        <f>10.97-Table326[[#This Row],[Diamonds: Dimension Home to Pitchers Plate - m ]]</f>
        <v>-1.33</v>
      </c>
      <c r="AT80" s="74">
        <f>13.5-Table326[[#This Row],[Diamonds: Home to First Base Path - m ]]</f>
        <v>-4.8000000000000007</v>
      </c>
      <c r="AU80" s="74">
        <f>14.02-Table326[[#This Row],[Diamonds: Home to First Base Path - m ]]</f>
        <v>-4.2800000000000011</v>
      </c>
      <c r="AV8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1</v>
      </c>
      <c r="AZ8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1</v>
      </c>
      <c r="BD8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0" s="74"/>
      <c r="BR80" s="74"/>
      <c r="BS80" s="75" t="s">
        <v>916</v>
      </c>
      <c r="BT80" s="76" t="s">
        <v>388</v>
      </c>
    </row>
    <row r="81" spans="1:72" ht="33.6" x14ac:dyDescent="0.3">
      <c r="A81" s="77" t="s">
        <v>100</v>
      </c>
      <c r="B81" s="78" t="s">
        <v>574</v>
      </c>
      <c r="C81" s="78" t="s">
        <v>739</v>
      </c>
      <c r="D81" s="78" t="s">
        <v>746</v>
      </c>
      <c r="E81" s="79"/>
      <c r="F81" s="79"/>
      <c r="G81" s="79"/>
      <c r="H81" s="79" t="s">
        <v>385</v>
      </c>
      <c r="I81" s="79" t="s">
        <v>780</v>
      </c>
      <c r="J81" s="79">
        <v>4</v>
      </c>
      <c r="K81" s="79" t="s">
        <v>742</v>
      </c>
      <c r="L81" s="79">
        <v>1</v>
      </c>
      <c r="M81" s="79"/>
      <c r="N81" s="79">
        <v>1</v>
      </c>
      <c r="O81" s="79"/>
      <c r="P81" s="80" t="s">
        <v>793</v>
      </c>
      <c r="Q81" s="79">
        <v>12.3</v>
      </c>
      <c r="R81" s="79">
        <v>24.5</v>
      </c>
      <c r="S81" s="79"/>
      <c r="T81" s="79">
        <v>18.3</v>
      </c>
      <c r="U81" s="79"/>
      <c r="V81"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2</v>
      </c>
      <c r="W81" s="79">
        <f>SUM(Table326[[#This Row],[Slo - Pitch - Mens ]:[Slo - Pitch - Co-Ed ]])</f>
        <v>0</v>
      </c>
      <c r="X81" s="79">
        <f>SUM(Table326[[#This Row],[Baseball - U18 ]:[Baseball - U7 ]])</f>
        <v>0</v>
      </c>
      <c r="Y81" s="72" t="s">
        <v>1043</v>
      </c>
      <c r="Z8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1" s="74">
        <f>13.72-Table326[[#This Row],[Diamonds: Dimension Home to Pitchers Plate - m ]]</f>
        <v>1.42</v>
      </c>
      <c r="AB81" s="74">
        <f>14.32-Table326[[#This Row],[Diamonds: Dimension Home to Pitchers Plate - m ]]</f>
        <v>2.0199999999999996</v>
      </c>
      <c r="AC81" s="74">
        <f>17.988-Table326[[#This Row],[Diamonds: Home to First Base Path - m ]]</f>
        <v>-0.31200000000000117</v>
      </c>
      <c r="AD81" s="74">
        <f>18.588-Table326[[#This Row],[Diamonds: Home to First Base Path - m ]]</f>
        <v>0.28800000000000026</v>
      </c>
      <c r="AE81" s="74">
        <f>AVERAGE(Table326[[#This Row],[Home to Pitch (Low)]:[Home to 1st (High)]])</f>
        <v>0.85399999999999965</v>
      </c>
      <c r="AF8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1" s="74">
        <f>12.5-Table326[[#This Row],[Diamonds: Dimension Home to Pitchers Plate - m ]]</f>
        <v>0.19999999999999929</v>
      </c>
      <c r="AH81" s="74">
        <f>13.1-Table326[[#This Row],[Diamonds: Dimension Home to Pitchers Plate - m ]]</f>
        <v>0.79999999999999893</v>
      </c>
      <c r="AI81" s="74">
        <f>17.988-Table326[[#This Row],[Diamonds: Home to First Base Path - m ]]</f>
        <v>-0.31200000000000117</v>
      </c>
      <c r="AJ81" s="74">
        <f>18.588-Table326[[#This Row],[Diamonds: Home to First Base Path - m ]]</f>
        <v>0.28800000000000026</v>
      </c>
      <c r="AK81" s="74">
        <f>AVERAGE(Table326[[#This Row],[Home to Pitch (Low)2]:[Home to 1st (High)5]])</f>
        <v>0.24399999999999933</v>
      </c>
      <c r="AL8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1" s="74">
        <f>11.2-Table326[[#This Row],[Diamonds: Dimension Home to Pitchers Plate - m ]]</f>
        <v>-1.1000000000000014</v>
      </c>
      <c r="AN81" s="74">
        <f>11.8-Table326[[#This Row],[Diamonds: Dimension Home to Pitchers Plate - m ]]</f>
        <v>-0.5</v>
      </c>
      <c r="AO81" s="74">
        <f>16.5-Table326[[#This Row],[Diamonds: Home to First Base Path - m ]]</f>
        <v>-1.8000000000000007</v>
      </c>
      <c r="AP81" s="74">
        <f>17.04-Table326[[#This Row],[Diamonds: Home to First Base Path - m ]]</f>
        <v>-1.2600000000000016</v>
      </c>
      <c r="AQ8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1" s="74">
        <f>10.37-Table326[[#This Row],[Diamonds: Dimension Home to Pitchers Plate - m ]]</f>
        <v>-1.9300000000000015</v>
      </c>
      <c r="AS81" s="74">
        <f>10.97-Table326[[#This Row],[Diamonds: Dimension Home to Pitchers Plate - m ]]</f>
        <v>-1.33</v>
      </c>
      <c r="AT81" s="74">
        <f>13.5-Table326[[#This Row],[Diamonds: Home to First Base Path - m ]]</f>
        <v>-4.8000000000000007</v>
      </c>
      <c r="AU81" s="74">
        <f>14.02-Table326[[#This Row],[Diamonds: Home to First Base Path - m ]]</f>
        <v>-4.2800000000000011</v>
      </c>
      <c r="AV8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1</v>
      </c>
      <c r="AZ8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1</v>
      </c>
      <c r="BD8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1" s="74"/>
      <c r="BR81" s="74"/>
      <c r="BS81" s="75" t="s">
        <v>916</v>
      </c>
      <c r="BT81" s="76" t="s">
        <v>388</v>
      </c>
    </row>
    <row r="82" spans="1:72" ht="16.8" x14ac:dyDescent="0.3">
      <c r="A82" s="77" t="s">
        <v>95</v>
      </c>
      <c r="B82" s="78" t="s">
        <v>570</v>
      </c>
      <c r="C82" s="78" t="s">
        <v>739</v>
      </c>
      <c r="D82" s="78" t="s">
        <v>746</v>
      </c>
      <c r="E82" s="79"/>
      <c r="F82" s="79"/>
      <c r="G82" s="79"/>
      <c r="H82" s="79" t="s">
        <v>385</v>
      </c>
      <c r="I82" s="79" t="s">
        <v>906</v>
      </c>
      <c r="J82" s="79">
        <v>7</v>
      </c>
      <c r="K82" s="79" t="s">
        <v>742</v>
      </c>
      <c r="L82" s="79"/>
      <c r="M82" s="79"/>
      <c r="N82" s="79">
        <v>1</v>
      </c>
      <c r="O82" s="79"/>
      <c r="P82" s="80" t="s">
        <v>752</v>
      </c>
      <c r="Q82" s="79">
        <v>13.3</v>
      </c>
      <c r="R82" s="79">
        <v>24.8</v>
      </c>
      <c r="S82" s="79"/>
      <c r="T82" s="79">
        <v>17.3</v>
      </c>
      <c r="U82" s="79"/>
      <c r="V8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2" s="79">
        <f>SUM(Table326[[#This Row],[Slo - Pitch - Mens ]:[Slo - Pitch - Co-Ed ]])</f>
        <v>0</v>
      </c>
      <c r="X82" s="79">
        <f>SUM(Table326[[#This Row],[Baseball - U18 ]:[Baseball - U7 ]])</f>
        <v>0</v>
      </c>
      <c r="Y82" s="72" t="s">
        <v>1042</v>
      </c>
      <c r="Z8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2" s="74">
        <f>13.72-Table326[[#This Row],[Diamonds: Dimension Home to Pitchers Plate - m ]]</f>
        <v>0.41999999999999993</v>
      </c>
      <c r="AB82" s="74">
        <f>14.32-Table326[[#This Row],[Diamonds: Dimension Home to Pitchers Plate - m ]]</f>
        <v>1.0199999999999996</v>
      </c>
      <c r="AC82" s="74">
        <f>17.988-Table326[[#This Row],[Diamonds: Home to First Base Path - m ]]</f>
        <v>0.68799999999999883</v>
      </c>
      <c r="AD82" s="74">
        <f>18.588-Table326[[#This Row],[Diamonds: Home to First Base Path - m ]]</f>
        <v>1.2880000000000003</v>
      </c>
      <c r="AE82" s="74">
        <f>AVERAGE(Table326[[#This Row],[Home to Pitch (Low)]:[Home to 1st (High)]])</f>
        <v>0.85399999999999965</v>
      </c>
      <c r="AF8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2" s="74">
        <f>12.5-Table326[[#This Row],[Diamonds: Dimension Home to Pitchers Plate - m ]]</f>
        <v>-0.80000000000000071</v>
      </c>
      <c r="AH82" s="105">
        <f>13.1-Table326[[#This Row],[Diamonds: Dimension Home to Pitchers Plate - m ]]</f>
        <v>-0.20000000000000107</v>
      </c>
      <c r="AI82" s="74">
        <f>17.988-Table326[[#This Row],[Diamonds: Home to First Base Path - m ]]</f>
        <v>0.68799999999999883</v>
      </c>
      <c r="AJ82" s="74">
        <f>18.588-Table326[[#This Row],[Diamonds: Home to First Base Path - m ]]</f>
        <v>1.2880000000000003</v>
      </c>
      <c r="AK82" s="74">
        <f>AVERAGE(Table326[[#This Row],[Home to Pitch (Low)2]:[Home to 1st (High)5]])</f>
        <v>0.24399999999999933</v>
      </c>
      <c r="AL8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2" s="74">
        <f>11.2-Table326[[#This Row],[Diamonds: Dimension Home to Pitchers Plate - m ]]</f>
        <v>-2.1000000000000014</v>
      </c>
      <c r="AN82" s="74">
        <f>11.8-Table326[[#This Row],[Diamonds: Dimension Home to Pitchers Plate - m ]]</f>
        <v>-1.5</v>
      </c>
      <c r="AO82" s="74">
        <f>16.5-Table326[[#This Row],[Diamonds: Home to First Base Path - m ]]</f>
        <v>-0.80000000000000071</v>
      </c>
      <c r="AP82" s="105">
        <f>17.04-Table326[[#This Row],[Diamonds: Home to First Base Path - m ]]</f>
        <v>-0.26000000000000156</v>
      </c>
      <c r="AQ8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2" s="74">
        <f>10.37-Table326[[#This Row],[Diamonds: Dimension Home to Pitchers Plate - m ]]</f>
        <v>-2.9300000000000015</v>
      </c>
      <c r="AS82" s="74">
        <f>10.97-Table326[[#This Row],[Diamonds: Dimension Home to Pitchers Plate - m ]]</f>
        <v>-2.33</v>
      </c>
      <c r="AT82" s="74">
        <f>13.5-Table326[[#This Row],[Diamonds: Home to First Base Path - m ]]</f>
        <v>-3.8000000000000007</v>
      </c>
      <c r="AU82" s="74">
        <f>14.02-Table326[[#This Row],[Diamonds: Home to First Base Path - m ]]</f>
        <v>-3.2800000000000011</v>
      </c>
      <c r="AV8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2" s="74"/>
      <c r="BR82" s="74"/>
      <c r="BS82" s="75" t="s">
        <v>907</v>
      </c>
      <c r="BT82" s="76" t="s">
        <v>388</v>
      </c>
    </row>
    <row r="83" spans="1:72" ht="16.8" x14ac:dyDescent="0.3">
      <c r="A83" s="70" t="s">
        <v>37</v>
      </c>
      <c r="B83" s="71" t="s">
        <v>468</v>
      </c>
      <c r="C83" s="71" t="s">
        <v>739</v>
      </c>
      <c r="D83" s="71" t="s">
        <v>740</v>
      </c>
      <c r="E83" s="72"/>
      <c r="F83" s="72"/>
      <c r="G83" s="72"/>
      <c r="H83" s="72" t="s">
        <v>385</v>
      </c>
      <c r="I83" s="72" t="s">
        <v>804</v>
      </c>
      <c r="J83" s="72">
        <v>9.5</v>
      </c>
      <c r="K83" s="72" t="s">
        <v>748</v>
      </c>
      <c r="L83" s="72">
        <v>1</v>
      </c>
      <c r="M83" s="72"/>
      <c r="N83" s="72">
        <v>1</v>
      </c>
      <c r="O83" s="72">
        <v>1</v>
      </c>
      <c r="P83" s="73" t="s">
        <v>749</v>
      </c>
      <c r="Q83" s="72">
        <v>13</v>
      </c>
      <c r="R83" s="72">
        <v>25.5</v>
      </c>
      <c r="S83" s="72">
        <v>30</v>
      </c>
      <c r="T83" s="72">
        <v>17.5</v>
      </c>
      <c r="U83" s="72">
        <v>1</v>
      </c>
      <c r="V83"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3" s="72">
        <f>SUM(Table326[[#This Row],[Slo - Pitch - Mens ]:[Slo - Pitch - Co-Ed ]])</f>
        <v>0</v>
      </c>
      <c r="X83" s="72">
        <f>SUM(Table326[[#This Row],[Baseball - U18 ]:[Baseball - U7 ]])</f>
        <v>0</v>
      </c>
      <c r="Y83" s="72" t="s">
        <v>1042</v>
      </c>
      <c r="Z8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3" s="74">
        <f>13.72-Table326[[#This Row],[Diamonds: Dimension Home to Pitchers Plate - m ]]</f>
        <v>0.72000000000000064</v>
      </c>
      <c r="AB83" s="74">
        <f>14.32-Table326[[#This Row],[Diamonds: Dimension Home to Pitchers Plate - m ]]</f>
        <v>1.3200000000000003</v>
      </c>
      <c r="AC83" s="74">
        <f>17.988-Table326[[#This Row],[Diamonds: Home to First Base Path - m ]]</f>
        <v>0.48799999999999955</v>
      </c>
      <c r="AD83" s="74">
        <f>18.588-Table326[[#This Row],[Diamonds: Home to First Base Path - m ]]</f>
        <v>1.088000000000001</v>
      </c>
      <c r="AE83" s="74">
        <f>AVERAGE(Table326[[#This Row],[Home to Pitch (Low)]:[Home to 1st (High)]])</f>
        <v>0.90400000000000036</v>
      </c>
      <c r="AF8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3" s="105">
        <f>12.5-Table326[[#This Row],[Diamonds: Dimension Home to Pitchers Plate - m ]]</f>
        <v>-0.5</v>
      </c>
      <c r="AH83" s="103">
        <f>13.1-Table326[[#This Row],[Diamonds: Dimension Home to Pitchers Plate - m ]]</f>
        <v>9.9999999999999645E-2</v>
      </c>
      <c r="AI83" s="74">
        <f>17.988-Table326[[#This Row],[Diamonds: Home to First Base Path - m ]]</f>
        <v>0.48799999999999955</v>
      </c>
      <c r="AJ83" s="74">
        <f>18.588-Table326[[#This Row],[Diamonds: Home to First Base Path - m ]]</f>
        <v>1.088000000000001</v>
      </c>
      <c r="AK83" s="74">
        <f>AVERAGE(Table326[[#This Row],[Home to Pitch (Low)2]:[Home to 1st (High)5]])</f>
        <v>0.29400000000000004</v>
      </c>
      <c r="AL8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3" s="74">
        <f>11.2-Table326[[#This Row],[Diamonds: Dimension Home to Pitchers Plate - m ]]</f>
        <v>-1.8000000000000007</v>
      </c>
      <c r="AN83" s="74">
        <f>11.8-Table326[[#This Row],[Diamonds: Dimension Home to Pitchers Plate - m ]]</f>
        <v>-1.1999999999999993</v>
      </c>
      <c r="AO83" s="74">
        <f>16.5-Table326[[#This Row],[Diamonds: Home to First Base Path - m ]]</f>
        <v>-1</v>
      </c>
      <c r="AP83" s="105">
        <f>17.04-Table326[[#This Row],[Diamonds: Home to First Base Path - m ]]</f>
        <v>-0.46000000000000085</v>
      </c>
      <c r="AQ8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3" s="74">
        <f>10.37-Table326[[#This Row],[Diamonds: Dimension Home to Pitchers Plate - m ]]</f>
        <v>-2.6300000000000008</v>
      </c>
      <c r="AS83" s="74">
        <f>10.97-Table326[[#This Row],[Diamonds: Dimension Home to Pitchers Plate - m ]]</f>
        <v>-2.0299999999999994</v>
      </c>
      <c r="AT83" s="74">
        <f>13.5-Table326[[#This Row],[Diamonds: Home to First Base Path - m ]]</f>
        <v>-4</v>
      </c>
      <c r="AU83" s="74">
        <f>14.02-Table326[[#This Row],[Diamonds: Home to First Base Path - m ]]</f>
        <v>-3.4800000000000004</v>
      </c>
      <c r="AV8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3" s="74"/>
      <c r="BR83" s="74"/>
      <c r="BS83" s="75" t="s">
        <v>387</v>
      </c>
      <c r="BT83" s="76" t="s">
        <v>388</v>
      </c>
    </row>
    <row r="84" spans="1:72" ht="16.8" x14ac:dyDescent="0.3">
      <c r="A84" s="77" t="s">
        <v>49</v>
      </c>
      <c r="B84" s="78" t="s">
        <v>498</v>
      </c>
      <c r="C84" s="78" t="s">
        <v>739</v>
      </c>
      <c r="D84" s="78" t="s">
        <v>740</v>
      </c>
      <c r="E84" s="79"/>
      <c r="F84" s="79"/>
      <c r="G84" s="79"/>
      <c r="H84" s="79" t="s">
        <v>444</v>
      </c>
      <c r="I84" s="79" t="s">
        <v>822</v>
      </c>
      <c r="J84" s="79">
        <v>6</v>
      </c>
      <c r="K84" s="79" t="s">
        <v>748</v>
      </c>
      <c r="L84" s="79">
        <v>1</v>
      </c>
      <c r="M84" s="79">
        <v>1</v>
      </c>
      <c r="N84" s="79">
        <v>1</v>
      </c>
      <c r="O84" s="79">
        <v>1</v>
      </c>
      <c r="P84" s="80" t="s">
        <v>749</v>
      </c>
      <c r="Q84" s="79">
        <v>14</v>
      </c>
      <c r="R84" s="79">
        <v>25</v>
      </c>
      <c r="S84" s="79">
        <v>31</v>
      </c>
      <c r="T84" s="79">
        <v>16.100000000000001</v>
      </c>
      <c r="U84" s="79"/>
      <c r="V8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4" s="79">
        <f>SUM(Table326[[#This Row],[Slo - Pitch - Mens ]:[Slo - Pitch - Co-Ed ]])</f>
        <v>0</v>
      </c>
      <c r="X84" s="79">
        <f>SUM(Table326[[#This Row],[Baseball - U18 ]:[Baseball - U7 ]])</f>
        <v>0</v>
      </c>
      <c r="Y84" s="72" t="s">
        <v>1042</v>
      </c>
      <c r="Z8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4" s="103">
        <f>13.72-Table326[[#This Row],[Diamonds: Dimension Home to Pitchers Plate - m ]]</f>
        <v>-0.27999999999999936</v>
      </c>
      <c r="AB84" s="103">
        <f>14.32-Table326[[#This Row],[Diamonds: Dimension Home to Pitchers Plate - m ]]</f>
        <v>0.32000000000000028</v>
      </c>
      <c r="AC84" s="74">
        <f>17.988-Table326[[#This Row],[Diamonds: Home to First Base Path - m ]]</f>
        <v>1.8879999999999981</v>
      </c>
      <c r="AD84" s="74">
        <f>18.588-Table326[[#This Row],[Diamonds: Home to First Base Path - m ]]</f>
        <v>2.4879999999999995</v>
      </c>
      <c r="AE84" s="74">
        <f>AVERAGE(Table326[[#This Row],[Home to Pitch (Low)]:[Home to 1st (High)]])</f>
        <v>1.1039999999999996</v>
      </c>
      <c r="AF8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4" s="74">
        <f>12.5-Table326[[#This Row],[Diamonds: Dimension Home to Pitchers Plate - m ]]</f>
        <v>-1.5</v>
      </c>
      <c r="AH84" s="74">
        <f>13.1-Table326[[#This Row],[Diamonds: Dimension Home to Pitchers Plate - m ]]</f>
        <v>-0.90000000000000036</v>
      </c>
      <c r="AI84" s="74">
        <f>17.988-Table326[[#This Row],[Diamonds: Home to First Base Path - m ]]</f>
        <v>1.8879999999999981</v>
      </c>
      <c r="AJ84" s="74">
        <f>18.588-Table326[[#This Row],[Diamonds: Home to First Base Path - m ]]</f>
        <v>2.4879999999999995</v>
      </c>
      <c r="AK84" s="74">
        <f>AVERAGE(Table326[[#This Row],[Home to Pitch (Low)2]:[Home to 1st (High)5]])</f>
        <v>0.49399999999999933</v>
      </c>
      <c r="AL8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4" s="74">
        <f>11.2-Table326[[#This Row],[Diamonds: Dimension Home to Pitchers Plate - m ]]</f>
        <v>-2.8000000000000007</v>
      </c>
      <c r="AN84" s="74">
        <f>11.8-Table326[[#This Row],[Diamonds: Dimension Home to Pitchers Plate - m ]]</f>
        <v>-2.1999999999999993</v>
      </c>
      <c r="AO84" s="105">
        <f>16.5-Table326[[#This Row],[Diamonds: Home to First Base Path - m ]]</f>
        <v>0.39999999999999858</v>
      </c>
      <c r="AP84" s="74">
        <f>17.04-Table326[[#This Row],[Diamonds: Home to First Base Path - m ]]</f>
        <v>0.93999999999999773</v>
      </c>
      <c r="AQ8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4" s="74">
        <f>10.37-Table326[[#This Row],[Diamonds: Dimension Home to Pitchers Plate - m ]]</f>
        <v>-3.6300000000000008</v>
      </c>
      <c r="AS84" s="74">
        <f>10.97-Table326[[#This Row],[Diamonds: Dimension Home to Pitchers Plate - m ]]</f>
        <v>-3.0299999999999994</v>
      </c>
      <c r="AT84" s="74">
        <f>13.5-Table326[[#This Row],[Diamonds: Home to First Base Path - m ]]</f>
        <v>-2.6000000000000014</v>
      </c>
      <c r="AU84" s="74">
        <f>14.02-Table326[[#This Row],[Diamonds: Home to First Base Path - m ]]</f>
        <v>-2.0800000000000018</v>
      </c>
      <c r="AV8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4" s="74"/>
      <c r="BR84" s="74"/>
      <c r="BS84" s="75" t="s">
        <v>823</v>
      </c>
      <c r="BT84" s="76" t="s">
        <v>388</v>
      </c>
    </row>
    <row r="85" spans="1:72" ht="16.8" x14ac:dyDescent="0.3">
      <c r="A85" s="70" t="s">
        <v>17</v>
      </c>
      <c r="B85" s="71" t="s">
        <v>431</v>
      </c>
      <c r="C85" s="71" t="s">
        <v>739</v>
      </c>
      <c r="D85" s="71" t="s">
        <v>740</v>
      </c>
      <c r="E85" s="72"/>
      <c r="F85" s="72"/>
      <c r="G85" s="72"/>
      <c r="H85" s="72" t="s">
        <v>385</v>
      </c>
      <c r="I85" s="72" t="s">
        <v>775</v>
      </c>
      <c r="J85" s="72">
        <v>8</v>
      </c>
      <c r="K85" s="72" t="s">
        <v>748</v>
      </c>
      <c r="L85" s="72"/>
      <c r="M85" s="72"/>
      <c r="N85" s="72">
        <v>1</v>
      </c>
      <c r="O85" s="72">
        <v>1</v>
      </c>
      <c r="P85" s="73" t="s">
        <v>749</v>
      </c>
      <c r="Q85" s="72">
        <v>12.1</v>
      </c>
      <c r="R85" s="72">
        <v>25.4</v>
      </c>
      <c r="S85" s="72">
        <v>29.3</v>
      </c>
      <c r="T85" s="72">
        <v>18</v>
      </c>
      <c r="U85" s="72"/>
      <c r="V85"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2</v>
      </c>
      <c r="W85" s="72">
        <f>SUM(Table326[[#This Row],[Slo - Pitch - Mens ]:[Slo - Pitch - Co-Ed ]])</f>
        <v>0</v>
      </c>
      <c r="X85" s="72">
        <f>SUM(Table326[[#This Row],[Baseball - U18 ]:[Baseball - U7 ]])</f>
        <v>0</v>
      </c>
      <c r="Y85" s="72" t="s">
        <v>1043</v>
      </c>
      <c r="Z8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5" s="74">
        <f>13.72-Table326[[#This Row],[Diamonds: Dimension Home to Pitchers Plate - m ]]</f>
        <v>1.620000000000001</v>
      </c>
      <c r="AB85" s="74">
        <f>14.32-Table326[[#This Row],[Diamonds: Dimension Home to Pitchers Plate - m ]]</f>
        <v>2.2200000000000006</v>
      </c>
      <c r="AC85" s="74">
        <f>17.988-Table326[[#This Row],[Diamonds: Home to First Base Path - m ]]</f>
        <v>-1.2000000000000455E-2</v>
      </c>
      <c r="AD85" s="74">
        <f>18.588-Table326[[#This Row],[Diamonds: Home to First Base Path - m ]]</f>
        <v>0.58800000000000097</v>
      </c>
      <c r="AE85" s="74">
        <f>AVERAGE(Table326[[#This Row],[Home to Pitch (Low)]:[Home to 1st (High)]])</f>
        <v>1.1040000000000005</v>
      </c>
      <c r="AF8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5" s="74">
        <f>12.5-Table326[[#This Row],[Diamonds: Dimension Home to Pitchers Plate - m ]]</f>
        <v>0.40000000000000036</v>
      </c>
      <c r="AH85" s="74">
        <f>13.1-Table326[[#This Row],[Diamonds: Dimension Home to Pitchers Plate - m ]]</f>
        <v>1</v>
      </c>
      <c r="AI85" s="74">
        <f>17.988-Table326[[#This Row],[Diamonds: Home to First Base Path - m ]]</f>
        <v>-1.2000000000000455E-2</v>
      </c>
      <c r="AJ85" s="74">
        <f>18.588-Table326[[#This Row],[Diamonds: Home to First Base Path - m ]]</f>
        <v>0.58800000000000097</v>
      </c>
      <c r="AK85" s="74">
        <f>AVERAGE(Table326[[#This Row],[Home to Pitch (Low)2]:[Home to 1st (High)5]])</f>
        <v>0.49400000000000022</v>
      </c>
      <c r="AL8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5" s="74">
        <f>11.2-Table326[[#This Row],[Diamonds: Dimension Home to Pitchers Plate - m ]]</f>
        <v>-0.90000000000000036</v>
      </c>
      <c r="AN85" s="74">
        <f>11.8-Table326[[#This Row],[Diamonds: Dimension Home to Pitchers Plate - m ]]</f>
        <v>-0.29999999999999893</v>
      </c>
      <c r="AO85" s="74">
        <f>16.5-Table326[[#This Row],[Diamonds: Home to First Base Path - m ]]</f>
        <v>-1.5</v>
      </c>
      <c r="AP85" s="74">
        <f>17.04-Table326[[#This Row],[Diamonds: Home to First Base Path - m ]]</f>
        <v>-0.96000000000000085</v>
      </c>
      <c r="AQ8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5" s="74">
        <f>10.37-Table326[[#This Row],[Diamonds: Dimension Home to Pitchers Plate - m ]]</f>
        <v>-1.7300000000000004</v>
      </c>
      <c r="AS85" s="74">
        <f>10.97-Table326[[#This Row],[Diamonds: Dimension Home to Pitchers Plate - m ]]</f>
        <v>-1.129999999999999</v>
      </c>
      <c r="AT85" s="74">
        <f>13.5-Table326[[#This Row],[Diamonds: Home to First Base Path - m ]]</f>
        <v>-4.5</v>
      </c>
      <c r="AU85" s="74">
        <f>14.02-Table326[[#This Row],[Diamonds: Home to First Base Path - m ]]</f>
        <v>-3.9800000000000004</v>
      </c>
      <c r="AV8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1</v>
      </c>
      <c r="AZ8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1</v>
      </c>
      <c r="BD8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5" s="74"/>
      <c r="BR85" s="74"/>
      <c r="BS85" s="75" t="s">
        <v>776</v>
      </c>
      <c r="BT85" s="76" t="s">
        <v>388</v>
      </c>
    </row>
    <row r="86" spans="1:72" ht="16.8" x14ac:dyDescent="0.3">
      <c r="A86" s="70" t="s">
        <v>146</v>
      </c>
      <c r="B86" s="71" t="s">
        <v>658</v>
      </c>
      <c r="C86" s="71" t="s">
        <v>739</v>
      </c>
      <c r="D86" s="71" t="s">
        <v>740</v>
      </c>
      <c r="E86" s="72"/>
      <c r="F86" s="72"/>
      <c r="G86" s="72"/>
      <c r="H86" s="72" t="s">
        <v>444</v>
      </c>
      <c r="I86" s="72" t="s">
        <v>979</v>
      </c>
      <c r="J86" s="72">
        <v>5.5</v>
      </c>
      <c r="K86" s="72" t="s">
        <v>591</v>
      </c>
      <c r="L86" s="72" t="s">
        <v>591</v>
      </c>
      <c r="M86" s="72" t="s">
        <v>591</v>
      </c>
      <c r="N86" s="72">
        <v>1</v>
      </c>
      <c r="O86" s="72"/>
      <c r="P86" s="73" t="s">
        <v>749</v>
      </c>
      <c r="Q86" s="72">
        <v>13</v>
      </c>
      <c r="R86" s="72">
        <v>23</v>
      </c>
      <c r="S86" s="72">
        <v>29</v>
      </c>
      <c r="T86" s="72">
        <v>17</v>
      </c>
      <c r="U86" s="72" t="s">
        <v>591</v>
      </c>
      <c r="V8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6" s="72">
        <f>SUM(Table326[[#This Row],[Slo - Pitch - Mens ]:[Slo - Pitch - Co-Ed ]])</f>
        <v>0</v>
      </c>
      <c r="X86" s="72">
        <f>SUM(Table326[[#This Row],[Baseball - U18 ]:[Baseball - U7 ]])</f>
        <v>0</v>
      </c>
      <c r="Y86" s="72" t="s">
        <v>1042</v>
      </c>
      <c r="Z8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6" s="74">
        <f>13.72-Table326[[#This Row],[Diamonds: Dimension Home to Pitchers Plate - m ]]</f>
        <v>0.72000000000000064</v>
      </c>
      <c r="AB86" s="74">
        <f>14.32-Table326[[#This Row],[Diamonds: Dimension Home to Pitchers Plate - m ]]</f>
        <v>1.3200000000000003</v>
      </c>
      <c r="AC86" s="74">
        <f>17.988-Table326[[#This Row],[Diamonds: Home to First Base Path - m ]]</f>
        <v>0.98799999999999955</v>
      </c>
      <c r="AD86" s="74">
        <f>18.588-Table326[[#This Row],[Diamonds: Home to First Base Path - m ]]</f>
        <v>1.588000000000001</v>
      </c>
      <c r="AE86" s="74">
        <f>AVERAGE(Table326[[#This Row],[Home to Pitch (Low)]:[Home to 1st (High)]])</f>
        <v>1.1540000000000004</v>
      </c>
      <c r="AF8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6" s="105">
        <f>12.5-Table326[[#This Row],[Diamonds: Dimension Home to Pitchers Plate - m ]]</f>
        <v>-0.5</v>
      </c>
      <c r="AH86" s="103">
        <f>13.1-Table326[[#This Row],[Diamonds: Dimension Home to Pitchers Plate - m ]]</f>
        <v>9.9999999999999645E-2</v>
      </c>
      <c r="AI86" s="74">
        <f>17.988-Table326[[#This Row],[Diamonds: Home to First Base Path - m ]]</f>
        <v>0.98799999999999955</v>
      </c>
      <c r="AJ86" s="74">
        <f>18.588-Table326[[#This Row],[Diamonds: Home to First Base Path - m ]]</f>
        <v>1.588000000000001</v>
      </c>
      <c r="AK86" s="74">
        <f>AVERAGE(Table326[[#This Row],[Home to Pitch (Low)2]:[Home to 1st (High)5]])</f>
        <v>0.54400000000000004</v>
      </c>
      <c r="AL8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6" s="74">
        <f>11.2-Table326[[#This Row],[Diamonds: Dimension Home to Pitchers Plate - m ]]</f>
        <v>-1.8000000000000007</v>
      </c>
      <c r="AN86" s="74">
        <f>11.8-Table326[[#This Row],[Diamonds: Dimension Home to Pitchers Plate - m ]]</f>
        <v>-1.1999999999999993</v>
      </c>
      <c r="AO86" s="105">
        <f>16.5-Table326[[#This Row],[Diamonds: Home to First Base Path - m ]]</f>
        <v>-0.5</v>
      </c>
      <c r="AP86" s="105">
        <f>17.04-Table326[[#This Row],[Diamonds: Home to First Base Path - m ]]</f>
        <v>3.9999999999999147E-2</v>
      </c>
      <c r="AQ8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6" s="74">
        <f>10.37-Table326[[#This Row],[Diamonds: Dimension Home to Pitchers Plate - m ]]</f>
        <v>-2.6300000000000008</v>
      </c>
      <c r="AS86" s="74">
        <f>10.97-Table326[[#This Row],[Diamonds: Dimension Home to Pitchers Plate - m ]]</f>
        <v>-2.0299999999999994</v>
      </c>
      <c r="AT86" s="74">
        <f>13.5-Table326[[#This Row],[Diamonds: Home to First Base Path - m ]]</f>
        <v>-3.5</v>
      </c>
      <c r="AU86" s="74">
        <f>14.02-Table326[[#This Row],[Diamonds: Home to First Base Path - m ]]</f>
        <v>-2.9800000000000004</v>
      </c>
      <c r="AV8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6" s="74"/>
      <c r="BR86" s="74"/>
      <c r="BS86" s="75" t="s">
        <v>980</v>
      </c>
      <c r="BT86" s="76" t="s">
        <v>388</v>
      </c>
    </row>
    <row r="87" spans="1:72" ht="16.8" x14ac:dyDescent="0.3">
      <c r="A87" s="77" t="s">
        <v>24</v>
      </c>
      <c r="B87" s="78" t="s">
        <v>451</v>
      </c>
      <c r="C87" s="78" t="s">
        <v>739</v>
      </c>
      <c r="D87" s="78" t="s">
        <v>754</v>
      </c>
      <c r="E87" s="79"/>
      <c r="F87" s="79"/>
      <c r="G87" s="79"/>
      <c r="H87" s="79" t="s">
        <v>408</v>
      </c>
      <c r="I87" s="79" t="s">
        <v>785</v>
      </c>
      <c r="J87" s="79">
        <v>8</v>
      </c>
      <c r="K87" s="79" t="s">
        <v>748</v>
      </c>
      <c r="L87" s="79"/>
      <c r="M87" s="79"/>
      <c r="N87" s="79">
        <v>1</v>
      </c>
      <c r="O87" s="79">
        <v>1</v>
      </c>
      <c r="P87" s="80" t="s">
        <v>749</v>
      </c>
      <c r="Q87" s="79">
        <v>12.8</v>
      </c>
      <c r="R87" s="79">
        <v>25.5</v>
      </c>
      <c r="S87" s="79">
        <v>31</v>
      </c>
      <c r="T87" s="79">
        <v>17.100000000000001</v>
      </c>
      <c r="U87" s="79"/>
      <c r="V8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7" s="79">
        <f>SUM(Table326[[#This Row],[Slo - Pitch - Mens ]:[Slo - Pitch - Co-Ed ]])</f>
        <v>0</v>
      </c>
      <c r="X87" s="79">
        <f>SUM(Table326[[#This Row],[Baseball - U18 ]:[Baseball - U7 ]])</f>
        <v>0</v>
      </c>
      <c r="Y87" s="72" t="s">
        <v>1042</v>
      </c>
      <c r="Z8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7" s="74">
        <f>13.72-Table326[[#This Row],[Diamonds: Dimension Home to Pitchers Plate - m ]]</f>
        <v>0.91999999999999993</v>
      </c>
      <c r="AB87" s="74">
        <f>14.32-Table326[[#This Row],[Diamonds: Dimension Home to Pitchers Plate - m ]]</f>
        <v>1.5199999999999996</v>
      </c>
      <c r="AC87" s="74">
        <f>17.988-Table326[[#This Row],[Diamonds: Home to First Base Path - m ]]</f>
        <v>0.88799999999999812</v>
      </c>
      <c r="AD87" s="74">
        <f>18.588-Table326[[#This Row],[Diamonds: Home to First Base Path - m ]]</f>
        <v>1.4879999999999995</v>
      </c>
      <c r="AE87" s="74">
        <f>AVERAGE(Table326[[#This Row],[Home to Pitch (Low)]:[Home to 1st (High)]])</f>
        <v>1.2039999999999993</v>
      </c>
      <c r="AF8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7" s="105">
        <f>12.5-Table326[[#This Row],[Diamonds: Dimension Home to Pitchers Plate - m ]]</f>
        <v>-0.30000000000000071</v>
      </c>
      <c r="AH87" s="106">
        <f>13.1-Table326[[#This Row],[Diamonds: Dimension Home to Pitchers Plate - m ]]</f>
        <v>0.29999999999999893</v>
      </c>
      <c r="AI87" s="74">
        <f>17.988-Table326[[#This Row],[Diamonds: Home to First Base Path - m ]]</f>
        <v>0.88799999999999812</v>
      </c>
      <c r="AJ87" s="74">
        <f>18.588-Table326[[#This Row],[Diamonds: Home to First Base Path - m ]]</f>
        <v>1.4879999999999995</v>
      </c>
      <c r="AK87" s="74">
        <f>AVERAGE(Table326[[#This Row],[Home to Pitch (Low)2]:[Home to 1st (High)5]])</f>
        <v>0.59399999999999897</v>
      </c>
      <c r="AL8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7" s="74">
        <f>11.2-Table326[[#This Row],[Diamonds: Dimension Home to Pitchers Plate - m ]]</f>
        <v>-1.6000000000000014</v>
      </c>
      <c r="AN87" s="74">
        <f>11.8-Table326[[#This Row],[Diamonds: Dimension Home to Pitchers Plate - m ]]</f>
        <v>-1</v>
      </c>
      <c r="AO87" s="74">
        <f>16.5-Table326[[#This Row],[Diamonds: Home to First Base Path - m ]]</f>
        <v>-0.60000000000000142</v>
      </c>
      <c r="AP87" s="105">
        <f>17.04-Table326[[#This Row],[Diamonds: Home to First Base Path - m ]]</f>
        <v>-6.0000000000002274E-2</v>
      </c>
      <c r="AQ8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7" s="74">
        <f>10.37-Table326[[#This Row],[Diamonds: Dimension Home to Pitchers Plate - m ]]</f>
        <v>-2.4300000000000015</v>
      </c>
      <c r="AS87" s="74">
        <f>10.97-Table326[[#This Row],[Diamonds: Dimension Home to Pitchers Plate - m ]]</f>
        <v>-1.83</v>
      </c>
      <c r="AT87" s="74">
        <f>13.5-Table326[[#This Row],[Diamonds: Home to First Base Path - m ]]</f>
        <v>-3.6000000000000014</v>
      </c>
      <c r="AU87" s="74">
        <f>14.02-Table326[[#This Row],[Diamonds: Home to First Base Path - m ]]</f>
        <v>-3.0800000000000018</v>
      </c>
      <c r="AV8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7" s="74"/>
      <c r="BR87" s="74"/>
      <c r="BS87" s="75" t="s">
        <v>786</v>
      </c>
      <c r="BT87" s="76" t="s">
        <v>388</v>
      </c>
    </row>
    <row r="88" spans="1:72" ht="33.6" x14ac:dyDescent="0.3">
      <c r="A88" s="77" t="s">
        <v>3</v>
      </c>
      <c r="B88" s="78" t="s">
        <v>405</v>
      </c>
      <c r="C88" s="78" t="s">
        <v>745</v>
      </c>
      <c r="D88" s="78" t="s">
        <v>746</v>
      </c>
      <c r="E88" s="79"/>
      <c r="F88" s="79"/>
      <c r="G88" s="79"/>
      <c r="H88" s="79" t="s">
        <v>385</v>
      </c>
      <c r="I88" s="79" t="s">
        <v>747</v>
      </c>
      <c r="J88" s="79">
        <v>5.5</v>
      </c>
      <c r="K88" s="79" t="s">
        <v>748</v>
      </c>
      <c r="L88" s="79"/>
      <c r="M88" s="79"/>
      <c r="N88" s="79">
        <v>1</v>
      </c>
      <c r="O88" s="79">
        <v>1</v>
      </c>
      <c r="P88" s="80" t="s">
        <v>749</v>
      </c>
      <c r="Q88" s="79">
        <v>12.5</v>
      </c>
      <c r="R88" s="79">
        <v>24.5</v>
      </c>
      <c r="S88" s="79">
        <v>27.3</v>
      </c>
      <c r="T88" s="79">
        <v>17.399999999999999</v>
      </c>
      <c r="U88" s="79">
        <v>1</v>
      </c>
      <c r="V8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8" s="79">
        <f>SUM(Table326[[#This Row],[Slo - Pitch - Mens ]:[Slo - Pitch - Co-Ed ]])</f>
        <v>0</v>
      </c>
      <c r="X88" s="79">
        <f>SUM(Table326[[#This Row],[Baseball - U18 ]:[Baseball - U7 ]])</f>
        <v>0</v>
      </c>
      <c r="Y88" s="72" t="s">
        <v>1042</v>
      </c>
      <c r="Z8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8" s="74">
        <f>13.72-Table326[[#This Row],[Diamonds: Dimension Home to Pitchers Plate - m ]]</f>
        <v>1.2200000000000006</v>
      </c>
      <c r="AB88" s="74">
        <f>14.32-Table326[[#This Row],[Diamonds: Dimension Home to Pitchers Plate - m ]]</f>
        <v>1.8200000000000003</v>
      </c>
      <c r="AC88" s="74">
        <f>17.988-Table326[[#This Row],[Diamonds: Home to First Base Path - m ]]</f>
        <v>0.58800000000000097</v>
      </c>
      <c r="AD88" s="74">
        <f>18.588-Table326[[#This Row],[Diamonds: Home to First Base Path - m ]]</f>
        <v>1.1880000000000024</v>
      </c>
      <c r="AE88" s="74">
        <f>AVERAGE(Table326[[#This Row],[Home to Pitch (Low)]:[Home to 1st (High)]])</f>
        <v>1.2040000000000011</v>
      </c>
      <c r="AF8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8" s="103">
        <f>12.5-Table326[[#This Row],[Diamonds: Dimension Home to Pitchers Plate - m ]]</f>
        <v>0</v>
      </c>
      <c r="AH88" s="106">
        <f>13.1-Table326[[#This Row],[Diamonds: Dimension Home to Pitchers Plate - m ]]</f>
        <v>0.59999999999999964</v>
      </c>
      <c r="AI88" s="74">
        <f>17.988-Table326[[#This Row],[Diamonds: Home to First Base Path - m ]]</f>
        <v>0.58800000000000097</v>
      </c>
      <c r="AJ88" s="74">
        <f>18.588-Table326[[#This Row],[Diamonds: Home to First Base Path - m ]]</f>
        <v>1.1880000000000024</v>
      </c>
      <c r="AK88" s="74">
        <f>AVERAGE(Table326[[#This Row],[Home to Pitch (Low)2]:[Home to 1st (High)5]])</f>
        <v>0.59400000000000075</v>
      </c>
      <c r="AL8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8" s="74">
        <f>11.2-Table326[[#This Row],[Diamonds: Dimension Home to Pitchers Plate - m ]]</f>
        <v>-1.3000000000000007</v>
      </c>
      <c r="AN88" s="103">
        <f>11.8-Table326[[#This Row],[Diamonds: Dimension Home to Pitchers Plate - m ]]</f>
        <v>-0.69999999999999929</v>
      </c>
      <c r="AO88" s="74">
        <f>16.5-Table326[[#This Row],[Diamonds: Home to First Base Path - m ]]</f>
        <v>-0.89999999999999858</v>
      </c>
      <c r="AP88" s="105">
        <f>17.04-Table326[[#This Row],[Diamonds: Home to First Base Path - m ]]</f>
        <v>-0.35999999999999943</v>
      </c>
      <c r="AQ8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8" s="74">
        <f>10.37-Table326[[#This Row],[Diamonds: Dimension Home to Pitchers Plate - m ]]</f>
        <v>-2.1300000000000008</v>
      </c>
      <c r="AS88" s="74">
        <f>10.97-Table326[[#This Row],[Diamonds: Dimension Home to Pitchers Plate - m ]]</f>
        <v>-1.5299999999999994</v>
      </c>
      <c r="AT88" s="74">
        <f>13.5-Table326[[#This Row],[Diamonds: Home to First Base Path - m ]]</f>
        <v>-3.8999999999999986</v>
      </c>
      <c r="AU88" s="74">
        <f>14.02-Table326[[#This Row],[Diamonds: Home to First Base Path - m ]]</f>
        <v>-3.379999999999999</v>
      </c>
      <c r="AV8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8" s="74"/>
      <c r="BR88" s="74"/>
      <c r="BS88" s="75" t="s">
        <v>750</v>
      </c>
      <c r="BT88" s="76" t="s">
        <v>388</v>
      </c>
    </row>
    <row r="89" spans="1:72" ht="33.6" x14ac:dyDescent="0.3">
      <c r="A89" s="77" t="s">
        <v>125</v>
      </c>
      <c r="B89" s="78" t="s">
        <v>604</v>
      </c>
      <c r="C89" s="78" t="s">
        <v>769</v>
      </c>
      <c r="D89" s="78" t="s">
        <v>789</v>
      </c>
      <c r="E89" s="79">
        <v>1</v>
      </c>
      <c r="F89" s="79" t="s">
        <v>824</v>
      </c>
      <c r="G89" s="79">
        <v>37.700000000000003</v>
      </c>
      <c r="H89" s="79" t="s">
        <v>385</v>
      </c>
      <c r="I89" s="79" t="s">
        <v>954</v>
      </c>
      <c r="J89" s="79">
        <v>4</v>
      </c>
      <c r="K89" s="79" t="s">
        <v>742</v>
      </c>
      <c r="L89" s="79"/>
      <c r="M89" s="79"/>
      <c r="N89" s="79">
        <v>1</v>
      </c>
      <c r="O89" s="79"/>
      <c r="P89" s="80" t="s">
        <v>783</v>
      </c>
      <c r="Q89" s="79">
        <v>13.3</v>
      </c>
      <c r="R89" s="79">
        <v>22.2</v>
      </c>
      <c r="S89" s="79"/>
      <c r="T89" s="79">
        <v>16.3</v>
      </c>
      <c r="U89" s="79">
        <v>1</v>
      </c>
      <c r="V89"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89" s="79">
        <f>SUM(Table326[[#This Row],[Slo - Pitch - Mens ]:[Slo - Pitch - Co-Ed ]])</f>
        <v>0</v>
      </c>
      <c r="X89" s="79">
        <f>SUM(Table326[[#This Row],[Baseball - U18 ]:[Baseball - U7 ]])</f>
        <v>0</v>
      </c>
      <c r="Y89" s="72" t="s">
        <v>1042</v>
      </c>
      <c r="Z8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89" s="74">
        <f>13.72-Table326[[#This Row],[Diamonds: Dimension Home to Pitchers Plate - m ]]</f>
        <v>0.41999999999999993</v>
      </c>
      <c r="AB89" s="74">
        <f>14.32-Table326[[#This Row],[Diamonds: Dimension Home to Pitchers Plate - m ]]</f>
        <v>1.0199999999999996</v>
      </c>
      <c r="AC89" s="74">
        <f>17.988-Table326[[#This Row],[Diamonds: Home to First Base Path - m ]]</f>
        <v>1.6879999999999988</v>
      </c>
      <c r="AD89" s="74">
        <f>18.588-Table326[[#This Row],[Diamonds: Home to First Base Path - m ]]</f>
        <v>2.2880000000000003</v>
      </c>
      <c r="AE89" s="74">
        <f>AVERAGE(Table326[[#This Row],[Home to Pitch (Low)]:[Home to 1st (High)]])</f>
        <v>1.3539999999999996</v>
      </c>
      <c r="AF8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89" s="74">
        <f>12.5-Table326[[#This Row],[Diamonds: Dimension Home to Pitchers Plate - m ]]</f>
        <v>-0.80000000000000071</v>
      </c>
      <c r="AH89" s="105">
        <f>13.1-Table326[[#This Row],[Diamonds: Dimension Home to Pitchers Plate - m ]]</f>
        <v>-0.20000000000000107</v>
      </c>
      <c r="AI89" s="74">
        <f>17.988-Table326[[#This Row],[Diamonds: Home to First Base Path - m ]]</f>
        <v>1.6879999999999988</v>
      </c>
      <c r="AJ89" s="74">
        <f>18.588-Table326[[#This Row],[Diamonds: Home to First Base Path - m ]]</f>
        <v>2.2880000000000003</v>
      </c>
      <c r="AK89" s="74">
        <f>AVERAGE(Table326[[#This Row],[Home to Pitch (Low)2]:[Home to 1st (High)5]])</f>
        <v>0.74399999999999933</v>
      </c>
      <c r="AL8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89" s="74">
        <f>11.2-Table326[[#This Row],[Diamonds: Dimension Home to Pitchers Plate - m ]]</f>
        <v>-2.1000000000000014</v>
      </c>
      <c r="AN89" s="74">
        <f>11.8-Table326[[#This Row],[Diamonds: Dimension Home to Pitchers Plate - m ]]</f>
        <v>-1.5</v>
      </c>
      <c r="AO89" s="105">
        <f>16.5-Table326[[#This Row],[Diamonds: Home to First Base Path - m ]]</f>
        <v>0.19999999999999929</v>
      </c>
      <c r="AP89" s="74">
        <f>17.04-Table326[[#This Row],[Diamonds: Home to First Base Path - m ]]</f>
        <v>0.73999999999999844</v>
      </c>
      <c r="AQ8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89" s="74">
        <f>10.37-Table326[[#This Row],[Diamonds: Dimension Home to Pitchers Plate - m ]]</f>
        <v>-2.9300000000000015</v>
      </c>
      <c r="AS89" s="74">
        <f>10.97-Table326[[#This Row],[Diamonds: Dimension Home to Pitchers Plate - m ]]</f>
        <v>-2.33</v>
      </c>
      <c r="AT89" s="74">
        <f>13.5-Table326[[#This Row],[Diamonds: Home to First Base Path - m ]]</f>
        <v>-2.8000000000000007</v>
      </c>
      <c r="AU89" s="74">
        <f>14.02-Table326[[#This Row],[Diamonds: Home to First Base Path - m ]]</f>
        <v>-2.2800000000000011</v>
      </c>
      <c r="AV8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8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8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8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8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8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8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8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8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8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8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8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8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8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8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8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8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8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8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8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8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89" s="74"/>
      <c r="BR89" s="74"/>
      <c r="BS89" s="75" t="s">
        <v>955</v>
      </c>
      <c r="BT89" s="76" t="s">
        <v>388</v>
      </c>
    </row>
    <row r="90" spans="1:72" ht="16.8" x14ac:dyDescent="0.3">
      <c r="A90" s="77" t="s">
        <v>72</v>
      </c>
      <c r="B90" s="78" t="s">
        <v>534</v>
      </c>
      <c r="C90" s="78" t="s">
        <v>769</v>
      </c>
      <c r="D90" s="78" t="s">
        <v>789</v>
      </c>
      <c r="E90" s="79"/>
      <c r="F90" s="79"/>
      <c r="G90" s="79"/>
      <c r="H90" s="79" t="s">
        <v>399</v>
      </c>
      <c r="I90" s="79" t="s">
        <v>861</v>
      </c>
      <c r="J90" s="79">
        <v>7</v>
      </c>
      <c r="K90" s="79" t="s">
        <v>748</v>
      </c>
      <c r="L90" s="79"/>
      <c r="M90" s="79"/>
      <c r="N90" s="79">
        <v>1</v>
      </c>
      <c r="O90" s="79">
        <v>1</v>
      </c>
      <c r="P90" s="80" t="s">
        <v>749</v>
      </c>
      <c r="Q90" s="79">
        <v>11.6</v>
      </c>
      <c r="R90" s="79">
        <v>25</v>
      </c>
      <c r="S90" s="79">
        <v>27.5</v>
      </c>
      <c r="T90" s="79">
        <v>18</v>
      </c>
      <c r="U90" s="79">
        <v>1</v>
      </c>
      <c r="V90"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0" s="79">
        <f>SUM(Table326[[#This Row],[Slo - Pitch - Mens ]:[Slo - Pitch - Co-Ed ]])</f>
        <v>0</v>
      </c>
      <c r="X90" s="79">
        <f>SUM(Table326[[#This Row],[Baseball - U18 ]:[Baseball - U7 ]])</f>
        <v>0</v>
      </c>
      <c r="Y90" s="72" t="s">
        <v>1042</v>
      </c>
      <c r="Z9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0" s="74">
        <f>13.72-Table326[[#This Row],[Diamonds: Dimension Home to Pitchers Plate - m ]]</f>
        <v>2.120000000000001</v>
      </c>
      <c r="AB90" s="74">
        <f>14.32-Table326[[#This Row],[Diamonds: Dimension Home to Pitchers Plate - m ]]</f>
        <v>2.7200000000000006</v>
      </c>
      <c r="AC90" s="105">
        <f>17.988-Table326[[#This Row],[Diamonds: Home to First Base Path - m ]]</f>
        <v>-1.2000000000000455E-2</v>
      </c>
      <c r="AD90" s="74">
        <f>18.588-Table326[[#This Row],[Diamonds: Home to First Base Path - m ]]</f>
        <v>0.58800000000000097</v>
      </c>
      <c r="AE90" s="74">
        <f>AVERAGE(Table326[[#This Row],[Home to Pitch (Low)]:[Home to 1st (High)]])</f>
        <v>1.3540000000000005</v>
      </c>
      <c r="AF9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0" s="74">
        <f>12.5-Table326[[#This Row],[Diamonds: Dimension Home to Pitchers Plate - m ]]</f>
        <v>0.90000000000000036</v>
      </c>
      <c r="AH90" s="74">
        <f>13.1-Table326[[#This Row],[Diamonds: Dimension Home to Pitchers Plate - m ]]</f>
        <v>1.5</v>
      </c>
      <c r="AI90" s="103">
        <f>17.988-Table326[[#This Row],[Diamonds: Home to First Base Path - m ]]</f>
        <v>-1.2000000000000455E-2</v>
      </c>
      <c r="AJ90" s="74">
        <f>18.588-Table326[[#This Row],[Diamonds: Home to First Base Path - m ]]</f>
        <v>0.58800000000000097</v>
      </c>
      <c r="AK90" s="74">
        <f>AVERAGE(Table326[[#This Row],[Home to Pitch (Low)2]:[Home to 1st (High)5]])</f>
        <v>0.74400000000000022</v>
      </c>
      <c r="AL9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0" s="103">
        <f>11.2-Table326[[#This Row],[Diamonds: Dimension Home to Pitchers Plate - m ]]</f>
        <v>-0.40000000000000036</v>
      </c>
      <c r="AN90" s="103">
        <f>11.8-Table326[[#This Row],[Diamonds: Dimension Home to Pitchers Plate - m ]]</f>
        <v>0.20000000000000107</v>
      </c>
      <c r="AO90" s="74">
        <f>16.5-Table326[[#This Row],[Diamonds: Home to First Base Path - m ]]</f>
        <v>-1.5</v>
      </c>
      <c r="AP90" s="74">
        <f>17.04-Table326[[#This Row],[Diamonds: Home to First Base Path - m ]]</f>
        <v>-0.96000000000000085</v>
      </c>
      <c r="AQ9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0" s="74">
        <f>10.37-Table326[[#This Row],[Diamonds: Dimension Home to Pitchers Plate - m ]]</f>
        <v>-1.2300000000000004</v>
      </c>
      <c r="AS90" s="74">
        <f>10.97-Table326[[#This Row],[Diamonds: Dimension Home to Pitchers Plate - m ]]</f>
        <v>-0.62999999999999901</v>
      </c>
      <c r="AT90" s="74">
        <f>13.5-Table326[[#This Row],[Diamonds: Home to First Base Path - m ]]</f>
        <v>-4.5</v>
      </c>
      <c r="AU90" s="74">
        <f>14.02-Table326[[#This Row],[Diamonds: Home to First Base Path - m ]]</f>
        <v>-3.9800000000000004</v>
      </c>
      <c r="AV9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0" s="74"/>
      <c r="BR90" s="74"/>
      <c r="BS90" s="75" t="s">
        <v>862</v>
      </c>
      <c r="BT90" s="76" t="s">
        <v>857</v>
      </c>
    </row>
    <row r="91" spans="1:72" ht="16.8" x14ac:dyDescent="0.3">
      <c r="A91" s="70" t="s">
        <v>57</v>
      </c>
      <c r="B91" s="71" t="s">
        <v>514</v>
      </c>
      <c r="C91" s="71" t="s">
        <v>739</v>
      </c>
      <c r="D91" s="71" t="s">
        <v>789</v>
      </c>
      <c r="E91" s="72"/>
      <c r="F91" s="72"/>
      <c r="G91" s="72"/>
      <c r="H91" s="72" t="s">
        <v>444</v>
      </c>
      <c r="I91" s="72" t="s">
        <v>832</v>
      </c>
      <c r="J91" s="72">
        <v>5.5</v>
      </c>
      <c r="K91" s="72" t="s">
        <v>748</v>
      </c>
      <c r="L91" s="72"/>
      <c r="M91" s="72"/>
      <c r="N91" s="72">
        <v>1</v>
      </c>
      <c r="O91" s="72"/>
      <c r="P91" s="73" t="s">
        <v>749</v>
      </c>
      <c r="Q91" s="72">
        <v>14.5</v>
      </c>
      <c r="R91" s="72">
        <v>25</v>
      </c>
      <c r="S91" s="72">
        <v>30</v>
      </c>
      <c r="T91" s="72">
        <v>15</v>
      </c>
      <c r="U91" s="72"/>
      <c r="V9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1" s="72">
        <f>SUM(Table326[[#This Row],[Slo - Pitch - Mens ]:[Slo - Pitch - Co-Ed ]])</f>
        <v>0</v>
      </c>
      <c r="X91" s="72">
        <f>SUM(Table326[[#This Row],[Baseball - U18 ]:[Baseball - U7 ]])</f>
        <v>0</v>
      </c>
      <c r="Y91" s="72" t="s">
        <v>1042</v>
      </c>
      <c r="Z9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1" s="104">
        <f>13.72-Table326[[#This Row],[Diamonds: Dimension Home to Pitchers Plate - m ]]</f>
        <v>-0.77999999999999936</v>
      </c>
      <c r="AB91" s="82">
        <f>14.32-Table326[[#This Row],[Diamonds: Dimension Home to Pitchers Plate - m ]]</f>
        <v>-0.17999999999999972</v>
      </c>
      <c r="AC91" s="104">
        <f>17.988-Table326[[#This Row],[Diamonds: Home to First Base Path - m ]]</f>
        <v>2.9879999999999995</v>
      </c>
      <c r="AD91" s="104">
        <f>18.588-Table326[[#This Row],[Diamonds: Home to First Base Path - m ]]</f>
        <v>3.588000000000001</v>
      </c>
      <c r="AE91" s="104">
        <f>AVERAGE(Table326[[#This Row],[Home to Pitch (Low)]:[Home to 1st (High)]])</f>
        <v>1.4040000000000004</v>
      </c>
      <c r="AF9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1" s="74">
        <f>12.5-Table326[[#This Row],[Diamonds: Dimension Home to Pitchers Plate - m ]]</f>
        <v>-2</v>
      </c>
      <c r="AH91" s="74">
        <f>13.1-Table326[[#This Row],[Diamonds: Dimension Home to Pitchers Plate - m ]]</f>
        <v>-1.4000000000000004</v>
      </c>
      <c r="AI91" s="74">
        <f>17.988-Table326[[#This Row],[Diamonds: Home to First Base Path - m ]]</f>
        <v>2.9879999999999995</v>
      </c>
      <c r="AJ91" s="74">
        <f>18.588-Table326[[#This Row],[Diamonds: Home to First Base Path - m ]]</f>
        <v>3.588000000000001</v>
      </c>
      <c r="AK91" s="74">
        <f>AVERAGE(Table326[[#This Row],[Home to Pitch (Low)2]:[Home to 1st (High)5]])</f>
        <v>0.79400000000000004</v>
      </c>
      <c r="AL9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1" s="74">
        <f>11.2-Table326[[#This Row],[Diamonds: Dimension Home to Pitchers Plate - m ]]</f>
        <v>-3.3000000000000007</v>
      </c>
      <c r="AN91" s="74">
        <f>11.8-Table326[[#This Row],[Diamonds: Dimension Home to Pitchers Plate - m ]]</f>
        <v>-2.6999999999999993</v>
      </c>
      <c r="AO91" s="74">
        <f>16.5-Table326[[#This Row],[Diamonds: Home to First Base Path - m ]]</f>
        <v>1.5</v>
      </c>
      <c r="AP91" s="74">
        <f>17.04-Table326[[#This Row],[Diamonds: Home to First Base Path - m ]]</f>
        <v>2.0399999999999991</v>
      </c>
      <c r="AQ9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1" s="74">
        <f>10.37-Table326[[#This Row],[Diamonds: Dimension Home to Pitchers Plate - m ]]</f>
        <v>-4.1300000000000008</v>
      </c>
      <c r="AS91" s="74">
        <f>10.97-Table326[[#This Row],[Diamonds: Dimension Home to Pitchers Plate - m ]]</f>
        <v>-3.5299999999999994</v>
      </c>
      <c r="AT91" s="74">
        <f>13.5-Table326[[#This Row],[Diamonds: Home to First Base Path - m ]]</f>
        <v>-1.5</v>
      </c>
      <c r="AU91" s="74">
        <f>14.02-Table326[[#This Row],[Diamonds: Home to First Base Path - m ]]</f>
        <v>-0.98000000000000043</v>
      </c>
      <c r="AV9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1" s="74"/>
      <c r="BR91" s="74"/>
      <c r="BS91" s="75" t="s">
        <v>833</v>
      </c>
      <c r="BT91" s="76" t="s">
        <v>388</v>
      </c>
    </row>
    <row r="92" spans="1:72" ht="16.8" x14ac:dyDescent="0.3">
      <c r="A92" s="77" t="s">
        <v>99</v>
      </c>
      <c r="B92" s="78" t="s">
        <v>574</v>
      </c>
      <c r="C92" s="78" t="s">
        <v>739</v>
      </c>
      <c r="D92" s="78" t="s">
        <v>746</v>
      </c>
      <c r="E92" s="79"/>
      <c r="F92" s="79"/>
      <c r="G92" s="79"/>
      <c r="H92" s="79" t="s">
        <v>385</v>
      </c>
      <c r="I92" s="79" t="s">
        <v>900</v>
      </c>
      <c r="J92" s="79">
        <v>5.5</v>
      </c>
      <c r="K92" s="79"/>
      <c r="L92" s="79"/>
      <c r="M92" s="79">
        <v>1</v>
      </c>
      <c r="N92" s="79">
        <v>1</v>
      </c>
      <c r="O92" s="79"/>
      <c r="P92" s="80" t="s">
        <v>793</v>
      </c>
      <c r="Q92" s="79">
        <v>12.7</v>
      </c>
      <c r="R92" s="79">
        <v>22.3</v>
      </c>
      <c r="S92" s="79"/>
      <c r="T92" s="79">
        <v>16.7</v>
      </c>
      <c r="U92" s="79"/>
      <c r="V92"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2" s="79">
        <f>SUM(Table326[[#This Row],[Slo - Pitch - Mens ]:[Slo - Pitch - Co-Ed ]])</f>
        <v>0</v>
      </c>
      <c r="X92" s="79">
        <f>SUM(Table326[[#This Row],[Baseball - U18 ]:[Baseball - U7 ]])</f>
        <v>0</v>
      </c>
      <c r="Y92" s="72" t="s">
        <v>1042</v>
      </c>
      <c r="Z9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2" s="74">
        <f>13.72-Table326[[#This Row],[Diamonds: Dimension Home to Pitchers Plate - m ]]</f>
        <v>1.0200000000000014</v>
      </c>
      <c r="AB92" s="74">
        <f>14.32-Table326[[#This Row],[Diamonds: Dimension Home to Pitchers Plate - m ]]</f>
        <v>1.620000000000001</v>
      </c>
      <c r="AC92" s="74">
        <f>17.988-Table326[[#This Row],[Diamonds: Home to First Base Path - m ]]</f>
        <v>1.2880000000000003</v>
      </c>
      <c r="AD92" s="74">
        <f>18.588-Table326[[#This Row],[Diamonds: Home to First Base Path - m ]]</f>
        <v>1.8880000000000017</v>
      </c>
      <c r="AE92" s="74">
        <f>AVERAGE(Table326[[#This Row],[Home to Pitch (Low)]:[Home to 1st (High)]])</f>
        <v>1.4540000000000011</v>
      </c>
      <c r="AF9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2" s="105">
        <f>12.5-Table326[[#This Row],[Diamonds: Dimension Home to Pitchers Plate - m ]]</f>
        <v>-0.19999999999999929</v>
      </c>
      <c r="AH92" s="106">
        <f>13.1-Table326[[#This Row],[Diamonds: Dimension Home to Pitchers Plate - m ]]</f>
        <v>0.40000000000000036</v>
      </c>
      <c r="AI92" s="74">
        <f>17.988-Table326[[#This Row],[Diamonds: Home to First Base Path - m ]]</f>
        <v>1.2880000000000003</v>
      </c>
      <c r="AJ92" s="74">
        <f>18.588-Table326[[#This Row],[Diamonds: Home to First Base Path - m ]]</f>
        <v>1.8880000000000017</v>
      </c>
      <c r="AK92" s="74">
        <f>AVERAGE(Table326[[#This Row],[Home to Pitch (Low)2]:[Home to 1st (High)5]])</f>
        <v>0.84400000000000075</v>
      </c>
      <c r="AL9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2" s="74">
        <f>11.2-Table326[[#This Row],[Diamonds: Dimension Home to Pitchers Plate - m ]]</f>
        <v>-1.5</v>
      </c>
      <c r="AN92" s="74">
        <f>11.8-Table326[[#This Row],[Diamonds: Dimension Home to Pitchers Plate - m ]]</f>
        <v>-0.89999999999999858</v>
      </c>
      <c r="AO92" s="105">
        <f>16.5-Table326[[#This Row],[Diamonds: Home to First Base Path - m ]]</f>
        <v>-0.19999999999999929</v>
      </c>
      <c r="AP92" s="105">
        <f>17.04-Table326[[#This Row],[Diamonds: Home to First Base Path - m ]]</f>
        <v>0.33999999999999986</v>
      </c>
      <c r="AQ9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2" s="74">
        <f>10.37-Table326[[#This Row],[Diamonds: Dimension Home to Pitchers Plate - m ]]</f>
        <v>-2.33</v>
      </c>
      <c r="AS92" s="74">
        <f>10.97-Table326[[#This Row],[Diamonds: Dimension Home to Pitchers Plate - m ]]</f>
        <v>-1.7299999999999986</v>
      </c>
      <c r="AT92" s="74">
        <f>13.5-Table326[[#This Row],[Diamonds: Home to First Base Path - m ]]</f>
        <v>-3.1999999999999993</v>
      </c>
      <c r="AU92" s="74">
        <f>14.02-Table326[[#This Row],[Diamonds: Home to First Base Path - m ]]</f>
        <v>-2.6799999999999997</v>
      </c>
      <c r="AV9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2" s="74"/>
      <c r="BR92" s="74"/>
      <c r="BS92" s="75" t="s">
        <v>915</v>
      </c>
      <c r="BT92" s="76" t="s">
        <v>388</v>
      </c>
    </row>
    <row r="93" spans="1:72" ht="50.4" x14ac:dyDescent="0.3">
      <c r="A93" s="77" t="s">
        <v>9</v>
      </c>
      <c r="B93" s="78" t="s">
        <v>417</v>
      </c>
      <c r="C93" s="78" t="s">
        <v>739</v>
      </c>
      <c r="D93" s="78" t="s">
        <v>754</v>
      </c>
      <c r="E93" s="79"/>
      <c r="F93" s="79"/>
      <c r="G93" s="79"/>
      <c r="H93" s="79" t="s">
        <v>408</v>
      </c>
      <c r="I93" s="79" t="s">
        <v>759</v>
      </c>
      <c r="J93" s="79">
        <v>5.5</v>
      </c>
      <c r="K93" s="79" t="s">
        <v>748</v>
      </c>
      <c r="L93" s="79"/>
      <c r="M93" s="79"/>
      <c r="N93" s="79">
        <v>1</v>
      </c>
      <c r="O93" s="79">
        <v>1</v>
      </c>
      <c r="P93" s="80" t="s">
        <v>749</v>
      </c>
      <c r="Q93" s="79">
        <v>10.5</v>
      </c>
      <c r="R93" s="79">
        <v>23.5</v>
      </c>
      <c r="S93" s="79">
        <v>28.5</v>
      </c>
      <c r="T93" s="79">
        <v>18.7</v>
      </c>
      <c r="U93" s="79"/>
      <c r="V9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3" s="79">
        <f>SUM(Table326[[#This Row],[Slo - Pitch - Mens ]:[Slo - Pitch - Co-Ed ]])</f>
        <v>0</v>
      </c>
      <c r="X93" s="79">
        <f>SUM(Table326[[#This Row],[Baseball - U18 ]:[Baseball - U7 ]])</f>
        <v>0</v>
      </c>
      <c r="Y93" s="72" t="s">
        <v>1042</v>
      </c>
      <c r="Z9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3" s="74">
        <f>13.72-Table326[[#This Row],[Diamonds: Dimension Home to Pitchers Plate - m ]]</f>
        <v>3.2200000000000006</v>
      </c>
      <c r="AB93" s="74">
        <f>14.32-Table326[[#This Row],[Diamonds: Dimension Home to Pitchers Plate - m ]]</f>
        <v>3.8200000000000003</v>
      </c>
      <c r="AC93" s="74">
        <f>17.988-Table326[[#This Row],[Diamonds: Home to First Base Path - m ]]</f>
        <v>-0.71199999999999974</v>
      </c>
      <c r="AD93" s="105">
        <f>18.588-Table326[[#This Row],[Diamonds: Home to First Base Path - m ]]</f>
        <v>-0.11199999999999832</v>
      </c>
      <c r="AE93" s="74">
        <f>AVERAGE(Table326[[#This Row],[Home to Pitch (Low)]:[Home to 1st (High)]])</f>
        <v>1.5540000000000007</v>
      </c>
      <c r="AF9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3" s="74">
        <f>12.5-Table326[[#This Row],[Diamonds: Dimension Home to Pitchers Plate - m ]]</f>
        <v>2</v>
      </c>
      <c r="AH93" s="74">
        <f>13.1-Table326[[#This Row],[Diamonds: Dimension Home to Pitchers Plate - m ]]</f>
        <v>2.5999999999999996</v>
      </c>
      <c r="AI93" s="105">
        <f>17.988-Table326[[#This Row],[Diamonds: Home to First Base Path - m ]]</f>
        <v>-0.71199999999999974</v>
      </c>
      <c r="AJ93" s="103">
        <f>18.588-Table326[[#This Row],[Diamonds: Home to First Base Path - m ]]</f>
        <v>-0.11199999999999832</v>
      </c>
      <c r="AK93" s="74">
        <f>AVERAGE(Table326[[#This Row],[Home to Pitch (Low)2]:[Home to 1st (High)5]])</f>
        <v>0.94400000000000039</v>
      </c>
      <c r="AL9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3" s="103">
        <f>11.2-Table326[[#This Row],[Diamonds: Dimension Home to Pitchers Plate - m ]]</f>
        <v>0.69999999999999929</v>
      </c>
      <c r="AN93" s="74">
        <f>11.8-Table326[[#This Row],[Diamonds: Dimension Home to Pitchers Plate - m ]]</f>
        <v>1.3000000000000007</v>
      </c>
      <c r="AO93" s="74">
        <f>16.5-Table326[[#This Row],[Diamonds: Home to First Base Path - m ]]</f>
        <v>-2.1999999999999993</v>
      </c>
      <c r="AP93" s="74">
        <f>17.04-Table326[[#This Row],[Diamonds: Home to First Base Path - m ]]</f>
        <v>-1.6600000000000001</v>
      </c>
      <c r="AQ9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3" s="74">
        <f>10.37-Table326[[#This Row],[Diamonds: Dimension Home to Pitchers Plate - m ]]</f>
        <v>-0.13000000000000078</v>
      </c>
      <c r="AS93" s="74">
        <f>10.97-Table326[[#This Row],[Diamonds: Dimension Home to Pitchers Plate - m ]]</f>
        <v>0.47000000000000064</v>
      </c>
      <c r="AT93" s="74">
        <f>13.5-Table326[[#This Row],[Diamonds: Home to First Base Path - m ]]</f>
        <v>-5.1999999999999993</v>
      </c>
      <c r="AU93" s="74">
        <f>14.02-Table326[[#This Row],[Diamonds: Home to First Base Path - m ]]</f>
        <v>-4.68</v>
      </c>
      <c r="AV9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3" s="74"/>
      <c r="BR93" s="74"/>
      <c r="BS93" s="75" t="s">
        <v>760</v>
      </c>
      <c r="BT93" s="76" t="s">
        <v>421</v>
      </c>
    </row>
    <row r="94" spans="1:72" ht="33.6" x14ac:dyDescent="0.3">
      <c r="A94" s="77" t="s">
        <v>6</v>
      </c>
      <c r="B94" s="78" t="s">
        <v>417</v>
      </c>
      <c r="C94" s="78" t="s">
        <v>739</v>
      </c>
      <c r="D94" s="78" t="s">
        <v>754</v>
      </c>
      <c r="E94" s="79"/>
      <c r="F94" s="79"/>
      <c r="G94" s="79"/>
      <c r="H94" s="79" t="s">
        <v>408</v>
      </c>
      <c r="I94" s="79" t="s">
        <v>755</v>
      </c>
      <c r="J94" s="79">
        <v>4</v>
      </c>
      <c r="K94" s="79" t="s">
        <v>748</v>
      </c>
      <c r="L94" s="79"/>
      <c r="M94" s="79"/>
      <c r="N94" s="79">
        <v>1</v>
      </c>
      <c r="O94" s="79">
        <v>1</v>
      </c>
      <c r="P94" s="80" t="s">
        <v>749</v>
      </c>
      <c r="Q94" s="79">
        <v>11.8</v>
      </c>
      <c r="R94" s="79">
        <v>25.7</v>
      </c>
      <c r="S94" s="79">
        <v>29.5</v>
      </c>
      <c r="T94" s="79">
        <v>17.399999999999999</v>
      </c>
      <c r="U94" s="79"/>
      <c r="V9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94" s="79">
        <f>SUM(Table326[[#This Row],[Slo - Pitch - Mens ]:[Slo - Pitch - Co-Ed ]])</f>
        <v>0</v>
      </c>
      <c r="X94" s="79">
        <f>SUM(Table326[[#This Row],[Baseball - U18 ]:[Baseball - U7 ]])</f>
        <v>0</v>
      </c>
      <c r="Y94" s="72" t="s">
        <v>1042</v>
      </c>
      <c r="Z9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4" s="74">
        <f>13.72-Table326[[#This Row],[Diamonds: Dimension Home to Pitchers Plate - m ]]</f>
        <v>1.92</v>
      </c>
      <c r="AB94" s="74">
        <f>14.32-Table326[[#This Row],[Diamonds: Dimension Home to Pitchers Plate - m ]]</f>
        <v>2.5199999999999996</v>
      </c>
      <c r="AC94" s="74">
        <f>17.988-Table326[[#This Row],[Diamonds: Home to First Base Path - m ]]</f>
        <v>0.58800000000000097</v>
      </c>
      <c r="AD94" s="74">
        <f>18.588-Table326[[#This Row],[Diamonds: Home to First Base Path - m ]]</f>
        <v>1.1880000000000024</v>
      </c>
      <c r="AE94" s="74">
        <f>AVERAGE(Table326[[#This Row],[Home to Pitch (Low)]:[Home to 1st (High)]])</f>
        <v>1.5540000000000007</v>
      </c>
      <c r="AF9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4" s="106">
        <f>12.5-Table326[[#This Row],[Diamonds: Dimension Home to Pitchers Plate - m ]]</f>
        <v>0.69999999999999929</v>
      </c>
      <c r="AH94" s="74">
        <f>13.1-Table326[[#This Row],[Diamonds: Dimension Home to Pitchers Plate - m ]]</f>
        <v>1.2999999999999989</v>
      </c>
      <c r="AI94" s="74">
        <f>17.988-Table326[[#This Row],[Diamonds: Home to First Base Path - m ]]</f>
        <v>0.58800000000000097</v>
      </c>
      <c r="AJ94" s="74">
        <f>18.588-Table326[[#This Row],[Diamonds: Home to First Base Path - m ]]</f>
        <v>1.1880000000000024</v>
      </c>
      <c r="AK94" s="74">
        <f>AVERAGE(Table326[[#This Row],[Home to Pitch (Low)2]:[Home to 1st (High)5]])</f>
        <v>0.94400000000000039</v>
      </c>
      <c r="AL94" s="74">
        <v>1</v>
      </c>
      <c r="AM94" s="103">
        <f>11.2-Table326[[#This Row],[Diamonds: Dimension Home to Pitchers Plate - m ]]</f>
        <v>-0.60000000000000142</v>
      </c>
      <c r="AN94" s="103">
        <f>11.8-Table326[[#This Row],[Diamonds: Dimension Home to Pitchers Plate - m ]]</f>
        <v>0</v>
      </c>
      <c r="AO94" s="74">
        <f>16.5-Table326[[#This Row],[Diamonds: Home to First Base Path - m ]]</f>
        <v>-0.89999999999999858</v>
      </c>
      <c r="AP94" s="105">
        <f>17.04-Table326[[#This Row],[Diamonds: Home to First Base Path - m ]]</f>
        <v>-0.35999999999999943</v>
      </c>
      <c r="AQ9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4" s="74">
        <f>10.37-Table326[[#This Row],[Diamonds: Dimension Home to Pitchers Plate - m ]]</f>
        <v>-1.4300000000000015</v>
      </c>
      <c r="AS94" s="74">
        <f>10.97-Table326[[#This Row],[Diamonds: Dimension Home to Pitchers Plate - m ]]</f>
        <v>-0.83000000000000007</v>
      </c>
      <c r="AT94" s="74">
        <f>13.5-Table326[[#This Row],[Diamonds: Home to First Base Path - m ]]</f>
        <v>-3.8999999999999986</v>
      </c>
      <c r="AU94" s="74">
        <f>14.02-Table326[[#This Row],[Diamonds: Home to First Base Path - m ]]</f>
        <v>-3.379999999999999</v>
      </c>
      <c r="AV9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4" s="74"/>
      <c r="BR94" s="74"/>
      <c r="BS94" s="75" t="s">
        <v>756</v>
      </c>
      <c r="BT94" s="76" t="s">
        <v>421</v>
      </c>
    </row>
    <row r="95" spans="1:72" ht="16.8" x14ac:dyDescent="0.3">
      <c r="A95" s="77" t="s">
        <v>11</v>
      </c>
      <c r="B95" s="78" t="s">
        <v>423</v>
      </c>
      <c r="C95" s="78" t="s">
        <v>739</v>
      </c>
      <c r="D95" s="78" t="s">
        <v>754</v>
      </c>
      <c r="E95" s="79"/>
      <c r="F95" s="79"/>
      <c r="G95" s="79"/>
      <c r="H95" s="79" t="s">
        <v>385</v>
      </c>
      <c r="I95" s="79" t="s">
        <v>763</v>
      </c>
      <c r="J95" s="79">
        <v>5.5</v>
      </c>
      <c r="K95" s="79" t="s">
        <v>748</v>
      </c>
      <c r="L95" s="79">
        <v>1</v>
      </c>
      <c r="M95" s="79"/>
      <c r="N95" s="79">
        <v>1</v>
      </c>
      <c r="O95" s="79">
        <v>1</v>
      </c>
      <c r="P95" s="80" t="s">
        <v>749</v>
      </c>
      <c r="Q95" s="79">
        <v>12.3</v>
      </c>
      <c r="R95" s="79">
        <v>25.3</v>
      </c>
      <c r="S95" s="79">
        <v>28.4</v>
      </c>
      <c r="T95" s="79">
        <v>16.399999999999999</v>
      </c>
      <c r="U95" s="79">
        <v>1</v>
      </c>
      <c r="V9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95" s="79">
        <f>SUM(Table326[[#This Row],[Slo - Pitch - Mens ]:[Slo - Pitch - Co-Ed ]])</f>
        <v>0</v>
      </c>
      <c r="X95" s="79">
        <f>SUM(Table326[[#This Row],[Baseball - U18 ]:[Baseball - U7 ]])</f>
        <v>0</v>
      </c>
      <c r="Y95" s="72" t="s">
        <v>1042</v>
      </c>
      <c r="Z9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5" s="74">
        <f>13.72-Table326[[#This Row],[Diamonds: Dimension Home to Pitchers Plate - m ]]</f>
        <v>1.42</v>
      </c>
      <c r="AB95" s="74">
        <f>14.32-Table326[[#This Row],[Diamonds: Dimension Home to Pitchers Plate - m ]]</f>
        <v>2.0199999999999996</v>
      </c>
      <c r="AC95" s="74">
        <f>17.988-Table326[[#This Row],[Diamonds: Home to First Base Path - m ]]</f>
        <v>1.588000000000001</v>
      </c>
      <c r="AD95" s="74">
        <f>18.588-Table326[[#This Row],[Diamonds: Home to First Base Path - m ]]</f>
        <v>2.1880000000000024</v>
      </c>
      <c r="AE95" s="74">
        <f>AVERAGE(Table326[[#This Row],[Home to Pitch (Low)]:[Home to 1st (High)]])</f>
        <v>1.8040000000000007</v>
      </c>
      <c r="AF9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5" s="106">
        <f>12.5-Table326[[#This Row],[Diamonds: Dimension Home to Pitchers Plate - m ]]</f>
        <v>0.19999999999999929</v>
      </c>
      <c r="AH95" s="74">
        <f>13.1-Table326[[#This Row],[Diamonds: Dimension Home to Pitchers Plate - m ]]</f>
        <v>0.79999999999999893</v>
      </c>
      <c r="AI95" s="74">
        <f>17.988-Table326[[#This Row],[Diamonds: Home to First Base Path - m ]]</f>
        <v>1.588000000000001</v>
      </c>
      <c r="AJ95" s="74">
        <f>18.588-Table326[[#This Row],[Diamonds: Home to First Base Path - m ]]</f>
        <v>2.1880000000000024</v>
      </c>
      <c r="AK95" s="74">
        <f>AVERAGE(Table326[[#This Row],[Home to Pitch (Low)2]:[Home to 1st (High)5]])</f>
        <v>1.1940000000000004</v>
      </c>
      <c r="AL95" s="74">
        <v>1</v>
      </c>
      <c r="AM95" s="74">
        <f>11.2-Table326[[#This Row],[Diamonds: Dimension Home to Pitchers Plate - m ]]</f>
        <v>-1.1000000000000014</v>
      </c>
      <c r="AN95" s="103">
        <f>11.8-Table326[[#This Row],[Diamonds: Dimension Home to Pitchers Plate - m ]]</f>
        <v>-0.5</v>
      </c>
      <c r="AO95" s="105">
        <f>16.5-Table326[[#This Row],[Diamonds: Home to First Base Path - m ]]</f>
        <v>0.10000000000000142</v>
      </c>
      <c r="AP95" s="105">
        <f>17.04-Table326[[#This Row],[Diamonds: Home to First Base Path - m ]]</f>
        <v>0.64000000000000057</v>
      </c>
      <c r="AQ9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5" s="74">
        <f>10.37-Table326[[#This Row],[Diamonds: Dimension Home to Pitchers Plate - m ]]</f>
        <v>-1.9300000000000015</v>
      </c>
      <c r="AS95" s="74">
        <f>10.97-Table326[[#This Row],[Diamonds: Dimension Home to Pitchers Plate - m ]]</f>
        <v>-1.33</v>
      </c>
      <c r="AT95" s="74">
        <f>13.5-Table326[[#This Row],[Diamonds: Home to First Base Path - m ]]</f>
        <v>-2.8999999999999986</v>
      </c>
      <c r="AU95" s="74">
        <f>14.02-Table326[[#This Row],[Diamonds: Home to First Base Path - m ]]</f>
        <v>-2.379999999999999</v>
      </c>
      <c r="AV9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5" s="74"/>
      <c r="BR95" s="74"/>
      <c r="BS95" s="75" t="s">
        <v>764</v>
      </c>
      <c r="BT95" s="76" t="s">
        <v>388</v>
      </c>
    </row>
    <row r="96" spans="1:72" ht="67.2" x14ac:dyDescent="0.3">
      <c r="A96" s="70" t="s">
        <v>26</v>
      </c>
      <c r="B96" s="71" t="s">
        <v>451</v>
      </c>
      <c r="C96" s="71" t="s">
        <v>739</v>
      </c>
      <c r="D96" s="71" t="s">
        <v>754</v>
      </c>
      <c r="E96" s="72"/>
      <c r="F96" s="72"/>
      <c r="G96" s="72"/>
      <c r="H96" s="72" t="s">
        <v>385</v>
      </c>
      <c r="I96" s="72" t="s">
        <v>787</v>
      </c>
      <c r="J96" s="72">
        <v>8</v>
      </c>
      <c r="K96" s="72" t="s">
        <v>748</v>
      </c>
      <c r="L96" s="72"/>
      <c r="M96" s="72"/>
      <c r="N96" s="72">
        <v>1</v>
      </c>
      <c r="O96" s="72">
        <v>1</v>
      </c>
      <c r="P96" s="73" t="s">
        <v>749</v>
      </c>
      <c r="Q96" s="72">
        <v>12.7</v>
      </c>
      <c r="R96" s="72">
        <v>25</v>
      </c>
      <c r="S96" s="72">
        <v>30.5</v>
      </c>
      <c r="T96" s="72">
        <v>15.8</v>
      </c>
      <c r="U96" s="72"/>
      <c r="V9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6" s="72">
        <f>SUM(Table326[[#This Row],[Slo - Pitch - Mens ]:[Slo - Pitch - Co-Ed ]])</f>
        <v>0</v>
      </c>
      <c r="X96" s="72">
        <f>SUM(Table326[[#This Row],[Baseball - U18 ]:[Baseball - U7 ]])</f>
        <v>0</v>
      </c>
      <c r="Y96" s="72" t="s">
        <v>1042</v>
      </c>
      <c r="Z9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6" s="74">
        <f>13.72-Table326[[#This Row],[Diamonds: Dimension Home to Pitchers Plate - m ]]</f>
        <v>1.0200000000000014</v>
      </c>
      <c r="AB96" s="74">
        <f>14.32-Table326[[#This Row],[Diamonds: Dimension Home to Pitchers Plate - m ]]</f>
        <v>1.620000000000001</v>
      </c>
      <c r="AC96" s="74">
        <f>17.988-Table326[[#This Row],[Diamonds: Home to First Base Path - m ]]</f>
        <v>2.1879999999999988</v>
      </c>
      <c r="AD96" s="74">
        <f>18.588-Table326[[#This Row],[Diamonds: Home to First Base Path - m ]]</f>
        <v>2.7880000000000003</v>
      </c>
      <c r="AE96" s="74">
        <f>AVERAGE(Table326[[#This Row],[Home to Pitch (Low)]:[Home to 1st (High)]])</f>
        <v>1.9040000000000004</v>
      </c>
      <c r="AF9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6" s="105">
        <f>12.5-Table326[[#This Row],[Diamonds: Dimension Home to Pitchers Plate - m ]]</f>
        <v>-0.19999999999999929</v>
      </c>
      <c r="AH96" s="106">
        <f>13.1-Table326[[#This Row],[Diamonds: Dimension Home to Pitchers Plate - m ]]</f>
        <v>0.40000000000000036</v>
      </c>
      <c r="AI96" s="74">
        <f>17.988-Table326[[#This Row],[Diamonds: Home to First Base Path - m ]]</f>
        <v>2.1879999999999988</v>
      </c>
      <c r="AJ96" s="74">
        <f>18.588-Table326[[#This Row],[Diamonds: Home to First Base Path - m ]]</f>
        <v>2.7880000000000003</v>
      </c>
      <c r="AK96" s="74">
        <f>AVERAGE(Table326[[#This Row],[Home to Pitch (Low)2]:[Home to 1st (High)5]])</f>
        <v>1.294</v>
      </c>
      <c r="AL9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6" s="74">
        <f>11.2-Table326[[#This Row],[Diamonds: Dimension Home to Pitchers Plate - m ]]</f>
        <v>-1.5</v>
      </c>
      <c r="AN96" s="74">
        <f>11.8-Table326[[#This Row],[Diamonds: Dimension Home to Pitchers Plate - m ]]</f>
        <v>-0.89999999999999858</v>
      </c>
      <c r="AO96" s="74">
        <f>16.5-Table326[[#This Row],[Diamonds: Home to First Base Path - m ]]</f>
        <v>0.69999999999999929</v>
      </c>
      <c r="AP96" s="74">
        <f>17.04-Table326[[#This Row],[Diamonds: Home to First Base Path - m ]]</f>
        <v>1.2399999999999984</v>
      </c>
      <c r="AQ9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6" s="74">
        <f>10.37-Table326[[#This Row],[Diamonds: Dimension Home to Pitchers Plate - m ]]</f>
        <v>-2.33</v>
      </c>
      <c r="AS96" s="74">
        <f>10.97-Table326[[#This Row],[Diamonds: Dimension Home to Pitchers Plate - m ]]</f>
        <v>-1.7299999999999986</v>
      </c>
      <c r="AT96" s="74">
        <f>13.5-Table326[[#This Row],[Diamonds: Home to First Base Path - m ]]</f>
        <v>-2.3000000000000007</v>
      </c>
      <c r="AU96" s="74">
        <f>14.02-Table326[[#This Row],[Diamonds: Home to First Base Path - m ]]</f>
        <v>-1.7800000000000011</v>
      </c>
      <c r="AV9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6" s="74"/>
      <c r="BR96" s="74"/>
      <c r="BS96" s="75" t="s">
        <v>788</v>
      </c>
      <c r="BT96" s="76" t="s">
        <v>388</v>
      </c>
    </row>
    <row r="97" spans="1:72" ht="33.6" x14ac:dyDescent="0.3">
      <c r="A97" s="77" t="s">
        <v>151</v>
      </c>
      <c r="B97" s="78" t="s">
        <v>659</v>
      </c>
      <c r="C97" s="78" t="s">
        <v>769</v>
      </c>
      <c r="D97" s="78" t="s">
        <v>754</v>
      </c>
      <c r="E97" s="79">
        <v>1</v>
      </c>
      <c r="F97" s="79" t="s">
        <v>824</v>
      </c>
      <c r="G97" s="79">
        <v>61.1</v>
      </c>
      <c r="H97" s="79" t="s">
        <v>399</v>
      </c>
      <c r="I97" s="79" t="s">
        <v>985</v>
      </c>
      <c r="J97" s="79">
        <v>10</v>
      </c>
      <c r="K97" s="79" t="s">
        <v>748</v>
      </c>
      <c r="L97" s="79"/>
      <c r="M97" s="79"/>
      <c r="N97" s="79">
        <v>1</v>
      </c>
      <c r="O97" s="79">
        <v>1</v>
      </c>
      <c r="P97" s="80" t="s">
        <v>749</v>
      </c>
      <c r="Q97" s="79">
        <v>12.5</v>
      </c>
      <c r="R97" s="79">
        <v>26</v>
      </c>
      <c r="S97" s="79">
        <v>32.4</v>
      </c>
      <c r="T97" s="79">
        <v>15.8</v>
      </c>
      <c r="U97" s="79"/>
      <c r="V9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7" s="79">
        <f>SUM(Table326[[#This Row],[Slo - Pitch - Mens ]:[Slo - Pitch - Co-Ed ]])</f>
        <v>0</v>
      </c>
      <c r="X97" s="79">
        <f>SUM(Table326[[#This Row],[Baseball - U18 ]:[Baseball - U7 ]])</f>
        <v>0</v>
      </c>
      <c r="Y97" s="72" t="s">
        <v>1042</v>
      </c>
      <c r="Z9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7" s="74">
        <f>13.72-Table326[[#This Row],[Diamonds: Dimension Home to Pitchers Plate - m ]]</f>
        <v>1.2200000000000006</v>
      </c>
      <c r="AB97" s="74">
        <f>14.32-Table326[[#This Row],[Diamonds: Dimension Home to Pitchers Plate - m ]]</f>
        <v>1.8200000000000003</v>
      </c>
      <c r="AC97" s="74">
        <f>17.988-Table326[[#This Row],[Diamonds: Home to First Base Path - m ]]</f>
        <v>2.1879999999999988</v>
      </c>
      <c r="AD97" s="74">
        <f>18.588-Table326[[#This Row],[Diamonds: Home to First Base Path - m ]]</f>
        <v>2.7880000000000003</v>
      </c>
      <c r="AE97" s="74">
        <f>AVERAGE(Table326[[#This Row],[Home to Pitch (Low)]:[Home to 1st (High)]])</f>
        <v>2.004</v>
      </c>
      <c r="AF9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7" s="103">
        <f>12.5-Table326[[#This Row],[Diamonds: Dimension Home to Pitchers Plate - m ]]</f>
        <v>0</v>
      </c>
      <c r="AH97" s="74">
        <f>13.1-Table326[[#This Row],[Diamonds: Dimension Home to Pitchers Plate - m ]]</f>
        <v>0.59999999999999964</v>
      </c>
      <c r="AI97" s="74">
        <f>17.988-Table326[[#This Row],[Diamonds: Home to First Base Path - m ]]</f>
        <v>2.1879999999999988</v>
      </c>
      <c r="AJ97" s="74">
        <f>18.588-Table326[[#This Row],[Diamonds: Home to First Base Path - m ]]</f>
        <v>2.7880000000000003</v>
      </c>
      <c r="AK97" s="74">
        <f>AVERAGE(Table326[[#This Row],[Home to Pitch (Low)2]:[Home to 1st (High)5]])</f>
        <v>1.3939999999999997</v>
      </c>
      <c r="AL9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7" s="74">
        <f>11.2-Table326[[#This Row],[Diamonds: Dimension Home to Pitchers Plate - m ]]</f>
        <v>-1.3000000000000007</v>
      </c>
      <c r="AN97" s="103">
        <f>11.8-Table326[[#This Row],[Diamonds: Dimension Home to Pitchers Plate - m ]]</f>
        <v>-0.69999999999999929</v>
      </c>
      <c r="AO97" s="74">
        <f>16.5-Table326[[#This Row],[Diamonds: Home to First Base Path - m ]]</f>
        <v>0.69999999999999929</v>
      </c>
      <c r="AP97" s="74">
        <f>17.04-Table326[[#This Row],[Diamonds: Home to First Base Path - m ]]</f>
        <v>1.2399999999999984</v>
      </c>
      <c r="AQ9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7" s="74">
        <f>10.37-Table326[[#This Row],[Diamonds: Dimension Home to Pitchers Plate - m ]]</f>
        <v>-2.1300000000000008</v>
      </c>
      <c r="AS97" s="74">
        <f>10.97-Table326[[#This Row],[Diamonds: Dimension Home to Pitchers Plate - m ]]</f>
        <v>-1.5299999999999994</v>
      </c>
      <c r="AT97" s="74">
        <f>13.5-Table326[[#This Row],[Diamonds: Home to First Base Path - m ]]</f>
        <v>-2.3000000000000007</v>
      </c>
      <c r="AU97" s="74">
        <f>14.02-Table326[[#This Row],[Diamonds: Home to First Base Path - m ]]</f>
        <v>-1.7800000000000011</v>
      </c>
      <c r="AV9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7" s="74"/>
      <c r="BR97" s="74"/>
      <c r="BS97" s="75" t="s">
        <v>986</v>
      </c>
      <c r="BT97" s="76" t="s">
        <v>388</v>
      </c>
    </row>
    <row r="98" spans="1:72" ht="33.6" x14ac:dyDescent="0.3">
      <c r="A98" s="77" t="s">
        <v>118</v>
      </c>
      <c r="B98" s="78" t="s">
        <v>946</v>
      </c>
      <c r="C98" s="78" t="s">
        <v>739</v>
      </c>
      <c r="D98" s="78" t="s">
        <v>789</v>
      </c>
      <c r="E98" s="79"/>
      <c r="F98" s="79"/>
      <c r="G98" s="79"/>
      <c r="H98" s="79" t="s">
        <v>408</v>
      </c>
      <c r="I98" s="79" t="s">
        <v>947</v>
      </c>
      <c r="J98" s="79">
        <v>4</v>
      </c>
      <c r="K98" s="79" t="s">
        <v>748</v>
      </c>
      <c r="L98" s="79"/>
      <c r="M98" s="79"/>
      <c r="N98" s="79">
        <v>1</v>
      </c>
      <c r="O98" s="79"/>
      <c r="P98" s="80" t="s">
        <v>749</v>
      </c>
      <c r="Q98" s="79">
        <v>12</v>
      </c>
      <c r="R98" s="79">
        <v>23</v>
      </c>
      <c r="S98" s="79">
        <v>26</v>
      </c>
      <c r="T98" s="79">
        <v>16</v>
      </c>
      <c r="U98" s="79"/>
      <c r="V9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98" s="79">
        <f>SUM(Table326[[#This Row],[Slo - Pitch - Mens ]:[Slo - Pitch - Co-Ed ]])</f>
        <v>0</v>
      </c>
      <c r="X98" s="79">
        <f>SUM(Table326[[#This Row],[Baseball - U18 ]:[Baseball - U7 ]])</f>
        <v>0</v>
      </c>
      <c r="Y98" s="72" t="s">
        <v>1042</v>
      </c>
      <c r="Z9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8" s="74">
        <f>13.72-Table326[[#This Row],[Diamonds: Dimension Home to Pitchers Plate - m ]]</f>
        <v>1.7200000000000006</v>
      </c>
      <c r="AB98" s="74">
        <f>14.32-Table326[[#This Row],[Diamonds: Dimension Home to Pitchers Plate - m ]]</f>
        <v>2.3200000000000003</v>
      </c>
      <c r="AC98" s="74">
        <f>17.988-Table326[[#This Row],[Diamonds: Home to First Base Path - m ]]</f>
        <v>1.9879999999999995</v>
      </c>
      <c r="AD98" s="74">
        <f>18.588-Table326[[#This Row],[Diamonds: Home to First Base Path - m ]]</f>
        <v>2.588000000000001</v>
      </c>
      <c r="AE98" s="74">
        <f>AVERAGE(Table326[[#This Row],[Home to Pitch (Low)]:[Home to 1st (High)]])</f>
        <v>2.1540000000000004</v>
      </c>
      <c r="AF9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8" s="106">
        <f>12.5-Table326[[#This Row],[Diamonds: Dimension Home to Pitchers Plate - m ]]</f>
        <v>0.5</v>
      </c>
      <c r="AH98" s="74">
        <f>13.1-Table326[[#This Row],[Diamonds: Dimension Home to Pitchers Plate - m ]]</f>
        <v>1.0999999999999996</v>
      </c>
      <c r="AI98" s="74">
        <f>17.988-Table326[[#This Row],[Diamonds: Home to First Base Path - m ]]</f>
        <v>1.9879999999999995</v>
      </c>
      <c r="AJ98" s="74">
        <f>18.588-Table326[[#This Row],[Diamonds: Home to First Base Path - m ]]</f>
        <v>2.588000000000001</v>
      </c>
      <c r="AK98" s="74">
        <f>AVERAGE(Table326[[#This Row],[Home to Pitch (Low)2]:[Home to 1st (High)5]])</f>
        <v>1.544</v>
      </c>
      <c r="AL98" s="74">
        <v>1</v>
      </c>
      <c r="AM98" s="103">
        <f>11.2-Table326[[#This Row],[Diamonds: Dimension Home to Pitchers Plate - m ]]</f>
        <v>-0.80000000000000071</v>
      </c>
      <c r="AN98" s="103">
        <f>11.8-Table326[[#This Row],[Diamonds: Dimension Home to Pitchers Plate - m ]]</f>
        <v>-0.19999999999999929</v>
      </c>
      <c r="AO98" s="105">
        <f>16.5-Table326[[#This Row],[Diamonds: Home to First Base Path - m ]]</f>
        <v>0.5</v>
      </c>
      <c r="AP98" s="74">
        <f>17.04-Table326[[#This Row],[Diamonds: Home to First Base Path - m ]]</f>
        <v>1.0399999999999991</v>
      </c>
      <c r="AQ9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8" s="74">
        <f>10.37-Table326[[#This Row],[Diamonds: Dimension Home to Pitchers Plate - m ]]</f>
        <v>-1.6300000000000008</v>
      </c>
      <c r="AS98" s="74">
        <f>10.97-Table326[[#This Row],[Diamonds: Dimension Home to Pitchers Plate - m ]]</f>
        <v>-1.0299999999999994</v>
      </c>
      <c r="AT98" s="74">
        <f>13.5-Table326[[#This Row],[Diamonds: Home to First Base Path - m ]]</f>
        <v>-2.5</v>
      </c>
      <c r="AU98" s="74">
        <f>14.02-Table326[[#This Row],[Diamonds: Home to First Base Path - m ]]</f>
        <v>-1.9800000000000004</v>
      </c>
      <c r="AV9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8" s="74"/>
      <c r="BR98" s="74"/>
      <c r="BS98" s="75" t="s">
        <v>948</v>
      </c>
      <c r="BT98" s="76" t="s">
        <v>949</v>
      </c>
    </row>
    <row r="99" spans="1:72" ht="16.8" x14ac:dyDescent="0.3">
      <c r="A99" s="70" t="s">
        <v>1</v>
      </c>
      <c r="B99" s="71" t="s">
        <v>405</v>
      </c>
      <c r="C99" s="71" t="s">
        <v>739</v>
      </c>
      <c r="D99" s="71" t="s">
        <v>740</v>
      </c>
      <c r="E99" s="72"/>
      <c r="F99" s="72"/>
      <c r="G99" s="72"/>
      <c r="H99" s="72" t="s">
        <v>444</v>
      </c>
      <c r="I99" s="72" t="s">
        <v>741</v>
      </c>
      <c r="J99" s="72">
        <v>5.5</v>
      </c>
      <c r="K99" s="72" t="s">
        <v>742</v>
      </c>
      <c r="L99" s="72"/>
      <c r="M99" s="72"/>
      <c r="N99" s="72">
        <v>1</v>
      </c>
      <c r="O99" s="72"/>
      <c r="P99" s="73" t="s">
        <v>743</v>
      </c>
      <c r="Q99" s="72">
        <v>12.5</v>
      </c>
      <c r="R99" s="72">
        <v>21</v>
      </c>
      <c r="S99" s="72"/>
      <c r="T99" s="72">
        <v>15.3</v>
      </c>
      <c r="U99" s="72">
        <v>1</v>
      </c>
      <c r="V99"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99" s="72">
        <f>SUM(Table326[[#This Row],[Slo - Pitch - Mens ]:[Slo - Pitch - Co-Ed ]])</f>
        <v>0</v>
      </c>
      <c r="X99" s="72">
        <f>SUM(Table326[[#This Row],[Baseball - U18 ]:[Baseball - U7 ]])</f>
        <v>0</v>
      </c>
      <c r="Y99" s="72" t="s">
        <v>1042</v>
      </c>
      <c r="Z9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99" s="74">
        <f>13.72-Table326[[#This Row],[Diamonds: Dimension Home to Pitchers Plate - m ]]</f>
        <v>1.2200000000000006</v>
      </c>
      <c r="AB99" s="74">
        <f>14.32-Table326[[#This Row],[Diamonds: Dimension Home to Pitchers Plate - m ]]</f>
        <v>1.8200000000000003</v>
      </c>
      <c r="AC99" s="74">
        <f>17.988-Table326[[#This Row],[Diamonds: Home to First Base Path - m ]]</f>
        <v>2.6879999999999988</v>
      </c>
      <c r="AD99" s="74">
        <f>18.588-Table326[[#This Row],[Diamonds: Home to First Base Path - m ]]</f>
        <v>3.2880000000000003</v>
      </c>
      <c r="AE99" s="74">
        <f>AVERAGE(Table326[[#This Row],[Home to Pitch (Low)]:[Home to 1st (High)]])</f>
        <v>2.254</v>
      </c>
      <c r="AF9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99" s="103">
        <f>12.5-Table326[[#This Row],[Diamonds: Dimension Home to Pitchers Plate - m ]]</f>
        <v>0</v>
      </c>
      <c r="AH99" s="74">
        <f>13.1-Table326[[#This Row],[Diamonds: Dimension Home to Pitchers Plate - m ]]</f>
        <v>0.59999999999999964</v>
      </c>
      <c r="AI99" s="74">
        <f>17.988-Table326[[#This Row],[Diamonds: Home to First Base Path - m ]]</f>
        <v>2.6879999999999988</v>
      </c>
      <c r="AJ99" s="74">
        <f>18.588-Table326[[#This Row],[Diamonds: Home to First Base Path - m ]]</f>
        <v>3.2880000000000003</v>
      </c>
      <c r="AK99" s="74">
        <f>AVERAGE(Table326[[#This Row],[Home to Pitch (Low)2]:[Home to 1st (High)5]])</f>
        <v>1.6439999999999997</v>
      </c>
      <c r="AL9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99" s="74">
        <f>11.2-Table326[[#This Row],[Diamonds: Dimension Home to Pitchers Plate - m ]]</f>
        <v>-1.3000000000000007</v>
      </c>
      <c r="AN99" s="103">
        <f>11.8-Table326[[#This Row],[Diamonds: Dimension Home to Pitchers Plate - m ]]</f>
        <v>-0.69999999999999929</v>
      </c>
      <c r="AO99" s="74">
        <f>16.5-Table326[[#This Row],[Diamonds: Home to First Base Path - m ]]</f>
        <v>1.1999999999999993</v>
      </c>
      <c r="AP99" s="74">
        <f>17.04-Table326[[#This Row],[Diamonds: Home to First Base Path - m ]]</f>
        <v>1.7399999999999984</v>
      </c>
      <c r="AQ9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99" s="74">
        <f>10.37-Table326[[#This Row],[Diamonds: Dimension Home to Pitchers Plate - m ]]</f>
        <v>-2.1300000000000008</v>
      </c>
      <c r="AS99" s="74">
        <f>10.97-Table326[[#This Row],[Diamonds: Dimension Home to Pitchers Plate - m ]]</f>
        <v>-1.5299999999999994</v>
      </c>
      <c r="AT99" s="74">
        <f>13.5-Table326[[#This Row],[Diamonds: Home to First Base Path - m ]]</f>
        <v>-1.8000000000000007</v>
      </c>
      <c r="AU99" s="74">
        <f>14.02-Table326[[#This Row],[Diamonds: Home to First Base Path - m ]]</f>
        <v>-1.2800000000000011</v>
      </c>
      <c r="AV9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9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9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9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9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9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9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9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9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9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9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9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9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9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9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9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9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9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9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9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9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99" s="74"/>
      <c r="BR99" s="74"/>
      <c r="BS99" s="75" t="s">
        <v>744</v>
      </c>
      <c r="BT99" s="76" t="s">
        <v>421</v>
      </c>
    </row>
    <row r="100" spans="1:72" ht="33.6" x14ac:dyDescent="0.3">
      <c r="A100" s="70" t="s">
        <v>40</v>
      </c>
      <c r="B100" s="71" t="s">
        <v>473</v>
      </c>
      <c r="C100" s="71" t="s">
        <v>739</v>
      </c>
      <c r="D100" s="71" t="s">
        <v>754</v>
      </c>
      <c r="E100" s="72"/>
      <c r="F100" s="72"/>
      <c r="G100" s="72"/>
      <c r="H100" s="72" t="s">
        <v>444</v>
      </c>
      <c r="I100" s="72" t="s">
        <v>810</v>
      </c>
      <c r="J100" s="72">
        <v>6</v>
      </c>
      <c r="K100" s="72" t="s">
        <v>748</v>
      </c>
      <c r="L100" s="72"/>
      <c r="M100" s="72"/>
      <c r="N100" s="72">
        <v>1</v>
      </c>
      <c r="O100" s="72"/>
      <c r="P100" s="73" t="s">
        <v>811</v>
      </c>
      <c r="Q100" s="72">
        <v>12.2</v>
      </c>
      <c r="R100" s="72">
        <v>23</v>
      </c>
      <c r="S100" s="72">
        <v>28</v>
      </c>
      <c r="T100" s="72">
        <v>15.5</v>
      </c>
      <c r="U100" s="72"/>
      <c r="V10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0" s="72">
        <f>SUM(Table326[[#This Row],[Slo - Pitch - Mens ]:[Slo - Pitch - Co-Ed ]])</f>
        <v>0</v>
      </c>
      <c r="X100" s="72">
        <f>SUM(Table326[[#This Row],[Baseball - U18 ]:[Baseball - U7 ]])</f>
        <v>0</v>
      </c>
      <c r="Y100" s="72" t="s">
        <v>1042</v>
      </c>
      <c r="Z10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0" s="74">
        <f>13.72-Table326[[#This Row],[Diamonds: Dimension Home to Pitchers Plate - m ]]</f>
        <v>1.5200000000000014</v>
      </c>
      <c r="AB100" s="74">
        <f>14.32-Table326[[#This Row],[Diamonds: Dimension Home to Pitchers Plate - m ]]</f>
        <v>2.120000000000001</v>
      </c>
      <c r="AC100" s="74">
        <f>17.988-Table326[[#This Row],[Diamonds: Home to First Base Path - m ]]</f>
        <v>2.4879999999999995</v>
      </c>
      <c r="AD100" s="74">
        <f>18.588-Table326[[#This Row],[Diamonds: Home to First Base Path - m ]]</f>
        <v>3.088000000000001</v>
      </c>
      <c r="AE100" s="74">
        <f>AVERAGE(Table326[[#This Row],[Home to Pitch (Low)]:[Home to 1st (High)]])</f>
        <v>2.3040000000000007</v>
      </c>
      <c r="AF10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0" s="106">
        <f>12.5-Table326[[#This Row],[Diamonds: Dimension Home to Pitchers Plate - m ]]</f>
        <v>0.30000000000000071</v>
      </c>
      <c r="AH100" s="74">
        <f>13.1-Table326[[#This Row],[Diamonds: Dimension Home to Pitchers Plate - m ]]</f>
        <v>0.90000000000000036</v>
      </c>
      <c r="AI100" s="74">
        <f>17.988-Table326[[#This Row],[Diamonds: Home to First Base Path - m ]]</f>
        <v>2.4879999999999995</v>
      </c>
      <c r="AJ100" s="74">
        <f>18.588-Table326[[#This Row],[Diamonds: Home to First Base Path - m ]]</f>
        <v>3.088000000000001</v>
      </c>
      <c r="AK100" s="74">
        <f>AVERAGE(Table326[[#This Row],[Home to Pitch (Low)2]:[Home to 1st (High)5]])</f>
        <v>1.6940000000000004</v>
      </c>
      <c r="AL10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0" s="74">
        <f>11.2-Table326[[#This Row],[Diamonds: Dimension Home to Pitchers Plate - m ]]</f>
        <v>-1</v>
      </c>
      <c r="AN100" s="103">
        <f>11.8-Table326[[#This Row],[Diamonds: Dimension Home to Pitchers Plate - m ]]</f>
        <v>-0.39999999999999858</v>
      </c>
      <c r="AO100" s="74">
        <f>16.5-Table326[[#This Row],[Diamonds: Home to First Base Path - m ]]</f>
        <v>1</v>
      </c>
      <c r="AP100" s="74">
        <f>17.04-Table326[[#This Row],[Diamonds: Home to First Base Path - m ]]</f>
        <v>1.5399999999999991</v>
      </c>
      <c r="AQ10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0" s="74">
        <f>10.37-Table326[[#This Row],[Diamonds: Dimension Home to Pitchers Plate - m ]]</f>
        <v>-1.83</v>
      </c>
      <c r="AS100" s="74">
        <f>10.97-Table326[[#This Row],[Diamonds: Dimension Home to Pitchers Plate - m ]]</f>
        <v>-1.2299999999999986</v>
      </c>
      <c r="AT100" s="74">
        <f>13.5-Table326[[#This Row],[Diamonds: Home to First Base Path - m ]]</f>
        <v>-2</v>
      </c>
      <c r="AU100" s="74">
        <f>14.02-Table326[[#This Row],[Diamonds: Home to First Base Path - m ]]</f>
        <v>-1.4800000000000004</v>
      </c>
      <c r="AV10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0" s="74"/>
      <c r="BR100" s="74"/>
      <c r="BS100" s="75" t="s">
        <v>812</v>
      </c>
      <c r="BT100" s="76" t="s">
        <v>388</v>
      </c>
    </row>
    <row r="101" spans="1:72" ht="16.8" x14ac:dyDescent="0.3">
      <c r="A101" s="70" t="s">
        <v>1047</v>
      </c>
      <c r="B101" s="71" t="s">
        <v>633</v>
      </c>
      <c r="C101" s="71" t="s">
        <v>739</v>
      </c>
      <c r="D101" s="71" t="s">
        <v>789</v>
      </c>
      <c r="E101" s="72"/>
      <c r="F101" s="72"/>
      <c r="G101" s="72"/>
      <c r="H101" s="72" t="s">
        <v>385</v>
      </c>
      <c r="I101" s="72" t="s">
        <v>966</v>
      </c>
      <c r="J101" s="72">
        <v>7.5</v>
      </c>
      <c r="K101" s="72" t="s">
        <v>748</v>
      </c>
      <c r="L101" s="72">
        <v>1</v>
      </c>
      <c r="M101" s="72"/>
      <c r="N101" s="72">
        <v>1</v>
      </c>
      <c r="O101" s="72">
        <v>1</v>
      </c>
      <c r="P101" s="73" t="s">
        <v>749</v>
      </c>
      <c r="Q101" s="72">
        <v>11</v>
      </c>
      <c r="R101" s="72">
        <v>21.5</v>
      </c>
      <c r="S101" s="72">
        <v>30</v>
      </c>
      <c r="T101" s="72">
        <v>16.5</v>
      </c>
      <c r="U101" s="72"/>
      <c r="V101"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101" s="72">
        <f>SUM(Table326[[#This Row],[Slo - Pitch - Mens ]:[Slo - Pitch - Co-Ed ]])</f>
        <v>0</v>
      </c>
      <c r="X101" s="72">
        <f>SUM(Table326[[#This Row],[Baseball - U18 ]:[Baseball - U7 ]])</f>
        <v>0</v>
      </c>
      <c r="Y101" s="72" t="s">
        <v>1042</v>
      </c>
      <c r="Z10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1" s="74">
        <f>13.72-Table326[[#This Row],[Diamonds: Dimension Home to Pitchers Plate - m ]]</f>
        <v>2.7200000000000006</v>
      </c>
      <c r="AB101" s="74">
        <f>14.32-Table326[[#This Row],[Diamonds: Dimension Home to Pitchers Plate - m ]]</f>
        <v>3.3200000000000003</v>
      </c>
      <c r="AC101" s="74">
        <f>17.988-Table326[[#This Row],[Diamonds: Home to First Base Path - m ]]</f>
        <v>1.4879999999999995</v>
      </c>
      <c r="AD101" s="74">
        <f>18.588-Table326[[#This Row],[Diamonds: Home to First Base Path - m ]]</f>
        <v>2.088000000000001</v>
      </c>
      <c r="AE101" s="74">
        <f>AVERAGE(Table326[[#This Row],[Home to Pitch (Low)]:[Home to 1st (High)]])</f>
        <v>2.4040000000000004</v>
      </c>
      <c r="AF10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1" s="74">
        <f>12.5-Table326[[#This Row],[Diamonds: Dimension Home to Pitchers Plate - m ]]</f>
        <v>1.5</v>
      </c>
      <c r="AH101" s="74">
        <f>13.1-Table326[[#This Row],[Diamonds: Dimension Home to Pitchers Plate - m ]]</f>
        <v>2.0999999999999996</v>
      </c>
      <c r="AI101" s="74">
        <f>17.988-Table326[[#This Row],[Diamonds: Home to First Base Path - m ]]</f>
        <v>1.4879999999999995</v>
      </c>
      <c r="AJ101" s="74">
        <f>18.588-Table326[[#This Row],[Diamonds: Home to First Base Path - m ]]</f>
        <v>2.088000000000001</v>
      </c>
      <c r="AK101" s="74">
        <f>AVERAGE(Table326[[#This Row],[Home to Pitch (Low)2]:[Home to 1st (High)5]])</f>
        <v>1.794</v>
      </c>
      <c r="AL101" s="74">
        <v>1</v>
      </c>
      <c r="AM101" s="103">
        <f>11.2-Table326[[#This Row],[Diamonds: Dimension Home to Pitchers Plate - m ]]</f>
        <v>0.19999999999999929</v>
      </c>
      <c r="AN101" s="74">
        <f>11.8-Table326[[#This Row],[Diamonds: Dimension Home to Pitchers Plate - m ]]</f>
        <v>0.80000000000000071</v>
      </c>
      <c r="AO101" s="105">
        <f>16.5-Table326[[#This Row],[Diamonds: Home to First Base Path - m ]]</f>
        <v>0</v>
      </c>
      <c r="AP101" s="105">
        <f>17.04-Table326[[#This Row],[Diamonds: Home to First Base Path - m ]]</f>
        <v>0.53999999999999915</v>
      </c>
      <c r="AQ10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1" s="74">
        <f>10.37-Table326[[#This Row],[Diamonds: Dimension Home to Pitchers Plate - m ]]</f>
        <v>-0.63000000000000078</v>
      </c>
      <c r="AS101" s="74">
        <f>10.97-Table326[[#This Row],[Diamonds: Dimension Home to Pitchers Plate - m ]]</f>
        <v>-2.9999999999999361E-2</v>
      </c>
      <c r="AT101" s="74">
        <f>13.5-Table326[[#This Row],[Diamonds: Home to First Base Path - m ]]</f>
        <v>-3</v>
      </c>
      <c r="AU101" s="74">
        <f>14.02-Table326[[#This Row],[Diamonds: Home to First Base Path - m ]]</f>
        <v>-2.4800000000000004</v>
      </c>
      <c r="AV10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1" s="74"/>
      <c r="BR101" s="74"/>
      <c r="BS101" s="75" t="s">
        <v>967</v>
      </c>
      <c r="BT101" s="76" t="s">
        <v>388</v>
      </c>
    </row>
    <row r="102" spans="1:72" ht="16.8" x14ac:dyDescent="0.3">
      <c r="A102" s="70" t="s">
        <v>120</v>
      </c>
      <c r="B102" s="71" t="s">
        <v>946</v>
      </c>
      <c r="C102" s="71" t="s">
        <v>739</v>
      </c>
      <c r="D102" s="71" t="s">
        <v>789</v>
      </c>
      <c r="E102" s="72"/>
      <c r="F102" s="72"/>
      <c r="G102" s="72"/>
      <c r="H102" s="72" t="s">
        <v>444</v>
      </c>
      <c r="I102" s="72" t="s">
        <v>813</v>
      </c>
      <c r="J102" s="72">
        <v>5.5</v>
      </c>
      <c r="K102" s="72" t="s">
        <v>748</v>
      </c>
      <c r="L102" s="72"/>
      <c r="M102" s="72"/>
      <c r="N102" s="72">
        <v>1</v>
      </c>
      <c r="O102" s="72">
        <v>1</v>
      </c>
      <c r="P102" s="73" t="s">
        <v>749</v>
      </c>
      <c r="Q102" s="72">
        <v>11</v>
      </c>
      <c r="R102" s="72">
        <v>25</v>
      </c>
      <c r="S102" s="72">
        <v>29.5</v>
      </c>
      <c r="T102" s="72">
        <v>16</v>
      </c>
      <c r="U102" s="72"/>
      <c r="V10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1</v>
      </c>
      <c r="W102" s="72">
        <f>SUM(Table326[[#This Row],[Slo - Pitch - Mens ]:[Slo - Pitch - Co-Ed ]])</f>
        <v>0</v>
      </c>
      <c r="X102" s="72">
        <f>SUM(Table326[[#This Row],[Baseball - U18 ]:[Baseball - U7 ]])</f>
        <v>0</v>
      </c>
      <c r="Y102" s="72" t="s">
        <v>1042</v>
      </c>
      <c r="Z10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2" s="74">
        <f>13.72-Table326[[#This Row],[Diamonds: Dimension Home to Pitchers Plate - m ]]</f>
        <v>2.7200000000000006</v>
      </c>
      <c r="AB102" s="74">
        <f>14.32-Table326[[#This Row],[Diamonds: Dimension Home to Pitchers Plate - m ]]</f>
        <v>3.3200000000000003</v>
      </c>
      <c r="AC102" s="74">
        <f>17.988-Table326[[#This Row],[Diamonds: Home to First Base Path - m ]]</f>
        <v>1.9879999999999995</v>
      </c>
      <c r="AD102" s="74">
        <f>18.588-Table326[[#This Row],[Diamonds: Home to First Base Path - m ]]</f>
        <v>2.588000000000001</v>
      </c>
      <c r="AE102" s="74">
        <f>AVERAGE(Table326[[#This Row],[Home to Pitch (Low)]:[Home to 1st (High)]])</f>
        <v>2.6540000000000004</v>
      </c>
      <c r="AF10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2" s="74">
        <f>12.5-Table326[[#This Row],[Diamonds: Dimension Home to Pitchers Plate - m ]]</f>
        <v>1.5</v>
      </c>
      <c r="AH102" s="74">
        <f>13.1-Table326[[#This Row],[Diamonds: Dimension Home to Pitchers Plate - m ]]</f>
        <v>2.0999999999999996</v>
      </c>
      <c r="AI102" s="74">
        <f>17.988-Table326[[#This Row],[Diamonds: Home to First Base Path - m ]]</f>
        <v>1.9879999999999995</v>
      </c>
      <c r="AJ102" s="74">
        <f>18.588-Table326[[#This Row],[Diamonds: Home to First Base Path - m ]]</f>
        <v>2.588000000000001</v>
      </c>
      <c r="AK102" s="74">
        <f>AVERAGE(Table326[[#This Row],[Home to Pitch (Low)2]:[Home to 1st (High)5]])</f>
        <v>2.044</v>
      </c>
      <c r="AL102" s="74">
        <v>1</v>
      </c>
      <c r="AM102" s="103">
        <f>11.2-Table326[[#This Row],[Diamonds: Dimension Home to Pitchers Plate - m ]]</f>
        <v>0.19999999999999929</v>
      </c>
      <c r="AN102" s="74">
        <f>11.8-Table326[[#This Row],[Diamonds: Dimension Home to Pitchers Plate - m ]]</f>
        <v>0.80000000000000071</v>
      </c>
      <c r="AO102" s="105">
        <f>16.5-Table326[[#This Row],[Diamonds: Home to First Base Path - m ]]</f>
        <v>0.5</v>
      </c>
      <c r="AP102" s="74">
        <f>17.04-Table326[[#This Row],[Diamonds: Home to First Base Path - m ]]</f>
        <v>1.0399999999999991</v>
      </c>
      <c r="AQ10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2" s="74">
        <f>10.37-Table326[[#This Row],[Diamonds: Dimension Home to Pitchers Plate - m ]]</f>
        <v>-0.63000000000000078</v>
      </c>
      <c r="AS102" s="74">
        <f>10.97-Table326[[#This Row],[Diamonds: Dimension Home to Pitchers Plate - m ]]</f>
        <v>-2.9999999999999361E-2</v>
      </c>
      <c r="AT102" s="74">
        <f>13.5-Table326[[#This Row],[Diamonds: Home to First Base Path - m ]]</f>
        <v>-2.5</v>
      </c>
      <c r="AU102" s="74">
        <f>14.02-Table326[[#This Row],[Diamonds: Home to First Base Path - m ]]</f>
        <v>-1.9800000000000004</v>
      </c>
      <c r="AV10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2" s="74"/>
      <c r="BR102" s="74"/>
      <c r="BS102" s="75" t="s">
        <v>833</v>
      </c>
      <c r="BT102" s="76" t="s">
        <v>388</v>
      </c>
    </row>
    <row r="103" spans="1:72" ht="33.6" x14ac:dyDescent="0.3">
      <c r="A103" s="77" t="s">
        <v>129</v>
      </c>
      <c r="B103" s="78" t="s">
        <v>434</v>
      </c>
      <c r="C103" s="78" t="s">
        <v>739</v>
      </c>
      <c r="D103" s="78" t="s">
        <v>789</v>
      </c>
      <c r="E103" s="79"/>
      <c r="F103" s="79"/>
      <c r="G103" s="79"/>
      <c r="H103" s="79" t="s">
        <v>408</v>
      </c>
      <c r="I103" s="79" t="s">
        <v>961</v>
      </c>
      <c r="J103" s="79">
        <v>6</v>
      </c>
      <c r="K103" s="79" t="s">
        <v>748</v>
      </c>
      <c r="L103" s="79"/>
      <c r="M103" s="79"/>
      <c r="N103" s="79">
        <v>1</v>
      </c>
      <c r="O103" s="79">
        <v>1</v>
      </c>
      <c r="P103" s="80" t="s">
        <v>811</v>
      </c>
      <c r="Q103" s="79">
        <v>11.8</v>
      </c>
      <c r="R103" s="79">
        <v>21.5</v>
      </c>
      <c r="S103" s="79">
        <v>29</v>
      </c>
      <c r="T103" s="79">
        <v>14.9</v>
      </c>
      <c r="U103" s="79"/>
      <c r="V10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3" s="79">
        <f>SUM(Table326[[#This Row],[Slo - Pitch - Mens ]:[Slo - Pitch - Co-Ed ]])</f>
        <v>0</v>
      </c>
      <c r="X103" s="79">
        <f>SUM(Table326[[#This Row],[Baseball - U18 ]:[Baseball - U7 ]])</f>
        <v>0</v>
      </c>
      <c r="Y103" s="72" t="s">
        <v>1042</v>
      </c>
      <c r="Z10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3" s="74">
        <f>13.72-Table326[[#This Row],[Diamonds: Dimension Home to Pitchers Plate - m ]]</f>
        <v>1.92</v>
      </c>
      <c r="AB103" s="74">
        <f>14.32-Table326[[#This Row],[Diamonds: Dimension Home to Pitchers Plate - m ]]</f>
        <v>2.5199999999999996</v>
      </c>
      <c r="AC103" s="74">
        <f>17.988-Table326[[#This Row],[Diamonds: Home to First Base Path - m ]]</f>
        <v>3.0879999999999992</v>
      </c>
      <c r="AD103" s="74">
        <f>18.588-Table326[[#This Row],[Diamonds: Home to First Base Path - m ]]</f>
        <v>3.6880000000000006</v>
      </c>
      <c r="AE103" s="74">
        <f>AVERAGE(Table326[[#This Row],[Home to Pitch (Low)]:[Home to 1st (High)]])</f>
        <v>2.8039999999999998</v>
      </c>
      <c r="AF10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3" s="74">
        <f>12.5-Table326[[#This Row],[Diamonds: Dimension Home to Pitchers Plate - m ]]</f>
        <v>0.69999999999999929</v>
      </c>
      <c r="AH103" s="74">
        <f>13.1-Table326[[#This Row],[Diamonds: Dimension Home to Pitchers Plate - m ]]</f>
        <v>1.2999999999999989</v>
      </c>
      <c r="AI103" s="74">
        <f>17.988-Table326[[#This Row],[Diamonds: Home to First Base Path - m ]]</f>
        <v>3.0879999999999992</v>
      </c>
      <c r="AJ103" s="74">
        <f>18.588-Table326[[#This Row],[Diamonds: Home to First Base Path - m ]]</f>
        <v>3.6880000000000006</v>
      </c>
      <c r="AK103" s="74">
        <f>AVERAGE(Table326[[#This Row],[Home to Pitch (Low)2]:[Home to 1st (High)5]])</f>
        <v>2.1939999999999995</v>
      </c>
      <c r="AL10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3" s="103">
        <f>11.2-Table326[[#This Row],[Diamonds: Dimension Home to Pitchers Plate - m ]]</f>
        <v>-0.60000000000000142</v>
      </c>
      <c r="AN103" s="103">
        <f>11.8-Table326[[#This Row],[Diamonds: Dimension Home to Pitchers Plate - m ]]</f>
        <v>0</v>
      </c>
      <c r="AO103" s="74">
        <f>16.5-Table326[[#This Row],[Diamonds: Home to First Base Path - m ]]</f>
        <v>1.5999999999999996</v>
      </c>
      <c r="AP103" s="74">
        <f>17.04-Table326[[#This Row],[Diamonds: Home to First Base Path - m ]]</f>
        <v>2.1399999999999988</v>
      </c>
      <c r="AQ10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3" s="74">
        <f>10.37-Table326[[#This Row],[Diamonds: Dimension Home to Pitchers Plate - m ]]</f>
        <v>-1.4300000000000015</v>
      </c>
      <c r="AS103" s="74">
        <f>10.97-Table326[[#This Row],[Diamonds: Dimension Home to Pitchers Plate - m ]]</f>
        <v>-0.83000000000000007</v>
      </c>
      <c r="AT103" s="74">
        <f>13.5-Table326[[#This Row],[Diamonds: Home to First Base Path - m ]]</f>
        <v>-1.4000000000000004</v>
      </c>
      <c r="AU103" s="74">
        <f>14.02-Table326[[#This Row],[Diamonds: Home to First Base Path - m ]]</f>
        <v>-0.88000000000000078</v>
      </c>
      <c r="AV10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3" s="74"/>
      <c r="BR103" s="74"/>
      <c r="BS103" s="75" t="s">
        <v>962</v>
      </c>
      <c r="BT103" s="76" t="s">
        <v>388</v>
      </c>
    </row>
    <row r="104" spans="1:72" ht="33.6" x14ac:dyDescent="0.3">
      <c r="A104" s="77" t="s">
        <v>92</v>
      </c>
      <c r="B104" s="78" t="s">
        <v>898</v>
      </c>
      <c r="C104" s="78" t="s">
        <v>739</v>
      </c>
      <c r="D104" s="78" t="s">
        <v>789</v>
      </c>
      <c r="E104" s="79"/>
      <c r="F104" s="79"/>
      <c r="G104" s="79"/>
      <c r="H104" s="79" t="s">
        <v>444</v>
      </c>
      <c r="I104" s="79" t="s">
        <v>902</v>
      </c>
      <c r="J104" s="79">
        <v>5.5</v>
      </c>
      <c r="K104" s="79" t="s">
        <v>748</v>
      </c>
      <c r="L104" s="79"/>
      <c r="M104" s="79"/>
      <c r="N104" s="79">
        <v>1</v>
      </c>
      <c r="O104" s="79">
        <v>1</v>
      </c>
      <c r="P104" s="80" t="s">
        <v>749</v>
      </c>
      <c r="Q104" s="79">
        <v>10</v>
      </c>
      <c r="R104" s="79">
        <v>18</v>
      </c>
      <c r="S104" s="79">
        <v>25</v>
      </c>
      <c r="T104" s="79">
        <v>15</v>
      </c>
      <c r="U104" s="79"/>
      <c r="V10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4" s="79">
        <f>SUM(Table326[[#This Row],[Slo - Pitch - Mens ]:[Slo - Pitch - Co-Ed ]])</f>
        <v>0</v>
      </c>
      <c r="X104" s="79">
        <f>SUM(Table326[[#This Row],[Baseball - U18 ]:[Baseball - U7 ]])</f>
        <v>0</v>
      </c>
      <c r="Y104" s="72" t="s">
        <v>1042</v>
      </c>
      <c r="Z104"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4" s="74">
        <f>13.72-Table326[[#This Row],[Diamonds: Dimension Home to Pitchers Plate - m ]]</f>
        <v>3.7200000000000006</v>
      </c>
      <c r="AB104" s="74">
        <f>14.32-Table326[[#This Row],[Diamonds: Dimension Home to Pitchers Plate - m ]]</f>
        <v>4.32</v>
      </c>
      <c r="AC104" s="74">
        <f>17.988-Table326[[#This Row],[Diamonds: Home to First Base Path - m ]]</f>
        <v>2.9879999999999995</v>
      </c>
      <c r="AD104" s="74">
        <f>18.588-Table326[[#This Row],[Diamonds: Home to First Base Path - m ]]</f>
        <v>3.588000000000001</v>
      </c>
      <c r="AE104" s="74">
        <f>AVERAGE(Table326[[#This Row],[Home to Pitch (Low)]:[Home to 1st (High)]])</f>
        <v>3.6540000000000004</v>
      </c>
      <c r="AF104"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4" s="74">
        <f>12.5-Table326[[#This Row],[Diamonds: Dimension Home to Pitchers Plate - m ]]</f>
        <v>2.5</v>
      </c>
      <c r="AH104" s="74">
        <f>13.1-Table326[[#This Row],[Diamonds: Dimension Home to Pitchers Plate - m ]]</f>
        <v>3.0999999999999996</v>
      </c>
      <c r="AI104" s="74">
        <f>17.988-Table326[[#This Row],[Diamonds: Home to First Base Path - m ]]</f>
        <v>2.9879999999999995</v>
      </c>
      <c r="AJ104" s="74">
        <f>18.588-Table326[[#This Row],[Diamonds: Home to First Base Path - m ]]</f>
        <v>3.588000000000001</v>
      </c>
      <c r="AK104" s="74">
        <f>AVERAGE(Table326[[#This Row],[Home to Pitch (Low)2]:[Home to 1st (High)5]])</f>
        <v>3.044</v>
      </c>
      <c r="AL104"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4" s="74">
        <f>11.2-Table326[[#This Row],[Diamonds: Dimension Home to Pitchers Plate - m ]]</f>
        <v>1.1999999999999993</v>
      </c>
      <c r="AN104" s="74">
        <f>11.8-Table326[[#This Row],[Diamonds: Dimension Home to Pitchers Plate - m ]]</f>
        <v>1.8000000000000007</v>
      </c>
      <c r="AO104" s="74">
        <f>16.5-Table326[[#This Row],[Diamonds: Home to First Base Path - m ]]</f>
        <v>1.5</v>
      </c>
      <c r="AP104" s="74">
        <f>17.04-Table326[[#This Row],[Diamonds: Home to First Base Path - m ]]</f>
        <v>2.0399999999999991</v>
      </c>
      <c r="AQ104"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4" s="74">
        <f>10.37-Table326[[#This Row],[Diamonds: Dimension Home to Pitchers Plate - m ]]</f>
        <v>0.36999999999999922</v>
      </c>
      <c r="AS104" s="74">
        <f>10.97-Table326[[#This Row],[Diamonds: Dimension Home to Pitchers Plate - m ]]</f>
        <v>0.97000000000000064</v>
      </c>
      <c r="AT104" s="74">
        <f>13.5-Table326[[#This Row],[Diamonds: Home to First Base Path - m ]]</f>
        <v>-1.5</v>
      </c>
      <c r="AU104" s="74">
        <f>14.02-Table326[[#This Row],[Diamonds: Home to First Base Path - m ]]</f>
        <v>-0.98000000000000043</v>
      </c>
      <c r="AV104"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4"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4"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4"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4"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4"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4"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4"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4"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4"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4"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4"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4"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4"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4"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4"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4"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4"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4"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4"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4"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4" s="74"/>
      <c r="BR104" s="74"/>
      <c r="BS104" s="75" t="s">
        <v>903</v>
      </c>
      <c r="BT104" s="76" t="s">
        <v>388</v>
      </c>
    </row>
    <row r="105" spans="1:72" ht="16.8" x14ac:dyDescent="0.3">
      <c r="A105" s="77" t="s">
        <v>148</v>
      </c>
      <c r="B105" s="78" t="s">
        <v>658</v>
      </c>
      <c r="C105" s="78" t="s">
        <v>739</v>
      </c>
      <c r="D105" s="78" t="s">
        <v>740</v>
      </c>
      <c r="E105" s="79"/>
      <c r="F105" s="79"/>
      <c r="G105" s="79"/>
      <c r="H105" s="79" t="s">
        <v>385</v>
      </c>
      <c r="I105" s="79" t="s">
        <v>981</v>
      </c>
      <c r="J105" s="79">
        <v>9.5</v>
      </c>
      <c r="K105" s="79" t="s">
        <v>591</v>
      </c>
      <c r="L105" s="79" t="s">
        <v>591</v>
      </c>
      <c r="M105" s="79" t="s">
        <v>591</v>
      </c>
      <c r="N105" s="79">
        <v>1</v>
      </c>
      <c r="O105" s="79">
        <v>1</v>
      </c>
      <c r="P105" s="80" t="s">
        <v>749</v>
      </c>
      <c r="Q105" s="79">
        <v>12.5</v>
      </c>
      <c r="R105" s="79">
        <v>23.5</v>
      </c>
      <c r="S105" s="79">
        <v>29.5</v>
      </c>
      <c r="T105" s="79">
        <v>12.3</v>
      </c>
      <c r="U105" s="79" t="s">
        <v>591</v>
      </c>
      <c r="V10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5" s="79">
        <f>SUM(Table326[[#This Row],[Slo - Pitch - Mens ]:[Slo - Pitch - Co-Ed ]])</f>
        <v>0</v>
      </c>
      <c r="X105" s="79">
        <f>SUM(Table326[[#This Row],[Baseball - U18 ]:[Baseball - U7 ]])</f>
        <v>0</v>
      </c>
      <c r="Y105" s="72" t="s">
        <v>1042</v>
      </c>
      <c r="Z10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5" s="74">
        <f>13.72-Table326[[#This Row],[Diamonds: Dimension Home to Pitchers Plate - m ]]</f>
        <v>1.2200000000000006</v>
      </c>
      <c r="AB105" s="74">
        <f>14.32-Table326[[#This Row],[Diamonds: Dimension Home to Pitchers Plate - m ]]</f>
        <v>1.8200000000000003</v>
      </c>
      <c r="AC105" s="74">
        <f>17.988-Table326[[#This Row],[Diamonds: Home to First Base Path - m ]]</f>
        <v>5.6879999999999988</v>
      </c>
      <c r="AD105" s="74">
        <f>18.588-Table326[[#This Row],[Diamonds: Home to First Base Path - m ]]</f>
        <v>6.2880000000000003</v>
      </c>
      <c r="AE105" s="74">
        <f>AVERAGE(Table326[[#This Row],[Home to Pitch (Low)]:[Home to 1st (High)]])</f>
        <v>3.754</v>
      </c>
      <c r="AF10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5" s="103">
        <f>12.5-Table326[[#This Row],[Diamonds: Dimension Home to Pitchers Plate - m ]]</f>
        <v>0</v>
      </c>
      <c r="AH105" s="74">
        <f>13.1-Table326[[#This Row],[Diamonds: Dimension Home to Pitchers Plate - m ]]</f>
        <v>0.59999999999999964</v>
      </c>
      <c r="AI105" s="74">
        <f>17.988-Table326[[#This Row],[Diamonds: Home to First Base Path - m ]]</f>
        <v>5.6879999999999988</v>
      </c>
      <c r="AJ105" s="74">
        <f>18.588-Table326[[#This Row],[Diamonds: Home to First Base Path - m ]]</f>
        <v>6.2880000000000003</v>
      </c>
      <c r="AK105" s="74">
        <f>AVERAGE(Table326[[#This Row],[Home to Pitch (Low)2]:[Home to 1st (High)5]])</f>
        <v>3.1439999999999997</v>
      </c>
      <c r="AL10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5" s="74">
        <f>11.2-Table326[[#This Row],[Diamonds: Dimension Home to Pitchers Plate - m ]]</f>
        <v>-1.3000000000000007</v>
      </c>
      <c r="AN105" s="103">
        <f>11.8-Table326[[#This Row],[Diamonds: Dimension Home to Pitchers Plate - m ]]</f>
        <v>-0.69999999999999929</v>
      </c>
      <c r="AO105" s="74">
        <f>16.5-Table326[[#This Row],[Diamonds: Home to First Base Path - m ]]</f>
        <v>4.1999999999999993</v>
      </c>
      <c r="AP105" s="74">
        <f>17.04-Table326[[#This Row],[Diamonds: Home to First Base Path - m ]]</f>
        <v>4.7399999999999984</v>
      </c>
      <c r="AQ10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5" s="74">
        <f>10.37-Table326[[#This Row],[Diamonds: Dimension Home to Pitchers Plate - m ]]</f>
        <v>-2.1300000000000008</v>
      </c>
      <c r="AS105" s="74">
        <f>10.97-Table326[[#This Row],[Diamonds: Dimension Home to Pitchers Plate - m ]]</f>
        <v>-1.5299999999999994</v>
      </c>
      <c r="AT105" s="74">
        <f>13.5-Table326[[#This Row],[Diamonds: Home to First Base Path - m ]]</f>
        <v>1.1999999999999993</v>
      </c>
      <c r="AU105" s="74">
        <f>14.02-Table326[[#This Row],[Diamonds: Home to First Base Path - m ]]</f>
        <v>1.7199999999999989</v>
      </c>
      <c r="AV10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5" s="74"/>
      <c r="BR105" s="74"/>
      <c r="BS105" s="75" t="s">
        <v>982</v>
      </c>
      <c r="BT105" s="76" t="s">
        <v>388</v>
      </c>
    </row>
    <row r="106" spans="1:72" ht="33.6" x14ac:dyDescent="0.3">
      <c r="A106" s="70" t="s">
        <v>90</v>
      </c>
      <c r="B106" s="71" t="s">
        <v>898</v>
      </c>
      <c r="C106" s="71" t="s">
        <v>739</v>
      </c>
      <c r="D106" s="71" t="s">
        <v>789</v>
      </c>
      <c r="E106" s="72"/>
      <c r="F106" s="72"/>
      <c r="G106" s="72"/>
      <c r="H106" s="72" t="s">
        <v>385</v>
      </c>
      <c r="I106" s="72" t="s">
        <v>900</v>
      </c>
      <c r="J106" s="72">
        <v>4</v>
      </c>
      <c r="K106" s="72" t="s">
        <v>748</v>
      </c>
      <c r="L106" s="72"/>
      <c r="M106" s="72"/>
      <c r="N106" s="72">
        <v>1</v>
      </c>
      <c r="O106" s="72"/>
      <c r="P106" s="73" t="s">
        <v>749</v>
      </c>
      <c r="Q106" s="72">
        <v>9.5</v>
      </c>
      <c r="R106" s="72">
        <v>19.5</v>
      </c>
      <c r="S106" s="72">
        <v>22.7</v>
      </c>
      <c r="T106" s="72">
        <v>15</v>
      </c>
      <c r="U106" s="72"/>
      <c r="V10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6" s="72">
        <f>SUM(Table326[[#This Row],[Slo - Pitch - Mens ]:[Slo - Pitch - Co-Ed ]])</f>
        <v>0</v>
      </c>
      <c r="X106" s="72">
        <f>SUM(Table326[[#This Row],[Baseball - U18 ]:[Baseball - U7 ]])</f>
        <v>0</v>
      </c>
      <c r="Y106" s="72" t="s">
        <v>1042</v>
      </c>
      <c r="Z10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6" s="74">
        <f>13.72-Table326[[#This Row],[Diamonds: Dimension Home to Pitchers Plate - m ]]</f>
        <v>4.2200000000000006</v>
      </c>
      <c r="AB106" s="74">
        <f>14.32-Table326[[#This Row],[Diamonds: Dimension Home to Pitchers Plate - m ]]</f>
        <v>4.82</v>
      </c>
      <c r="AC106" s="74">
        <f>17.988-Table326[[#This Row],[Diamonds: Home to First Base Path - m ]]</f>
        <v>2.9879999999999995</v>
      </c>
      <c r="AD106" s="74">
        <f>18.588-Table326[[#This Row],[Diamonds: Home to First Base Path - m ]]</f>
        <v>3.588000000000001</v>
      </c>
      <c r="AE106" s="74">
        <f>AVERAGE(Table326[[#This Row],[Home to Pitch (Low)]:[Home to 1st (High)]])</f>
        <v>3.9040000000000004</v>
      </c>
      <c r="AF10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6" s="74">
        <f>12.5-Table326[[#This Row],[Diamonds: Dimension Home to Pitchers Plate - m ]]</f>
        <v>3</v>
      </c>
      <c r="AH106" s="74">
        <f>13.1-Table326[[#This Row],[Diamonds: Dimension Home to Pitchers Plate - m ]]</f>
        <v>3.5999999999999996</v>
      </c>
      <c r="AI106" s="74">
        <f>17.988-Table326[[#This Row],[Diamonds: Home to First Base Path - m ]]</f>
        <v>2.9879999999999995</v>
      </c>
      <c r="AJ106" s="74">
        <f>18.588-Table326[[#This Row],[Diamonds: Home to First Base Path - m ]]</f>
        <v>3.588000000000001</v>
      </c>
      <c r="AK106" s="74">
        <f>AVERAGE(Table326[[#This Row],[Home to Pitch (Low)2]:[Home to 1st (High)5]])</f>
        <v>3.294</v>
      </c>
      <c r="AL10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6" s="74">
        <f>11.2-Table326[[#This Row],[Diamonds: Dimension Home to Pitchers Plate - m ]]</f>
        <v>1.6999999999999993</v>
      </c>
      <c r="AN106" s="74">
        <f>11.8-Table326[[#This Row],[Diamonds: Dimension Home to Pitchers Plate - m ]]</f>
        <v>2.3000000000000007</v>
      </c>
      <c r="AO106" s="74">
        <f>16.5-Table326[[#This Row],[Diamonds: Home to First Base Path - m ]]</f>
        <v>1.5</v>
      </c>
      <c r="AP106" s="74">
        <f>17.04-Table326[[#This Row],[Diamonds: Home to First Base Path - m ]]</f>
        <v>2.0399999999999991</v>
      </c>
      <c r="AQ10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6" s="74">
        <f>10.37-Table326[[#This Row],[Diamonds: Dimension Home to Pitchers Plate - m ]]</f>
        <v>0.86999999999999922</v>
      </c>
      <c r="AS106" s="74">
        <f>10.97-Table326[[#This Row],[Diamonds: Dimension Home to Pitchers Plate - m ]]</f>
        <v>1.4700000000000006</v>
      </c>
      <c r="AT106" s="74">
        <f>13.5-Table326[[#This Row],[Diamonds: Home to First Base Path - m ]]</f>
        <v>-1.5</v>
      </c>
      <c r="AU106" s="74">
        <f>14.02-Table326[[#This Row],[Diamonds: Home to First Base Path - m ]]</f>
        <v>-0.98000000000000043</v>
      </c>
      <c r="AV10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6" s="74"/>
      <c r="BR106" s="74"/>
      <c r="BS106" s="75" t="s">
        <v>901</v>
      </c>
      <c r="BT106" s="76" t="s">
        <v>388</v>
      </c>
    </row>
    <row r="107" spans="1:72" ht="16.8" x14ac:dyDescent="0.3">
      <c r="A107" s="77" t="s">
        <v>156</v>
      </c>
      <c r="B107" s="78" t="s">
        <v>672</v>
      </c>
      <c r="C107" s="78" t="s">
        <v>739</v>
      </c>
      <c r="D107" s="78" t="s">
        <v>789</v>
      </c>
      <c r="E107" s="79"/>
      <c r="F107" s="79"/>
      <c r="G107" s="79"/>
      <c r="H107" s="79" t="s">
        <v>399</v>
      </c>
      <c r="I107" s="79" t="s">
        <v>992</v>
      </c>
      <c r="J107" s="79">
        <v>5.5</v>
      </c>
      <c r="K107" s="79" t="s">
        <v>742</v>
      </c>
      <c r="L107" s="79"/>
      <c r="M107" s="79"/>
      <c r="N107" s="79">
        <v>1</v>
      </c>
      <c r="O107" s="79"/>
      <c r="P107" s="80" t="s">
        <v>752</v>
      </c>
      <c r="Q107" s="79">
        <v>9.6</v>
      </c>
      <c r="R107" s="79">
        <v>16.8</v>
      </c>
      <c r="S107" s="79"/>
      <c r="T107" s="79">
        <v>12.3</v>
      </c>
      <c r="U107" s="79"/>
      <c r="V10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7" s="79">
        <f>SUM(Table326[[#This Row],[Slo - Pitch - Mens ]:[Slo - Pitch - Co-Ed ]])</f>
        <v>0</v>
      </c>
      <c r="X107" s="79">
        <f>SUM(Table326[[#This Row],[Baseball - U18 ]:[Baseball - U7 ]])</f>
        <v>0</v>
      </c>
      <c r="Y107" s="72" t="s">
        <v>1042</v>
      </c>
      <c r="Z10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7" s="74">
        <f>13.72-Table326[[#This Row],[Diamonds: Dimension Home to Pitchers Plate - m ]]</f>
        <v>4.120000000000001</v>
      </c>
      <c r="AB107" s="74">
        <f>14.32-Table326[[#This Row],[Diamonds: Dimension Home to Pitchers Plate - m ]]</f>
        <v>4.7200000000000006</v>
      </c>
      <c r="AC107" s="74">
        <f>17.988-Table326[[#This Row],[Diamonds: Home to First Base Path - m ]]</f>
        <v>5.6879999999999988</v>
      </c>
      <c r="AD107" s="74">
        <f>18.588-Table326[[#This Row],[Diamonds: Home to First Base Path - m ]]</f>
        <v>6.2880000000000003</v>
      </c>
      <c r="AE107" s="74">
        <f>AVERAGE(Table326[[#This Row],[Home to Pitch (Low)]:[Home to 1st (High)]])</f>
        <v>5.2040000000000006</v>
      </c>
      <c r="AF10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7" s="74">
        <f>12.5-Table326[[#This Row],[Diamonds: Dimension Home to Pitchers Plate - m ]]</f>
        <v>2.9000000000000004</v>
      </c>
      <c r="AH107" s="74">
        <f>13.1-Table326[[#This Row],[Diamonds: Dimension Home to Pitchers Plate - m ]]</f>
        <v>3.5</v>
      </c>
      <c r="AI107" s="74">
        <f>17.988-Table326[[#This Row],[Diamonds: Home to First Base Path - m ]]</f>
        <v>5.6879999999999988</v>
      </c>
      <c r="AJ107" s="74">
        <f>18.588-Table326[[#This Row],[Diamonds: Home to First Base Path - m ]]</f>
        <v>6.2880000000000003</v>
      </c>
      <c r="AK107" s="74">
        <f>AVERAGE(Table326[[#This Row],[Home to Pitch (Low)2]:[Home to 1st (High)5]])</f>
        <v>4.5939999999999994</v>
      </c>
      <c r="AL10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7" s="74">
        <f>11.2-Table326[[#This Row],[Diamonds: Dimension Home to Pitchers Plate - m ]]</f>
        <v>1.5999999999999996</v>
      </c>
      <c r="AN107" s="74">
        <f>11.8-Table326[[#This Row],[Diamonds: Dimension Home to Pitchers Plate - m ]]</f>
        <v>2.2000000000000011</v>
      </c>
      <c r="AO107" s="74">
        <f>16.5-Table326[[#This Row],[Diamonds: Home to First Base Path - m ]]</f>
        <v>4.1999999999999993</v>
      </c>
      <c r="AP107" s="74">
        <f>17.04-Table326[[#This Row],[Diamonds: Home to First Base Path - m ]]</f>
        <v>4.7399999999999984</v>
      </c>
      <c r="AQ10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7" s="74">
        <f>10.37-Table326[[#This Row],[Diamonds: Dimension Home to Pitchers Plate - m ]]</f>
        <v>0.76999999999999957</v>
      </c>
      <c r="AS107" s="74">
        <f>10.97-Table326[[#This Row],[Diamonds: Dimension Home to Pitchers Plate - m ]]</f>
        <v>1.370000000000001</v>
      </c>
      <c r="AT107" s="74">
        <f>13.5-Table326[[#This Row],[Diamonds: Home to First Base Path - m ]]</f>
        <v>1.1999999999999993</v>
      </c>
      <c r="AU107" s="74">
        <f>14.02-Table326[[#This Row],[Diamonds: Home to First Base Path - m ]]</f>
        <v>1.7199999999999989</v>
      </c>
      <c r="AV10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7" s="74"/>
      <c r="BR107" s="74"/>
      <c r="BS107" s="75" t="s">
        <v>990</v>
      </c>
      <c r="BT107" s="76" t="s">
        <v>388</v>
      </c>
    </row>
    <row r="108" spans="1:72" ht="50.4" x14ac:dyDescent="0.3">
      <c r="A108" s="77" t="s">
        <v>88</v>
      </c>
      <c r="B108" s="78" t="s">
        <v>553</v>
      </c>
      <c r="C108" s="78" t="s">
        <v>739</v>
      </c>
      <c r="D108" s="78" t="s">
        <v>789</v>
      </c>
      <c r="E108" s="79"/>
      <c r="F108" s="79"/>
      <c r="G108" s="79"/>
      <c r="H108" s="79" t="s">
        <v>408</v>
      </c>
      <c r="I108" s="79" t="s">
        <v>765</v>
      </c>
      <c r="J108" s="79">
        <v>4</v>
      </c>
      <c r="K108" s="79" t="s">
        <v>868</v>
      </c>
      <c r="L108" s="79"/>
      <c r="M108" s="79"/>
      <c r="N108" s="79">
        <v>1</v>
      </c>
      <c r="O108" s="79"/>
      <c r="P108" s="80" t="s">
        <v>868</v>
      </c>
      <c r="Q108" s="79">
        <v>8</v>
      </c>
      <c r="R108" s="79">
        <v>17</v>
      </c>
      <c r="S108" s="79"/>
      <c r="T108" s="79">
        <v>12</v>
      </c>
      <c r="U108" s="79"/>
      <c r="V108"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8" s="79">
        <f>SUM(Table326[[#This Row],[Slo - Pitch - Mens ]:[Slo - Pitch - Co-Ed ]])</f>
        <v>0</v>
      </c>
      <c r="X108" s="79">
        <f>SUM(Table326[[#This Row],[Baseball - U18 ]:[Baseball - U7 ]])</f>
        <v>0</v>
      </c>
      <c r="Y108" s="72" t="s">
        <v>1042</v>
      </c>
      <c r="Z10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8" s="74">
        <f>13.72-Table326[[#This Row],[Diamonds: Dimension Home to Pitchers Plate - m ]]</f>
        <v>5.7200000000000006</v>
      </c>
      <c r="AB108" s="74">
        <f>14.32-Table326[[#This Row],[Diamonds: Dimension Home to Pitchers Plate - m ]]</f>
        <v>6.32</v>
      </c>
      <c r="AC108" s="74">
        <f>17.988-Table326[[#This Row],[Diamonds: Home to First Base Path - m ]]</f>
        <v>5.9879999999999995</v>
      </c>
      <c r="AD108" s="74">
        <f>18.588-Table326[[#This Row],[Diamonds: Home to First Base Path - m ]]</f>
        <v>6.588000000000001</v>
      </c>
      <c r="AE108" s="74">
        <f>AVERAGE(Table326[[#This Row],[Home to Pitch (Low)]:[Home to 1st (High)]])</f>
        <v>6.1539999999999999</v>
      </c>
      <c r="AF10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8" s="74">
        <f>12.5-Table326[[#This Row],[Diamonds: Dimension Home to Pitchers Plate - m ]]</f>
        <v>4.5</v>
      </c>
      <c r="AH108" s="74">
        <f>13.1-Table326[[#This Row],[Diamonds: Dimension Home to Pitchers Plate - m ]]</f>
        <v>5.0999999999999996</v>
      </c>
      <c r="AI108" s="74">
        <f>17.988-Table326[[#This Row],[Diamonds: Home to First Base Path - m ]]</f>
        <v>5.9879999999999995</v>
      </c>
      <c r="AJ108" s="74">
        <f>18.588-Table326[[#This Row],[Diamonds: Home to First Base Path - m ]]</f>
        <v>6.588000000000001</v>
      </c>
      <c r="AK108" s="74">
        <f>AVERAGE(Table326[[#This Row],[Home to Pitch (Low)2]:[Home to 1st (High)5]])</f>
        <v>5.5440000000000005</v>
      </c>
      <c r="AL10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8" s="74">
        <f>11.2-Table326[[#This Row],[Diamonds: Dimension Home to Pitchers Plate - m ]]</f>
        <v>3.1999999999999993</v>
      </c>
      <c r="AN108" s="74">
        <f>11.8-Table326[[#This Row],[Diamonds: Dimension Home to Pitchers Plate - m ]]</f>
        <v>3.8000000000000007</v>
      </c>
      <c r="AO108" s="74">
        <f>16.5-Table326[[#This Row],[Diamonds: Home to First Base Path - m ]]</f>
        <v>4.5</v>
      </c>
      <c r="AP108" s="74">
        <f>17.04-Table326[[#This Row],[Diamonds: Home to First Base Path - m ]]</f>
        <v>5.0399999999999991</v>
      </c>
      <c r="AQ10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8" s="74">
        <f>10.37-Table326[[#This Row],[Diamonds: Dimension Home to Pitchers Plate - m ]]</f>
        <v>2.3699999999999992</v>
      </c>
      <c r="AS108" s="74">
        <f>10.97-Table326[[#This Row],[Diamonds: Dimension Home to Pitchers Plate - m ]]</f>
        <v>2.9700000000000006</v>
      </c>
      <c r="AT108" s="74">
        <f>13.5-Table326[[#This Row],[Diamonds: Home to First Base Path - m ]]</f>
        <v>1.5</v>
      </c>
      <c r="AU108" s="74">
        <f>14.02-Table326[[#This Row],[Diamonds: Home to First Base Path - m ]]</f>
        <v>2.0199999999999996</v>
      </c>
      <c r="AV10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8" s="74"/>
      <c r="BR108" s="74"/>
      <c r="BS108" s="75" t="s">
        <v>894</v>
      </c>
      <c r="BT108" s="76" t="s">
        <v>895</v>
      </c>
    </row>
    <row r="109" spans="1:72" ht="16.8" x14ac:dyDescent="0.3">
      <c r="A109" s="70" t="s">
        <v>104</v>
      </c>
      <c r="B109" s="71" t="s">
        <v>582</v>
      </c>
      <c r="C109" s="71" t="s">
        <v>769</v>
      </c>
      <c r="D109" s="71" t="s">
        <v>789</v>
      </c>
      <c r="E109" s="72"/>
      <c r="F109" s="72"/>
      <c r="G109" s="72"/>
      <c r="H109" s="72" t="s">
        <v>444</v>
      </c>
      <c r="I109" s="72" t="s">
        <v>900</v>
      </c>
      <c r="J109" s="72">
        <v>1.5</v>
      </c>
      <c r="K109" s="72" t="s">
        <v>748</v>
      </c>
      <c r="L109" s="72"/>
      <c r="M109" s="72"/>
      <c r="N109" s="72">
        <v>1</v>
      </c>
      <c r="O109" s="72"/>
      <c r="P109" s="73" t="s">
        <v>749</v>
      </c>
      <c r="Q109" s="72">
        <v>8</v>
      </c>
      <c r="R109" s="72">
        <v>16.2</v>
      </c>
      <c r="S109" s="72">
        <v>20</v>
      </c>
      <c r="T109" s="72">
        <v>11.5</v>
      </c>
      <c r="U109" s="72"/>
      <c r="V109"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09" s="72">
        <f>SUM(Table326[[#This Row],[Slo - Pitch - Mens ]:[Slo - Pitch - Co-Ed ]])</f>
        <v>0</v>
      </c>
      <c r="X109" s="72">
        <f>SUM(Table326[[#This Row],[Baseball - U18 ]:[Baseball - U7 ]])</f>
        <v>0</v>
      </c>
      <c r="Y109" s="72" t="s">
        <v>1042</v>
      </c>
      <c r="Z109"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09" s="74">
        <f>13.72-Table326[[#This Row],[Diamonds: Dimension Home to Pitchers Plate - m ]]</f>
        <v>5.7200000000000006</v>
      </c>
      <c r="AB109" s="74">
        <f>14.32-Table326[[#This Row],[Diamonds: Dimension Home to Pitchers Plate - m ]]</f>
        <v>6.32</v>
      </c>
      <c r="AC109" s="74">
        <f>17.988-Table326[[#This Row],[Diamonds: Home to First Base Path - m ]]</f>
        <v>6.4879999999999995</v>
      </c>
      <c r="AD109" s="74">
        <f>18.588-Table326[[#This Row],[Diamonds: Home to First Base Path - m ]]</f>
        <v>7.088000000000001</v>
      </c>
      <c r="AE109" s="74">
        <f>AVERAGE(Table326[[#This Row],[Home to Pitch (Low)]:[Home to 1st (High)]])</f>
        <v>6.4039999999999999</v>
      </c>
      <c r="AF109"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09" s="74">
        <f>12.5-Table326[[#This Row],[Diamonds: Dimension Home to Pitchers Plate - m ]]</f>
        <v>4.5</v>
      </c>
      <c r="AH109" s="74">
        <f>13.1-Table326[[#This Row],[Diamonds: Dimension Home to Pitchers Plate - m ]]</f>
        <v>5.0999999999999996</v>
      </c>
      <c r="AI109" s="74">
        <f>17.988-Table326[[#This Row],[Diamonds: Home to First Base Path - m ]]</f>
        <v>6.4879999999999995</v>
      </c>
      <c r="AJ109" s="74">
        <f>18.588-Table326[[#This Row],[Diamonds: Home to First Base Path - m ]]</f>
        <v>7.088000000000001</v>
      </c>
      <c r="AK109" s="74">
        <f>AVERAGE(Table326[[#This Row],[Home to Pitch (Low)2]:[Home to 1st (High)5]])</f>
        <v>5.7940000000000005</v>
      </c>
      <c r="AL109"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09" s="74">
        <f>11.2-Table326[[#This Row],[Diamonds: Dimension Home to Pitchers Plate - m ]]</f>
        <v>3.1999999999999993</v>
      </c>
      <c r="AN109" s="74">
        <f>11.8-Table326[[#This Row],[Diamonds: Dimension Home to Pitchers Plate - m ]]</f>
        <v>3.8000000000000007</v>
      </c>
      <c r="AO109" s="74">
        <f>16.5-Table326[[#This Row],[Diamonds: Home to First Base Path - m ]]</f>
        <v>5</v>
      </c>
      <c r="AP109" s="74">
        <f>17.04-Table326[[#This Row],[Diamonds: Home to First Base Path - m ]]</f>
        <v>5.5399999999999991</v>
      </c>
      <c r="AQ109"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09" s="74">
        <f>10.37-Table326[[#This Row],[Diamonds: Dimension Home to Pitchers Plate - m ]]</f>
        <v>2.3699999999999992</v>
      </c>
      <c r="AS109" s="74">
        <f>10.97-Table326[[#This Row],[Diamonds: Dimension Home to Pitchers Plate - m ]]</f>
        <v>2.9700000000000006</v>
      </c>
      <c r="AT109" s="74">
        <f>13.5-Table326[[#This Row],[Diamonds: Home to First Base Path - m ]]</f>
        <v>2</v>
      </c>
      <c r="AU109" s="74">
        <f>14.02-Table326[[#This Row],[Diamonds: Home to First Base Path - m ]]</f>
        <v>2.5199999999999996</v>
      </c>
      <c r="AV109"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09"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09"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09"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09"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09"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09"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09"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09"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09"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09"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09"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09"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09"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09"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09"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09"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09"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09"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09"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09"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09" s="74"/>
      <c r="BR109" s="74"/>
      <c r="BS109" s="75" t="s">
        <v>924</v>
      </c>
      <c r="BT109" s="76" t="s">
        <v>388</v>
      </c>
    </row>
    <row r="110" spans="1:72" ht="33.6" x14ac:dyDescent="0.3">
      <c r="A110" s="70" t="s">
        <v>44</v>
      </c>
      <c r="B110" s="71" t="s">
        <v>473</v>
      </c>
      <c r="C110" s="71" t="s">
        <v>739</v>
      </c>
      <c r="D110" s="71" t="s">
        <v>740</v>
      </c>
      <c r="E110" s="72"/>
      <c r="F110" s="72"/>
      <c r="G110" s="72"/>
      <c r="H110" s="72" t="s">
        <v>444</v>
      </c>
      <c r="I110" s="72" t="s">
        <v>810</v>
      </c>
      <c r="J110" s="72">
        <v>5</v>
      </c>
      <c r="K110" s="72" t="s">
        <v>742</v>
      </c>
      <c r="L110" s="72" t="s">
        <v>591</v>
      </c>
      <c r="M110" s="72" t="s">
        <v>591</v>
      </c>
      <c r="N110" s="72">
        <v>1</v>
      </c>
      <c r="O110" s="72">
        <v>1</v>
      </c>
      <c r="P110" s="73" t="s">
        <v>752</v>
      </c>
      <c r="Q110" s="72">
        <v>15</v>
      </c>
      <c r="R110" s="72">
        <v>25.5</v>
      </c>
      <c r="S110" s="72"/>
      <c r="T110" s="72"/>
      <c r="U110" s="72"/>
      <c r="V110"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0" s="72">
        <f>SUM(Table326[[#This Row],[Slo - Pitch - Mens ]:[Slo - Pitch - Co-Ed ]])</f>
        <v>0</v>
      </c>
      <c r="X110" s="72">
        <f>SUM(Table326[[#This Row],[Baseball - U18 ]:[Baseball - U7 ]])</f>
        <v>0</v>
      </c>
      <c r="Y110" s="72" t="s">
        <v>1042</v>
      </c>
      <c r="Z110"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0" s="74">
        <f>13.72-Table326[[#This Row],[Diamonds: Dimension Home to Pitchers Plate - m ]]</f>
        <v>-1.2799999999999994</v>
      </c>
      <c r="AB110" s="74">
        <f>14.32-Table326[[#This Row],[Diamonds: Dimension Home to Pitchers Plate - m ]]</f>
        <v>-0.67999999999999972</v>
      </c>
      <c r="AC110" s="74">
        <f>17.988-Table326[[#This Row],[Diamonds: Home to First Base Path - m ]]</f>
        <v>17.988</v>
      </c>
      <c r="AD110" s="74">
        <f>18.588-Table326[[#This Row],[Diamonds: Home to First Base Path - m ]]</f>
        <v>18.588000000000001</v>
      </c>
      <c r="AE110" s="74">
        <f>AVERAGE(Table326[[#This Row],[Home to Pitch (Low)]:[Home to 1st (High)]])</f>
        <v>8.6539999999999999</v>
      </c>
      <c r="AF110"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0" s="74">
        <f>12.5-Table326[[#This Row],[Diamonds: Dimension Home to Pitchers Plate - m ]]</f>
        <v>-2.5</v>
      </c>
      <c r="AH110" s="74">
        <f>13.1-Table326[[#This Row],[Diamonds: Dimension Home to Pitchers Plate - m ]]</f>
        <v>-1.9000000000000004</v>
      </c>
      <c r="AI110" s="74">
        <f>17.988-Table326[[#This Row],[Diamonds: Home to First Base Path - m ]]</f>
        <v>17.988</v>
      </c>
      <c r="AJ110" s="74">
        <f>18.588-Table326[[#This Row],[Diamonds: Home to First Base Path - m ]]</f>
        <v>18.588000000000001</v>
      </c>
      <c r="AK110" s="74">
        <f>AVERAGE(Table326[[#This Row],[Home to Pitch (Low)2]:[Home to 1st (High)5]])</f>
        <v>8.0440000000000005</v>
      </c>
      <c r="AL110"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0" s="74">
        <f>11.2-Table326[[#This Row],[Diamonds: Dimension Home to Pitchers Plate - m ]]</f>
        <v>-3.8000000000000007</v>
      </c>
      <c r="AN110" s="74">
        <f>11.8-Table326[[#This Row],[Diamonds: Dimension Home to Pitchers Plate - m ]]</f>
        <v>-3.1999999999999993</v>
      </c>
      <c r="AO110" s="74">
        <f>16.5-Table326[[#This Row],[Diamonds: Home to First Base Path - m ]]</f>
        <v>16.5</v>
      </c>
      <c r="AP110" s="74">
        <f>17.04-Table326[[#This Row],[Diamonds: Home to First Base Path - m ]]</f>
        <v>17.04</v>
      </c>
      <c r="AQ110"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0" s="74">
        <f>10.37-Table326[[#This Row],[Diamonds: Dimension Home to Pitchers Plate - m ]]</f>
        <v>-4.6300000000000008</v>
      </c>
      <c r="AS110" s="74">
        <f>10.97-Table326[[#This Row],[Diamonds: Dimension Home to Pitchers Plate - m ]]</f>
        <v>-4.0299999999999994</v>
      </c>
      <c r="AT110" s="74">
        <f>13.5-Table326[[#This Row],[Diamonds: Home to First Base Path - m ]]</f>
        <v>13.5</v>
      </c>
      <c r="AU110" s="74">
        <f>14.02-Table326[[#This Row],[Diamonds: Home to First Base Path - m ]]</f>
        <v>14.02</v>
      </c>
      <c r="AV110"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0"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0"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0"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0"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0"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0"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0"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0"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0"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0"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0"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0"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0"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0"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0"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0"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0"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0"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0"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0"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0" s="74"/>
      <c r="BR110" s="74"/>
      <c r="BS110" s="75" t="s">
        <v>816</v>
      </c>
      <c r="BT110" s="76" t="s">
        <v>388</v>
      </c>
    </row>
    <row r="111" spans="1:72" ht="16.8" x14ac:dyDescent="0.3">
      <c r="A111" s="77" t="s">
        <v>13</v>
      </c>
      <c r="B111" s="78" t="s">
        <v>431</v>
      </c>
      <c r="C111" s="78" t="s">
        <v>739</v>
      </c>
      <c r="D111" s="78" t="s">
        <v>740</v>
      </c>
      <c r="E111" s="79"/>
      <c r="F111" s="79"/>
      <c r="G111" s="79"/>
      <c r="H111" s="79" t="s">
        <v>399</v>
      </c>
      <c r="I111" s="79" t="s">
        <v>765</v>
      </c>
      <c r="J111" s="79">
        <v>5</v>
      </c>
      <c r="K111" s="79"/>
      <c r="L111" s="79"/>
      <c r="M111" s="79"/>
      <c r="N111" s="79">
        <v>1</v>
      </c>
      <c r="O111" s="79"/>
      <c r="P111" s="80" t="s">
        <v>766</v>
      </c>
      <c r="Q111" s="79"/>
      <c r="R111" s="79"/>
      <c r="S111" s="79"/>
      <c r="T111" s="79"/>
      <c r="U111" s="79"/>
      <c r="V111"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1" s="79">
        <f>SUM(Table326[[#This Row],[Slo - Pitch - Mens ]:[Slo - Pitch - Co-Ed ]])</f>
        <v>0</v>
      </c>
      <c r="X111" s="79">
        <f>SUM(Table326[[#This Row],[Baseball - U18 ]:[Baseball - U7 ]])</f>
        <v>0</v>
      </c>
      <c r="Y111" s="72" t="s">
        <v>1042</v>
      </c>
      <c r="Z111"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1" s="74">
        <f>13.72-Table326[[#This Row],[Diamonds: Dimension Home to Pitchers Plate - m ]]</f>
        <v>13.72</v>
      </c>
      <c r="AB111" s="74">
        <f>14.32-Table326[[#This Row],[Diamonds: Dimension Home to Pitchers Plate - m ]]</f>
        <v>14.32</v>
      </c>
      <c r="AC111" s="74">
        <f>17.988-Table326[[#This Row],[Diamonds: Home to First Base Path - m ]]</f>
        <v>17.988</v>
      </c>
      <c r="AD111" s="74">
        <f>18.588-Table326[[#This Row],[Diamonds: Home to First Base Path - m ]]</f>
        <v>18.588000000000001</v>
      </c>
      <c r="AE111" s="74">
        <f>AVERAGE(Table326[[#This Row],[Home to Pitch (Low)]:[Home to 1st (High)]])</f>
        <v>16.154</v>
      </c>
      <c r="AF111"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1" s="74">
        <f>12.5-Table326[[#This Row],[Diamonds: Dimension Home to Pitchers Plate - m ]]</f>
        <v>12.5</v>
      </c>
      <c r="AH111" s="74">
        <f>13.1-Table326[[#This Row],[Diamonds: Dimension Home to Pitchers Plate - m ]]</f>
        <v>13.1</v>
      </c>
      <c r="AI111" s="74">
        <f>17.988-Table326[[#This Row],[Diamonds: Home to First Base Path - m ]]</f>
        <v>17.988</v>
      </c>
      <c r="AJ111" s="74">
        <f>18.588-Table326[[#This Row],[Diamonds: Home to First Base Path - m ]]</f>
        <v>18.588000000000001</v>
      </c>
      <c r="AK111" s="74">
        <f>AVERAGE(Table326[[#This Row],[Home to Pitch (Low)2]:[Home to 1st (High)5]])</f>
        <v>15.544</v>
      </c>
      <c r="AL111"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1" s="74">
        <f>11.2-Table326[[#This Row],[Diamonds: Dimension Home to Pitchers Plate - m ]]</f>
        <v>11.2</v>
      </c>
      <c r="AN111" s="74">
        <f>11.8-Table326[[#This Row],[Diamonds: Dimension Home to Pitchers Plate - m ]]</f>
        <v>11.8</v>
      </c>
      <c r="AO111" s="74">
        <f>16.5-Table326[[#This Row],[Diamonds: Home to First Base Path - m ]]</f>
        <v>16.5</v>
      </c>
      <c r="AP111" s="74">
        <f>17.04-Table326[[#This Row],[Diamonds: Home to First Base Path - m ]]</f>
        <v>17.04</v>
      </c>
      <c r="AQ111"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1" s="74">
        <f>10.37-Table326[[#This Row],[Diamonds: Dimension Home to Pitchers Plate - m ]]</f>
        <v>10.37</v>
      </c>
      <c r="AS111" s="74">
        <f>10.97-Table326[[#This Row],[Diamonds: Dimension Home to Pitchers Plate - m ]]</f>
        <v>10.97</v>
      </c>
      <c r="AT111" s="74">
        <f>13.5-Table326[[#This Row],[Diamonds: Home to First Base Path - m ]]</f>
        <v>13.5</v>
      </c>
      <c r="AU111" s="74">
        <f>14.02-Table326[[#This Row],[Diamonds: Home to First Base Path - m ]]</f>
        <v>14.02</v>
      </c>
      <c r="AV111"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1"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1"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1"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1"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1"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1"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1"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1"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1"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1"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1"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1"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1"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1"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1"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1"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1"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1"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1"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1"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1" s="74"/>
      <c r="BR111" s="74"/>
      <c r="BS111" s="75" t="s">
        <v>767</v>
      </c>
      <c r="BT111" s="76" t="s">
        <v>768</v>
      </c>
    </row>
    <row r="112" spans="1:72" ht="33.6" x14ac:dyDescent="0.3">
      <c r="A112" s="70" t="s">
        <v>1048</v>
      </c>
      <c r="B112" s="71" t="s">
        <v>465</v>
      </c>
      <c r="C112" s="71" t="s">
        <v>739</v>
      </c>
      <c r="D112" s="71" t="s">
        <v>789</v>
      </c>
      <c r="E112" s="72"/>
      <c r="F112" s="72"/>
      <c r="G112" s="72"/>
      <c r="H112" s="72" t="s">
        <v>444</v>
      </c>
      <c r="I112" s="72" t="s">
        <v>1049</v>
      </c>
      <c r="J112" s="72">
        <v>4</v>
      </c>
      <c r="K112" s="72" t="s">
        <v>926</v>
      </c>
      <c r="L112" s="72"/>
      <c r="M112" s="72"/>
      <c r="N112" s="72">
        <v>1</v>
      </c>
      <c r="O112" s="72"/>
      <c r="P112" s="73" t="s">
        <v>1050</v>
      </c>
      <c r="Q112" s="72"/>
      <c r="R112" s="72"/>
      <c r="S112" s="72"/>
      <c r="T112" s="72"/>
      <c r="U112" s="72"/>
      <c r="V112"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2" s="72">
        <f>SUM(Table326[[#This Row],[Slo - Pitch - Mens ]:[Slo - Pitch - Co-Ed ]])</f>
        <v>0</v>
      </c>
      <c r="X112" s="72">
        <f>SUM(Table326[[#This Row],[Baseball - U18 ]:[Baseball - U7 ]])</f>
        <v>0</v>
      </c>
      <c r="Y112" s="72" t="s">
        <v>1042</v>
      </c>
      <c r="Z112"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2" s="74">
        <f>13.72-Table326[[#This Row],[Diamonds: Dimension Home to Pitchers Plate - m ]]</f>
        <v>13.72</v>
      </c>
      <c r="AB112" s="74">
        <f>14.32-Table326[[#This Row],[Diamonds: Dimension Home to Pitchers Plate - m ]]</f>
        <v>14.32</v>
      </c>
      <c r="AC112" s="74">
        <f>17.988-Table326[[#This Row],[Diamonds: Home to First Base Path - m ]]</f>
        <v>17.988</v>
      </c>
      <c r="AD112" s="74">
        <f>18.588-Table326[[#This Row],[Diamonds: Home to First Base Path - m ]]</f>
        <v>18.588000000000001</v>
      </c>
      <c r="AE112" s="74">
        <f>AVERAGE(Table326[[#This Row],[Home to Pitch (Low)]:[Home to 1st (High)]])</f>
        <v>16.154</v>
      </c>
      <c r="AF112"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2" s="74">
        <f>12.5-Table326[[#This Row],[Diamonds: Dimension Home to Pitchers Plate - m ]]</f>
        <v>12.5</v>
      </c>
      <c r="AH112" s="74">
        <f>13.1-Table326[[#This Row],[Diamonds: Dimension Home to Pitchers Plate - m ]]</f>
        <v>13.1</v>
      </c>
      <c r="AI112" s="74">
        <f>17.988-Table326[[#This Row],[Diamonds: Home to First Base Path - m ]]</f>
        <v>17.988</v>
      </c>
      <c r="AJ112" s="74">
        <f>18.588-Table326[[#This Row],[Diamonds: Home to First Base Path - m ]]</f>
        <v>18.588000000000001</v>
      </c>
      <c r="AK112" s="74">
        <f>AVERAGE(Table326[[#This Row],[Home to Pitch (Low)2]:[Home to 1st (High)5]])</f>
        <v>15.544</v>
      </c>
      <c r="AL112"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2" s="74">
        <f>11.2-Table326[[#This Row],[Diamonds: Dimension Home to Pitchers Plate - m ]]</f>
        <v>11.2</v>
      </c>
      <c r="AN112" s="74">
        <f>11.8-Table326[[#This Row],[Diamonds: Dimension Home to Pitchers Plate - m ]]</f>
        <v>11.8</v>
      </c>
      <c r="AO112" s="74">
        <f>16.5-Table326[[#This Row],[Diamonds: Home to First Base Path - m ]]</f>
        <v>16.5</v>
      </c>
      <c r="AP112" s="74">
        <f>17.04-Table326[[#This Row],[Diamonds: Home to First Base Path - m ]]</f>
        <v>17.04</v>
      </c>
      <c r="AQ112"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2" s="74">
        <f>10.37-Table326[[#This Row],[Diamonds: Dimension Home to Pitchers Plate - m ]]</f>
        <v>10.37</v>
      </c>
      <c r="AS112" s="74">
        <f>10.97-Table326[[#This Row],[Diamonds: Dimension Home to Pitchers Plate - m ]]</f>
        <v>10.97</v>
      </c>
      <c r="AT112" s="74">
        <f>13.5-Table326[[#This Row],[Diamonds: Home to First Base Path - m ]]</f>
        <v>13.5</v>
      </c>
      <c r="AU112" s="74">
        <f>14.02-Table326[[#This Row],[Diamonds: Home to First Base Path - m ]]</f>
        <v>14.02</v>
      </c>
      <c r="AV112"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2"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2"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2"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2"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2"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2"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2"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2"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2"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2"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2"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2"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2"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2"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2"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2"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2"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2"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2"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2"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2" s="74"/>
      <c r="BR112" s="74"/>
      <c r="BS112" s="75" t="s">
        <v>1051</v>
      </c>
      <c r="BT112" s="76" t="s">
        <v>388</v>
      </c>
    </row>
    <row r="113" spans="1:72" ht="16.8" x14ac:dyDescent="0.3">
      <c r="A113" s="77" t="s">
        <v>75</v>
      </c>
      <c r="B113" s="78" t="s">
        <v>534</v>
      </c>
      <c r="C113" s="78" t="s">
        <v>413</v>
      </c>
      <c r="D113" s="78" t="s">
        <v>789</v>
      </c>
      <c r="E113" s="79"/>
      <c r="F113" s="79"/>
      <c r="G113" s="79"/>
      <c r="H113" s="79" t="s">
        <v>385</v>
      </c>
      <c r="I113" s="79" t="s">
        <v>867</v>
      </c>
      <c r="J113" s="79">
        <v>4</v>
      </c>
      <c r="K113" s="79" t="s">
        <v>868</v>
      </c>
      <c r="L113" s="79"/>
      <c r="M113" s="79"/>
      <c r="N113" s="79">
        <v>1</v>
      </c>
      <c r="O113" s="79"/>
      <c r="P113" s="80" t="s">
        <v>868</v>
      </c>
      <c r="Q113" s="79"/>
      <c r="R113" s="79"/>
      <c r="S113" s="79"/>
      <c r="T113" s="79"/>
      <c r="U113" s="79"/>
      <c r="V113"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3" s="79">
        <f>SUM(Table326[[#This Row],[Slo - Pitch - Mens ]:[Slo - Pitch - Co-Ed ]])</f>
        <v>0</v>
      </c>
      <c r="X113" s="79">
        <f>SUM(Table326[[#This Row],[Baseball - U18 ]:[Baseball - U7 ]])</f>
        <v>0</v>
      </c>
      <c r="Y113" s="72" t="s">
        <v>1042</v>
      </c>
      <c r="Z113"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3" s="74">
        <f>13.72-Table326[[#This Row],[Diamonds: Dimension Home to Pitchers Plate - m ]]</f>
        <v>13.72</v>
      </c>
      <c r="AB113" s="74">
        <f>14.32-Table326[[#This Row],[Diamonds: Dimension Home to Pitchers Plate - m ]]</f>
        <v>14.32</v>
      </c>
      <c r="AC113" s="74">
        <f>17.988-Table326[[#This Row],[Diamonds: Home to First Base Path - m ]]</f>
        <v>17.988</v>
      </c>
      <c r="AD113" s="74">
        <f>18.588-Table326[[#This Row],[Diamonds: Home to First Base Path - m ]]</f>
        <v>18.588000000000001</v>
      </c>
      <c r="AE113" s="74">
        <f>AVERAGE(Table326[[#This Row],[Home to Pitch (Low)]:[Home to 1st (High)]])</f>
        <v>16.154</v>
      </c>
      <c r="AF113"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3" s="74">
        <f>12.5-Table326[[#This Row],[Diamonds: Dimension Home to Pitchers Plate - m ]]</f>
        <v>12.5</v>
      </c>
      <c r="AH113" s="74">
        <f>13.1-Table326[[#This Row],[Diamonds: Dimension Home to Pitchers Plate - m ]]</f>
        <v>13.1</v>
      </c>
      <c r="AI113" s="74">
        <f>17.988-Table326[[#This Row],[Diamonds: Home to First Base Path - m ]]</f>
        <v>17.988</v>
      </c>
      <c r="AJ113" s="74">
        <f>18.588-Table326[[#This Row],[Diamonds: Home to First Base Path - m ]]</f>
        <v>18.588000000000001</v>
      </c>
      <c r="AK113" s="74">
        <f>AVERAGE(Table326[[#This Row],[Home to Pitch (Low)2]:[Home to 1st (High)5]])</f>
        <v>15.544</v>
      </c>
      <c r="AL113"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3" s="74">
        <f>11.2-Table326[[#This Row],[Diamonds: Dimension Home to Pitchers Plate - m ]]</f>
        <v>11.2</v>
      </c>
      <c r="AN113" s="74">
        <f>11.8-Table326[[#This Row],[Diamonds: Dimension Home to Pitchers Plate - m ]]</f>
        <v>11.8</v>
      </c>
      <c r="AO113" s="74">
        <f>16.5-Table326[[#This Row],[Diamonds: Home to First Base Path - m ]]</f>
        <v>16.5</v>
      </c>
      <c r="AP113" s="74">
        <f>17.04-Table326[[#This Row],[Diamonds: Home to First Base Path - m ]]</f>
        <v>17.04</v>
      </c>
      <c r="AQ113"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3" s="74">
        <f>10.37-Table326[[#This Row],[Diamonds: Dimension Home to Pitchers Plate - m ]]</f>
        <v>10.37</v>
      </c>
      <c r="AS113" s="74">
        <f>10.97-Table326[[#This Row],[Diamonds: Dimension Home to Pitchers Plate - m ]]</f>
        <v>10.97</v>
      </c>
      <c r="AT113" s="74">
        <f>13.5-Table326[[#This Row],[Diamonds: Home to First Base Path - m ]]</f>
        <v>13.5</v>
      </c>
      <c r="AU113" s="74">
        <f>14.02-Table326[[#This Row],[Diamonds: Home to First Base Path - m ]]</f>
        <v>14.02</v>
      </c>
      <c r="AV113"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3"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3"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3"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3"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3"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3"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3"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3"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3"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3"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3"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3"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3"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3"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3"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3"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3"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3"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3"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3"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3" s="74"/>
      <c r="BR113" s="74"/>
      <c r="BS113" s="75" t="s">
        <v>869</v>
      </c>
      <c r="BT113" s="76" t="s">
        <v>388</v>
      </c>
    </row>
    <row r="114" spans="1:72" ht="16.8" x14ac:dyDescent="0.3">
      <c r="A114" s="77" t="s">
        <v>86</v>
      </c>
      <c r="B114" s="78" t="s">
        <v>553</v>
      </c>
      <c r="C114" s="78" t="s">
        <v>739</v>
      </c>
      <c r="D114" s="78" t="s">
        <v>789</v>
      </c>
      <c r="E114" s="79"/>
      <c r="F114" s="79"/>
      <c r="G114" s="79"/>
      <c r="H114" s="79"/>
      <c r="I114" s="79"/>
      <c r="J114" s="79"/>
      <c r="K114" s="79"/>
      <c r="L114" s="79"/>
      <c r="M114" s="79"/>
      <c r="N114" s="79"/>
      <c r="O114" s="79"/>
      <c r="P114" s="80"/>
      <c r="Q114" s="79"/>
      <c r="R114" s="81"/>
      <c r="S114" s="81"/>
      <c r="T114" s="79"/>
      <c r="U114" s="79"/>
      <c r="V114"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4" s="79">
        <f>SUM(Table326[[#This Row],[Slo - Pitch - Mens ]:[Slo - Pitch - Co-Ed ]])</f>
        <v>0</v>
      </c>
      <c r="X114" s="79">
        <f>SUM(Table326[[#This Row],[Baseball - U18 ]:[Baseball - U7 ]])</f>
        <v>0</v>
      </c>
      <c r="Y114" s="79" t="s">
        <v>1042</v>
      </c>
      <c r="Z114" s="10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4" s="104">
        <f>13.72-Table326[[#This Row],[Diamonds: Dimension Home to Pitchers Plate - m ]]</f>
        <v>13.72</v>
      </c>
      <c r="AB114" s="104">
        <f>14.32-Table326[[#This Row],[Diamonds: Dimension Home to Pitchers Plate - m ]]</f>
        <v>14.32</v>
      </c>
      <c r="AC114" s="104">
        <f>17.988-Table326[[#This Row],[Diamonds: Home to First Base Path - m ]]</f>
        <v>17.988</v>
      </c>
      <c r="AD114" s="104">
        <f>18.588-Table326[[#This Row],[Diamonds: Home to First Base Path - m ]]</f>
        <v>18.588000000000001</v>
      </c>
      <c r="AE114" s="104">
        <f>AVERAGE(Table326[[#This Row],[Home to Pitch (Low)]:[Home to 1st (High)]])</f>
        <v>16.154</v>
      </c>
      <c r="AF114" s="10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4" s="104">
        <f>12.5-Table326[[#This Row],[Diamonds: Dimension Home to Pitchers Plate - m ]]</f>
        <v>12.5</v>
      </c>
      <c r="AH114" s="104">
        <f>13.1-Table326[[#This Row],[Diamonds: Dimension Home to Pitchers Plate - m ]]</f>
        <v>13.1</v>
      </c>
      <c r="AI114" s="104">
        <f>17.988-Table326[[#This Row],[Diamonds: Home to First Base Path - m ]]</f>
        <v>17.988</v>
      </c>
      <c r="AJ114" s="104">
        <f>18.588-Table326[[#This Row],[Diamonds: Home to First Base Path - m ]]</f>
        <v>18.588000000000001</v>
      </c>
      <c r="AK114" s="104">
        <f>AVERAGE(Table326[[#This Row],[Home to Pitch (Low)2]:[Home to 1st (High)5]])</f>
        <v>15.544</v>
      </c>
      <c r="AL114" s="10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4" s="104">
        <f>11.2-Table326[[#This Row],[Diamonds: Dimension Home to Pitchers Plate - m ]]</f>
        <v>11.2</v>
      </c>
      <c r="AN114" s="104">
        <f>11.8-Table326[[#This Row],[Diamonds: Dimension Home to Pitchers Plate - m ]]</f>
        <v>11.8</v>
      </c>
      <c r="AO114" s="104">
        <f>16.5-Table326[[#This Row],[Diamonds: Home to First Base Path - m ]]</f>
        <v>16.5</v>
      </c>
      <c r="AP114" s="104">
        <f>17.04-Table326[[#This Row],[Diamonds: Home to First Base Path - m ]]</f>
        <v>17.04</v>
      </c>
      <c r="AQ114" s="10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4" s="104">
        <f>10.37-Table326[[#This Row],[Diamonds: Dimension Home to Pitchers Plate - m ]]</f>
        <v>10.37</v>
      </c>
      <c r="AS114" s="104">
        <f>10.97-Table326[[#This Row],[Diamonds: Dimension Home to Pitchers Plate - m ]]</f>
        <v>10.97</v>
      </c>
      <c r="AT114" s="104">
        <f>13.5-Table326[[#This Row],[Diamonds: Home to First Base Path - m ]]</f>
        <v>13.5</v>
      </c>
      <c r="AU114" s="104">
        <f>14.02-Table326[[#This Row],[Diamonds: Home to First Base Path - m ]]</f>
        <v>14.02</v>
      </c>
      <c r="AV114" s="10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4" s="10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4" s="10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4" s="10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4" s="10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4" s="10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4" s="10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4" s="10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4" s="10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4" s="10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4" s="10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4" s="10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4" s="10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4" s="10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4" s="10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4" s="10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4" s="10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4" s="10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4" s="10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4" s="10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4" s="10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4" s="104"/>
      <c r="BR114" s="104"/>
      <c r="BS114" s="83" t="s">
        <v>893</v>
      </c>
      <c r="BT114" s="84" t="s">
        <v>388</v>
      </c>
    </row>
    <row r="115" spans="1:72" ht="16.8" x14ac:dyDescent="0.3">
      <c r="A115" s="77" t="s">
        <v>105</v>
      </c>
      <c r="B115" s="78" t="s">
        <v>586</v>
      </c>
      <c r="C115" s="78" t="s">
        <v>739</v>
      </c>
      <c r="D115" s="78" t="s">
        <v>740</v>
      </c>
      <c r="E115" s="79"/>
      <c r="F115" s="79"/>
      <c r="G115" s="79"/>
      <c r="H115" s="79" t="s">
        <v>444</v>
      </c>
      <c r="I115" s="79" t="s">
        <v>925</v>
      </c>
      <c r="J115" s="79">
        <v>5.5</v>
      </c>
      <c r="K115" s="79" t="s">
        <v>926</v>
      </c>
      <c r="L115" s="79"/>
      <c r="M115" s="79"/>
      <c r="N115" s="79">
        <v>1</v>
      </c>
      <c r="O115" s="79">
        <v>1</v>
      </c>
      <c r="P115" s="80" t="s">
        <v>766</v>
      </c>
      <c r="Q115" s="79"/>
      <c r="R115" s="79"/>
      <c r="S115" s="79"/>
      <c r="T115" s="79"/>
      <c r="U115" s="79"/>
      <c r="V115"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5" s="79">
        <f>SUM(Table326[[#This Row],[Slo - Pitch - Mens ]:[Slo - Pitch - Co-Ed ]])</f>
        <v>0</v>
      </c>
      <c r="X115" s="79">
        <f>SUM(Table326[[#This Row],[Baseball - U18 ]:[Baseball - U7 ]])</f>
        <v>0</v>
      </c>
      <c r="Y115" s="72" t="s">
        <v>1042</v>
      </c>
      <c r="Z115"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5" s="74">
        <f>13.72-Table326[[#This Row],[Diamonds: Dimension Home to Pitchers Plate - m ]]</f>
        <v>13.72</v>
      </c>
      <c r="AB115" s="74">
        <f>14.32-Table326[[#This Row],[Diamonds: Dimension Home to Pitchers Plate - m ]]</f>
        <v>14.32</v>
      </c>
      <c r="AC115" s="74">
        <f>17.988-Table326[[#This Row],[Diamonds: Home to First Base Path - m ]]</f>
        <v>17.988</v>
      </c>
      <c r="AD115" s="74">
        <f>18.588-Table326[[#This Row],[Diamonds: Home to First Base Path - m ]]</f>
        <v>18.588000000000001</v>
      </c>
      <c r="AE115" s="74">
        <f>AVERAGE(Table326[[#This Row],[Home to Pitch (Low)]:[Home to 1st (High)]])</f>
        <v>16.154</v>
      </c>
      <c r="AF115"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5" s="74">
        <f>12.5-Table326[[#This Row],[Diamonds: Dimension Home to Pitchers Plate - m ]]</f>
        <v>12.5</v>
      </c>
      <c r="AH115" s="74">
        <f>13.1-Table326[[#This Row],[Diamonds: Dimension Home to Pitchers Plate - m ]]</f>
        <v>13.1</v>
      </c>
      <c r="AI115" s="74">
        <f>17.988-Table326[[#This Row],[Diamonds: Home to First Base Path - m ]]</f>
        <v>17.988</v>
      </c>
      <c r="AJ115" s="74">
        <f>18.588-Table326[[#This Row],[Diamonds: Home to First Base Path - m ]]</f>
        <v>18.588000000000001</v>
      </c>
      <c r="AK115" s="74">
        <f>AVERAGE(Table326[[#This Row],[Home to Pitch (Low)2]:[Home to 1st (High)5]])</f>
        <v>15.544</v>
      </c>
      <c r="AL115"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5" s="74">
        <f>11.2-Table326[[#This Row],[Diamonds: Dimension Home to Pitchers Plate - m ]]</f>
        <v>11.2</v>
      </c>
      <c r="AN115" s="74">
        <f>11.8-Table326[[#This Row],[Diamonds: Dimension Home to Pitchers Plate - m ]]</f>
        <v>11.8</v>
      </c>
      <c r="AO115" s="74">
        <f>16.5-Table326[[#This Row],[Diamonds: Home to First Base Path - m ]]</f>
        <v>16.5</v>
      </c>
      <c r="AP115" s="74">
        <f>17.04-Table326[[#This Row],[Diamonds: Home to First Base Path - m ]]</f>
        <v>17.04</v>
      </c>
      <c r="AQ115"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5" s="74">
        <f>10.37-Table326[[#This Row],[Diamonds: Dimension Home to Pitchers Plate - m ]]</f>
        <v>10.37</v>
      </c>
      <c r="AS115" s="74">
        <f>10.97-Table326[[#This Row],[Diamonds: Dimension Home to Pitchers Plate - m ]]</f>
        <v>10.97</v>
      </c>
      <c r="AT115" s="74">
        <f>13.5-Table326[[#This Row],[Diamonds: Home to First Base Path - m ]]</f>
        <v>13.5</v>
      </c>
      <c r="AU115" s="74">
        <f>14.02-Table326[[#This Row],[Diamonds: Home to First Base Path - m ]]</f>
        <v>14.02</v>
      </c>
      <c r="AV115"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5"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5"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5"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5"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5"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5"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5"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5"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5"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5"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5"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5"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5"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5"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5"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5"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5"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5"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5"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5"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5" s="74"/>
      <c r="BR115" s="74"/>
      <c r="BS115" s="75" t="s">
        <v>927</v>
      </c>
      <c r="BT115" s="76" t="s">
        <v>388</v>
      </c>
    </row>
    <row r="116" spans="1:72" ht="33.6" x14ac:dyDescent="0.3">
      <c r="A116" s="70" t="s">
        <v>107</v>
      </c>
      <c r="B116" s="71" t="s">
        <v>586</v>
      </c>
      <c r="C116" s="71" t="s">
        <v>739</v>
      </c>
      <c r="D116" s="71" t="s">
        <v>740</v>
      </c>
      <c r="E116" s="72"/>
      <c r="F116" s="72"/>
      <c r="G116" s="72"/>
      <c r="H116" s="72" t="s">
        <v>385</v>
      </c>
      <c r="I116" s="72" t="s">
        <v>928</v>
      </c>
      <c r="J116" s="72">
        <v>7.5</v>
      </c>
      <c r="K116" s="72" t="s">
        <v>926</v>
      </c>
      <c r="L116" s="72"/>
      <c r="M116" s="72"/>
      <c r="N116" s="72">
        <v>1</v>
      </c>
      <c r="O116" s="72"/>
      <c r="P116" s="73" t="s">
        <v>766</v>
      </c>
      <c r="Q116" s="72"/>
      <c r="R116" s="72"/>
      <c r="S116" s="72"/>
      <c r="T116" s="72"/>
      <c r="U116" s="72"/>
      <c r="V116" s="72">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6" s="72">
        <f>SUM(Table326[[#This Row],[Slo - Pitch - Mens ]:[Slo - Pitch - Co-Ed ]])</f>
        <v>0</v>
      </c>
      <c r="X116" s="72">
        <f>SUM(Table326[[#This Row],[Baseball - U18 ]:[Baseball - U7 ]])</f>
        <v>0</v>
      </c>
      <c r="Y116" s="72" t="s">
        <v>1042</v>
      </c>
      <c r="Z116"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6" s="74">
        <f>13.72-Table326[[#This Row],[Diamonds: Dimension Home to Pitchers Plate - m ]]</f>
        <v>13.72</v>
      </c>
      <c r="AB116" s="74">
        <f>14.32-Table326[[#This Row],[Diamonds: Dimension Home to Pitchers Plate - m ]]</f>
        <v>14.32</v>
      </c>
      <c r="AC116" s="74">
        <f>17.988-Table326[[#This Row],[Diamonds: Home to First Base Path - m ]]</f>
        <v>17.988</v>
      </c>
      <c r="AD116" s="74">
        <f>18.588-Table326[[#This Row],[Diamonds: Home to First Base Path - m ]]</f>
        <v>18.588000000000001</v>
      </c>
      <c r="AE116" s="74">
        <f>AVERAGE(Table326[[#This Row],[Home to Pitch (Low)]:[Home to 1st (High)]])</f>
        <v>16.154</v>
      </c>
      <c r="AF116"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6" s="74">
        <f>12.5-Table326[[#This Row],[Diamonds: Dimension Home to Pitchers Plate - m ]]</f>
        <v>12.5</v>
      </c>
      <c r="AH116" s="74">
        <f>13.1-Table326[[#This Row],[Diamonds: Dimension Home to Pitchers Plate - m ]]</f>
        <v>13.1</v>
      </c>
      <c r="AI116" s="74">
        <f>17.988-Table326[[#This Row],[Diamonds: Home to First Base Path - m ]]</f>
        <v>17.988</v>
      </c>
      <c r="AJ116" s="74">
        <f>18.588-Table326[[#This Row],[Diamonds: Home to First Base Path - m ]]</f>
        <v>18.588000000000001</v>
      </c>
      <c r="AK116" s="74">
        <f>AVERAGE(Table326[[#This Row],[Home to Pitch (Low)2]:[Home to 1st (High)5]])</f>
        <v>15.544</v>
      </c>
      <c r="AL116"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6" s="74">
        <f>11.2-Table326[[#This Row],[Diamonds: Dimension Home to Pitchers Plate - m ]]</f>
        <v>11.2</v>
      </c>
      <c r="AN116" s="74">
        <f>11.8-Table326[[#This Row],[Diamonds: Dimension Home to Pitchers Plate - m ]]</f>
        <v>11.8</v>
      </c>
      <c r="AO116" s="74">
        <f>16.5-Table326[[#This Row],[Diamonds: Home to First Base Path - m ]]</f>
        <v>16.5</v>
      </c>
      <c r="AP116" s="74">
        <f>17.04-Table326[[#This Row],[Diamonds: Home to First Base Path - m ]]</f>
        <v>17.04</v>
      </c>
      <c r="AQ116"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6" s="74">
        <f>10.37-Table326[[#This Row],[Diamonds: Dimension Home to Pitchers Plate - m ]]</f>
        <v>10.37</v>
      </c>
      <c r="AS116" s="74">
        <f>10.97-Table326[[#This Row],[Diamonds: Dimension Home to Pitchers Plate - m ]]</f>
        <v>10.97</v>
      </c>
      <c r="AT116" s="74">
        <f>13.5-Table326[[#This Row],[Diamonds: Home to First Base Path - m ]]</f>
        <v>13.5</v>
      </c>
      <c r="AU116" s="74">
        <f>14.02-Table326[[#This Row],[Diamonds: Home to First Base Path - m ]]</f>
        <v>14.02</v>
      </c>
      <c r="AV116"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6"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6"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6"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6"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6"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6"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6"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6"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6"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6"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6"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6"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6"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6"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6"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6"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6"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6"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6"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6"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6" s="74"/>
      <c r="BR116" s="74"/>
      <c r="BS116" s="75" t="s">
        <v>929</v>
      </c>
      <c r="BT116" s="76" t="s">
        <v>388</v>
      </c>
    </row>
    <row r="117" spans="1:72" ht="16.8" x14ac:dyDescent="0.3">
      <c r="A117" s="77" t="s">
        <v>121</v>
      </c>
      <c r="B117" s="78" t="s">
        <v>604</v>
      </c>
      <c r="C117" s="78" t="s">
        <v>769</v>
      </c>
      <c r="D117" s="78" t="s">
        <v>789</v>
      </c>
      <c r="E117" s="79"/>
      <c r="F117" s="79"/>
      <c r="G117" s="79"/>
      <c r="H117" s="79" t="s">
        <v>444</v>
      </c>
      <c r="I117" s="79" t="s">
        <v>950</v>
      </c>
      <c r="J117" s="79">
        <v>4</v>
      </c>
      <c r="K117" s="79"/>
      <c r="L117" s="79"/>
      <c r="M117" s="79"/>
      <c r="N117" s="79"/>
      <c r="O117" s="79"/>
      <c r="P117" s="80" t="s">
        <v>766</v>
      </c>
      <c r="Q117" s="79"/>
      <c r="R117" s="79">
        <v>13.2</v>
      </c>
      <c r="S117" s="79"/>
      <c r="T117" s="79"/>
      <c r="U117" s="79"/>
      <c r="V117" s="79">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7" s="79">
        <f>SUM(Table326[[#This Row],[Slo - Pitch - Mens ]:[Slo - Pitch - Co-Ed ]])</f>
        <v>0</v>
      </c>
      <c r="X117" s="79">
        <f>SUM(Table326[[#This Row],[Baseball - U18 ]:[Baseball - U7 ]])</f>
        <v>0</v>
      </c>
      <c r="Y117" s="72" t="s">
        <v>1042</v>
      </c>
      <c r="Z117"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7" s="74">
        <f>13.72-Table326[[#This Row],[Diamonds: Dimension Home to Pitchers Plate - m ]]</f>
        <v>13.72</v>
      </c>
      <c r="AB117" s="74">
        <f>14.32-Table326[[#This Row],[Diamonds: Dimension Home to Pitchers Plate - m ]]</f>
        <v>14.32</v>
      </c>
      <c r="AC117" s="74">
        <f>17.988-Table326[[#This Row],[Diamonds: Home to First Base Path - m ]]</f>
        <v>17.988</v>
      </c>
      <c r="AD117" s="74">
        <f>18.588-Table326[[#This Row],[Diamonds: Home to First Base Path - m ]]</f>
        <v>18.588000000000001</v>
      </c>
      <c r="AE117" s="74">
        <f>AVERAGE(Table326[[#This Row],[Home to Pitch (Low)]:[Home to 1st (High)]])</f>
        <v>16.154</v>
      </c>
      <c r="AF117"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7" s="74">
        <f>12.5-Table326[[#This Row],[Diamonds: Dimension Home to Pitchers Plate - m ]]</f>
        <v>12.5</v>
      </c>
      <c r="AH117" s="74">
        <f>13.1-Table326[[#This Row],[Diamonds: Dimension Home to Pitchers Plate - m ]]</f>
        <v>13.1</v>
      </c>
      <c r="AI117" s="74">
        <f>17.988-Table326[[#This Row],[Diamonds: Home to First Base Path - m ]]</f>
        <v>17.988</v>
      </c>
      <c r="AJ117" s="74">
        <f>18.588-Table326[[#This Row],[Diamonds: Home to First Base Path - m ]]</f>
        <v>18.588000000000001</v>
      </c>
      <c r="AK117" s="74">
        <f>AVERAGE(Table326[[#This Row],[Home to Pitch (Low)2]:[Home to 1st (High)5]])</f>
        <v>15.544</v>
      </c>
      <c r="AL117"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7" s="74">
        <f>11.2-Table326[[#This Row],[Diamonds: Dimension Home to Pitchers Plate - m ]]</f>
        <v>11.2</v>
      </c>
      <c r="AN117" s="74">
        <f>11.8-Table326[[#This Row],[Diamonds: Dimension Home to Pitchers Plate - m ]]</f>
        <v>11.8</v>
      </c>
      <c r="AO117" s="74">
        <f>16.5-Table326[[#This Row],[Diamonds: Home to First Base Path - m ]]</f>
        <v>16.5</v>
      </c>
      <c r="AP117" s="74">
        <f>17.04-Table326[[#This Row],[Diamonds: Home to First Base Path - m ]]</f>
        <v>17.04</v>
      </c>
      <c r="AQ117"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7" s="74">
        <f>10.37-Table326[[#This Row],[Diamonds: Dimension Home to Pitchers Plate - m ]]</f>
        <v>10.37</v>
      </c>
      <c r="AS117" s="74">
        <f>10.97-Table326[[#This Row],[Diamonds: Dimension Home to Pitchers Plate - m ]]</f>
        <v>10.97</v>
      </c>
      <c r="AT117" s="74">
        <f>13.5-Table326[[#This Row],[Diamonds: Home to First Base Path - m ]]</f>
        <v>13.5</v>
      </c>
      <c r="AU117" s="74">
        <f>14.02-Table326[[#This Row],[Diamonds: Home to First Base Path - m ]]</f>
        <v>14.02</v>
      </c>
      <c r="AV117"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7"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7"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7"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7"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7"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7"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7"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7"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7"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7"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7"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7"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7"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7"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7"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7"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7"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7"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7"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7"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7" s="74"/>
      <c r="BR117" s="74"/>
      <c r="BS117" s="75" t="s">
        <v>951</v>
      </c>
      <c r="BT117" s="76" t="s">
        <v>388</v>
      </c>
    </row>
    <row r="118" spans="1:72" ht="33.6" x14ac:dyDescent="0.3">
      <c r="A118" s="115" t="s">
        <v>43</v>
      </c>
      <c r="B118" s="116" t="s">
        <v>473</v>
      </c>
      <c r="C118" s="116" t="s">
        <v>739</v>
      </c>
      <c r="D118" s="116" t="s">
        <v>740</v>
      </c>
      <c r="E118" s="117"/>
      <c r="F118" s="117"/>
      <c r="G118" s="117"/>
      <c r="H118" s="117" t="s">
        <v>444</v>
      </c>
      <c r="I118" s="117" t="s">
        <v>810</v>
      </c>
      <c r="J118" s="117">
        <v>6</v>
      </c>
      <c r="K118" s="117" t="s">
        <v>742</v>
      </c>
      <c r="L118" s="117" t="s">
        <v>591</v>
      </c>
      <c r="M118" s="117" t="s">
        <v>591</v>
      </c>
      <c r="N118" s="117">
        <v>1</v>
      </c>
      <c r="O118" s="117">
        <v>1</v>
      </c>
      <c r="P118" s="118" t="s">
        <v>752</v>
      </c>
      <c r="Q118" s="117"/>
      <c r="R118" s="117">
        <v>25.5</v>
      </c>
      <c r="S118" s="117"/>
      <c r="T118" s="117"/>
      <c r="U118" s="117"/>
      <c r="V118" s="117">
        <f>Table326[[#This Row],[Softball Men - Masters U23, U20, u17 ]]+Table326[[#This Row],[Softball Men - U15 ]]+Table326[[#This Row],[Softball Men - U13 ]]+Table326[[#This Row],[Softball Men - U11 ]]+Table326[[#This Row],[Softball Men - U9, U7 ]]+Table326[[#This Row],[Softball Female - Masters ]]+Table326[[#This Row],[Softball Female - A,B, &amp;C  ]]+Table326[[#This Row],[Softball Female - D  ]]+Table326[[#This Row],[Softball Female - U19 A &amp; B  ]]+Table326[[#This Row],[Softball Female - U20 C ]]+Table326[[#This Row],[Softball Female - U17 ]]+Table326[[#This Row],[Softball Female - U15 ]]+Table326[[#This Row],[Softball Female - U13 ]]+Table326[[#This Row],[Softball Female - U11 ]]+Table326[[#This Row],[Softball Female - U9, U7 ]]</f>
        <v>0</v>
      </c>
      <c r="W118" s="117">
        <f>SUM(Table326[[#This Row],[Slo - Pitch - Mens ]:[Slo - Pitch - Co-Ed ]])</f>
        <v>0</v>
      </c>
      <c r="X118" s="117">
        <f>SUM(Table326[[#This Row],[Baseball - U18 ]:[Baseball - U7 ]])</f>
        <v>0</v>
      </c>
      <c r="Y118" s="72" t="s">
        <v>1042</v>
      </c>
      <c r="Z118" s="74">
        <f>COUNTIFS(Table326[[#This Row],[Diamonds: Dimension Home to Pitchers Plate - m ]],Methods_Dimensions!H$21,Table326[[#This Row],[Diamonds: Dimension Home to Pitchers Plate - m ]],Methods_Dimensions!I$21,Table326[[#This Row],[Diamonds: Home to First Base Path - m ]],Methods_Dimensions!J$21,Table326[[#This Row],[Diamonds: Home to First Base Path - m ]],Methods_Dimensions!K$21)</f>
        <v>0</v>
      </c>
      <c r="AA118" s="74">
        <f>13.72-Table326[[#This Row],[Diamonds: Dimension Home to Pitchers Plate - m ]]</f>
        <v>13.72</v>
      </c>
      <c r="AB118" s="74">
        <f>14.32-Table326[[#This Row],[Diamonds: Dimension Home to Pitchers Plate - m ]]</f>
        <v>14.32</v>
      </c>
      <c r="AC118" s="74">
        <f>17.988-Table326[[#This Row],[Diamonds: Home to First Base Path - m ]]</f>
        <v>17.988</v>
      </c>
      <c r="AD118" s="74">
        <f>18.588-Table326[[#This Row],[Diamonds: Home to First Base Path - m ]]</f>
        <v>18.588000000000001</v>
      </c>
      <c r="AE118" s="74">
        <f>AVERAGE(Table326[[#This Row],[Home to Pitch (Low)]:[Home to 1st (High)]])</f>
        <v>16.154</v>
      </c>
      <c r="AF118" s="74">
        <f>COUNTIFS(Table326[[#This Row],[Diamonds: Dimension Home to Pitchers Plate - m ]],Methods_Dimensions!H$22,Table326[[#This Row],[Diamonds: Dimension Home to Pitchers Plate - m ]],Methods_Dimensions!I$22,Table326[[#This Row],[Diamonds: Home to First Base Path - m ]],Methods_Dimensions!J$22,Table326[[#This Row],[Diamonds: Home to First Base Path - m ]],Methods_Dimensions!K$22)</f>
        <v>0</v>
      </c>
      <c r="AG118" s="74">
        <f>12.5-Table326[[#This Row],[Diamonds: Dimension Home to Pitchers Plate - m ]]</f>
        <v>12.5</v>
      </c>
      <c r="AH118" s="74">
        <f>13.1-Table326[[#This Row],[Diamonds: Dimension Home to Pitchers Plate - m ]]</f>
        <v>13.1</v>
      </c>
      <c r="AI118" s="74">
        <f>17.988-Table326[[#This Row],[Diamonds: Home to First Base Path - m ]]</f>
        <v>17.988</v>
      </c>
      <c r="AJ118" s="74">
        <f>18.588-Table326[[#This Row],[Diamonds: Home to First Base Path - m ]]</f>
        <v>18.588000000000001</v>
      </c>
      <c r="AK118" s="74">
        <f>AVERAGE(Table326[[#This Row],[Home to Pitch (Low)2]:[Home to 1st (High)5]])</f>
        <v>15.544</v>
      </c>
      <c r="AL118" s="74">
        <f>COUNTIFS(Table326[[#This Row],[Diamonds: Dimension Home to Pitchers Plate - m ]],Methods_Dimensions!H$23,Table326[[#This Row],[Diamonds: Dimension Home to Pitchers Plate - m ]],Methods_Dimensions!I$23,Table326[[#This Row],[Diamonds: Home to First Base Path - m ]],Methods_Dimensions!J$23,Table326[[#This Row],[Diamonds: Home to First Base Path - m ]],Methods_Dimensions!K$23)</f>
        <v>0</v>
      </c>
      <c r="AM118" s="74">
        <f>11.2-Table326[[#This Row],[Diamonds: Dimension Home to Pitchers Plate - m ]]</f>
        <v>11.2</v>
      </c>
      <c r="AN118" s="74">
        <f>11.8-Table326[[#This Row],[Diamonds: Dimension Home to Pitchers Plate - m ]]</f>
        <v>11.8</v>
      </c>
      <c r="AO118" s="74">
        <f>16.5-Table326[[#This Row],[Diamonds: Home to First Base Path - m ]]</f>
        <v>16.5</v>
      </c>
      <c r="AP118" s="74">
        <f>17.04-Table326[[#This Row],[Diamonds: Home to First Base Path - m ]]</f>
        <v>17.04</v>
      </c>
      <c r="AQ118" s="74">
        <f>COUNTIFS(Table326[[#This Row],[Diamonds: Dimension Home to Pitchers Plate - m ]],Methods_Dimensions!H$24,Table326[[#This Row],[Diamonds: Dimension Home to Pitchers Plate - m ]],Methods_Dimensions!I$24,Table326[[#This Row],[Diamonds: Home to First Base Path - m ]],Methods_Dimensions!J$24,Table326[[#This Row],[Diamonds: Home to First Base Path - m ]],Methods_Dimensions!K$24)</f>
        <v>0</v>
      </c>
      <c r="AR118" s="74">
        <f>10.37-Table326[[#This Row],[Diamonds: Dimension Home to Pitchers Plate - m ]]</f>
        <v>10.37</v>
      </c>
      <c r="AS118" s="74">
        <f>10.97-Table326[[#This Row],[Diamonds: Dimension Home to Pitchers Plate - m ]]</f>
        <v>10.97</v>
      </c>
      <c r="AT118" s="74">
        <f>13.5-Table326[[#This Row],[Diamonds: Home to First Base Path - m ]]</f>
        <v>13.5</v>
      </c>
      <c r="AU118" s="74">
        <f>14.02-Table326[[#This Row],[Diamonds: Home to First Base Path - m ]]</f>
        <v>14.02</v>
      </c>
      <c r="AV118" s="74">
        <f>COUNTIFS(Table326[[#This Row],[Diamonds: Dimension Home to Pitchers Plate - m ]],Methods_Dimensions!H$25,Table326[[#This Row],[Diamonds: Dimension Home to Pitchers Plate - m ]],Methods_Dimensions!I$25,Table326[[#This Row],[Diamonds: Home to First Base Path - m ]],Methods_Dimensions!J$25,Table326[[#This Row],[Diamonds: Home to First Base Path - m ]],Methods_Dimensions!K$25)</f>
        <v>0</v>
      </c>
      <c r="AW118" s="74">
        <f>COUNTIFS(Table326[[#This Row],[Diamonds: Dimension Home to Pitchers Plate - m ]],Methods_Dimensions!H$26,Table326[[#This Row],[Diamonds: Dimension Home to Pitchers Plate - m ]],Methods_Dimensions!I$26,Table326[[#This Row],[Diamonds: Home to First Base Path - m ]],Methods_Dimensions!J$26,Table326[[#This Row],[Diamonds: Home to First Base Path - m ]],Methods_Dimensions!K$26)</f>
        <v>0</v>
      </c>
      <c r="AX118" s="74">
        <f>COUNTIFS(Table326[[#This Row],[Diamonds: Dimension Home to Pitchers Plate - m ]],Methods_Dimensions!H$27,Table326[[#This Row],[Diamonds: Dimension Home to Pitchers Plate - m ]],Methods_Dimensions!I$27,Table326[[#This Row],[Diamonds: Home to First Base Path - m ]],Methods_Dimensions!J$27,Table326[[#This Row],[Diamonds: Home to First Base Path - m ]],Methods_Dimensions!K$27)</f>
        <v>0</v>
      </c>
      <c r="AY118" s="74">
        <f>COUNTIFS(Table326[[#This Row],[Diamonds: Dimension Home to Pitchers Plate - m ]],Methods_Dimensions!H$28,Table326[[#This Row],[Diamonds: Dimension Home to Pitchers Plate - m ]],Methods_Dimensions!I$28,Table326[[#This Row],[Diamonds: Home to First Base Path - m ]],Methods_Dimensions!J$28,Table326[[#This Row],[Diamonds: Home to First Base Path - m ]],Methods_Dimensions!K$28)</f>
        <v>0</v>
      </c>
      <c r="AZ118" s="74">
        <f>COUNTIFS(Table326[[#This Row],[Diamonds: Dimension Home to Pitchers Plate - m ]],Methods_Dimensions!H$29,Table326[[#This Row],[Diamonds: Dimension Home to Pitchers Plate - m ]],Methods_Dimensions!I$29,Table326[[#This Row],[Diamonds: Home to First Base Path - m ]],Methods_Dimensions!J$29,Table326[[#This Row],[Diamonds: Home to First Base Path - m ]],Methods_Dimensions!K$29)</f>
        <v>0</v>
      </c>
      <c r="BA118" s="74">
        <f>COUNTIFS(Table326[[#This Row],[Diamonds: Dimension Home to Pitchers Plate - m ]],Methods_Dimensions!H$30,Table326[[#This Row],[Diamonds: Dimension Home to Pitchers Plate - m ]],Methods_Dimensions!I$30,Table326[[#This Row],[Diamonds: Home to First Base Path - m ]],Methods_Dimensions!J$30,Table326[[#This Row],[Diamonds: Home to First Base Path - m ]],Methods_Dimensions!K$30)</f>
        <v>0</v>
      </c>
      <c r="BB118" s="74">
        <f>COUNTIFS(Table326[[#This Row],[Diamonds: Dimension Home to Pitchers Plate - m ]],Methods_Dimensions!H$31,Table326[[#This Row],[Diamonds: Dimension Home to Pitchers Plate - m ]],Methods_Dimensions!I$31,Table326[[#This Row],[Diamonds: Home to First Base Path - m ]],Methods_Dimensions!J$31,Table326[[#This Row],[Diamonds: Home to First Base Path - m ]],Methods_Dimensions!K$31)</f>
        <v>0</v>
      </c>
      <c r="BC118" s="74">
        <f>COUNTIFS(Table326[[#This Row],[Diamonds: Dimension Home to Pitchers Plate - m ]],Methods_Dimensions!H$32,Table326[[#This Row],[Diamonds: Dimension Home to Pitchers Plate - m ]],Methods_Dimensions!I$32,Table326[[#This Row],[Diamonds: Home to First Base Path - m ]],Methods_Dimensions!J$32,Table326[[#This Row],[Diamonds: Home to First Base Path - m ]],Methods_Dimensions!K$32)</f>
        <v>0</v>
      </c>
      <c r="BD118" s="74">
        <f>COUNTIFS(Table326[[#This Row],[Diamonds: Dimension Home to Pitchers Plate - m ]],Methods_Dimensions!H$33,Table326[[#This Row],[Diamonds: Dimension Home to Pitchers Plate - m ]],Methods_Dimensions!I$33,Table326[[#This Row],[Diamonds: Home to First Base Path - m ]],Methods_Dimensions!J$33,Table326[[#This Row],[Diamonds: Home to First Base Path - m ]],Methods_Dimensions!K$33)</f>
        <v>0</v>
      </c>
      <c r="BE118" s="74">
        <f>COUNTIFS(Table326[[#This Row],[Diamonds: Dimension Home to Pitchers Plate - m ]],Methods_Dimensions!H$34,Table326[[#This Row],[Diamonds: Dimension Home to Pitchers Plate - m ]],Methods_Dimensions!I$34,Table326[[#This Row],[Diamonds: Home to First Base Path - m ]],Methods_Dimensions!J$34,Table326[[#This Row],[Diamonds: Home to First Base Path - m ]],Methods_Dimensions!K$34)</f>
        <v>0</v>
      </c>
      <c r="BF118" s="74">
        <f>COUNTIFS(Table326[[#This Row],[Diamonds: Dimension Home to Pitchers Plate - m ]],Methods_Dimensions!H$35,Table326[[#This Row],[Diamonds: Dimension Home to Pitchers Plate - m ]],Methods_Dimensions!I$35,Table326[[#This Row],[Diamonds: Home to First Base Path - m ]],Methods_Dimensions!J$35,Table326[[#This Row],[Diamonds: Home to First Base Path - m ]],Methods_Dimensions!K$35)</f>
        <v>0</v>
      </c>
      <c r="BG118" s="74">
        <f>COUNTIFS(Table326[[#This Row],[Diamonds: Dimension Home to Pitchers Plate - m ]],Methods_Dimensions!H$36,Table326[[#This Row],[Diamonds: Dimension Home to Pitchers Plate - m ]],Methods_Dimensions!I$36,Table326[[#This Row],[Diamonds: Home to First Base Path - m ]],Methods_Dimensions!J$36,Table326[[#This Row],[Diamonds: Home to First Base Path - m ]],Methods_Dimensions!K$36)</f>
        <v>0</v>
      </c>
      <c r="BH118" s="74">
        <f>COUNTIFS(Table326[[#This Row],[Diamonds: Dimension Home to Pitchers Plate - m ]],Methods_Dimensions!H$37,Table326[[#This Row],[Diamonds: Dimension Home to Pitchers Plate - m ]],Methods_Dimensions!I$37,Table326[[#This Row],[Diamonds: Home to First Base Path - m ]],Methods_Dimensions!J$37,Table326[[#This Row],[Diamonds: Home to First Base Path - m ]],Methods_Dimensions!K$37)</f>
        <v>0</v>
      </c>
      <c r="BI118" s="74">
        <f>COUNTIFS(Table326[[#This Row],[Diamonds: Dimension Home to Pitchers Plate - m ]],Methods_Dimensions!H$38,Table326[[#This Row],[Diamonds: Dimension Home to Pitchers Plate - m ]],Methods_Dimensions!I$38,Table326[[#This Row],[Diamonds: Home to First Base Path - m ]],Methods_Dimensions!J$38,Table326[[#This Row],[Diamonds: Home to First Base Path - m ]],Methods_Dimensions!K$38)</f>
        <v>0</v>
      </c>
      <c r="BJ118" s="74">
        <f>COUNTIFS(Table326[[#This Row],[Diamonds: Dimension Home to Pitchers Plate - m ]],Methods_Dimensions!H$39,Table326[[#This Row],[Diamonds: Dimension Home to Pitchers Plate - m ]],Methods_Dimensions!I$39,Table326[[#This Row],[Diamonds: Home to First Base Path - m ]],Methods_Dimensions!J$39,Table326[[#This Row],[Diamonds: Home to First Base Path - m ]],Methods_Dimensions!K$39)</f>
        <v>0</v>
      </c>
      <c r="BK118" s="74">
        <f>COUNTIFS(Table326[[#This Row],[Diamonds: Dimension Home to Pitchers Plate - m ]],Methods_Dimensions!H$40,Table326[[#This Row],[Diamonds: Dimension Home to Pitchers Plate - m ]],Methods_Dimensions!I$40,Table326[[#This Row],[Diamonds: Home to First Base Path - m ]],Methods_Dimensions!J$40,Table326[[#This Row],[Diamonds: Home to First Base Path - m ]],Methods_Dimensions!K$40)</f>
        <v>0</v>
      </c>
      <c r="BL118" s="74">
        <f>COUNTIFS(Table326[[#This Row],[Diamonds: Dimension Home to Pitchers Plate - m ]],Methods_Dimensions!H$41,Table326[[#This Row],[Diamonds: Dimension Home to Pitchers Plate - m ]],Methods_Dimensions!I$41,Table326[[#This Row],[Diamonds: Home to First Base Path - m ]],Methods_Dimensions!J$41,Table326[[#This Row],[Diamonds: Home to First Base Path - m ]],Methods_Dimensions!K$41)</f>
        <v>0</v>
      </c>
      <c r="BM118" s="74">
        <f>COUNTIFS(Table326[[#This Row],[Diamonds: Dimension Home to Pitchers Plate - m ]],Methods_Dimensions!H$42,Table326[[#This Row],[Diamonds: Dimension Home to Pitchers Plate - m ]],Methods_Dimensions!I$42,Table326[[#This Row],[Diamonds: Home to First Base Path - m ]],Methods_Dimensions!J$42,Table326[[#This Row],[Diamonds: Home to First Base Path - m ]],Methods_Dimensions!K$42)</f>
        <v>0</v>
      </c>
      <c r="BN118" s="74">
        <f>COUNTIFS(Table326[[#This Row],[Diamonds: Dimension Home to Pitchers Plate - m ]],Methods_Dimensions!H$43,Table326[[#This Row],[Diamonds: Dimension Home to Pitchers Plate - m ]],Methods_Dimensions!I$43,Table326[[#This Row],[Diamonds: Home to First Base Path - m ]],Methods_Dimensions!J$43,Table326[[#This Row],[Diamonds: Home to First Base Path - m ]],Methods_Dimensions!K$43)</f>
        <v>0</v>
      </c>
      <c r="BO118" s="74">
        <f>COUNTIFS(Table326[[#This Row],[Diamonds: Dimension Home to Pitchers Plate - m ]],Methods_Dimensions!H$44,Table326[[#This Row],[Diamonds: Dimension Home to Pitchers Plate - m ]],Methods_Dimensions!I$44,Table326[[#This Row],[Diamonds: Home to First Base Path - m ]],Methods_Dimensions!J$44,Table326[[#This Row],[Diamonds: Home to First Base Path - m ]],Methods_Dimensions!K$44)</f>
        <v>0</v>
      </c>
      <c r="BP118" s="74">
        <f>COUNTIFS(Table326[[#This Row],[Diamonds: Dimension Home to Pitchers Plate - m ]],Methods_Dimensions!H$45,Table326[[#This Row],[Diamonds: Dimension Home to Pitchers Plate - m ]],Methods_Dimensions!I$45,Table326[[#This Row],[Diamonds: Home to First Base Path - m ]],Methods_Dimensions!J$45,Table326[[#This Row],[Diamonds: Home to First Base Path - m ]],Methods_Dimensions!K$45)</f>
        <v>0</v>
      </c>
      <c r="BQ118" s="91"/>
      <c r="BR118" s="91"/>
      <c r="BS118" s="89" t="s">
        <v>815</v>
      </c>
      <c r="BT118" s="90" t="s">
        <v>388</v>
      </c>
    </row>
    <row r="119" spans="1:72" ht="16.8" x14ac:dyDescent="0.3">
      <c r="A119" s="86"/>
      <c r="B119" s="87"/>
      <c r="C119" s="87"/>
      <c r="D119" s="87"/>
      <c r="E119" s="88"/>
      <c r="F119" s="88"/>
      <c r="G119" s="88"/>
      <c r="H119" s="88"/>
      <c r="I119" s="88"/>
      <c r="J119" s="88"/>
      <c r="K119" s="88"/>
      <c r="L119" s="91"/>
      <c r="M119" s="91"/>
      <c r="N119" s="91"/>
      <c r="O119" s="91"/>
      <c r="P119" s="91"/>
      <c r="Q119" s="91"/>
      <c r="R119" s="91"/>
      <c r="S119" s="91"/>
      <c r="T119" s="91"/>
      <c r="U119" s="91">
        <f>SUM(Table326[Diamonds: Base Anchors or Plug  (1= Yes)])</f>
        <v>38</v>
      </c>
      <c r="V119" s="91"/>
      <c r="W119" s="91"/>
      <c r="X119" s="91"/>
      <c r="Y119" s="91"/>
      <c r="Z119" s="91">
        <f>SUM(Table326[Softball Men - Masters U23, U20, u17 ])</f>
        <v>28</v>
      </c>
      <c r="AA119" s="91"/>
      <c r="AB119" s="91"/>
      <c r="AC119" s="91"/>
      <c r="AD119" s="91"/>
      <c r="AE119" s="91"/>
      <c r="AF119" s="91">
        <f>SUM(Table326[Softball Men - U15 ])</f>
        <v>13</v>
      </c>
      <c r="AG119" s="91"/>
      <c r="AH119" s="91"/>
      <c r="AI119" s="91"/>
      <c r="AJ119" s="91"/>
      <c r="AK119" s="91"/>
      <c r="AL119" s="91">
        <f>SUM(Table326[Softball Men - U13 ])</f>
        <v>5</v>
      </c>
      <c r="AM119" s="91"/>
      <c r="AN119" s="91"/>
      <c r="AO119" s="91"/>
      <c r="AP119" s="91"/>
      <c r="AQ119" s="91">
        <f>SUM(Table326[Softball Men - U11 ])</f>
        <v>0</v>
      </c>
      <c r="AR119" s="91"/>
      <c r="AS119" s="91"/>
      <c r="AT119" s="91"/>
      <c r="AU119" s="91"/>
      <c r="AV119" s="91">
        <f>SUM(Table326[Softball Men - U9, U7 ])</f>
        <v>0</v>
      </c>
      <c r="AW119" s="91">
        <f>SUM(Table326[Softball Female - Masters ])</f>
        <v>7</v>
      </c>
      <c r="AX119" s="91">
        <f>SUM(Table326[Softball Female - A,B, &amp;C  ])</f>
        <v>7</v>
      </c>
      <c r="AY119" s="91">
        <f>SUM(Table326[Softball Female - D  ])</f>
        <v>3</v>
      </c>
      <c r="AZ119" s="91">
        <f>SUM(Table326[Softball Female - U19 A &amp; B  ])</f>
        <v>7</v>
      </c>
      <c r="BA119" s="91">
        <f>SUM(Table326[Softball Female - U20 C ])</f>
        <v>7</v>
      </c>
      <c r="BB119" s="91">
        <f>SUM(Table326[Softball Female - U17 ])</f>
        <v>7</v>
      </c>
      <c r="BC119" s="91">
        <f>SUM(Table326[Softball Female - U15 ])</f>
        <v>3</v>
      </c>
      <c r="BD119" s="91">
        <f>SUM(Table326[Softball Female - U13 ])</f>
        <v>0</v>
      </c>
      <c r="BE119" s="91">
        <f>SUM(Table326[Softball Female - U11 ])</f>
        <v>0</v>
      </c>
      <c r="BF119" s="91">
        <f>SUM(Table326[Softball Female - U9, U7 ])</f>
        <v>0</v>
      </c>
      <c r="BG119" s="91">
        <f>SUM(Table326[Slo - Pitch - Mens ])</f>
        <v>0</v>
      </c>
      <c r="BH119" s="91">
        <f>SUM(Table326[Slo - Pitch - Womens ])</f>
        <v>1</v>
      </c>
      <c r="BI119" s="91">
        <f>SUM(Table326[Slo - Pitch - Co-Ed ])</f>
        <v>1</v>
      </c>
      <c r="BJ119" s="91">
        <f>SUM(Table326[Baseball - U18 ])</f>
        <v>2</v>
      </c>
      <c r="BK119" s="91">
        <f>SUM(Table326[Baseball - U15 ])</f>
        <v>2</v>
      </c>
      <c r="BL119" s="91">
        <f>SUM(Table326[Baseball - U13 ])</f>
        <v>1</v>
      </c>
      <c r="BM119" s="91">
        <f>SUM(Table326[Baseball - U10 &amp; U11 ])</f>
        <v>18</v>
      </c>
      <c r="BN119" s="91">
        <f>SUM(Table326[Baseball - U9 ])</f>
        <v>18</v>
      </c>
      <c r="BO119" s="91">
        <f>SUM(Table326[Baseball - U9 2 ])</f>
        <v>8</v>
      </c>
      <c r="BP119" s="91">
        <f>SUM(Table326[Baseball - U7 ])</f>
        <v>0</v>
      </c>
      <c r="BQ119" s="91"/>
      <c r="BR119" s="91"/>
      <c r="BS119" s="89"/>
      <c r="BT119" s="90"/>
    </row>
  </sheetData>
  <phoneticPr fontId="9"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6B00-E712-44AC-B8C6-D809E8625DCD}">
  <dimension ref="A1:BS119"/>
  <sheetViews>
    <sheetView workbookViewId="0">
      <pane xSplit="1" topLeftCell="AN1" activePane="topRight" state="frozen"/>
      <selection pane="topRight" activeCell="AS4" sqref="AS4"/>
    </sheetView>
  </sheetViews>
  <sheetFormatPr defaultRowHeight="14.4" x14ac:dyDescent="0.3"/>
  <cols>
    <col min="1" max="1" width="35" style="22" bestFit="1" customWidth="1"/>
    <col min="2" max="2" width="33.109375" style="22" customWidth="1"/>
    <col min="3" max="4" width="22" style="22" customWidth="1"/>
    <col min="5" max="5" width="32.109375" style="22" customWidth="1"/>
    <col min="6" max="6" width="32.88671875" style="22" customWidth="1"/>
    <col min="7" max="7" width="16.109375" style="22" customWidth="1"/>
    <col min="8" max="8" width="26.5546875" style="22" customWidth="1"/>
    <col min="9" max="11" width="22" style="22" customWidth="1"/>
    <col min="12" max="12" width="24.88671875" style="22" customWidth="1"/>
    <col min="13" max="13" width="27.44140625" style="22" customWidth="1"/>
    <col min="14" max="16" width="22" style="22" customWidth="1"/>
    <col min="17" max="17" width="27.5546875" style="22" customWidth="1"/>
    <col min="18" max="18" width="28.88671875" style="22" customWidth="1"/>
    <col min="19" max="19" width="22" style="22" customWidth="1"/>
    <col min="20" max="20" width="28.6640625" style="22" customWidth="1"/>
    <col min="21" max="21" width="29.44140625" style="22" customWidth="1"/>
    <col min="22" max="22" width="27.109375" style="23" customWidth="1"/>
    <col min="23" max="23" width="28.33203125" style="22" customWidth="1"/>
    <col min="24" max="24" width="36.5546875" style="22" customWidth="1"/>
    <col min="25" max="25" width="44.44140625" style="23" customWidth="1"/>
    <col min="26" max="26" width="46.44140625" style="22" customWidth="1"/>
    <col min="27" max="27" width="22" style="23" customWidth="1"/>
    <col min="28" max="32" width="46.6640625" style="22" customWidth="1"/>
    <col min="33" max="33" width="32.5546875" style="22" customWidth="1"/>
    <col min="34" max="34" width="33.33203125" style="22" customWidth="1"/>
    <col min="35" max="35" width="33.109375" style="22" customWidth="1"/>
    <col min="36" max="36" width="27" style="22" customWidth="1"/>
    <col min="37" max="37" width="20.88671875" style="22" customWidth="1"/>
    <col min="38" max="38" width="31.88671875" style="22" customWidth="1"/>
    <col min="39" max="39" width="46.6640625" style="23" customWidth="1"/>
    <col min="40" max="40" width="36.88671875" style="22" customWidth="1"/>
    <col min="41" max="41" width="30.5546875" style="22" hidden="1" customWidth="1"/>
    <col min="42" max="42" width="24.5546875" style="22" hidden="1" customWidth="1"/>
    <col min="43" max="43" width="22.5546875" style="22" customWidth="1"/>
    <col min="44" max="44" width="25.88671875" style="22" hidden="1" customWidth="1"/>
    <col min="45" max="45" width="26.44140625" style="22" customWidth="1"/>
    <col min="46" max="46" width="18" style="22" customWidth="1"/>
    <col min="47" max="47" width="20.88671875" style="22" customWidth="1"/>
    <col min="48" max="48" width="17.88671875" style="22" customWidth="1"/>
    <col min="49" max="49" width="20.33203125" style="22" customWidth="1"/>
    <col min="50" max="50" width="19.44140625" style="22" customWidth="1"/>
    <col min="51" max="51" width="17.44140625" style="22" customWidth="1"/>
    <col min="52" max="52" width="18" style="22" customWidth="1"/>
    <col min="53" max="53" width="19.5546875" style="22" customWidth="1"/>
    <col min="54" max="54" width="19.109375" style="22" customWidth="1"/>
    <col min="55" max="55" width="20" style="22" customWidth="1"/>
    <col min="56" max="56" width="16.6640625" style="22" customWidth="1"/>
    <col min="57" max="57" width="16.109375" style="22" customWidth="1"/>
    <col min="58" max="58" width="18.5546875" style="22" customWidth="1"/>
    <col min="59" max="59" width="18.109375" style="22" customWidth="1"/>
    <col min="60" max="60" width="16.44140625" style="22" customWidth="1"/>
    <col min="61" max="61" width="16.5546875" style="22" customWidth="1"/>
    <col min="62" max="62" width="14.6640625" style="22" customWidth="1"/>
    <col min="63" max="63" width="16.6640625" style="22" customWidth="1"/>
    <col min="64" max="64" width="15.5546875" style="22" customWidth="1"/>
    <col min="65" max="65" width="17.44140625" style="22" customWidth="1"/>
    <col min="66" max="66" width="21.109375" style="22" customWidth="1"/>
    <col min="67" max="67" width="15.33203125" style="22" customWidth="1"/>
    <col min="68" max="69" width="15.5546875" style="22" customWidth="1"/>
    <col min="70" max="70" width="70.109375" style="19" customWidth="1"/>
    <col min="71" max="71" width="54.109375" style="19" customWidth="1"/>
  </cols>
  <sheetData>
    <row r="1" spans="1:71" ht="52.2" x14ac:dyDescent="0.3">
      <c r="A1" s="8" t="s">
        <v>328</v>
      </c>
      <c r="B1" s="9" t="s">
        <v>329</v>
      </c>
      <c r="C1" s="9" t="s">
        <v>330</v>
      </c>
      <c r="D1" s="9" t="s">
        <v>331</v>
      </c>
      <c r="E1" s="9" t="s">
        <v>332</v>
      </c>
      <c r="F1" s="9" t="s">
        <v>678</v>
      </c>
      <c r="G1" s="9" t="s">
        <v>333</v>
      </c>
      <c r="H1" s="9" t="s">
        <v>679</v>
      </c>
      <c r="I1" s="9" t="s">
        <v>338</v>
      </c>
      <c r="J1" s="9" t="s">
        <v>680</v>
      </c>
      <c r="K1" s="9" t="s">
        <v>681</v>
      </c>
      <c r="L1" s="9" t="s">
        <v>682</v>
      </c>
      <c r="M1" s="9" t="s">
        <v>683</v>
      </c>
      <c r="N1" s="9" t="s">
        <v>684</v>
      </c>
      <c r="O1" s="9" t="s">
        <v>685</v>
      </c>
      <c r="P1" s="9" t="s">
        <v>686</v>
      </c>
      <c r="Q1" s="9" t="s">
        <v>687</v>
      </c>
      <c r="R1" s="9" t="s">
        <v>688</v>
      </c>
      <c r="S1" s="9" t="s">
        <v>689</v>
      </c>
      <c r="T1" s="9" t="s">
        <v>690</v>
      </c>
      <c r="U1" s="9" t="s">
        <v>691</v>
      </c>
      <c r="V1" s="9" t="s">
        <v>354</v>
      </c>
      <c r="W1" s="9" t="s">
        <v>355</v>
      </c>
      <c r="X1" s="9" t="s">
        <v>692</v>
      </c>
      <c r="Y1" s="9" t="s">
        <v>693</v>
      </c>
      <c r="Z1" s="9" t="s">
        <v>358</v>
      </c>
      <c r="AA1" s="9" t="s">
        <v>359</v>
      </c>
      <c r="AB1" s="9" t="s">
        <v>694</v>
      </c>
      <c r="AC1" s="9" t="s">
        <v>695</v>
      </c>
      <c r="AD1" s="9" t="s">
        <v>696</v>
      </c>
      <c r="AE1" s="9" t="s">
        <v>697</v>
      </c>
      <c r="AF1" s="9" t="s">
        <v>698</v>
      </c>
      <c r="AG1" s="9" t="s">
        <v>699</v>
      </c>
      <c r="AH1" s="9" t="s">
        <v>700</v>
      </c>
      <c r="AI1" s="9" t="s">
        <v>701</v>
      </c>
      <c r="AJ1" s="9" t="s">
        <v>702</v>
      </c>
      <c r="AK1" s="9" t="s">
        <v>703</v>
      </c>
      <c r="AL1" s="9" t="s">
        <v>704</v>
      </c>
      <c r="AM1" s="9" t="s">
        <v>705</v>
      </c>
      <c r="AN1" s="9" t="s">
        <v>706</v>
      </c>
      <c r="AO1" s="9" t="s">
        <v>707</v>
      </c>
      <c r="AP1" s="9" t="s">
        <v>708</v>
      </c>
      <c r="AQ1" s="9" t="s">
        <v>709</v>
      </c>
      <c r="AR1" s="9" t="s">
        <v>710</v>
      </c>
      <c r="AS1" s="9" t="s">
        <v>1285</v>
      </c>
      <c r="AT1" s="9" t="s">
        <v>715</v>
      </c>
      <c r="AU1" s="9" t="s">
        <v>716</v>
      </c>
      <c r="AV1" s="9" t="s">
        <v>717</v>
      </c>
      <c r="AW1" s="9" t="s">
        <v>718</v>
      </c>
      <c r="AX1" s="9" t="s">
        <v>719</v>
      </c>
      <c r="AY1" s="9" t="s">
        <v>720</v>
      </c>
      <c r="AZ1" s="9" t="s">
        <v>721</v>
      </c>
      <c r="BA1" s="9" t="s">
        <v>722</v>
      </c>
      <c r="BB1" s="9" t="s">
        <v>723</v>
      </c>
      <c r="BC1" s="9" t="s">
        <v>724</v>
      </c>
      <c r="BD1" s="9" t="s">
        <v>725</v>
      </c>
      <c r="BE1" s="9" t="s">
        <v>726</v>
      </c>
      <c r="BF1" s="9" t="s">
        <v>727</v>
      </c>
      <c r="BG1" s="9" t="s">
        <v>728</v>
      </c>
      <c r="BH1" s="9" t="s">
        <v>729</v>
      </c>
      <c r="BI1" s="9" t="s">
        <v>730</v>
      </c>
      <c r="BJ1" s="9" t="s">
        <v>731</v>
      </c>
      <c r="BK1" s="9" t="s">
        <v>732</v>
      </c>
      <c r="BL1" s="9" t="s">
        <v>733</v>
      </c>
      <c r="BM1" s="9" t="s">
        <v>734</v>
      </c>
      <c r="BN1" s="9" t="s">
        <v>735</v>
      </c>
      <c r="BO1" s="9" t="s">
        <v>736</v>
      </c>
      <c r="BP1" s="9" t="s">
        <v>737</v>
      </c>
      <c r="BQ1" s="9" t="s">
        <v>738</v>
      </c>
      <c r="BR1" s="28" t="s">
        <v>376</v>
      </c>
      <c r="BS1" s="29" t="s">
        <v>377</v>
      </c>
    </row>
    <row r="2" spans="1:71" ht="52.2" x14ac:dyDescent="0.3">
      <c r="A2" s="26" t="s">
        <v>1</v>
      </c>
      <c r="B2" s="14" t="s">
        <v>405</v>
      </c>
      <c r="C2" s="14" t="s">
        <v>406</v>
      </c>
      <c r="D2" s="14" t="s">
        <v>2</v>
      </c>
      <c r="E2" s="14" t="s">
        <v>739</v>
      </c>
      <c r="F2" s="14" t="s">
        <v>740</v>
      </c>
      <c r="G2" s="15" t="s">
        <v>0</v>
      </c>
      <c r="H2" s="16">
        <v>1</v>
      </c>
      <c r="I2" s="16" t="s">
        <v>381</v>
      </c>
      <c r="J2" s="16">
        <v>1</v>
      </c>
      <c r="K2" s="16">
        <v>1</v>
      </c>
      <c r="L2" s="16"/>
      <c r="M2" s="16">
        <v>1</v>
      </c>
      <c r="N2" s="16"/>
      <c r="O2" s="16">
        <v>1</v>
      </c>
      <c r="P2" s="16"/>
      <c r="Q2" s="16"/>
      <c r="R2" s="16">
        <v>1</v>
      </c>
      <c r="S2" s="16">
        <v>1</v>
      </c>
      <c r="T2" s="16"/>
      <c r="U2" s="16"/>
      <c r="V2" s="18" t="s">
        <v>383</v>
      </c>
      <c r="W2" s="16"/>
      <c r="X2" s="16">
        <v>1</v>
      </c>
      <c r="Y2" s="18" t="s">
        <v>407</v>
      </c>
      <c r="Z2" s="16" t="s">
        <v>385</v>
      </c>
      <c r="AA2" s="18" t="s">
        <v>386</v>
      </c>
      <c r="AB2" s="16"/>
      <c r="AC2" s="16"/>
      <c r="AD2" s="16"/>
      <c r="AE2" s="16" t="s">
        <v>444</v>
      </c>
      <c r="AF2" s="16" t="s">
        <v>741</v>
      </c>
      <c r="AG2" s="16">
        <v>5.5</v>
      </c>
      <c r="AH2" s="16" t="s">
        <v>742</v>
      </c>
      <c r="AI2" s="16"/>
      <c r="AJ2" s="16"/>
      <c r="AK2" s="16">
        <v>1</v>
      </c>
      <c r="AL2" s="16"/>
      <c r="AM2" s="18" t="s">
        <v>743</v>
      </c>
      <c r="AN2" s="16">
        <v>12.5</v>
      </c>
      <c r="AO2" s="16">
        <v>21</v>
      </c>
      <c r="AP2" s="16"/>
      <c r="AQ2" s="16">
        <v>15.3</v>
      </c>
      <c r="AR2" s="16">
        <v>1</v>
      </c>
      <c r="AS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 s="6" t="s">
        <v>744</v>
      </c>
      <c r="BS2" s="27" t="s">
        <v>421</v>
      </c>
    </row>
    <row r="3" spans="1:71" ht="52.2" x14ac:dyDescent="0.3">
      <c r="A3" s="4" t="s">
        <v>3</v>
      </c>
      <c r="B3" s="5" t="s">
        <v>405</v>
      </c>
      <c r="C3" s="5" t="s">
        <v>406</v>
      </c>
      <c r="D3" s="5" t="s">
        <v>2</v>
      </c>
      <c r="E3" s="5" t="s">
        <v>745</v>
      </c>
      <c r="F3" s="5" t="s">
        <v>746</v>
      </c>
      <c r="G3" s="6" t="s">
        <v>0</v>
      </c>
      <c r="H3" s="12">
        <v>1</v>
      </c>
      <c r="I3" s="12" t="s">
        <v>381</v>
      </c>
      <c r="J3" s="12">
        <v>1</v>
      </c>
      <c r="K3" s="12">
        <v>1</v>
      </c>
      <c r="L3" s="12"/>
      <c r="M3" s="12">
        <v>1</v>
      </c>
      <c r="N3" s="12"/>
      <c r="O3" s="12">
        <v>1</v>
      </c>
      <c r="P3" s="12"/>
      <c r="Q3" s="12" t="s">
        <v>537</v>
      </c>
      <c r="R3" s="12">
        <v>1</v>
      </c>
      <c r="S3" s="12">
        <v>1</v>
      </c>
      <c r="T3" s="12"/>
      <c r="U3" s="12"/>
      <c r="V3" s="17" t="s">
        <v>383</v>
      </c>
      <c r="W3" s="12"/>
      <c r="X3" s="12">
        <v>1</v>
      </c>
      <c r="Y3" s="17" t="s">
        <v>407</v>
      </c>
      <c r="Z3" s="12" t="s">
        <v>385</v>
      </c>
      <c r="AA3" s="17" t="s">
        <v>507</v>
      </c>
      <c r="AB3" s="12"/>
      <c r="AC3" s="12"/>
      <c r="AD3" s="12"/>
      <c r="AE3" s="12" t="s">
        <v>385</v>
      </c>
      <c r="AF3" s="12" t="s">
        <v>747</v>
      </c>
      <c r="AG3" s="12">
        <v>5.5</v>
      </c>
      <c r="AH3" s="12" t="s">
        <v>748</v>
      </c>
      <c r="AI3" s="12"/>
      <c r="AJ3" s="12"/>
      <c r="AK3" s="12">
        <v>1</v>
      </c>
      <c r="AL3" s="12">
        <v>1</v>
      </c>
      <c r="AM3" s="17" t="s">
        <v>749</v>
      </c>
      <c r="AN3" s="12">
        <v>12.5</v>
      </c>
      <c r="AO3" s="12">
        <v>24.5</v>
      </c>
      <c r="AP3" s="12">
        <v>27.3</v>
      </c>
      <c r="AQ3" s="12">
        <v>17.399999999999999</v>
      </c>
      <c r="AR3" s="12">
        <v>1</v>
      </c>
      <c r="AS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 s="6" t="s">
        <v>750</v>
      </c>
      <c r="BS3" s="27" t="s">
        <v>388</v>
      </c>
    </row>
    <row r="4" spans="1:71" ht="52.2" x14ac:dyDescent="0.3">
      <c r="A4" s="26" t="s">
        <v>4</v>
      </c>
      <c r="B4" s="14" t="s">
        <v>411</v>
      </c>
      <c r="C4" s="14" t="s">
        <v>412</v>
      </c>
      <c r="D4" s="14" t="s">
        <v>5</v>
      </c>
      <c r="E4" s="14" t="s">
        <v>739</v>
      </c>
      <c r="F4" s="14" t="s">
        <v>740</v>
      </c>
      <c r="G4" s="15" t="s">
        <v>0</v>
      </c>
      <c r="H4" s="16">
        <v>1</v>
      </c>
      <c r="I4" s="16" t="s">
        <v>381</v>
      </c>
      <c r="J4" s="16"/>
      <c r="K4" s="16">
        <v>1</v>
      </c>
      <c r="L4" s="16">
        <v>1</v>
      </c>
      <c r="M4" s="16">
        <v>1</v>
      </c>
      <c r="N4" s="16"/>
      <c r="O4" s="16">
        <v>1</v>
      </c>
      <c r="P4" s="16"/>
      <c r="Q4" s="16" t="s">
        <v>414</v>
      </c>
      <c r="R4" s="16">
        <v>1</v>
      </c>
      <c r="S4" s="16">
        <v>1</v>
      </c>
      <c r="T4" s="16"/>
      <c r="U4" s="16"/>
      <c r="V4" s="18" t="s">
        <v>383</v>
      </c>
      <c r="W4" s="16"/>
      <c r="X4" s="16">
        <v>1</v>
      </c>
      <c r="Y4" s="18" t="s">
        <v>415</v>
      </c>
      <c r="Z4" s="16" t="s">
        <v>399</v>
      </c>
      <c r="AA4" s="18" t="s">
        <v>386</v>
      </c>
      <c r="AB4" s="16"/>
      <c r="AC4" s="16"/>
      <c r="AD4" s="16"/>
      <c r="AE4" s="16" t="s">
        <v>444</v>
      </c>
      <c r="AF4" s="16" t="s">
        <v>751</v>
      </c>
      <c r="AG4" s="16">
        <v>6</v>
      </c>
      <c r="AH4" s="16"/>
      <c r="AI4" s="16"/>
      <c r="AJ4" s="16"/>
      <c r="AK4" s="16"/>
      <c r="AL4" s="16"/>
      <c r="AM4" s="18" t="s">
        <v>752</v>
      </c>
      <c r="AN4" s="16">
        <v>13</v>
      </c>
      <c r="AO4" s="16"/>
      <c r="AP4" s="16"/>
      <c r="AQ4" s="16">
        <v>18</v>
      </c>
      <c r="AR4" s="16"/>
      <c r="AS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 s="6" t="s">
        <v>753</v>
      </c>
      <c r="BS4" s="27" t="s">
        <v>388</v>
      </c>
    </row>
    <row r="5" spans="1:71" ht="52.2" x14ac:dyDescent="0.3">
      <c r="A5" s="4" t="s">
        <v>6</v>
      </c>
      <c r="B5" s="5" t="s">
        <v>417</v>
      </c>
      <c r="C5" s="5" t="s">
        <v>418</v>
      </c>
      <c r="D5" s="5" t="s">
        <v>7</v>
      </c>
      <c r="E5" s="5" t="s">
        <v>739</v>
      </c>
      <c r="F5" s="5" t="s">
        <v>754</v>
      </c>
      <c r="G5" s="6" t="s">
        <v>0</v>
      </c>
      <c r="H5" s="12">
        <v>1</v>
      </c>
      <c r="I5" s="12" t="s">
        <v>381</v>
      </c>
      <c r="J5" s="12"/>
      <c r="K5" s="12">
        <v>1</v>
      </c>
      <c r="L5" s="12"/>
      <c r="M5" s="12">
        <v>1</v>
      </c>
      <c r="N5" s="12"/>
      <c r="O5" s="12"/>
      <c r="P5" s="12"/>
      <c r="Q5" s="12" t="s">
        <v>537</v>
      </c>
      <c r="R5" s="12">
        <v>1</v>
      </c>
      <c r="S5" s="12">
        <v>1</v>
      </c>
      <c r="T5" s="12" t="s">
        <v>711</v>
      </c>
      <c r="U5" s="12"/>
      <c r="V5" s="17" t="s">
        <v>383</v>
      </c>
      <c r="W5" s="12"/>
      <c r="X5" s="12">
        <v>1</v>
      </c>
      <c r="Y5" s="17" t="s">
        <v>419</v>
      </c>
      <c r="Z5" s="12" t="s">
        <v>444</v>
      </c>
      <c r="AA5" s="17" t="s">
        <v>386</v>
      </c>
      <c r="AB5" s="12"/>
      <c r="AC5" s="12"/>
      <c r="AD5" s="12"/>
      <c r="AE5" s="12" t="s">
        <v>408</v>
      </c>
      <c r="AF5" s="12" t="s">
        <v>755</v>
      </c>
      <c r="AG5" s="12">
        <v>4</v>
      </c>
      <c r="AH5" s="12" t="s">
        <v>748</v>
      </c>
      <c r="AI5" s="12"/>
      <c r="AJ5" s="12"/>
      <c r="AK5" s="12">
        <v>1</v>
      </c>
      <c r="AL5" s="12">
        <v>1</v>
      </c>
      <c r="AM5" s="17" t="s">
        <v>749</v>
      </c>
      <c r="AN5" s="12">
        <v>11.8</v>
      </c>
      <c r="AO5" s="12">
        <v>25.7</v>
      </c>
      <c r="AP5" s="12">
        <v>29.5</v>
      </c>
      <c r="AQ5" s="12">
        <v>17.399999999999999</v>
      </c>
      <c r="AR5" s="12"/>
      <c r="AS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 s="6" t="s">
        <v>756</v>
      </c>
      <c r="BS5" s="27" t="s">
        <v>421</v>
      </c>
    </row>
    <row r="6" spans="1:71" ht="52.2" x14ac:dyDescent="0.3">
      <c r="A6" s="26" t="s">
        <v>8</v>
      </c>
      <c r="B6" s="14" t="s">
        <v>417</v>
      </c>
      <c r="C6" s="14" t="s">
        <v>418</v>
      </c>
      <c r="D6" s="14" t="s">
        <v>7</v>
      </c>
      <c r="E6" s="14" t="s">
        <v>739</v>
      </c>
      <c r="F6" s="14" t="s">
        <v>754</v>
      </c>
      <c r="G6" s="15" t="s">
        <v>0</v>
      </c>
      <c r="H6" s="16">
        <v>1</v>
      </c>
      <c r="I6" s="16" t="s">
        <v>381</v>
      </c>
      <c r="J6" s="16"/>
      <c r="K6" s="16">
        <v>1</v>
      </c>
      <c r="L6" s="16"/>
      <c r="M6" s="16">
        <v>1</v>
      </c>
      <c r="N6" s="16"/>
      <c r="O6" s="16"/>
      <c r="P6" s="16"/>
      <c r="Q6" s="16" t="s">
        <v>537</v>
      </c>
      <c r="R6" s="16">
        <v>1</v>
      </c>
      <c r="S6" s="16">
        <v>1</v>
      </c>
      <c r="T6" s="16" t="s">
        <v>711</v>
      </c>
      <c r="U6" s="16"/>
      <c r="V6" s="18" t="s">
        <v>383</v>
      </c>
      <c r="W6" s="16"/>
      <c r="X6" s="16">
        <v>1</v>
      </c>
      <c r="Y6" s="18" t="s">
        <v>419</v>
      </c>
      <c r="Z6" s="16" t="s">
        <v>444</v>
      </c>
      <c r="AA6" s="18" t="s">
        <v>386</v>
      </c>
      <c r="AB6" s="16"/>
      <c r="AC6" s="16"/>
      <c r="AD6" s="16"/>
      <c r="AE6" s="16" t="s">
        <v>385</v>
      </c>
      <c r="AF6" s="16" t="s">
        <v>757</v>
      </c>
      <c r="AG6" s="16">
        <v>5.5</v>
      </c>
      <c r="AH6" s="16" t="s">
        <v>748</v>
      </c>
      <c r="AI6" s="16"/>
      <c r="AJ6" s="16"/>
      <c r="AK6" s="16">
        <v>1</v>
      </c>
      <c r="AL6" s="16"/>
      <c r="AM6" s="18" t="s">
        <v>749</v>
      </c>
      <c r="AN6" s="16">
        <v>15.5</v>
      </c>
      <c r="AO6" s="16">
        <v>26.7</v>
      </c>
      <c r="AP6" s="16">
        <v>29.5</v>
      </c>
      <c r="AQ6" s="16">
        <v>18.5</v>
      </c>
      <c r="AR6" s="16"/>
      <c r="AS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 s="6" t="s">
        <v>758</v>
      </c>
      <c r="BS6" s="27" t="s">
        <v>421</v>
      </c>
    </row>
    <row r="7" spans="1:71" ht="52.2" x14ac:dyDescent="0.3">
      <c r="A7" s="4" t="s">
        <v>9</v>
      </c>
      <c r="B7" s="5" t="s">
        <v>417</v>
      </c>
      <c r="C7" s="5" t="s">
        <v>418</v>
      </c>
      <c r="D7" s="5" t="s">
        <v>7</v>
      </c>
      <c r="E7" s="5" t="s">
        <v>739</v>
      </c>
      <c r="F7" s="5" t="s">
        <v>754</v>
      </c>
      <c r="G7" s="6" t="s">
        <v>0</v>
      </c>
      <c r="H7" s="12">
        <v>1</v>
      </c>
      <c r="I7" s="12" t="s">
        <v>381</v>
      </c>
      <c r="J7" s="12"/>
      <c r="K7" s="12">
        <v>1</v>
      </c>
      <c r="L7" s="12"/>
      <c r="M7" s="12">
        <v>1</v>
      </c>
      <c r="N7" s="12"/>
      <c r="O7" s="12"/>
      <c r="P7" s="12"/>
      <c r="Q7" s="12" t="s">
        <v>537</v>
      </c>
      <c r="R7" s="12">
        <v>1</v>
      </c>
      <c r="S7" s="12">
        <v>1</v>
      </c>
      <c r="T7" s="12" t="s">
        <v>711</v>
      </c>
      <c r="U7" s="12"/>
      <c r="V7" s="17" t="s">
        <v>383</v>
      </c>
      <c r="W7" s="12"/>
      <c r="X7" s="12">
        <v>1</v>
      </c>
      <c r="Y7" s="17" t="s">
        <v>419</v>
      </c>
      <c r="Z7" s="12" t="s">
        <v>385</v>
      </c>
      <c r="AA7" s="17" t="s">
        <v>386</v>
      </c>
      <c r="AB7" s="12"/>
      <c r="AC7" s="12"/>
      <c r="AD7" s="12"/>
      <c r="AE7" s="12" t="s">
        <v>408</v>
      </c>
      <c r="AF7" s="12" t="s">
        <v>759</v>
      </c>
      <c r="AG7" s="12">
        <v>5.5</v>
      </c>
      <c r="AH7" s="12" t="s">
        <v>748</v>
      </c>
      <c r="AI7" s="12"/>
      <c r="AJ7" s="12"/>
      <c r="AK7" s="12">
        <v>1</v>
      </c>
      <c r="AL7" s="12">
        <v>1</v>
      </c>
      <c r="AM7" s="17" t="s">
        <v>749</v>
      </c>
      <c r="AN7" s="12">
        <v>10.5</v>
      </c>
      <c r="AO7" s="12">
        <v>23.5</v>
      </c>
      <c r="AP7" s="12">
        <v>28.5</v>
      </c>
      <c r="AQ7" s="12">
        <v>18.7</v>
      </c>
      <c r="AR7" s="12"/>
      <c r="AS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 s="6" t="s">
        <v>760</v>
      </c>
      <c r="BS7" s="27" t="s">
        <v>421</v>
      </c>
    </row>
    <row r="8" spans="1:71" ht="52.2" x14ac:dyDescent="0.3">
      <c r="A8" s="26" t="s">
        <v>10</v>
      </c>
      <c r="B8" s="14" t="s">
        <v>417</v>
      </c>
      <c r="C8" s="14" t="s">
        <v>418</v>
      </c>
      <c r="D8" s="14" t="s">
        <v>7</v>
      </c>
      <c r="E8" s="14" t="s">
        <v>739</v>
      </c>
      <c r="F8" s="14" t="s">
        <v>754</v>
      </c>
      <c r="G8" s="15" t="s">
        <v>0</v>
      </c>
      <c r="H8" s="16">
        <v>1</v>
      </c>
      <c r="I8" s="16" t="s">
        <v>381</v>
      </c>
      <c r="J8" s="16"/>
      <c r="K8" s="16">
        <v>1</v>
      </c>
      <c r="L8" s="16"/>
      <c r="M8" s="16">
        <v>1</v>
      </c>
      <c r="N8" s="16"/>
      <c r="O8" s="16"/>
      <c r="P8" s="16"/>
      <c r="Q8" s="16" t="s">
        <v>537</v>
      </c>
      <c r="R8" s="16">
        <v>1</v>
      </c>
      <c r="S8" s="16">
        <v>1</v>
      </c>
      <c r="T8" s="16" t="s">
        <v>711</v>
      </c>
      <c r="U8" s="16"/>
      <c r="V8" s="18" t="s">
        <v>383</v>
      </c>
      <c r="W8" s="16"/>
      <c r="X8" s="16">
        <v>1</v>
      </c>
      <c r="Y8" s="18" t="s">
        <v>419</v>
      </c>
      <c r="Z8" s="16" t="s">
        <v>385</v>
      </c>
      <c r="AA8" s="18" t="s">
        <v>386</v>
      </c>
      <c r="AB8" s="16"/>
      <c r="AC8" s="16"/>
      <c r="AD8" s="16"/>
      <c r="AE8" s="16" t="s">
        <v>385</v>
      </c>
      <c r="AF8" s="16" t="s">
        <v>761</v>
      </c>
      <c r="AG8" s="16">
        <v>5.5</v>
      </c>
      <c r="AH8" s="16" t="s">
        <v>748</v>
      </c>
      <c r="AI8" s="16"/>
      <c r="AJ8" s="16"/>
      <c r="AK8" s="16">
        <v>1</v>
      </c>
      <c r="AL8" s="16"/>
      <c r="AM8" s="18" t="s">
        <v>749</v>
      </c>
      <c r="AN8" s="16">
        <v>13</v>
      </c>
      <c r="AO8" s="16">
        <v>22</v>
      </c>
      <c r="AP8" s="16">
        <v>28.8</v>
      </c>
      <c r="AQ8" s="16">
        <v>18.5</v>
      </c>
      <c r="AR8" s="16"/>
      <c r="AS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 s="6" t="s">
        <v>762</v>
      </c>
      <c r="BS8" s="27" t="s">
        <v>421</v>
      </c>
    </row>
    <row r="9" spans="1:71" ht="52.2" x14ac:dyDescent="0.3">
      <c r="A9" s="4" t="s">
        <v>11</v>
      </c>
      <c r="B9" s="5" t="s">
        <v>423</v>
      </c>
      <c r="C9" s="5" t="s">
        <v>424</v>
      </c>
      <c r="D9" s="5" t="s">
        <v>12</v>
      </c>
      <c r="E9" s="5" t="s">
        <v>739</v>
      </c>
      <c r="F9" s="5" t="s">
        <v>754</v>
      </c>
      <c r="G9" s="6" t="s">
        <v>0</v>
      </c>
      <c r="H9" s="12">
        <v>1</v>
      </c>
      <c r="I9" s="12" t="s">
        <v>381</v>
      </c>
      <c r="J9" s="12"/>
      <c r="K9" s="12">
        <v>1</v>
      </c>
      <c r="L9" s="12">
        <v>1</v>
      </c>
      <c r="M9" s="12">
        <v>1</v>
      </c>
      <c r="N9" s="12"/>
      <c r="O9" s="12">
        <v>1</v>
      </c>
      <c r="P9" s="12"/>
      <c r="Q9" s="12"/>
      <c r="R9" s="12">
        <v>1</v>
      </c>
      <c r="S9" s="12"/>
      <c r="T9" s="12"/>
      <c r="U9" s="12"/>
      <c r="V9" s="17" t="s">
        <v>383</v>
      </c>
      <c r="W9" s="12"/>
      <c r="X9" s="12">
        <v>1</v>
      </c>
      <c r="Y9" s="17"/>
      <c r="Z9" s="12" t="s">
        <v>399</v>
      </c>
      <c r="AA9" s="17" t="s">
        <v>386</v>
      </c>
      <c r="AB9" s="12"/>
      <c r="AC9" s="12"/>
      <c r="AD9" s="12"/>
      <c r="AE9" s="12" t="s">
        <v>385</v>
      </c>
      <c r="AF9" s="12" t="s">
        <v>763</v>
      </c>
      <c r="AG9" s="12">
        <v>5.5</v>
      </c>
      <c r="AH9" s="12" t="s">
        <v>748</v>
      </c>
      <c r="AI9" s="12">
        <v>1</v>
      </c>
      <c r="AJ9" s="12"/>
      <c r="AK9" s="12">
        <v>1</v>
      </c>
      <c r="AL9" s="12">
        <v>1</v>
      </c>
      <c r="AM9" s="17" t="s">
        <v>749</v>
      </c>
      <c r="AN9" s="12">
        <v>12.3</v>
      </c>
      <c r="AO9" s="12">
        <v>25.3</v>
      </c>
      <c r="AP9" s="12">
        <v>28.4</v>
      </c>
      <c r="AQ9" s="12">
        <v>16.399999999999999</v>
      </c>
      <c r="AR9" s="12">
        <v>1</v>
      </c>
      <c r="AS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 s="6" t="s">
        <v>764</v>
      </c>
      <c r="BS9" s="27" t="s">
        <v>388</v>
      </c>
    </row>
    <row r="10" spans="1:71" ht="52.2" x14ac:dyDescent="0.3">
      <c r="A10" s="26" t="s">
        <v>136</v>
      </c>
      <c r="B10" s="14" t="s">
        <v>638</v>
      </c>
      <c r="C10" s="14" t="s">
        <v>639</v>
      </c>
      <c r="D10" s="14" t="s">
        <v>137</v>
      </c>
      <c r="E10" s="14" t="s">
        <v>739</v>
      </c>
      <c r="F10" s="14" t="s">
        <v>789</v>
      </c>
      <c r="G10" s="15" t="s">
        <v>0</v>
      </c>
      <c r="H10" s="16">
        <v>1</v>
      </c>
      <c r="I10" s="16" t="s">
        <v>381</v>
      </c>
      <c r="J10" s="16">
        <v>1</v>
      </c>
      <c r="K10" s="16">
        <v>1</v>
      </c>
      <c r="L10" s="16">
        <v>1</v>
      </c>
      <c r="M10" s="16">
        <v>1</v>
      </c>
      <c r="N10" s="16">
        <v>1</v>
      </c>
      <c r="O10" s="16">
        <v>1</v>
      </c>
      <c r="P10" s="16"/>
      <c r="Q10" s="16"/>
      <c r="R10" s="16">
        <v>1</v>
      </c>
      <c r="S10" s="16">
        <v>1</v>
      </c>
      <c r="T10" s="16"/>
      <c r="U10" s="16"/>
      <c r="V10" s="18" t="s">
        <v>449</v>
      </c>
      <c r="W10" s="16">
        <v>56</v>
      </c>
      <c r="X10" s="16">
        <v>1</v>
      </c>
      <c r="Y10" s="18"/>
      <c r="Z10" s="16" t="s">
        <v>444</v>
      </c>
      <c r="AA10" s="18" t="s">
        <v>416</v>
      </c>
      <c r="AB10" s="16"/>
      <c r="AC10" s="16"/>
      <c r="AD10" s="16"/>
      <c r="AE10" s="16" t="s">
        <v>444</v>
      </c>
      <c r="AF10" s="16" t="s">
        <v>968</v>
      </c>
      <c r="AG10" s="16">
        <v>7.5</v>
      </c>
      <c r="AH10" s="16" t="s">
        <v>748</v>
      </c>
      <c r="AI10" s="16">
        <v>1</v>
      </c>
      <c r="AJ10" s="16"/>
      <c r="AK10" s="16">
        <v>1</v>
      </c>
      <c r="AL10" s="16">
        <v>1</v>
      </c>
      <c r="AM10" s="18" t="s">
        <v>749</v>
      </c>
      <c r="AN10" s="16">
        <v>14.6</v>
      </c>
      <c r="AO10" s="16">
        <v>28.2</v>
      </c>
      <c r="AP10" s="16">
        <v>32</v>
      </c>
      <c r="AQ10" s="16">
        <v>20</v>
      </c>
      <c r="AR10" s="16">
        <v>1</v>
      </c>
      <c r="AS1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 s="6" t="s">
        <v>969</v>
      </c>
      <c r="BS10" s="27" t="s">
        <v>388</v>
      </c>
    </row>
    <row r="11" spans="1:71" ht="52.2" x14ac:dyDescent="0.3">
      <c r="A11" s="4" t="s">
        <v>13</v>
      </c>
      <c r="B11" s="5" t="s">
        <v>431</v>
      </c>
      <c r="C11" s="5" t="s">
        <v>432</v>
      </c>
      <c r="D11" s="5" t="s">
        <v>14</v>
      </c>
      <c r="E11" s="5" t="s">
        <v>739</v>
      </c>
      <c r="F11" s="5" t="s">
        <v>740</v>
      </c>
      <c r="G11" s="6" t="s">
        <v>0</v>
      </c>
      <c r="H11" s="12">
        <v>1</v>
      </c>
      <c r="I11" s="12" t="s">
        <v>381</v>
      </c>
      <c r="J11" s="12"/>
      <c r="K11" s="12">
        <v>1</v>
      </c>
      <c r="L11" s="12"/>
      <c r="M11" s="12">
        <v>1</v>
      </c>
      <c r="N11" s="12">
        <v>1</v>
      </c>
      <c r="O11" s="12"/>
      <c r="P11" s="12"/>
      <c r="Q11" s="12"/>
      <c r="R11" s="12">
        <v>1</v>
      </c>
      <c r="S11" s="12">
        <v>1</v>
      </c>
      <c r="T11" s="12" t="s">
        <v>713</v>
      </c>
      <c r="U11" s="12"/>
      <c r="V11" s="17" t="s">
        <v>383</v>
      </c>
      <c r="W11" s="12"/>
      <c r="X11" s="12">
        <v>1</v>
      </c>
      <c r="Y11" s="17"/>
      <c r="Z11" s="12" t="s">
        <v>399</v>
      </c>
      <c r="AA11" s="17" t="s">
        <v>386</v>
      </c>
      <c r="AB11" s="12"/>
      <c r="AC11" s="12"/>
      <c r="AD11" s="12"/>
      <c r="AE11" s="12" t="s">
        <v>399</v>
      </c>
      <c r="AF11" s="12" t="s">
        <v>765</v>
      </c>
      <c r="AG11" s="12">
        <v>5</v>
      </c>
      <c r="AH11" s="12"/>
      <c r="AI11" s="12"/>
      <c r="AJ11" s="12"/>
      <c r="AK11" s="12">
        <v>1</v>
      </c>
      <c r="AL11" s="12"/>
      <c r="AM11" s="17" t="s">
        <v>766</v>
      </c>
      <c r="AN11" s="12"/>
      <c r="AO11" s="12"/>
      <c r="AP11" s="12"/>
      <c r="AQ11" s="12"/>
      <c r="AR11" s="12"/>
      <c r="AS1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 s="6" t="s">
        <v>767</v>
      </c>
      <c r="BS11" s="27" t="s">
        <v>768</v>
      </c>
    </row>
    <row r="12" spans="1:71" ht="52.2" x14ac:dyDescent="0.3">
      <c r="A12" s="26" t="s">
        <v>15</v>
      </c>
      <c r="B12" s="14" t="s">
        <v>431</v>
      </c>
      <c r="C12" s="14" t="s">
        <v>432</v>
      </c>
      <c r="D12" s="14" t="s">
        <v>14</v>
      </c>
      <c r="E12" s="14" t="s">
        <v>769</v>
      </c>
      <c r="F12" s="14" t="s">
        <v>740</v>
      </c>
      <c r="G12" s="15" t="s">
        <v>0</v>
      </c>
      <c r="H12" s="16"/>
      <c r="I12" s="16" t="s">
        <v>381</v>
      </c>
      <c r="J12" s="16"/>
      <c r="K12" s="16">
        <v>1</v>
      </c>
      <c r="L12" s="16"/>
      <c r="M12" s="16">
        <v>1</v>
      </c>
      <c r="N12" s="16">
        <v>1</v>
      </c>
      <c r="O12" s="16">
        <v>1</v>
      </c>
      <c r="P12" s="16"/>
      <c r="Q12" s="16" t="s">
        <v>537</v>
      </c>
      <c r="R12" s="16">
        <v>1</v>
      </c>
      <c r="S12" s="16">
        <v>1</v>
      </c>
      <c r="T12" s="16" t="s">
        <v>713</v>
      </c>
      <c r="U12" s="16">
        <v>1</v>
      </c>
      <c r="V12" s="18" t="s">
        <v>383</v>
      </c>
      <c r="W12" s="16"/>
      <c r="X12" s="16">
        <v>1</v>
      </c>
      <c r="Y12" s="18"/>
      <c r="Z12" s="16" t="s">
        <v>399</v>
      </c>
      <c r="AA12" s="18" t="s">
        <v>386</v>
      </c>
      <c r="AB12" s="16">
        <v>1</v>
      </c>
      <c r="AC12" s="16" t="s">
        <v>770</v>
      </c>
      <c r="AD12" s="16">
        <v>34.700000000000003</v>
      </c>
      <c r="AE12" s="16" t="s">
        <v>399</v>
      </c>
      <c r="AF12" s="16" t="s">
        <v>771</v>
      </c>
      <c r="AG12" s="16">
        <v>12</v>
      </c>
      <c r="AH12" s="16" t="s">
        <v>742</v>
      </c>
      <c r="AI12" s="16">
        <v>1</v>
      </c>
      <c r="AJ12" s="16">
        <v>1</v>
      </c>
      <c r="AK12" s="16">
        <v>1</v>
      </c>
      <c r="AL12" s="16">
        <v>1</v>
      </c>
      <c r="AM12" s="18" t="s">
        <v>772</v>
      </c>
      <c r="AN12" s="16">
        <v>14</v>
      </c>
      <c r="AO12" s="16">
        <v>25.5</v>
      </c>
      <c r="AP12" s="16">
        <v>29.3</v>
      </c>
      <c r="AQ12" s="16">
        <v>17.8</v>
      </c>
      <c r="AR12" s="16">
        <v>1</v>
      </c>
      <c r="AS1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2" s="6" t="s">
        <v>387</v>
      </c>
      <c r="BS12" s="27" t="s">
        <v>388</v>
      </c>
    </row>
    <row r="13" spans="1:71" ht="52.2" x14ac:dyDescent="0.3">
      <c r="A13" s="4" t="s">
        <v>16</v>
      </c>
      <c r="B13" s="5" t="s">
        <v>431</v>
      </c>
      <c r="C13" s="5" t="s">
        <v>432</v>
      </c>
      <c r="D13" s="5" t="s">
        <v>14</v>
      </c>
      <c r="E13" s="5" t="s">
        <v>769</v>
      </c>
      <c r="F13" s="5" t="s">
        <v>740</v>
      </c>
      <c r="G13" s="6" t="s">
        <v>0</v>
      </c>
      <c r="H13" s="12"/>
      <c r="I13" s="12" t="s">
        <v>381</v>
      </c>
      <c r="J13" s="12"/>
      <c r="K13" s="12">
        <v>1</v>
      </c>
      <c r="L13" s="12"/>
      <c r="M13" s="12">
        <v>1</v>
      </c>
      <c r="N13" s="12">
        <v>1</v>
      </c>
      <c r="O13" s="12">
        <v>1</v>
      </c>
      <c r="P13" s="12">
        <v>1</v>
      </c>
      <c r="Q13" s="12" t="s">
        <v>537</v>
      </c>
      <c r="R13" s="12">
        <v>1</v>
      </c>
      <c r="S13" s="12">
        <v>1</v>
      </c>
      <c r="T13" s="12" t="s">
        <v>713</v>
      </c>
      <c r="U13" s="12">
        <v>1</v>
      </c>
      <c r="V13" s="17" t="s">
        <v>383</v>
      </c>
      <c r="W13" s="12"/>
      <c r="X13" s="12">
        <v>1</v>
      </c>
      <c r="Y13" s="17"/>
      <c r="Z13" s="12" t="s">
        <v>399</v>
      </c>
      <c r="AA13" s="17" t="s">
        <v>386</v>
      </c>
      <c r="AB13" s="12">
        <v>1</v>
      </c>
      <c r="AC13" s="12" t="s">
        <v>770</v>
      </c>
      <c r="AD13" s="12">
        <v>60</v>
      </c>
      <c r="AE13" s="12" t="s">
        <v>399</v>
      </c>
      <c r="AF13" s="12" t="s">
        <v>773</v>
      </c>
      <c r="AG13" s="12">
        <v>10</v>
      </c>
      <c r="AH13" s="12" t="s">
        <v>742</v>
      </c>
      <c r="AI13" s="12">
        <v>1</v>
      </c>
      <c r="AJ13" s="12">
        <v>1</v>
      </c>
      <c r="AK13" s="12">
        <v>1</v>
      </c>
      <c r="AL13" s="12">
        <v>1</v>
      </c>
      <c r="AM13" s="17" t="s">
        <v>772</v>
      </c>
      <c r="AN13" s="12">
        <v>14</v>
      </c>
      <c r="AO13" s="12">
        <v>25.8</v>
      </c>
      <c r="AP13" s="12">
        <v>29.5</v>
      </c>
      <c r="AQ13" s="12">
        <v>17.8</v>
      </c>
      <c r="AR13" s="12">
        <v>1</v>
      </c>
      <c r="AS1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3" s="6" t="s">
        <v>774</v>
      </c>
      <c r="BS13" s="27" t="s">
        <v>388</v>
      </c>
    </row>
    <row r="14" spans="1:71" ht="52.2" x14ac:dyDescent="0.3">
      <c r="A14" s="26" t="s">
        <v>17</v>
      </c>
      <c r="B14" s="14" t="s">
        <v>431</v>
      </c>
      <c r="C14" s="14" t="s">
        <v>432</v>
      </c>
      <c r="D14" s="14" t="s">
        <v>14</v>
      </c>
      <c r="E14" s="14" t="s">
        <v>739</v>
      </c>
      <c r="F14" s="14" t="s">
        <v>740</v>
      </c>
      <c r="G14" s="15" t="s">
        <v>0</v>
      </c>
      <c r="H14" s="16">
        <v>1</v>
      </c>
      <c r="I14" s="16" t="s">
        <v>381</v>
      </c>
      <c r="J14" s="16"/>
      <c r="K14" s="16">
        <v>1</v>
      </c>
      <c r="L14" s="16"/>
      <c r="M14" s="16">
        <v>1</v>
      </c>
      <c r="N14" s="16">
        <v>1</v>
      </c>
      <c r="O14" s="16"/>
      <c r="P14" s="16"/>
      <c r="Q14" s="16" t="s">
        <v>537</v>
      </c>
      <c r="R14" s="16">
        <v>1</v>
      </c>
      <c r="S14" s="16">
        <v>1</v>
      </c>
      <c r="T14" s="16"/>
      <c r="U14" s="16"/>
      <c r="V14" s="18" t="s">
        <v>383</v>
      </c>
      <c r="W14" s="16"/>
      <c r="X14" s="16">
        <v>1</v>
      </c>
      <c r="Y14" s="18"/>
      <c r="Z14" s="16" t="s">
        <v>399</v>
      </c>
      <c r="AA14" s="18" t="s">
        <v>386</v>
      </c>
      <c r="AB14" s="16"/>
      <c r="AC14" s="16"/>
      <c r="AD14" s="16"/>
      <c r="AE14" s="16" t="s">
        <v>385</v>
      </c>
      <c r="AF14" s="16" t="s">
        <v>775</v>
      </c>
      <c r="AG14" s="16">
        <v>8</v>
      </c>
      <c r="AH14" s="16" t="s">
        <v>748</v>
      </c>
      <c r="AI14" s="16"/>
      <c r="AJ14" s="16"/>
      <c r="AK14" s="16">
        <v>1</v>
      </c>
      <c r="AL14" s="16">
        <v>1</v>
      </c>
      <c r="AM14" s="18" t="s">
        <v>749</v>
      </c>
      <c r="AN14" s="16">
        <v>12.1</v>
      </c>
      <c r="AO14" s="16">
        <v>25.4</v>
      </c>
      <c r="AP14" s="16">
        <v>29.3</v>
      </c>
      <c r="AQ14" s="16">
        <v>18</v>
      </c>
      <c r="AR14" s="16"/>
      <c r="AS1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1</v>
      </c>
      <c r="BA1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1</v>
      </c>
      <c r="BE1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4" s="6" t="s">
        <v>776</v>
      </c>
      <c r="BS14" s="27" t="s">
        <v>388</v>
      </c>
    </row>
    <row r="15" spans="1:71" ht="52.2" x14ac:dyDescent="0.3">
      <c r="A15" s="4" t="s">
        <v>18</v>
      </c>
      <c r="B15" s="5" t="s">
        <v>437</v>
      </c>
      <c r="C15" s="5" t="s">
        <v>406</v>
      </c>
      <c r="D15" s="5" t="s">
        <v>19</v>
      </c>
      <c r="E15" s="5" t="s">
        <v>739</v>
      </c>
      <c r="F15" s="5" t="s">
        <v>740</v>
      </c>
      <c r="G15" s="6" t="s">
        <v>0</v>
      </c>
      <c r="H15" s="12">
        <v>1</v>
      </c>
      <c r="I15" s="12" t="s">
        <v>381</v>
      </c>
      <c r="J15" s="12"/>
      <c r="K15" s="12">
        <v>1</v>
      </c>
      <c r="L15" s="12"/>
      <c r="M15" s="12">
        <v>1</v>
      </c>
      <c r="N15" s="12"/>
      <c r="O15" s="12">
        <v>1</v>
      </c>
      <c r="P15" s="12"/>
      <c r="Q15" s="12"/>
      <c r="R15" s="12">
        <v>1</v>
      </c>
      <c r="S15" s="12">
        <v>1</v>
      </c>
      <c r="T15" s="12"/>
      <c r="U15" s="12"/>
      <c r="V15" s="17" t="s">
        <v>383</v>
      </c>
      <c r="W15" s="12"/>
      <c r="X15" s="12">
        <v>1</v>
      </c>
      <c r="Y15" s="17" t="s">
        <v>438</v>
      </c>
      <c r="Z15" s="12" t="s">
        <v>399</v>
      </c>
      <c r="AA15" s="17" t="s">
        <v>386</v>
      </c>
      <c r="AB15" s="12">
        <v>1</v>
      </c>
      <c r="AC15" s="12" t="s">
        <v>770</v>
      </c>
      <c r="AD15" s="12">
        <v>59.8</v>
      </c>
      <c r="AE15" s="12" t="s">
        <v>444</v>
      </c>
      <c r="AF15" s="12" t="s">
        <v>777</v>
      </c>
      <c r="AG15" s="12">
        <v>5.5</v>
      </c>
      <c r="AH15" s="12" t="s">
        <v>742</v>
      </c>
      <c r="AI15" s="12">
        <v>1</v>
      </c>
      <c r="AJ15" s="12">
        <v>1</v>
      </c>
      <c r="AK15" s="12">
        <v>1</v>
      </c>
      <c r="AL15" s="12">
        <v>1</v>
      </c>
      <c r="AM15" s="17" t="s">
        <v>772</v>
      </c>
      <c r="AN15" s="12">
        <v>14.5</v>
      </c>
      <c r="AO15" s="12">
        <v>29.8</v>
      </c>
      <c r="AP15" s="12"/>
      <c r="AQ15" s="12">
        <v>21.3</v>
      </c>
      <c r="AR15" s="12">
        <v>1</v>
      </c>
      <c r="AS1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1</v>
      </c>
      <c r="BN1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5" s="6" t="s">
        <v>778</v>
      </c>
      <c r="BS15" s="27" t="s">
        <v>388</v>
      </c>
    </row>
    <row r="16" spans="1:71" ht="52.2" x14ac:dyDescent="0.3">
      <c r="A16" s="26" t="s">
        <v>20</v>
      </c>
      <c r="B16" s="14" t="s">
        <v>437</v>
      </c>
      <c r="C16" s="14" t="s">
        <v>406</v>
      </c>
      <c r="D16" s="14" t="s">
        <v>19</v>
      </c>
      <c r="E16" s="14" t="s">
        <v>739</v>
      </c>
      <c r="F16" s="14" t="s">
        <v>740</v>
      </c>
      <c r="G16" s="15" t="s">
        <v>0</v>
      </c>
      <c r="H16" s="16">
        <v>1</v>
      </c>
      <c r="I16" s="16" t="s">
        <v>381</v>
      </c>
      <c r="J16" s="16"/>
      <c r="K16" s="16">
        <v>1</v>
      </c>
      <c r="L16" s="16"/>
      <c r="M16" s="16">
        <v>1</v>
      </c>
      <c r="N16" s="16"/>
      <c r="O16" s="16"/>
      <c r="P16" s="16"/>
      <c r="Q16" s="16" t="s">
        <v>537</v>
      </c>
      <c r="R16" s="16">
        <v>1</v>
      </c>
      <c r="S16" s="16">
        <v>1</v>
      </c>
      <c r="T16" s="16"/>
      <c r="U16" s="16">
        <v>1</v>
      </c>
      <c r="V16" s="18" t="s">
        <v>383</v>
      </c>
      <c r="W16" s="16"/>
      <c r="X16" s="16">
        <v>1</v>
      </c>
      <c r="Y16" s="18" t="s">
        <v>438</v>
      </c>
      <c r="Z16" s="16" t="s">
        <v>399</v>
      </c>
      <c r="AA16" s="18" t="s">
        <v>386</v>
      </c>
      <c r="AB16" s="16">
        <v>1</v>
      </c>
      <c r="AC16" s="16" t="s">
        <v>770</v>
      </c>
      <c r="AD16" s="16">
        <v>73.7</v>
      </c>
      <c r="AE16" s="16" t="s">
        <v>444</v>
      </c>
      <c r="AF16" s="16" t="s">
        <v>779</v>
      </c>
      <c r="AG16" s="16">
        <v>8</v>
      </c>
      <c r="AH16" s="16" t="s">
        <v>742</v>
      </c>
      <c r="AI16" s="16">
        <v>1</v>
      </c>
      <c r="AJ16" s="16">
        <v>1</v>
      </c>
      <c r="AK16" s="16">
        <v>1</v>
      </c>
      <c r="AL16" s="16">
        <v>1</v>
      </c>
      <c r="AM16" s="18" t="s">
        <v>772</v>
      </c>
      <c r="AN16" s="16">
        <v>16.3</v>
      </c>
      <c r="AO16" s="16">
        <v>34</v>
      </c>
      <c r="AP16" s="16">
        <v>37.5</v>
      </c>
      <c r="AQ16" s="16">
        <v>24.2</v>
      </c>
      <c r="AR16" s="16">
        <v>1</v>
      </c>
      <c r="AS1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1</v>
      </c>
      <c r="BM1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6" s="6" t="s">
        <v>387</v>
      </c>
      <c r="BS16" s="27" t="s">
        <v>388</v>
      </c>
    </row>
    <row r="17" spans="1:71" ht="52.2" x14ac:dyDescent="0.3">
      <c r="A17" s="4" t="s">
        <v>21</v>
      </c>
      <c r="B17" s="5" t="s">
        <v>440</v>
      </c>
      <c r="C17" s="5" t="s">
        <v>441</v>
      </c>
      <c r="D17" s="5" t="s">
        <v>22</v>
      </c>
      <c r="E17" s="5" t="s">
        <v>739</v>
      </c>
      <c r="F17" s="5" t="s">
        <v>740</v>
      </c>
      <c r="G17" s="6" t="s">
        <v>0</v>
      </c>
      <c r="H17" s="12">
        <v>1</v>
      </c>
      <c r="I17" s="12" t="s">
        <v>381</v>
      </c>
      <c r="J17" s="12"/>
      <c r="K17" s="12"/>
      <c r="L17" s="12"/>
      <c r="M17" s="12"/>
      <c r="N17" s="12"/>
      <c r="O17" s="12"/>
      <c r="P17" s="12"/>
      <c r="Q17" s="12" t="s">
        <v>382</v>
      </c>
      <c r="R17" s="12"/>
      <c r="S17" s="12">
        <v>1</v>
      </c>
      <c r="T17" s="12"/>
      <c r="U17" s="12"/>
      <c r="V17" s="17" t="s">
        <v>442</v>
      </c>
      <c r="W17" s="12">
        <v>56</v>
      </c>
      <c r="X17" s="12">
        <v>1</v>
      </c>
      <c r="Y17" s="17" t="s">
        <v>443</v>
      </c>
      <c r="Z17" s="12" t="s">
        <v>444</v>
      </c>
      <c r="AA17" s="17" t="s">
        <v>386</v>
      </c>
      <c r="AB17" s="12"/>
      <c r="AC17" s="12"/>
      <c r="AD17" s="12"/>
      <c r="AE17" s="12" t="s">
        <v>444</v>
      </c>
      <c r="AF17" s="12" t="s">
        <v>780</v>
      </c>
      <c r="AG17" s="12">
        <v>5.5</v>
      </c>
      <c r="AH17" s="12" t="s">
        <v>742</v>
      </c>
      <c r="AI17" s="12"/>
      <c r="AJ17" s="12"/>
      <c r="AK17" s="12">
        <v>1</v>
      </c>
      <c r="AL17" s="12"/>
      <c r="AM17" s="17" t="s">
        <v>781</v>
      </c>
      <c r="AN17" s="12">
        <v>15</v>
      </c>
      <c r="AO17" s="12">
        <v>28.4</v>
      </c>
      <c r="AP17" s="12"/>
      <c r="AQ17" s="12">
        <v>20.399999999999999</v>
      </c>
      <c r="AR17" s="12"/>
      <c r="AS1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7" s="6" t="s">
        <v>782</v>
      </c>
      <c r="BS17" s="27" t="s">
        <v>388</v>
      </c>
    </row>
    <row r="18" spans="1:71" ht="52.2" x14ac:dyDescent="0.3">
      <c r="A18" s="26" t="s">
        <v>23</v>
      </c>
      <c r="B18" s="14" t="s">
        <v>440</v>
      </c>
      <c r="C18" s="14" t="s">
        <v>441</v>
      </c>
      <c r="D18" s="14" t="s">
        <v>22</v>
      </c>
      <c r="E18" s="14" t="s">
        <v>739</v>
      </c>
      <c r="F18" s="14" t="s">
        <v>740</v>
      </c>
      <c r="G18" s="15" t="s">
        <v>0</v>
      </c>
      <c r="H18" s="16">
        <v>1</v>
      </c>
      <c r="I18" s="16" t="s">
        <v>381</v>
      </c>
      <c r="J18" s="16"/>
      <c r="K18" s="16"/>
      <c r="L18" s="16"/>
      <c r="M18" s="16"/>
      <c r="N18" s="16"/>
      <c r="O18" s="16"/>
      <c r="P18" s="16"/>
      <c r="Q18" s="16" t="s">
        <v>382</v>
      </c>
      <c r="R18" s="16"/>
      <c r="S18" s="16">
        <v>1</v>
      </c>
      <c r="T18" s="16"/>
      <c r="U18" s="16"/>
      <c r="V18" s="18" t="s">
        <v>442</v>
      </c>
      <c r="W18" s="16">
        <v>56</v>
      </c>
      <c r="X18" s="16">
        <v>1</v>
      </c>
      <c r="Y18" s="18" t="s">
        <v>443</v>
      </c>
      <c r="Z18" s="16" t="s">
        <v>444</v>
      </c>
      <c r="AA18" s="18" t="s">
        <v>386</v>
      </c>
      <c r="AB18" s="16"/>
      <c r="AC18" s="16"/>
      <c r="AD18" s="16"/>
      <c r="AE18" s="16" t="s">
        <v>385</v>
      </c>
      <c r="AF18" s="16" t="s">
        <v>780</v>
      </c>
      <c r="AG18" s="16">
        <v>5.5</v>
      </c>
      <c r="AH18" s="16" t="s">
        <v>742</v>
      </c>
      <c r="AI18" s="16"/>
      <c r="AJ18" s="16"/>
      <c r="AK18" s="16">
        <v>1</v>
      </c>
      <c r="AL18" s="16"/>
      <c r="AM18" s="18" t="s">
        <v>783</v>
      </c>
      <c r="AN18" s="16">
        <v>13.5</v>
      </c>
      <c r="AO18" s="16">
        <v>26.9</v>
      </c>
      <c r="AP18" s="16"/>
      <c r="AQ18" s="16">
        <v>19.2</v>
      </c>
      <c r="AR18" s="16"/>
      <c r="AS1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8" s="6" t="s">
        <v>782</v>
      </c>
      <c r="BS18" s="27" t="s">
        <v>784</v>
      </c>
    </row>
    <row r="19" spans="1:71" ht="52.2" x14ac:dyDescent="0.3">
      <c r="A19" s="4" t="s">
        <v>24</v>
      </c>
      <c r="B19" s="5" t="s">
        <v>451</v>
      </c>
      <c r="C19" s="5" t="s">
        <v>452</v>
      </c>
      <c r="D19" s="5" t="s">
        <v>25</v>
      </c>
      <c r="E19" s="5" t="s">
        <v>739</v>
      </c>
      <c r="F19" s="5" t="s">
        <v>754</v>
      </c>
      <c r="G19" s="6" t="s">
        <v>0</v>
      </c>
      <c r="H19" s="12">
        <v>1</v>
      </c>
      <c r="I19" s="12" t="s">
        <v>381</v>
      </c>
      <c r="J19" s="12"/>
      <c r="K19" s="12">
        <v>1</v>
      </c>
      <c r="L19" s="12"/>
      <c r="M19" s="12">
        <v>1</v>
      </c>
      <c r="N19" s="12"/>
      <c r="O19" s="12"/>
      <c r="P19" s="12"/>
      <c r="Q19" s="12"/>
      <c r="R19" s="12"/>
      <c r="S19" s="12">
        <v>1</v>
      </c>
      <c r="T19" s="12"/>
      <c r="U19" s="12"/>
      <c r="V19" s="17" t="s">
        <v>383</v>
      </c>
      <c r="W19" s="12"/>
      <c r="X19" s="12">
        <v>1</v>
      </c>
      <c r="Y19" s="17" t="s">
        <v>453</v>
      </c>
      <c r="Z19" s="12" t="s">
        <v>385</v>
      </c>
      <c r="AA19" s="17" t="s">
        <v>386</v>
      </c>
      <c r="AB19" s="12"/>
      <c r="AC19" s="12"/>
      <c r="AD19" s="12"/>
      <c r="AE19" s="12" t="s">
        <v>408</v>
      </c>
      <c r="AF19" s="12" t="s">
        <v>785</v>
      </c>
      <c r="AG19" s="12">
        <v>8</v>
      </c>
      <c r="AH19" s="12" t="s">
        <v>748</v>
      </c>
      <c r="AI19" s="12"/>
      <c r="AJ19" s="12"/>
      <c r="AK19" s="12">
        <v>1</v>
      </c>
      <c r="AL19" s="12">
        <v>1</v>
      </c>
      <c r="AM19" s="17" t="s">
        <v>749</v>
      </c>
      <c r="AN19" s="12">
        <v>12.8</v>
      </c>
      <c r="AO19" s="12">
        <v>25.5</v>
      </c>
      <c r="AP19" s="12">
        <v>31</v>
      </c>
      <c r="AQ19" s="12">
        <v>17.100000000000001</v>
      </c>
      <c r="AR19" s="12"/>
      <c r="AS1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9" s="6" t="s">
        <v>786</v>
      </c>
      <c r="BS19" s="27" t="s">
        <v>388</v>
      </c>
    </row>
    <row r="20" spans="1:71" ht="69.599999999999994" x14ac:dyDescent="0.3">
      <c r="A20" s="26" t="s">
        <v>26</v>
      </c>
      <c r="B20" s="14" t="s">
        <v>451</v>
      </c>
      <c r="C20" s="14" t="s">
        <v>452</v>
      </c>
      <c r="D20" s="14" t="s">
        <v>25</v>
      </c>
      <c r="E20" s="14" t="s">
        <v>739</v>
      </c>
      <c r="F20" s="14" t="s">
        <v>754</v>
      </c>
      <c r="G20" s="15" t="s">
        <v>0</v>
      </c>
      <c r="H20" s="16">
        <v>1</v>
      </c>
      <c r="I20" s="16" t="s">
        <v>381</v>
      </c>
      <c r="J20" s="16"/>
      <c r="K20" s="16">
        <v>1</v>
      </c>
      <c r="L20" s="16"/>
      <c r="M20" s="16">
        <v>1</v>
      </c>
      <c r="N20" s="16"/>
      <c r="O20" s="16"/>
      <c r="P20" s="16"/>
      <c r="Q20" s="16"/>
      <c r="R20" s="16"/>
      <c r="S20" s="16">
        <v>1</v>
      </c>
      <c r="T20" s="16"/>
      <c r="U20" s="16"/>
      <c r="V20" s="18" t="s">
        <v>383</v>
      </c>
      <c r="W20" s="16"/>
      <c r="X20" s="16">
        <v>1</v>
      </c>
      <c r="Y20" s="18" t="s">
        <v>453</v>
      </c>
      <c r="Z20" s="16" t="s">
        <v>385</v>
      </c>
      <c r="AA20" s="18" t="s">
        <v>386</v>
      </c>
      <c r="AB20" s="16"/>
      <c r="AC20" s="16"/>
      <c r="AD20" s="16"/>
      <c r="AE20" s="16" t="s">
        <v>385</v>
      </c>
      <c r="AF20" s="16" t="s">
        <v>787</v>
      </c>
      <c r="AG20" s="16">
        <v>8</v>
      </c>
      <c r="AH20" s="16" t="s">
        <v>748</v>
      </c>
      <c r="AI20" s="16"/>
      <c r="AJ20" s="16"/>
      <c r="AK20" s="16">
        <v>1</v>
      </c>
      <c r="AL20" s="16">
        <v>1</v>
      </c>
      <c r="AM20" s="18" t="s">
        <v>749</v>
      </c>
      <c r="AN20" s="16">
        <v>12.7</v>
      </c>
      <c r="AO20" s="16">
        <v>25</v>
      </c>
      <c r="AP20" s="16">
        <v>30.5</v>
      </c>
      <c r="AQ20" s="16">
        <v>15.8</v>
      </c>
      <c r="AR20" s="16"/>
      <c r="AS2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0" s="6" t="s">
        <v>788</v>
      </c>
      <c r="BS20" s="27" t="s">
        <v>388</v>
      </c>
    </row>
    <row r="21" spans="1:71" ht="52.2" x14ac:dyDescent="0.3">
      <c r="A21" s="4" t="s">
        <v>27</v>
      </c>
      <c r="B21" s="5" t="s">
        <v>455</v>
      </c>
      <c r="C21" s="5" t="s">
        <v>427</v>
      </c>
      <c r="D21" s="5" t="s">
        <v>28</v>
      </c>
      <c r="E21" s="5" t="s">
        <v>739</v>
      </c>
      <c r="F21" s="5" t="s">
        <v>789</v>
      </c>
      <c r="G21" s="6" t="s">
        <v>0</v>
      </c>
      <c r="H21" s="12">
        <v>1</v>
      </c>
      <c r="I21" s="12" t="s">
        <v>381</v>
      </c>
      <c r="J21" s="12"/>
      <c r="K21" s="12">
        <v>1</v>
      </c>
      <c r="L21" s="12"/>
      <c r="M21" s="12">
        <v>1</v>
      </c>
      <c r="N21" s="12"/>
      <c r="O21" s="12"/>
      <c r="P21" s="12"/>
      <c r="Q21" s="12" t="s">
        <v>414</v>
      </c>
      <c r="R21" s="12"/>
      <c r="S21" s="12"/>
      <c r="T21" s="12"/>
      <c r="U21" s="12"/>
      <c r="V21" s="17" t="s">
        <v>383</v>
      </c>
      <c r="W21" s="12"/>
      <c r="X21" s="12">
        <v>1</v>
      </c>
      <c r="Y21" s="17"/>
      <c r="Z21" s="12" t="s">
        <v>399</v>
      </c>
      <c r="AA21" s="17" t="s">
        <v>416</v>
      </c>
      <c r="AB21" s="12"/>
      <c r="AC21" s="12"/>
      <c r="AD21" s="12"/>
      <c r="AE21" s="12" t="s">
        <v>444</v>
      </c>
      <c r="AF21" s="12" t="s">
        <v>790</v>
      </c>
      <c r="AG21" s="12">
        <v>5</v>
      </c>
      <c r="AH21" s="12" t="s">
        <v>748</v>
      </c>
      <c r="AI21" s="12">
        <v>1</v>
      </c>
      <c r="AJ21" s="12"/>
      <c r="AK21" s="12">
        <v>1</v>
      </c>
      <c r="AL21" s="12"/>
      <c r="AM21" s="17" t="s">
        <v>749</v>
      </c>
      <c r="AN21" s="12">
        <v>13</v>
      </c>
      <c r="AO21" s="12">
        <v>22.6</v>
      </c>
      <c r="AP21" s="12">
        <v>27</v>
      </c>
      <c r="AQ21" s="12">
        <v>17.899999999999999</v>
      </c>
      <c r="AR21" s="12"/>
      <c r="AS2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1" s="6" t="s">
        <v>791</v>
      </c>
      <c r="BS21" s="27" t="s">
        <v>388</v>
      </c>
    </row>
    <row r="22" spans="1:71" ht="52.2" x14ac:dyDescent="0.3">
      <c r="A22" s="26" t="s">
        <v>29</v>
      </c>
      <c r="B22" s="14" t="s">
        <v>457</v>
      </c>
      <c r="C22" s="14" t="s">
        <v>379</v>
      </c>
      <c r="D22" s="14" t="s">
        <v>30</v>
      </c>
      <c r="E22" s="14" t="s">
        <v>739</v>
      </c>
      <c r="F22" s="14" t="s">
        <v>789</v>
      </c>
      <c r="G22" s="15" t="s">
        <v>0</v>
      </c>
      <c r="H22" s="16">
        <v>1</v>
      </c>
      <c r="I22" s="16" t="s">
        <v>381</v>
      </c>
      <c r="J22" s="16"/>
      <c r="K22" s="16">
        <v>1</v>
      </c>
      <c r="L22" s="16">
        <v>1</v>
      </c>
      <c r="M22" s="16">
        <v>1</v>
      </c>
      <c r="N22" s="16"/>
      <c r="O22" s="16"/>
      <c r="P22" s="16"/>
      <c r="Q22" s="16" t="s">
        <v>537</v>
      </c>
      <c r="R22" s="16">
        <v>1</v>
      </c>
      <c r="S22" s="16">
        <v>1</v>
      </c>
      <c r="T22" s="16"/>
      <c r="U22" s="16"/>
      <c r="V22" s="18" t="s">
        <v>383</v>
      </c>
      <c r="W22" s="16"/>
      <c r="X22" s="16">
        <v>1</v>
      </c>
      <c r="Y22" s="18" t="s">
        <v>458</v>
      </c>
      <c r="Z22" s="16" t="s">
        <v>385</v>
      </c>
      <c r="AA22" s="18" t="s">
        <v>416</v>
      </c>
      <c r="AB22" s="16"/>
      <c r="AC22" s="16"/>
      <c r="AD22" s="16"/>
      <c r="AE22" s="16" t="s">
        <v>444</v>
      </c>
      <c r="AF22" s="16" t="s">
        <v>792</v>
      </c>
      <c r="AG22" s="16">
        <v>9.5</v>
      </c>
      <c r="AH22" s="16" t="s">
        <v>742</v>
      </c>
      <c r="AI22" s="16"/>
      <c r="AJ22" s="16"/>
      <c r="AK22" s="16">
        <v>1</v>
      </c>
      <c r="AL22" s="16"/>
      <c r="AM22" s="18" t="s">
        <v>793</v>
      </c>
      <c r="AN22" s="16">
        <v>17.100000000000001</v>
      </c>
      <c r="AO22" s="16">
        <v>37.299999999999997</v>
      </c>
      <c r="AP22" s="16">
        <v>40.5</v>
      </c>
      <c r="AQ22" s="16">
        <v>25.5</v>
      </c>
      <c r="AR22" s="16"/>
      <c r="AS2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2" s="6" t="s">
        <v>794</v>
      </c>
      <c r="BS22" s="27" t="s">
        <v>795</v>
      </c>
    </row>
    <row r="23" spans="1:71" ht="52.2" x14ac:dyDescent="0.3">
      <c r="A23" s="4" t="s">
        <v>31</v>
      </c>
      <c r="B23" s="5" t="s">
        <v>462</v>
      </c>
      <c r="C23" s="5" t="s">
        <v>412</v>
      </c>
      <c r="D23" s="5" t="s">
        <v>463</v>
      </c>
      <c r="E23" s="5" t="s">
        <v>739</v>
      </c>
      <c r="F23" s="5" t="s">
        <v>789</v>
      </c>
      <c r="G23" s="6" t="s">
        <v>0</v>
      </c>
      <c r="H23" s="12">
        <v>1</v>
      </c>
      <c r="I23" s="12" t="s">
        <v>381</v>
      </c>
      <c r="J23" s="12"/>
      <c r="K23" s="12">
        <v>1</v>
      </c>
      <c r="L23" s="12"/>
      <c r="M23" s="12">
        <v>1</v>
      </c>
      <c r="N23" s="12"/>
      <c r="O23" s="12">
        <v>1</v>
      </c>
      <c r="P23" s="12"/>
      <c r="Q23" s="12" t="s">
        <v>537</v>
      </c>
      <c r="R23" s="12">
        <v>1</v>
      </c>
      <c r="S23" s="12"/>
      <c r="T23" s="12"/>
      <c r="U23" s="12"/>
      <c r="V23" s="17" t="s">
        <v>383</v>
      </c>
      <c r="W23" s="12"/>
      <c r="X23" s="12">
        <v>1</v>
      </c>
      <c r="Y23" s="17" t="s">
        <v>464</v>
      </c>
      <c r="Z23" s="12" t="s">
        <v>444</v>
      </c>
      <c r="AA23" s="17" t="s">
        <v>416</v>
      </c>
      <c r="AB23" s="12"/>
      <c r="AC23" s="12"/>
      <c r="AD23" s="12"/>
      <c r="AE23" s="12" t="s">
        <v>444</v>
      </c>
      <c r="AF23" s="12" t="s">
        <v>796</v>
      </c>
      <c r="AG23" s="12">
        <v>7.5</v>
      </c>
      <c r="AH23" s="12" t="s">
        <v>748</v>
      </c>
      <c r="AI23" s="12"/>
      <c r="AJ23" s="12"/>
      <c r="AK23" s="12">
        <v>1</v>
      </c>
      <c r="AL23" s="12">
        <v>1</v>
      </c>
      <c r="AM23" s="17" t="s">
        <v>749</v>
      </c>
      <c r="AN23" s="12">
        <v>14</v>
      </c>
      <c r="AO23" s="12">
        <v>25</v>
      </c>
      <c r="AP23" s="12">
        <v>30</v>
      </c>
      <c r="AQ23" s="12">
        <v>20</v>
      </c>
      <c r="AR23" s="12"/>
      <c r="AS2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3" s="6" t="s">
        <v>797</v>
      </c>
      <c r="BS23" s="27" t="s">
        <v>784</v>
      </c>
    </row>
    <row r="24" spans="1:71" ht="52.2" x14ac:dyDescent="0.3">
      <c r="A24" s="26" t="s">
        <v>32</v>
      </c>
      <c r="B24" s="14" t="s">
        <v>465</v>
      </c>
      <c r="C24" s="14" t="s">
        <v>466</v>
      </c>
      <c r="D24" s="14" t="s">
        <v>33</v>
      </c>
      <c r="E24" s="14" t="s">
        <v>739</v>
      </c>
      <c r="F24" s="14" t="s">
        <v>789</v>
      </c>
      <c r="G24" s="15" t="s">
        <v>0</v>
      </c>
      <c r="H24" s="16">
        <v>1</v>
      </c>
      <c r="I24" s="16" t="s">
        <v>381</v>
      </c>
      <c r="J24" s="16"/>
      <c r="K24" s="16"/>
      <c r="L24" s="16"/>
      <c r="M24" s="16">
        <v>1</v>
      </c>
      <c r="N24" s="16"/>
      <c r="O24" s="16"/>
      <c r="P24" s="16"/>
      <c r="Q24" s="16"/>
      <c r="R24" s="16"/>
      <c r="S24" s="16"/>
      <c r="T24" s="16"/>
      <c r="U24" s="16"/>
      <c r="V24" s="18" t="s">
        <v>383</v>
      </c>
      <c r="W24" s="16"/>
      <c r="X24" s="16">
        <v>1</v>
      </c>
      <c r="Y24" s="18" t="s">
        <v>458</v>
      </c>
      <c r="Z24" s="16" t="s">
        <v>385</v>
      </c>
      <c r="AA24" s="18" t="s">
        <v>416</v>
      </c>
      <c r="AB24" s="16"/>
      <c r="AC24" s="16"/>
      <c r="AD24" s="16"/>
      <c r="AE24" s="16" t="s">
        <v>444</v>
      </c>
      <c r="AF24" s="16" t="s">
        <v>798</v>
      </c>
      <c r="AG24" s="16">
        <v>7.5</v>
      </c>
      <c r="AH24" s="16" t="s">
        <v>748</v>
      </c>
      <c r="AI24" s="16"/>
      <c r="AJ24" s="16"/>
      <c r="AK24" s="16">
        <v>1</v>
      </c>
      <c r="AL24" s="16">
        <v>1</v>
      </c>
      <c r="AM24" s="18" t="s">
        <v>749</v>
      </c>
      <c r="AN24" s="16">
        <v>12.5</v>
      </c>
      <c r="AO24" s="16">
        <v>25.7</v>
      </c>
      <c r="AP24" s="16">
        <v>28.2</v>
      </c>
      <c r="AQ24" s="16">
        <v>18.5</v>
      </c>
      <c r="AR24" s="16"/>
      <c r="AS2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2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2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4" s="6" t="s">
        <v>799</v>
      </c>
      <c r="BS24" s="27" t="s">
        <v>388</v>
      </c>
    </row>
    <row r="25" spans="1:71" ht="52.2" x14ac:dyDescent="0.3">
      <c r="A25" s="4" t="s">
        <v>34</v>
      </c>
      <c r="B25" s="5" t="s">
        <v>465</v>
      </c>
      <c r="C25" s="5" t="s">
        <v>466</v>
      </c>
      <c r="D25" s="5" t="s">
        <v>33</v>
      </c>
      <c r="E25" s="5" t="s">
        <v>739</v>
      </c>
      <c r="F25" s="5" t="s">
        <v>789</v>
      </c>
      <c r="G25" s="6" t="s">
        <v>0</v>
      </c>
      <c r="H25" s="12">
        <v>1</v>
      </c>
      <c r="I25" s="12" t="s">
        <v>381</v>
      </c>
      <c r="J25" s="12"/>
      <c r="K25" s="12"/>
      <c r="L25" s="12"/>
      <c r="M25" s="12">
        <v>1</v>
      </c>
      <c r="N25" s="12"/>
      <c r="O25" s="12"/>
      <c r="P25" s="12"/>
      <c r="Q25" s="12"/>
      <c r="R25" s="12"/>
      <c r="S25" s="12"/>
      <c r="T25" s="12"/>
      <c r="U25" s="12"/>
      <c r="V25" s="17" t="s">
        <v>383</v>
      </c>
      <c r="W25" s="12"/>
      <c r="X25" s="12">
        <v>1</v>
      </c>
      <c r="Y25" s="17" t="s">
        <v>458</v>
      </c>
      <c r="Z25" s="12" t="s">
        <v>444</v>
      </c>
      <c r="AA25" s="17" t="s">
        <v>416</v>
      </c>
      <c r="AB25" s="12"/>
      <c r="AC25" s="12"/>
      <c r="AD25" s="12"/>
      <c r="AE25" s="12" t="s">
        <v>408</v>
      </c>
      <c r="AF25" s="12" t="s">
        <v>800</v>
      </c>
      <c r="AG25" s="12">
        <v>6</v>
      </c>
      <c r="AH25" s="12" t="s">
        <v>748</v>
      </c>
      <c r="AI25" s="12"/>
      <c r="AJ25" s="12"/>
      <c r="AK25" s="12">
        <v>1</v>
      </c>
      <c r="AL25" s="12"/>
      <c r="AM25" s="17" t="s">
        <v>749</v>
      </c>
      <c r="AN25" s="12">
        <v>15</v>
      </c>
      <c r="AO25" s="12">
        <v>26.8</v>
      </c>
      <c r="AP25" s="12">
        <v>30.7</v>
      </c>
      <c r="AQ25" s="12">
        <v>20</v>
      </c>
      <c r="AR25" s="12"/>
      <c r="AS2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1</v>
      </c>
      <c r="BJ2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1</v>
      </c>
      <c r="BK2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5" s="6" t="s">
        <v>801</v>
      </c>
      <c r="BS25" s="27" t="s">
        <v>388</v>
      </c>
    </row>
    <row r="26" spans="1:71" ht="52.2" x14ac:dyDescent="0.3">
      <c r="A26" s="26" t="s">
        <v>1048</v>
      </c>
      <c r="B26" s="14" t="s">
        <v>465</v>
      </c>
      <c r="C26" s="14" t="s">
        <v>466</v>
      </c>
      <c r="D26" s="14" t="s">
        <v>33</v>
      </c>
      <c r="E26" s="14" t="s">
        <v>739</v>
      </c>
      <c r="F26" s="14" t="s">
        <v>789</v>
      </c>
      <c r="G26" s="15" t="s">
        <v>0</v>
      </c>
      <c r="H26" s="16">
        <v>1</v>
      </c>
      <c r="I26" s="16" t="s">
        <v>381</v>
      </c>
      <c r="J26" s="16"/>
      <c r="K26" s="16"/>
      <c r="L26" s="16"/>
      <c r="M26" s="16">
        <v>1</v>
      </c>
      <c r="N26" s="16"/>
      <c r="O26" s="16"/>
      <c r="P26" s="16"/>
      <c r="Q26" s="16"/>
      <c r="R26" s="16"/>
      <c r="S26" s="16"/>
      <c r="T26" s="16"/>
      <c r="U26" s="16"/>
      <c r="V26" s="18" t="s">
        <v>383</v>
      </c>
      <c r="W26" s="16"/>
      <c r="X26" s="16">
        <v>1</v>
      </c>
      <c r="Y26" s="18" t="s">
        <v>458</v>
      </c>
      <c r="Z26" s="16" t="s">
        <v>444</v>
      </c>
      <c r="AA26" s="18" t="s">
        <v>416</v>
      </c>
      <c r="AB26" s="16"/>
      <c r="AC26" s="16"/>
      <c r="AD26" s="16"/>
      <c r="AE26" s="16" t="s">
        <v>444</v>
      </c>
      <c r="AF26" s="16" t="s">
        <v>1049</v>
      </c>
      <c r="AG26" s="16">
        <v>4</v>
      </c>
      <c r="AH26" s="16" t="s">
        <v>926</v>
      </c>
      <c r="AI26" s="16"/>
      <c r="AJ26" s="16"/>
      <c r="AK26" s="16">
        <v>1</v>
      </c>
      <c r="AL26" s="16"/>
      <c r="AM26" s="18" t="s">
        <v>1050</v>
      </c>
      <c r="AN26" s="16"/>
      <c r="AO26" s="16"/>
      <c r="AP26" s="16"/>
      <c r="AQ26" s="16"/>
      <c r="AR26" s="16"/>
      <c r="AS2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6" s="6" t="s">
        <v>1051</v>
      </c>
      <c r="BS26" s="27" t="s">
        <v>388</v>
      </c>
    </row>
    <row r="27" spans="1:71" ht="52.2" x14ac:dyDescent="0.3">
      <c r="A27" s="4" t="s">
        <v>35</v>
      </c>
      <c r="B27" s="5" t="s">
        <v>468</v>
      </c>
      <c r="C27" s="5" t="s">
        <v>469</v>
      </c>
      <c r="D27" s="5" t="s">
        <v>36</v>
      </c>
      <c r="E27" s="5" t="s">
        <v>739</v>
      </c>
      <c r="F27" s="5" t="s">
        <v>740</v>
      </c>
      <c r="G27" s="6" t="s">
        <v>0</v>
      </c>
      <c r="H27" s="12">
        <v>1</v>
      </c>
      <c r="I27" s="12" t="s">
        <v>381</v>
      </c>
      <c r="J27" s="12"/>
      <c r="K27" s="12">
        <v>1</v>
      </c>
      <c r="L27" s="12">
        <v>1</v>
      </c>
      <c r="M27" s="12">
        <v>1</v>
      </c>
      <c r="N27" s="12">
        <v>1</v>
      </c>
      <c r="O27" s="12">
        <v>1</v>
      </c>
      <c r="P27" s="12"/>
      <c r="Q27" s="12" t="s">
        <v>537</v>
      </c>
      <c r="R27" s="12"/>
      <c r="S27" s="12">
        <v>1</v>
      </c>
      <c r="T27" s="12" t="s">
        <v>711</v>
      </c>
      <c r="U27" s="12"/>
      <c r="V27" s="17" t="s">
        <v>470</v>
      </c>
      <c r="W27" s="12">
        <v>64</v>
      </c>
      <c r="X27" s="12">
        <v>1</v>
      </c>
      <c r="Y27" s="17" t="s">
        <v>802</v>
      </c>
      <c r="Z27" s="12" t="s">
        <v>399</v>
      </c>
      <c r="AA27" s="17" t="s">
        <v>386</v>
      </c>
      <c r="AB27" s="12"/>
      <c r="AC27" s="12"/>
      <c r="AD27" s="12"/>
      <c r="AE27" s="12" t="s">
        <v>385</v>
      </c>
      <c r="AF27" s="12" t="s">
        <v>803</v>
      </c>
      <c r="AG27" s="12">
        <v>6</v>
      </c>
      <c r="AH27" s="12" t="s">
        <v>748</v>
      </c>
      <c r="AI27" s="12">
        <v>1</v>
      </c>
      <c r="AJ27" s="12">
        <v>1</v>
      </c>
      <c r="AK27" s="12">
        <v>1</v>
      </c>
      <c r="AL27" s="12">
        <v>1</v>
      </c>
      <c r="AM27" s="17" t="s">
        <v>749</v>
      </c>
      <c r="AN27" s="12">
        <v>14</v>
      </c>
      <c r="AO27" s="12">
        <v>25.8</v>
      </c>
      <c r="AP27" s="12">
        <v>31.5</v>
      </c>
      <c r="AQ27" s="12">
        <v>18</v>
      </c>
      <c r="AR27" s="12">
        <v>1</v>
      </c>
      <c r="AS2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2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2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2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7" s="6" t="s">
        <v>387</v>
      </c>
      <c r="BS27" s="27" t="s">
        <v>388</v>
      </c>
    </row>
    <row r="28" spans="1:71" ht="52.2" x14ac:dyDescent="0.3">
      <c r="A28" s="26" t="s">
        <v>37</v>
      </c>
      <c r="B28" s="14" t="s">
        <v>468</v>
      </c>
      <c r="C28" s="14" t="s">
        <v>469</v>
      </c>
      <c r="D28" s="14" t="s">
        <v>36</v>
      </c>
      <c r="E28" s="14" t="s">
        <v>739</v>
      </c>
      <c r="F28" s="14" t="s">
        <v>740</v>
      </c>
      <c r="G28" s="15" t="s">
        <v>0</v>
      </c>
      <c r="H28" s="16">
        <v>1</v>
      </c>
      <c r="I28" s="16" t="s">
        <v>381</v>
      </c>
      <c r="J28" s="16">
        <v>1</v>
      </c>
      <c r="K28" s="16">
        <v>1</v>
      </c>
      <c r="L28" s="16">
        <v>1</v>
      </c>
      <c r="M28" s="16">
        <v>1</v>
      </c>
      <c r="N28" s="16">
        <v>1</v>
      </c>
      <c r="O28" s="16">
        <v>1</v>
      </c>
      <c r="P28" s="16"/>
      <c r="Q28" s="16" t="s">
        <v>537</v>
      </c>
      <c r="R28" s="16"/>
      <c r="S28" s="16">
        <v>1</v>
      </c>
      <c r="T28" s="16" t="s">
        <v>711</v>
      </c>
      <c r="U28" s="16"/>
      <c r="V28" s="18" t="s">
        <v>470</v>
      </c>
      <c r="W28" s="16">
        <v>64</v>
      </c>
      <c r="X28" s="16">
        <v>1</v>
      </c>
      <c r="Y28" s="18"/>
      <c r="Z28" s="16" t="s">
        <v>399</v>
      </c>
      <c r="AA28" s="18" t="s">
        <v>386</v>
      </c>
      <c r="AB28" s="16"/>
      <c r="AC28" s="16"/>
      <c r="AD28" s="16"/>
      <c r="AE28" s="16" t="s">
        <v>385</v>
      </c>
      <c r="AF28" s="16" t="s">
        <v>804</v>
      </c>
      <c r="AG28" s="16">
        <v>9.5</v>
      </c>
      <c r="AH28" s="16" t="s">
        <v>748</v>
      </c>
      <c r="AI28" s="16">
        <v>1</v>
      </c>
      <c r="AJ28" s="16"/>
      <c r="AK28" s="16">
        <v>1</v>
      </c>
      <c r="AL28" s="16">
        <v>1</v>
      </c>
      <c r="AM28" s="18" t="s">
        <v>749</v>
      </c>
      <c r="AN28" s="16">
        <v>13</v>
      </c>
      <c r="AO28" s="16">
        <v>25.5</v>
      </c>
      <c r="AP28" s="16">
        <v>30</v>
      </c>
      <c r="AQ28" s="16">
        <v>17.5</v>
      </c>
      <c r="AR28" s="16">
        <v>1</v>
      </c>
      <c r="AS2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2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2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2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8" s="6" t="s">
        <v>387</v>
      </c>
      <c r="BS28" s="27" t="s">
        <v>388</v>
      </c>
    </row>
    <row r="29" spans="1:71" ht="52.2" x14ac:dyDescent="0.3">
      <c r="A29" s="4" t="s">
        <v>39</v>
      </c>
      <c r="B29" s="5" t="s">
        <v>468</v>
      </c>
      <c r="C29" s="5" t="s">
        <v>469</v>
      </c>
      <c r="D29" s="5" t="s">
        <v>36</v>
      </c>
      <c r="E29" s="5" t="s">
        <v>739</v>
      </c>
      <c r="F29" s="5" t="s">
        <v>740</v>
      </c>
      <c r="G29" s="6" t="s">
        <v>0</v>
      </c>
      <c r="H29" s="12">
        <v>1</v>
      </c>
      <c r="I29" s="12" t="s">
        <v>381</v>
      </c>
      <c r="J29" s="12">
        <v>1</v>
      </c>
      <c r="K29" s="12"/>
      <c r="L29" s="12">
        <v>1</v>
      </c>
      <c r="M29" s="12">
        <v>1</v>
      </c>
      <c r="N29" s="12">
        <v>1</v>
      </c>
      <c r="O29" s="12">
        <v>1</v>
      </c>
      <c r="P29" s="12"/>
      <c r="Q29" s="12" t="s">
        <v>537</v>
      </c>
      <c r="R29" s="12"/>
      <c r="S29" s="12">
        <v>1</v>
      </c>
      <c r="T29" s="12" t="s">
        <v>711</v>
      </c>
      <c r="U29" s="12"/>
      <c r="V29" s="17" t="s">
        <v>470</v>
      </c>
      <c r="W29" s="12">
        <v>64</v>
      </c>
      <c r="X29" s="12">
        <v>1</v>
      </c>
      <c r="Y29" s="17" t="s">
        <v>807</v>
      </c>
      <c r="Z29" s="12" t="s">
        <v>399</v>
      </c>
      <c r="AA29" s="17" t="s">
        <v>386</v>
      </c>
      <c r="AB29" s="12"/>
      <c r="AC29" s="12"/>
      <c r="AD29" s="12"/>
      <c r="AE29" s="12" t="s">
        <v>444</v>
      </c>
      <c r="AF29" s="12" t="s">
        <v>808</v>
      </c>
      <c r="AG29" s="12">
        <v>9</v>
      </c>
      <c r="AH29" s="12" t="s">
        <v>748</v>
      </c>
      <c r="AI29" s="12">
        <v>1</v>
      </c>
      <c r="AJ29" s="12"/>
      <c r="AK29" s="12">
        <v>1</v>
      </c>
      <c r="AL29" s="12">
        <v>1</v>
      </c>
      <c r="AM29" s="17" t="s">
        <v>749</v>
      </c>
      <c r="AN29" s="12">
        <v>14</v>
      </c>
      <c r="AO29" s="12">
        <v>25.6</v>
      </c>
      <c r="AP29" s="12">
        <v>29.8</v>
      </c>
      <c r="AQ29" s="12">
        <v>18</v>
      </c>
      <c r="AR29" s="12">
        <v>1</v>
      </c>
      <c r="AS2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2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2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2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2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2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2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2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2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2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2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2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2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2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2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2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2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2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2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2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2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2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2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2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2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29" s="6" t="s">
        <v>809</v>
      </c>
      <c r="BS29" s="27" t="s">
        <v>388</v>
      </c>
    </row>
    <row r="30" spans="1:71" ht="52.2" x14ac:dyDescent="0.3">
      <c r="A30" s="26" t="s">
        <v>38</v>
      </c>
      <c r="B30" s="14" t="s">
        <v>468</v>
      </c>
      <c r="C30" s="14" t="s">
        <v>469</v>
      </c>
      <c r="D30" s="14" t="s">
        <v>36</v>
      </c>
      <c r="E30" s="14" t="s">
        <v>739</v>
      </c>
      <c r="F30" s="14" t="s">
        <v>740</v>
      </c>
      <c r="G30" s="15" t="s">
        <v>0</v>
      </c>
      <c r="H30" s="16">
        <v>1</v>
      </c>
      <c r="I30" s="16" t="s">
        <v>381</v>
      </c>
      <c r="J30" s="16"/>
      <c r="K30" s="16">
        <v>1</v>
      </c>
      <c r="L30" s="16">
        <v>1</v>
      </c>
      <c r="M30" s="16">
        <v>1</v>
      </c>
      <c r="N30" s="16">
        <v>1</v>
      </c>
      <c r="O30" s="16">
        <v>1</v>
      </c>
      <c r="P30" s="16"/>
      <c r="Q30" s="16"/>
      <c r="R30" s="16"/>
      <c r="S30" s="16">
        <v>1</v>
      </c>
      <c r="T30" s="16" t="s">
        <v>711</v>
      </c>
      <c r="U30" s="16"/>
      <c r="V30" s="18" t="s">
        <v>470</v>
      </c>
      <c r="W30" s="16">
        <v>64</v>
      </c>
      <c r="X30" s="16">
        <v>1</v>
      </c>
      <c r="Y30" s="18"/>
      <c r="Z30" s="16" t="s">
        <v>399</v>
      </c>
      <c r="AA30" s="18" t="s">
        <v>386</v>
      </c>
      <c r="AB30" s="16"/>
      <c r="AC30" s="16"/>
      <c r="AD30" s="16"/>
      <c r="AE30" s="16" t="s">
        <v>385</v>
      </c>
      <c r="AF30" s="16" t="s">
        <v>805</v>
      </c>
      <c r="AG30" s="16">
        <v>9</v>
      </c>
      <c r="AH30" s="16" t="s">
        <v>748</v>
      </c>
      <c r="AI30" s="16"/>
      <c r="AJ30" s="16"/>
      <c r="AK30" s="16">
        <v>1</v>
      </c>
      <c r="AL30" s="16"/>
      <c r="AM30" s="18" t="s">
        <v>749</v>
      </c>
      <c r="AN30" s="16">
        <v>13</v>
      </c>
      <c r="AO30" s="16">
        <v>25.5</v>
      </c>
      <c r="AP30" s="16">
        <v>28</v>
      </c>
      <c r="AQ30" s="16">
        <v>18</v>
      </c>
      <c r="AR30" s="16">
        <v>1</v>
      </c>
      <c r="AS3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3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3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3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3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3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3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3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0" s="6" t="s">
        <v>806</v>
      </c>
      <c r="BS30" s="27" t="s">
        <v>388</v>
      </c>
    </row>
    <row r="31" spans="1:71" ht="52.2" x14ac:dyDescent="0.3">
      <c r="A31" s="4" t="s">
        <v>43</v>
      </c>
      <c r="B31" s="5" t="s">
        <v>473</v>
      </c>
      <c r="C31" s="5" t="s">
        <v>424</v>
      </c>
      <c r="D31" s="5" t="s">
        <v>41</v>
      </c>
      <c r="E31" s="5" t="s">
        <v>739</v>
      </c>
      <c r="F31" s="5" t="s">
        <v>740</v>
      </c>
      <c r="G31" s="6" t="s">
        <v>0</v>
      </c>
      <c r="H31" s="12">
        <v>1</v>
      </c>
      <c r="I31" s="12" t="s">
        <v>381</v>
      </c>
      <c r="J31" s="12"/>
      <c r="K31" s="12">
        <v>1</v>
      </c>
      <c r="L31" s="12"/>
      <c r="M31" s="12">
        <v>1</v>
      </c>
      <c r="N31" s="12"/>
      <c r="O31" s="12"/>
      <c r="P31" s="12"/>
      <c r="Q31" s="12" t="s">
        <v>382</v>
      </c>
      <c r="R31" s="12"/>
      <c r="S31" s="12">
        <v>1</v>
      </c>
      <c r="T31" s="12" t="s">
        <v>711</v>
      </c>
      <c r="U31" s="12"/>
      <c r="V31" s="17" t="s">
        <v>474</v>
      </c>
      <c r="W31" s="12">
        <v>40</v>
      </c>
      <c r="X31" s="12">
        <v>1</v>
      </c>
      <c r="Y31" s="17" t="s">
        <v>475</v>
      </c>
      <c r="Z31" s="12" t="s">
        <v>399</v>
      </c>
      <c r="AA31" s="17" t="s">
        <v>386</v>
      </c>
      <c r="AB31" s="12"/>
      <c r="AC31" s="12"/>
      <c r="AD31" s="12"/>
      <c r="AE31" s="12" t="s">
        <v>444</v>
      </c>
      <c r="AF31" s="12" t="s">
        <v>810</v>
      </c>
      <c r="AG31" s="12">
        <v>6</v>
      </c>
      <c r="AH31" s="12" t="s">
        <v>742</v>
      </c>
      <c r="AI31" s="12" t="s">
        <v>591</v>
      </c>
      <c r="AJ31" s="12" t="s">
        <v>591</v>
      </c>
      <c r="AK31" s="12">
        <v>1</v>
      </c>
      <c r="AL31" s="12">
        <v>1</v>
      </c>
      <c r="AM31" s="17" t="s">
        <v>752</v>
      </c>
      <c r="AN31" s="12">
        <v>17</v>
      </c>
      <c r="AO31" s="12">
        <v>25.5</v>
      </c>
      <c r="AP31" s="12"/>
      <c r="AQ31" s="12" t="s">
        <v>591</v>
      </c>
      <c r="AR31" s="12" t="s">
        <v>591</v>
      </c>
      <c r="AS3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1" s="6" t="s">
        <v>815</v>
      </c>
      <c r="BS31" s="27" t="s">
        <v>388</v>
      </c>
    </row>
    <row r="32" spans="1:71" ht="52.2" x14ac:dyDescent="0.3">
      <c r="A32" s="26" t="s">
        <v>40</v>
      </c>
      <c r="B32" s="14" t="s">
        <v>473</v>
      </c>
      <c r="C32" s="14" t="s">
        <v>424</v>
      </c>
      <c r="D32" s="14" t="s">
        <v>41</v>
      </c>
      <c r="E32" s="14" t="s">
        <v>739</v>
      </c>
      <c r="F32" s="14" t="s">
        <v>754</v>
      </c>
      <c r="G32" s="15" t="s">
        <v>0</v>
      </c>
      <c r="H32" s="16">
        <v>1</v>
      </c>
      <c r="I32" s="16" t="s">
        <v>381</v>
      </c>
      <c r="J32" s="16"/>
      <c r="K32" s="16">
        <v>1</v>
      </c>
      <c r="L32" s="16"/>
      <c r="M32" s="16">
        <v>1</v>
      </c>
      <c r="N32" s="16"/>
      <c r="O32" s="16"/>
      <c r="P32" s="16"/>
      <c r="Q32" s="16" t="s">
        <v>414</v>
      </c>
      <c r="R32" s="16"/>
      <c r="S32" s="16">
        <v>1</v>
      </c>
      <c r="T32" s="16" t="s">
        <v>711</v>
      </c>
      <c r="U32" s="16"/>
      <c r="V32" s="18" t="s">
        <v>474</v>
      </c>
      <c r="W32" s="16">
        <v>40</v>
      </c>
      <c r="X32" s="16">
        <v>1</v>
      </c>
      <c r="Y32" s="18" t="s">
        <v>475</v>
      </c>
      <c r="Z32" s="16" t="s">
        <v>399</v>
      </c>
      <c r="AA32" s="18" t="s">
        <v>386</v>
      </c>
      <c r="AB32" s="16"/>
      <c r="AC32" s="16"/>
      <c r="AD32" s="16"/>
      <c r="AE32" s="16" t="s">
        <v>444</v>
      </c>
      <c r="AF32" s="16" t="s">
        <v>810</v>
      </c>
      <c r="AG32" s="16">
        <v>6</v>
      </c>
      <c r="AH32" s="16" t="s">
        <v>748</v>
      </c>
      <c r="AI32" s="16"/>
      <c r="AJ32" s="16"/>
      <c r="AK32" s="16">
        <v>1</v>
      </c>
      <c r="AL32" s="16"/>
      <c r="AM32" s="18" t="s">
        <v>811</v>
      </c>
      <c r="AN32" s="16">
        <v>12.2</v>
      </c>
      <c r="AO32" s="16">
        <v>23</v>
      </c>
      <c r="AP32" s="16">
        <v>28</v>
      </c>
      <c r="AQ32" s="16">
        <v>15.5</v>
      </c>
      <c r="AR32" s="16"/>
      <c r="AS3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2" s="6" t="s">
        <v>812</v>
      </c>
      <c r="BS32" s="27" t="s">
        <v>388</v>
      </c>
    </row>
    <row r="33" spans="1:71" ht="52.2" x14ac:dyDescent="0.3">
      <c r="A33" s="4" t="s">
        <v>42</v>
      </c>
      <c r="B33" s="5" t="s">
        <v>473</v>
      </c>
      <c r="C33" s="5" t="s">
        <v>424</v>
      </c>
      <c r="D33" s="5" t="s">
        <v>41</v>
      </c>
      <c r="E33" s="5" t="s">
        <v>739</v>
      </c>
      <c r="F33" s="5" t="s">
        <v>754</v>
      </c>
      <c r="G33" s="6" t="s">
        <v>0</v>
      </c>
      <c r="H33" s="12">
        <v>1</v>
      </c>
      <c r="I33" s="12" t="s">
        <v>381</v>
      </c>
      <c r="J33" s="12"/>
      <c r="K33" s="12">
        <v>1</v>
      </c>
      <c r="L33" s="12"/>
      <c r="M33" s="12">
        <v>1</v>
      </c>
      <c r="N33" s="12"/>
      <c r="O33" s="12"/>
      <c r="P33" s="12"/>
      <c r="Q33" s="12"/>
      <c r="R33" s="12"/>
      <c r="S33" s="12">
        <v>1</v>
      </c>
      <c r="T33" s="12" t="s">
        <v>711</v>
      </c>
      <c r="U33" s="12"/>
      <c r="V33" s="17" t="s">
        <v>474</v>
      </c>
      <c r="W33" s="12">
        <v>40</v>
      </c>
      <c r="X33" s="12">
        <v>1</v>
      </c>
      <c r="Y33" s="17" t="s">
        <v>475</v>
      </c>
      <c r="Z33" s="12" t="s">
        <v>399</v>
      </c>
      <c r="AA33" s="17" t="s">
        <v>386</v>
      </c>
      <c r="AB33" s="12"/>
      <c r="AC33" s="12"/>
      <c r="AD33" s="12"/>
      <c r="AE33" s="12" t="s">
        <v>408</v>
      </c>
      <c r="AF33" s="12" t="s">
        <v>813</v>
      </c>
      <c r="AG33" s="12">
        <v>5</v>
      </c>
      <c r="AH33" s="12" t="s">
        <v>748</v>
      </c>
      <c r="AI33" s="12"/>
      <c r="AJ33" s="12"/>
      <c r="AK33" s="12">
        <v>1</v>
      </c>
      <c r="AL33" s="12">
        <v>1</v>
      </c>
      <c r="AM33" s="17" t="s">
        <v>811</v>
      </c>
      <c r="AN33" s="12">
        <v>12.5</v>
      </c>
      <c r="AO33" s="12">
        <v>25</v>
      </c>
      <c r="AP33" s="12">
        <v>30.8</v>
      </c>
      <c r="AQ33" s="12">
        <v>19</v>
      </c>
      <c r="AR33" s="12"/>
      <c r="AS3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3" s="6" t="s">
        <v>814</v>
      </c>
      <c r="BS33" s="27" t="s">
        <v>388</v>
      </c>
    </row>
    <row r="34" spans="1:71" ht="52.2" x14ac:dyDescent="0.3">
      <c r="A34" s="26" t="s">
        <v>44</v>
      </c>
      <c r="B34" s="14" t="s">
        <v>473</v>
      </c>
      <c r="C34" s="14" t="s">
        <v>424</v>
      </c>
      <c r="D34" s="14" t="s">
        <v>41</v>
      </c>
      <c r="E34" s="14" t="s">
        <v>739</v>
      </c>
      <c r="F34" s="14" t="s">
        <v>740</v>
      </c>
      <c r="G34" s="15" t="s">
        <v>0</v>
      </c>
      <c r="H34" s="16">
        <v>1</v>
      </c>
      <c r="I34" s="16" t="s">
        <v>381</v>
      </c>
      <c r="J34" s="16"/>
      <c r="K34" s="16">
        <v>1</v>
      </c>
      <c r="L34" s="16"/>
      <c r="M34" s="16">
        <v>1</v>
      </c>
      <c r="N34" s="16"/>
      <c r="O34" s="16"/>
      <c r="P34" s="16"/>
      <c r="Q34" s="16" t="s">
        <v>382</v>
      </c>
      <c r="R34" s="16"/>
      <c r="S34" s="16">
        <v>1</v>
      </c>
      <c r="T34" s="16" t="s">
        <v>711</v>
      </c>
      <c r="U34" s="16"/>
      <c r="V34" s="18" t="s">
        <v>474</v>
      </c>
      <c r="W34" s="16">
        <v>40</v>
      </c>
      <c r="X34" s="16">
        <v>1</v>
      </c>
      <c r="Y34" s="18" t="s">
        <v>475</v>
      </c>
      <c r="Z34" s="16" t="s">
        <v>399</v>
      </c>
      <c r="AA34" s="18" t="s">
        <v>386</v>
      </c>
      <c r="AB34" s="16"/>
      <c r="AC34" s="16"/>
      <c r="AD34" s="16"/>
      <c r="AE34" s="16" t="s">
        <v>444</v>
      </c>
      <c r="AF34" s="16" t="s">
        <v>810</v>
      </c>
      <c r="AG34" s="16">
        <v>5</v>
      </c>
      <c r="AH34" s="16" t="s">
        <v>742</v>
      </c>
      <c r="AI34" s="16" t="s">
        <v>591</v>
      </c>
      <c r="AJ34" s="16" t="s">
        <v>591</v>
      </c>
      <c r="AK34" s="16">
        <v>1</v>
      </c>
      <c r="AL34" s="16">
        <v>1</v>
      </c>
      <c r="AM34" s="18" t="s">
        <v>752</v>
      </c>
      <c r="AN34" s="16">
        <v>15</v>
      </c>
      <c r="AO34" s="16">
        <v>25.5</v>
      </c>
      <c r="AP34" s="16"/>
      <c r="AQ34" s="16" t="s">
        <v>591</v>
      </c>
      <c r="AR34" s="16" t="s">
        <v>591</v>
      </c>
      <c r="AS3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4" s="6" t="s">
        <v>816</v>
      </c>
      <c r="BS34" s="27" t="s">
        <v>388</v>
      </c>
    </row>
    <row r="35" spans="1:71" ht="52.2" x14ac:dyDescent="0.3">
      <c r="A35" s="4" t="s">
        <v>45</v>
      </c>
      <c r="B35" s="5" t="s">
        <v>479</v>
      </c>
      <c r="C35" s="5" t="s">
        <v>412</v>
      </c>
      <c r="D35" s="5" t="s">
        <v>46</v>
      </c>
      <c r="E35" s="5" t="s">
        <v>739</v>
      </c>
      <c r="F35" s="5" t="s">
        <v>789</v>
      </c>
      <c r="G35" s="6" t="s">
        <v>0</v>
      </c>
      <c r="H35" s="12">
        <v>1</v>
      </c>
      <c r="I35" s="12" t="s">
        <v>381</v>
      </c>
      <c r="J35" s="12"/>
      <c r="K35" s="12"/>
      <c r="L35" s="12"/>
      <c r="M35" s="12"/>
      <c r="N35" s="12"/>
      <c r="O35" s="12"/>
      <c r="P35" s="12"/>
      <c r="Q35" s="12"/>
      <c r="R35" s="12"/>
      <c r="S35" s="12"/>
      <c r="T35" s="12"/>
      <c r="U35" s="12"/>
      <c r="V35" s="17" t="s">
        <v>383</v>
      </c>
      <c r="W35" s="12"/>
      <c r="X35" s="12">
        <v>1</v>
      </c>
      <c r="Y35" s="17" t="s">
        <v>443</v>
      </c>
      <c r="Z35" s="12" t="s">
        <v>444</v>
      </c>
      <c r="AA35" s="17" t="s">
        <v>416</v>
      </c>
      <c r="AB35" s="12"/>
      <c r="AC35" s="12"/>
      <c r="AD35" s="12"/>
      <c r="AE35" s="12" t="s">
        <v>385</v>
      </c>
      <c r="AF35" s="12" t="s">
        <v>817</v>
      </c>
      <c r="AG35" s="12">
        <v>7.5</v>
      </c>
      <c r="AH35" s="12" t="s">
        <v>742</v>
      </c>
      <c r="AI35" s="12"/>
      <c r="AJ35" s="12"/>
      <c r="AK35" s="12">
        <v>1</v>
      </c>
      <c r="AL35" s="12"/>
      <c r="AM35" s="17" t="s">
        <v>781</v>
      </c>
      <c r="AN35" s="12">
        <v>15</v>
      </c>
      <c r="AO35" s="12">
        <v>26.5</v>
      </c>
      <c r="AP35" s="12"/>
      <c r="AQ35" s="12">
        <v>18</v>
      </c>
      <c r="AR35" s="12"/>
      <c r="AS3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5" s="6" t="s">
        <v>818</v>
      </c>
      <c r="BS35" s="27" t="s">
        <v>388</v>
      </c>
    </row>
    <row r="36" spans="1:71" ht="52.2" x14ac:dyDescent="0.3">
      <c r="A36" s="26" t="s">
        <v>47</v>
      </c>
      <c r="B36" s="14" t="s">
        <v>481</v>
      </c>
      <c r="C36" s="14" t="s">
        <v>482</v>
      </c>
      <c r="D36" s="14" t="s">
        <v>48</v>
      </c>
      <c r="E36" s="14" t="s">
        <v>739</v>
      </c>
      <c r="F36" s="14" t="s">
        <v>740</v>
      </c>
      <c r="G36" s="15" t="s">
        <v>0</v>
      </c>
      <c r="H36" s="16">
        <v>1</v>
      </c>
      <c r="I36" s="16" t="s">
        <v>381</v>
      </c>
      <c r="J36" s="16"/>
      <c r="K36" s="16">
        <v>1</v>
      </c>
      <c r="L36" s="16"/>
      <c r="M36" s="16">
        <v>1</v>
      </c>
      <c r="N36" s="16">
        <v>1</v>
      </c>
      <c r="O36" s="16">
        <v>1</v>
      </c>
      <c r="P36" s="16"/>
      <c r="Q36" s="16" t="s">
        <v>537</v>
      </c>
      <c r="R36" s="16"/>
      <c r="S36" s="16">
        <v>1</v>
      </c>
      <c r="T36" s="16"/>
      <c r="U36" s="16"/>
      <c r="V36" s="18" t="s">
        <v>383</v>
      </c>
      <c r="W36" s="16"/>
      <c r="X36" s="16">
        <v>1</v>
      </c>
      <c r="Y36" s="18" t="s">
        <v>483</v>
      </c>
      <c r="Z36" s="16" t="s">
        <v>385</v>
      </c>
      <c r="AA36" s="18" t="s">
        <v>386</v>
      </c>
      <c r="AB36" s="16">
        <v>1</v>
      </c>
      <c r="AC36" s="16" t="s">
        <v>770</v>
      </c>
      <c r="AD36" s="16">
        <v>60.5</v>
      </c>
      <c r="AE36" s="16" t="s">
        <v>385</v>
      </c>
      <c r="AF36" s="16" t="s">
        <v>819</v>
      </c>
      <c r="AG36" s="16">
        <v>9.5</v>
      </c>
      <c r="AH36" s="16" t="s">
        <v>742</v>
      </c>
      <c r="AI36" s="16">
        <v>1</v>
      </c>
      <c r="AJ36" s="16">
        <v>1</v>
      </c>
      <c r="AK36" s="16">
        <v>1</v>
      </c>
      <c r="AL36" s="16">
        <v>1</v>
      </c>
      <c r="AM36" s="18" t="s">
        <v>820</v>
      </c>
      <c r="AN36" s="16">
        <v>14</v>
      </c>
      <c r="AO36" s="16">
        <v>25.8</v>
      </c>
      <c r="AP36" s="16">
        <v>30.4</v>
      </c>
      <c r="AQ36" s="16">
        <v>18</v>
      </c>
      <c r="AR36" s="16">
        <v>1</v>
      </c>
      <c r="AS3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3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3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3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6" s="6" t="s">
        <v>821</v>
      </c>
      <c r="BS36" s="27" t="s">
        <v>388</v>
      </c>
    </row>
    <row r="37" spans="1:71" ht="52.2" x14ac:dyDescent="0.3">
      <c r="A37" s="4" t="s">
        <v>49</v>
      </c>
      <c r="B37" s="5" t="s">
        <v>498</v>
      </c>
      <c r="C37" s="5" t="s">
        <v>412</v>
      </c>
      <c r="D37" s="5" t="s">
        <v>50</v>
      </c>
      <c r="E37" s="5" t="s">
        <v>739</v>
      </c>
      <c r="F37" s="5" t="s">
        <v>740</v>
      </c>
      <c r="G37" s="6" t="s">
        <v>0</v>
      </c>
      <c r="H37" s="12">
        <v>1</v>
      </c>
      <c r="I37" s="12" t="s">
        <v>381</v>
      </c>
      <c r="J37" s="12"/>
      <c r="K37" s="12">
        <v>1</v>
      </c>
      <c r="L37" s="12"/>
      <c r="M37" s="12"/>
      <c r="N37" s="12"/>
      <c r="O37" s="12"/>
      <c r="P37" s="12"/>
      <c r="Q37" s="12" t="s">
        <v>537</v>
      </c>
      <c r="R37" s="12">
        <v>1</v>
      </c>
      <c r="S37" s="12">
        <v>1</v>
      </c>
      <c r="T37" s="12"/>
      <c r="U37" s="12"/>
      <c r="V37" s="17" t="s">
        <v>383</v>
      </c>
      <c r="W37" s="12"/>
      <c r="X37" s="12">
        <v>1</v>
      </c>
      <c r="Y37" s="17" t="s">
        <v>499</v>
      </c>
      <c r="Z37" s="12" t="s">
        <v>385</v>
      </c>
      <c r="AA37" s="17" t="s">
        <v>386</v>
      </c>
      <c r="AB37" s="12"/>
      <c r="AC37" s="12"/>
      <c r="AD37" s="12"/>
      <c r="AE37" s="12" t="s">
        <v>444</v>
      </c>
      <c r="AF37" s="12" t="s">
        <v>822</v>
      </c>
      <c r="AG37" s="12">
        <v>6</v>
      </c>
      <c r="AH37" s="12" t="s">
        <v>748</v>
      </c>
      <c r="AI37" s="12">
        <v>1</v>
      </c>
      <c r="AJ37" s="12">
        <v>1</v>
      </c>
      <c r="AK37" s="12">
        <v>1</v>
      </c>
      <c r="AL37" s="12">
        <v>1</v>
      </c>
      <c r="AM37" s="17" t="s">
        <v>749</v>
      </c>
      <c r="AN37" s="12">
        <v>14</v>
      </c>
      <c r="AO37" s="12">
        <v>25</v>
      </c>
      <c r="AP37" s="12">
        <v>31</v>
      </c>
      <c r="AQ37" s="12">
        <v>16.100000000000001</v>
      </c>
      <c r="AR37" s="12"/>
      <c r="AS3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7" s="6" t="s">
        <v>823</v>
      </c>
      <c r="BS37" s="27" t="s">
        <v>388</v>
      </c>
    </row>
    <row r="38" spans="1:71" ht="52.2" x14ac:dyDescent="0.3">
      <c r="A38" s="26" t="s">
        <v>51</v>
      </c>
      <c r="B38" s="14" t="s">
        <v>498</v>
      </c>
      <c r="C38" s="14" t="s">
        <v>412</v>
      </c>
      <c r="D38" s="14" t="s">
        <v>50</v>
      </c>
      <c r="E38" s="14" t="s">
        <v>769</v>
      </c>
      <c r="F38" s="14" t="s">
        <v>740</v>
      </c>
      <c r="G38" s="15" t="s">
        <v>0</v>
      </c>
      <c r="H38" s="16"/>
      <c r="I38" s="16" t="s">
        <v>381</v>
      </c>
      <c r="J38" s="16"/>
      <c r="K38" s="16">
        <v>1</v>
      </c>
      <c r="L38" s="16"/>
      <c r="M38" s="16"/>
      <c r="N38" s="16"/>
      <c r="O38" s="16">
        <v>1</v>
      </c>
      <c r="P38" s="16"/>
      <c r="Q38" s="16" t="s">
        <v>537</v>
      </c>
      <c r="R38" s="16">
        <v>1</v>
      </c>
      <c r="S38" s="16">
        <v>1</v>
      </c>
      <c r="T38" s="16"/>
      <c r="U38" s="16">
        <v>1</v>
      </c>
      <c r="V38" s="18" t="s">
        <v>383</v>
      </c>
      <c r="W38" s="16"/>
      <c r="X38" s="16">
        <v>1</v>
      </c>
      <c r="Y38" s="18" t="s">
        <v>499</v>
      </c>
      <c r="Z38" s="16" t="s">
        <v>385</v>
      </c>
      <c r="AA38" s="18" t="s">
        <v>386</v>
      </c>
      <c r="AB38" s="16">
        <v>1</v>
      </c>
      <c r="AC38" s="16" t="s">
        <v>824</v>
      </c>
      <c r="AD38" s="16">
        <v>60</v>
      </c>
      <c r="AE38" s="16" t="s">
        <v>444</v>
      </c>
      <c r="AF38" s="16" t="s">
        <v>825</v>
      </c>
      <c r="AG38" s="16">
        <v>6</v>
      </c>
      <c r="AH38" s="16" t="s">
        <v>748</v>
      </c>
      <c r="AI38" s="16">
        <v>1</v>
      </c>
      <c r="AJ38" s="16">
        <v>1</v>
      </c>
      <c r="AK38" s="16">
        <v>1</v>
      </c>
      <c r="AL38" s="16">
        <v>1</v>
      </c>
      <c r="AM38" s="18" t="s">
        <v>749</v>
      </c>
      <c r="AN38" s="16">
        <v>13.9</v>
      </c>
      <c r="AO38" s="16">
        <v>25</v>
      </c>
      <c r="AP38" s="16">
        <v>29.3</v>
      </c>
      <c r="AQ38" s="16">
        <v>17.600000000000001</v>
      </c>
      <c r="AR38" s="16"/>
      <c r="AS3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3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3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3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8" s="6" t="s">
        <v>826</v>
      </c>
      <c r="BS38" s="27" t="s">
        <v>388</v>
      </c>
    </row>
    <row r="39" spans="1:71" ht="52.2" x14ac:dyDescent="0.3">
      <c r="A39" s="4" t="s">
        <v>52</v>
      </c>
      <c r="B39" s="5" t="s">
        <v>505</v>
      </c>
      <c r="C39" s="5" t="s">
        <v>502</v>
      </c>
      <c r="D39" s="5" t="s">
        <v>53</v>
      </c>
      <c r="E39" s="5" t="s">
        <v>739</v>
      </c>
      <c r="F39" s="5" t="s">
        <v>746</v>
      </c>
      <c r="G39" s="6" t="s">
        <v>0</v>
      </c>
      <c r="H39" s="12">
        <v>1</v>
      </c>
      <c r="I39" s="12" t="s">
        <v>381</v>
      </c>
      <c r="J39" s="12"/>
      <c r="K39" s="12"/>
      <c r="L39" s="12"/>
      <c r="M39" s="12">
        <v>1</v>
      </c>
      <c r="N39" s="12"/>
      <c r="O39" s="12"/>
      <c r="P39" s="12"/>
      <c r="Q39" s="12" t="s">
        <v>428</v>
      </c>
      <c r="R39" s="12"/>
      <c r="S39" s="12">
        <v>1</v>
      </c>
      <c r="T39" s="12"/>
      <c r="U39" s="12"/>
      <c r="V39" s="17" t="s">
        <v>383</v>
      </c>
      <c r="W39" s="12"/>
      <c r="X39" s="12">
        <v>1</v>
      </c>
      <c r="Y39" s="17" t="s">
        <v>506</v>
      </c>
      <c r="Z39" s="12" t="s">
        <v>399</v>
      </c>
      <c r="AA39" s="17" t="s">
        <v>507</v>
      </c>
      <c r="AB39" s="12"/>
      <c r="AC39" s="12"/>
      <c r="AD39" s="12"/>
      <c r="AE39" s="12" t="s">
        <v>399</v>
      </c>
      <c r="AF39" s="12" t="s">
        <v>827</v>
      </c>
      <c r="AG39" s="12">
        <v>7.5</v>
      </c>
      <c r="AH39" s="12" t="s">
        <v>748</v>
      </c>
      <c r="AI39" s="12"/>
      <c r="AJ39" s="12"/>
      <c r="AK39" s="12">
        <v>1</v>
      </c>
      <c r="AL39" s="12">
        <v>1</v>
      </c>
      <c r="AM39" s="17" t="s">
        <v>749</v>
      </c>
      <c r="AN39" s="12">
        <v>14.3</v>
      </c>
      <c r="AO39" s="12">
        <v>27</v>
      </c>
      <c r="AP39" s="12">
        <v>32.700000000000003</v>
      </c>
      <c r="AQ39" s="12">
        <v>18</v>
      </c>
      <c r="AR39" s="12"/>
      <c r="AS3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3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3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3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3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3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3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3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3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3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3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3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3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3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3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3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3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3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3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3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3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3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3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3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3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39" s="6" t="s">
        <v>828</v>
      </c>
      <c r="BS39" s="27" t="s">
        <v>388</v>
      </c>
    </row>
    <row r="40" spans="1:71" ht="52.2" x14ac:dyDescent="0.3">
      <c r="A40" s="26" t="s">
        <v>58</v>
      </c>
      <c r="B40" s="14" t="s">
        <v>514</v>
      </c>
      <c r="C40" s="14" t="s">
        <v>418</v>
      </c>
      <c r="D40" s="14" t="s">
        <v>55</v>
      </c>
      <c r="E40" s="14" t="s">
        <v>739</v>
      </c>
      <c r="F40" s="14" t="s">
        <v>789</v>
      </c>
      <c r="G40" s="15" t="s">
        <v>0</v>
      </c>
      <c r="H40" s="16">
        <v>1</v>
      </c>
      <c r="I40" s="16" t="s">
        <v>381</v>
      </c>
      <c r="J40" s="16"/>
      <c r="K40" s="16">
        <v>1</v>
      </c>
      <c r="L40" s="16">
        <v>1</v>
      </c>
      <c r="M40" s="16"/>
      <c r="N40" s="16"/>
      <c r="O40" s="16"/>
      <c r="P40" s="16"/>
      <c r="Q40" s="16" t="s">
        <v>537</v>
      </c>
      <c r="R40" s="16">
        <v>1</v>
      </c>
      <c r="S40" s="16"/>
      <c r="T40" s="16"/>
      <c r="U40" s="16"/>
      <c r="V40" s="18" t="s">
        <v>383</v>
      </c>
      <c r="W40" s="16"/>
      <c r="X40" s="16">
        <v>1</v>
      </c>
      <c r="Y40" s="18" t="s">
        <v>443</v>
      </c>
      <c r="Z40" s="16" t="s">
        <v>385</v>
      </c>
      <c r="AA40" s="18" t="s">
        <v>416</v>
      </c>
      <c r="AB40" s="16"/>
      <c r="AC40" s="16"/>
      <c r="AD40" s="16"/>
      <c r="AE40" s="16" t="s">
        <v>444</v>
      </c>
      <c r="AF40" s="16" t="s">
        <v>834</v>
      </c>
      <c r="AG40" s="16">
        <v>10</v>
      </c>
      <c r="AH40" s="16" t="s">
        <v>742</v>
      </c>
      <c r="AI40" s="16">
        <v>1</v>
      </c>
      <c r="AJ40" s="16">
        <v>1</v>
      </c>
      <c r="AK40" s="16">
        <v>1</v>
      </c>
      <c r="AL40" s="16">
        <v>1</v>
      </c>
      <c r="AM40" s="18" t="s">
        <v>752</v>
      </c>
      <c r="AN40" s="16">
        <v>19.8</v>
      </c>
      <c r="AO40" s="16">
        <v>40</v>
      </c>
      <c r="AP40" s="16">
        <v>48</v>
      </c>
      <c r="AQ40" s="16">
        <v>26.8</v>
      </c>
      <c r="AR40" s="16"/>
      <c r="AS4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0" s="6" t="s">
        <v>387</v>
      </c>
      <c r="BS40" s="27" t="s">
        <v>388</v>
      </c>
    </row>
    <row r="41" spans="1:71" ht="52.2" x14ac:dyDescent="0.3">
      <c r="A41" s="4" t="s">
        <v>54</v>
      </c>
      <c r="B41" s="5" t="s">
        <v>514</v>
      </c>
      <c r="C41" s="5" t="s">
        <v>418</v>
      </c>
      <c r="D41" s="5" t="s">
        <v>55</v>
      </c>
      <c r="E41" s="5" t="s">
        <v>739</v>
      </c>
      <c r="F41" s="5" t="s">
        <v>789</v>
      </c>
      <c r="G41" s="6" t="s">
        <v>0</v>
      </c>
      <c r="H41" s="12">
        <v>1</v>
      </c>
      <c r="I41" s="12" t="s">
        <v>381</v>
      </c>
      <c r="J41" s="12"/>
      <c r="K41" s="12">
        <v>1</v>
      </c>
      <c r="L41" s="12">
        <v>1</v>
      </c>
      <c r="M41" s="12"/>
      <c r="N41" s="12"/>
      <c r="O41" s="12"/>
      <c r="P41" s="12"/>
      <c r="Q41" s="12" t="s">
        <v>537</v>
      </c>
      <c r="R41" s="12">
        <v>1</v>
      </c>
      <c r="S41" s="12"/>
      <c r="T41" s="12" t="s">
        <v>711</v>
      </c>
      <c r="U41" s="12"/>
      <c r="V41" s="17" t="s">
        <v>383</v>
      </c>
      <c r="W41" s="12"/>
      <c r="X41" s="12">
        <v>1</v>
      </c>
      <c r="Y41" s="17" t="s">
        <v>443</v>
      </c>
      <c r="Z41" s="12" t="s">
        <v>385</v>
      </c>
      <c r="AA41" s="17" t="s">
        <v>416</v>
      </c>
      <c r="AB41" s="12"/>
      <c r="AC41" s="12"/>
      <c r="AD41" s="12"/>
      <c r="AE41" s="12" t="s">
        <v>385</v>
      </c>
      <c r="AF41" s="12" t="s">
        <v>829</v>
      </c>
      <c r="AG41" s="12">
        <v>9.5</v>
      </c>
      <c r="AH41" s="12" t="s">
        <v>748</v>
      </c>
      <c r="AI41" s="12"/>
      <c r="AJ41" s="12"/>
      <c r="AK41" s="12">
        <v>1</v>
      </c>
      <c r="AL41" s="12">
        <v>1</v>
      </c>
      <c r="AM41" s="17" t="s">
        <v>749</v>
      </c>
      <c r="AN41" s="12">
        <v>14</v>
      </c>
      <c r="AO41" s="12">
        <v>26.4</v>
      </c>
      <c r="AP41" s="12">
        <v>30</v>
      </c>
      <c r="AQ41" s="12">
        <v>20.399999999999999</v>
      </c>
      <c r="AR41" s="12"/>
      <c r="AS4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1" s="6" t="s">
        <v>830</v>
      </c>
      <c r="BS41" s="27" t="s">
        <v>388</v>
      </c>
    </row>
    <row r="42" spans="1:71" ht="52.2" x14ac:dyDescent="0.3">
      <c r="A42" s="26" t="s">
        <v>57</v>
      </c>
      <c r="B42" s="14" t="s">
        <v>514</v>
      </c>
      <c r="C42" s="14" t="s">
        <v>418</v>
      </c>
      <c r="D42" s="14" t="s">
        <v>55</v>
      </c>
      <c r="E42" s="14" t="s">
        <v>739</v>
      </c>
      <c r="F42" s="14" t="s">
        <v>789</v>
      </c>
      <c r="G42" s="15" t="s">
        <v>0</v>
      </c>
      <c r="H42" s="16">
        <v>1</v>
      </c>
      <c r="I42" s="16" t="s">
        <v>381</v>
      </c>
      <c r="J42" s="16"/>
      <c r="K42" s="16">
        <v>1</v>
      </c>
      <c r="L42" s="16">
        <v>1</v>
      </c>
      <c r="M42" s="16"/>
      <c r="N42" s="16"/>
      <c r="O42" s="16"/>
      <c r="P42" s="16"/>
      <c r="Q42" s="16"/>
      <c r="R42" s="16">
        <v>1</v>
      </c>
      <c r="S42" s="16"/>
      <c r="T42" s="16" t="s">
        <v>711</v>
      </c>
      <c r="U42" s="16"/>
      <c r="V42" s="18" t="s">
        <v>383</v>
      </c>
      <c r="W42" s="16"/>
      <c r="X42" s="16">
        <v>1</v>
      </c>
      <c r="Y42" s="18" t="s">
        <v>443</v>
      </c>
      <c r="Z42" s="16" t="s">
        <v>385</v>
      </c>
      <c r="AA42" s="18" t="s">
        <v>416</v>
      </c>
      <c r="AB42" s="16"/>
      <c r="AC42" s="16"/>
      <c r="AD42" s="16"/>
      <c r="AE42" s="16" t="s">
        <v>444</v>
      </c>
      <c r="AF42" s="16" t="s">
        <v>832</v>
      </c>
      <c r="AG42" s="16">
        <v>5.5</v>
      </c>
      <c r="AH42" s="16" t="s">
        <v>748</v>
      </c>
      <c r="AI42" s="16"/>
      <c r="AJ42" s="16"/>
      <c r="AK42" s="16">
        <v>1</v>
      </c>
      <c r="AL42" s="16"/>
      <c r="AM42" s="18" t="s">
        <v>749</v>
      </c>
      <c r="AN42" s="16">
        <v>14.5</v>
      </c>
      <c r="AO42" s="16">
        <v>25</v>
      </c>
      <c r="AP42" s="16">
        <v>30</v>
      </c>
      <c r="AQ42" s="16">
        <v>15</v>
      </c>
      <c r="AR42" s="16"/>
      <c r="AS4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2" s="6" t="s">
        <v>833</v>
      </c>
      <c r="BS42" s="27" t="s">
        <v>388</v>
      </c>
    </row>
    <row r="43" spans="1:71" ht="52.2" x14ac:dyDescent="0.3">
      <c r="A43" s="4" t="s">
        <v>59</v>
      </c>
      <c r="B43" s="5" t="s">
        <v>514</v>
      </c>
      <c r="C43" s="5" t="s">
        <v>418</v>
      </c>
      <c r="D43" s="5" t="s">
        <v>55</v>
      </c>
      <c r="E43" s="5" t="s">
        <v>739</v>
      </c>
      <c r="F43" s="5" t="s">
        <v>789</v>
      </c>
      <c r="G43" s="6" t="s">
        <v>0</v>
      </c>
      <c r="H43" s="12">
        <v>1</v>
      </c>
      <c r="I43" s="12" t="s">
        <v>381</v>
      </c>
      <c r="J43" s="12"/>
      <c r="K43" s="12">
        <v>1</v>
      </c>
      <c r="L43" s="12">
        <v>1</v>
      </c>
      <c r="M43" s="12"/>
      <c r="N43" s="12"/>
      <c r="O43" s="12"/>
      <c r="P43" s="12"/>
      <c r="Q43" s="12"/>
      <c r="R43" s="12">
        <v>1</v>
      </c>
      <c r="S43" s="12"/>
      <c r="T43" s="12" t="s">
        <v>711</v>
      </c>
      <c r="U43" s="12"/>
      <c r="V43" s="17" t="s">
        <v>383</v>
      </c>
      <c r="W43" s="12"/>
      <c r="X43" s="12">
        <v>1</v>
      </c>
      <c r="Y43" s="17" t="s">
        <v>443</v>
      </c>
      <c r="Z43" s="12" t="s">
        <v>385</v>
      </c>
      <c r="AA43" s="17" t="s">
        <v>416</v>
      </c>
      <c r="AB43" s="12"/>
      <c r="AC43" s="12"/>
      <c r="AD43" s="12"/>
      <c r="AE43" s="12" t="s">
        <v>399</v>
      </c>
      <c r="AF43" s="12" t="s">
        <v>829</v>
      </c>
      <c r="AG43" s="12">
        <v>9.5</v>
      </c>
      <c r="AH43" s="12" t="s">
        <v>748</v>
      </c>
      <c r="AI43" s="12"/>
      <c r="AJ43" s="12"/>
      <c r="AK43" s="12">
        <v>1</v>
      </c>
      <c r="AL43" s="12">
        <v>1</v>
      </c>
      <c r="AM43" s="17" t="s">
        <v>749</v>
      </c>
      <c r="AN43" s="12">
        <v>12.1</v>
      </c>
      <c r="AO43" s="12">
        <v>23</v>
      </c>
      <c r="AP43" s="12">
        <v>29</v>
      </c>
      <c r="AQ43" s="12">
        <v>20.2</v>
      </c>
      <c r="AR43" s="12"/>
      <c r="AS4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3" s="6" t="s">
        <v>830</v>
      </c>
      <c r="BS43" s="27" t="s">
        <v>388</v>
      </c>
    </row>
    <row r="44" spans="1:71" ht="52.2" x14ac:dyDescent="0.3">
      <c r="A44" s="26" t="s">
        <v>56</v>
      </c>
      <c r="B44" s="14" t="s">
        <v>514</v>
      </c>
      <c r="C44" s="14" t="s">
        <v>418</v>
      </c>
      <c r="D44" s="14" t="s">
        <v>55</v>
      </c>
      <c r="E44" s="14" t="s">
        <v>739</v>
      </c>
      <c r="F44" s="14" t="s">
        <v>789</v>
      </c>
      <c r="G44" s="15" t="s">
        <v>0</v>
      </c>
      <c r="H44" s="16">
        <v>1</v>
      </c>
      <c r="I44" s="16" t="s">
        <v>381</v>
      </c>
      <c r="J44" s="16"/>
      <c r="K44" s="16">
        <v>1</v>
      </c>
      <c r="L44" s="16">
        <v>1</v>
      </c>
      <c r="M44" s="16"/>
      <c r="N44" s="16"/>
      <c r="O44" s="16"/>
      <c r="P44" s="16"/>
      <c r="Q44" s="16"/>
      <c r="R44" s="16">
        <v>1</v>
      </c>
      <c r="S44" s="16"/>
      <c r="T44" s="16" t="s">
        <v>711</v>
      </c>
      <c r="U44" s="16"/>
      <c r="V44" s="18" t="s">
        <v>383</v>
      </c>
      <c r="W44" s="16"/>
      <c r="X44" s="16">
        <v>1</v>
      </c>
      <c r="Y44" s="18" t="s">
        <v>443</v>
      </c>
      <c r="Z44" s="16" t="s">
        <v>385</v>
      </c>
      <c r="AA44" s="18" t="s">
        <v>416</v>
      </c>
      <c r="AB44" s="16"/>
      <c r="AC44" s="16"/>
      <c r="AD44" s="16"/>
      <c r="AE44" s="16" t="s">
        <v>385</v>
      </c>
      <c r="AF44" s="16" t="s">
        <v>831</v>
      </c>
      <c r="AG44" s="16">
        <v>6</v>
      </c>
      <c r="AH44" s="16" t="s">
        <v>748</v>
      </c>
      <c r="AI44" s="16"/>
      <c r="AJ44" s="16"/>
      <c r="AK44" s="16">
        <v>1</v>
      </c>
      <c r="AL44" s="16"/>
      <c r="AM44" s="18" t="s">
        <v>749</v>
      </c>
      <c r="AN44" s="16">
        <v>14.5</v>
      </c>
      <c r="AO44" s="16">
        <v>24.7</v>
      </c>
      <c r="AP44" s="16">
        <v>28.8</v>
      </c>
      <c r="AQ44" s="16">
        <v>18.2</v>
      </c>
      <c r="AR44" s="16"/>
      <c r="AS4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4" s="6" t="s">
        <v>830</v>
      </c>
      <c r="BS44" s="27" t="s">
        <v>388</v>
      </c>
    </row>
    <row r="45" spans="1:71" ht="52.2" x14ac:dyDescent="0.3">
      <c r="A45" s="4" t="s">
        <v>60</v>
      </c>
      <c r="B45" s="5" t="s">
        <v>835</v>
      </c>
      <c r="C45" s="5" t="s">
        <v>379</v>
      </c>
      <c r="D45" s="5" t="s">
        <v>61</v>
      </c>
      <c r="E45" s="5" t="s">
        <v>739</v>
      </c>
      <c r="F45" s="5" t="s">
        <v>740</v>
      </c>
      <c r="G45" s="6" t="s">
        <v>0</v>
      </c>
      <c r="H45" s="12">
        <v>1</v>
      </c>
      <c r="I45" s="12" t="s">
        <v>381</v>
      </c>
      <c r="J45" s="12"/>
      <c r="K45" s="12">
        <v>1</v>
      </c>
      <c r="L45" s="12">
        <v>1</v>
      </c>
      <c r="M45" s="12">
        <v>1</v>
      </c>
      <c r="N45" s="12">
        <v>1</v>
      </c>
      <c r="O45" s="12"/>
      <c r="P45" s="12"/>
      <c r="Q45" s="12" t="s">
        <v>537</v>
      </c>
      <c r="R45" s="12">
        <v>1</v>
      </c>
      <c r="S45" s="12">
        <v>1</v>
      </c>
      <c r="T45" s="12"/>
      <c r="U45" s="12"/>
      <c r="V45" s="17" t="s">
        <v>383</v>
      </c>
      <c r="W45" s="12"/>
      <c r="X45" s="12">
        <v>1</v>
      </c>
      <c r="Y45" s="17" t="s">
        <v>836</v>
      </c>
      <c r="Z45" s="12" t="s">
        <v>399</v>
      </c>
      <c r="AA45" s="17" t="s">
        <v>386</v>
      </c>
      <c r="AB45" s="12"/>
      <c r="AC45" s="12"/>
      <c r="AD45" s="12"/>
      <c r="AE45" s="12" t="s">
        <v>399</v>
      </c>
      <c r="AF45" s="12" t="s">
        <v>837</v>
      </c>
      <c r="AG45" s="12">
        <v>6</v>
      </c>
      <c r="AH45" s="12" t="s">
        <v>742</v>
      </c>
      <c r="AI45" s="12"/>
      <c r="AJ45" s="12"/>
      <c r="AK45" s="12">
        <v>1</v>
      </c>
      <c r="AL45" s="12">
        <v>1</v>
      </c>
      <c r="AM45" s="17" t="s">
        <v>749</v>
      </c>
      <c r="AN45" s="12">
        <v>13.4</v>
      </c>
      <c r="AO45" s="12">
        <v>25.2</v>
      </c>
      <c r="AP45" s="12">
        <v>28.8</v>
      </c>
      <c r="AQ45" s="12">
        <v>19.5</v>
      </c>
      <c r="AR45" s="12"/>
      <c r="AS4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5" s="6" t="s">
        <v>838</v>
      </c>
      <c r="BS45" s="27" t="s">
        <v>388</v>
      </c>
    </row>
    <row r="46" spans="1:71" ht="52.2" x14ac:dyDescent="0.3">
      <c r="A46" s="26" t="s">
        <v>62</v>
      </c>
      <c r="B46" s="14" t="s">
        <v>835</v>
      </c>
      <c r="C46" s="14" t="s">
        <v>379</v>
      </c>
      <c r="D46" s="14" t="s">
        <v>61</v>
      </c>
      <c r="E46" s="14" t="s">
        <v>769</v>
      </c>
      <c r="F46" s="14" t="s">
        <v>740</v>
      </c>
      <c r="G46" s="15" t="s">
        <v>0</v>
      </c>
      <c r="H46" s="16"/>
      <c r="I46" s="16" t="s">
        <v>381</v>
      </c>
      <c r="J46" s="16"/>
      <c r="K46" s="16">
        <v>1</v>
      </c>
      <c r="L46" s="16">
        <v>1</v>
      </c>
      <c r="M46" s="16">
        <v>1</v>
      </c>
      <c r="N46" s="16">
        <v>1</v>
      </c>
      <c r="O46" s="16">
        <v>1</v>
      </c>
      <c r="P46" s="16"/>
      <c r="Q46" s="16" t="s">
        <v>537</v>
      </c>
      <c r="R46" s="16">
        <v>1</v>
      </c>
      <c r="S46" s="16">
        <v>1</v>
      </c>
      <c r="T46" s="16"/>
      <c r="U46" s="16">
        <v>1</v>
      </c>
      <c r="V46" s="18" t="s">
        <v>383</v>
      </c>
      <c r="W46" s="16"/>
      <c r="X46" s="16">
        <v>1</v>
      </c>
      <c r="Y46" s="18" t="s">
        <v>839</v>
      </c>
      <c r="Z46" s="16" t="s">
        <v>399</v>
      </c>
      <c r="AA46" s="18" t="s">
        <v>386</v>
      </c>
      <c r="AB46" s="16">
        <v>1</v>
      </c>
      <c r="AC46" s="16" t="s">
        <v>824</v>
      </c>
      <c r="AD46" s="16">
        <v>59.7</v>
      </c>
      <c r="AE46" s="16" t="s">
        <v>399</v>
      </c>
      <c r="AF46" s="16" t="s">
        <v>840</v>
      </c>
      <c r="AG46" s="16">
        <v>12.5</v>
      </c>
      <c r="AH46" s="16" t="s">
        <v>742</v>
      </c>
      <c r="AI46" s="16">
        <v>1</v>
      </c>
      <c r="AJ46" s="16">
        <v>1</v>
      </c>
      <c r="AK46" s="16">
        <v>1</v>
      </c>
      <c r="AL46" s="16">
        <v>1</v>
      </c>
      <c r="AM46" s="18" t="s">
        <v>772</v>
      </c>
      <c r="AN46" s="16">
        <v>14</v>
      </c>
      <c r="AO46" s="16">
        <v>25.7</v>
      </c>
      <c r="AP46" s="16">
        <v>29.4</v>
      </c>
      <c r="AQ46" s="16">
        <v>18.3</v>
      </c>
      <c r="AR46" s="16">
        <v>1</v>
      </c>
      <c r="AS4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4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4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4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6" s="6" t="s">
        <v>387</v>
      </c>
      <c r="BS46" s="27" t="s">
        <v>388</v>
      </c>
    </row>
    <row r="47" spans="1:71" ht="52.2" x14ac:dyDescent="0.3">
      <c r="A47" s="4" t="s">
        <v>63</v>
      </c>
      <c r="B47" s="5" t="s">
        <v>519</v>
      </c>
      <c r="C47" s="5" t="s">
        <v>434</v>
      </c>
      <c r="D47" s="5" t="s">
        <v>520</v>
      </c>
      <c r="E47" s="5" t="s">
        <v>739</v>
      </c>
      <c r="F47" s="5" t="s">
        <v>740</v>
      </c>
      <c r="G47" s="6" t="s">
        <v>0</v>
      </c>
      <c r="H47" s="12">
        <v>1</v>
      </c>
      <c r="I47" s="12" t="s">
        <v>381</v>
      </c>
      <c r="J47" s="12"/>
      <c r="K47" s="12">
        <v>1</v>
      </c>
      <c r="L47" s="12">
        <v>1</v>
      </c>
      <c r="M47" s="12">
        <v>1</v>
      </c>
      <c r="N47" s="12"/>
      <c r="O47" s="12">
        <v>1</v>
      </c>
      <c r="P47" s="12"/>
      <c r="Q47" s="12" t="s">
        <v>537</v>
      </c>
      <c r="R47" s="12"/>
      <c r="S47" s="12">
        <v>1</v>
      </c>
      <c r="T47" s="12"/>
      <c r="U47" s="12"/>
      <c r="V47" s="17" t="s">
        <v>383</v>
      </c>
      <c r="W47" s="12"/>
      <c r="X47" s="12">
        <v>1</v>
      </c>
      <c r="Y47" s="17"/>
      <c r="Z47" s="12" t="s">
        <v>399</v>
      </c>
      <c r="AA47" s="17" t="s">
        <v>386</v>
      </c>
      <c r="AB47" s="12"/>
      <c r="AC47" s="12" t="s">
        <v>770</v>
      </c>
      <c r="AD47" s="12">
        <v>72.5</v>
      </c>
      <c r="AE47" s="12" t="s">
        <v>399</v>
      </c>
      <c r="AF47" s="12" t="s">
        <v>841</v>
      </c>
      <c r="AG47" s="12">
        <v>11.5</v>
      </c>
      <c r="AH47" s="12" t="s">
        <v>742</v>
      </c>
      <c r="AI47" s="12">
        <v>1</v>
      </c>
      <c r="AJ47" s="12">
        <v>1</v>
      </c>
      <c r="AK47" s="12">
        <v>1</v>
      </c>
      <c r="AL47" s="12"/>
      <c r="AM47" s="17" t="s">
        <v>772</v>
      </c>
      <c r="AN47" s="12">
        <v>16.5</v>
      </c>
      <c r="AO47" s="12">
        <v>34.1</v>
      </c>
      <c r="AP47" s="12">
        <v>40.5</v>
      </c>
      <c r="AQ47" s="12">
        <v>24.2</v>
      </c>
      <c r="AR47" s="12">
        <v>1</v>
      </c>
      <c r="AS4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1</v>
      </c>
      <c r="BM4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7" s="6" t="s">
        <v>842</v>
      </c>
      <c r="BS47" s="27" t="s">
        <v>388</v>
      </c>
    </row>
    <row r="48" spans="1:71" ht="52.2" x14ac:dyDescent="0.3">
      <c r="A48" s="26" t="s">
        <v>64</v>
      </c>
      <c r="B48" s="14" t="s">
        <v>519</v>
      </c>
      <c r="C48" s="14" t="s">
        <v>434</v>
      </c>
      <c r="D48" s="14" t="s">
        <v>520</v>
      </c>
      <c r="E48" s="14" t="s">
        <v>739</v>
      </c>
      <c r="F48" s="14" t="s">
        <v>740</v>
      </c>
      <c r="G48" s="15" t="s">
        <v>0</v>
      </c>
      <c r="H48" s="16">
        <v>1</v>
      </c>
      <c r="I48" s="16" t="s">
        <v>381</v>
      </c>
      <c r="J48" s="16"/>
      <c r="K48" s="16">
        <v>1</v>
      </c>
      <c r="L48" s="16">
        <v>1</v>
      </c>
      <c r="M48" s="16">
        <v>1</v>
      </c>
      <c r="N48" s="16"/>
      <c r="O48" s="16"/>
      <c r="P48" s="16"/>
      <c r="Q48" s="16" t="s">
        <v>537</v>
      </c>
      <c r="R48" s="16"/>
      <c r="S48" s="16">
        <v>1</v>
      </c>
      <c r="T48" s="16"/>
      <c r="U48" s="16"/>
      <c r="V48" s="18" t="s">
        <v>383</v>
      </c>
      <c r="W48" s="16"/>
      <c r="X48" s="16">
        <v>1</v>
      </c>
      <c r="Y48" s="18"/>
      <c r="Z48" s="16" t="s">
        <v>399</v>
      </c>
      <c r="AA48" s="18" t="s">
        <v>386</v>
      </c>
      <c r="AB48" s="16">
        <v>1</v>
      </c>
      <c r="AC48" s="16" t="s">
        <v>770</v>
      </c>
      <c r="AD48" s="16">
        <v>86.8</v>
      </c>
      <c r="AE48" s="16" t="s">
        <v>399</v>
      </c>
      <c r="AF48" s="16" t="s">
        <v>843</v>
      </c>
      <c r="AG48" s="16">
        <v>11.5</v>
      </c>
      <c r="AH48" s="16" t="s">
        <v>742</v>
      </c>
      <c r="AI48" s="16">
        <v>1</v>
      </c>
      <c r="AJ48" s="16">
        <v>1</v>
      </c>
      <c r="AK48" s="16">
        <v>1</v>
      </c>
      <c r="AL48" s="16"/>
      <c r="AM48" s="18" t="s">
        <v>820</v>
      </c>
      <c r="AN48" s="16">
        <v>18.600000000000001</v>
      </c>
      <c r="AO48" s="16">
        <v>38.799999999999997</v>
      </c>
      <c r="AP48" s="16">
        <v>47</v>
      </c>
      <c r="AQ48" s="16">
        <v>27.5</v>
      </c>
      <c r="AR48" s="16">
        <v>1</v>
      </c>
      <c r="AS4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4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1</v>
      </c>
      <c r="BL4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4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4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8" s="6" t="s">
        <v>844</v>
      </c>
      <c r="BS48" s="27" t="s">
        <v>388</v>
      </c>
    </row>
    <row r="49" spans="1:71" ht="52.2" x14ac:dyDescent="0.3">
      <c r="A49" s="4" t="s">
        <v>65</v>
      </c>
      <c r="B49" s="5" t="s">
        <v>519</v>
      </c>
      <c r="C49" s="5" t="s">
        <v>434</v>
      </c>
      <c r="D49" s="5" t="s">
        <v>520</v>
      </c>
      <c r="E49" s="5" t="s">
        <v>395</v>
      </c>
      <c r="F49" s="5" t="s">
        <v>396</v>
      </c>
      <c r="G49" s="6" t="s">
        <v>0</v>
      </c>
      <c r="H49" s="12"/>
      <c r="I49" s="12" t="s">
        <v>381</v>
      </c>
      <c r="J49" s="12"/>
      <c r="K49" s="12">
        <v>1</v>
      </c>
      <c r="L49" s="12">
        <v>1</v>
      </c>
      <c r="M49" s="12">
        <v>1</v>
      </c>
      <c r="N49" s="12"/>
      <c r="O49" s="12"/>
      <c r="P49" s="12"/>
      <c r="Q49" s="12" t="s">
        <v>537</v>
      </c>
      <c r="R49" s="12"/>
      <c r="S49" s="12"/>
      <c r="T49" s="12"/>
      <c r="U49" s="12"/>
      <c r="V49" s="17" t="s">
        <v>521</v>
      </c>
      <c r="W49" s="12"/>
      <c r="X49" s="12">
        <v>1</v>
      </c>
      <c r="Y49" s="17"/>
      <c r="Z49" s="12" t="s">
        <v>399</v>
      </c>
      <c r="AA49" s="17" t="s">
        <v>400</v>
      </c>
      <c r="AB49" s="12"/>
      <c r="AC49" s="12"/>
      <c r="AD49" s="12"/>
      <c r="AE49" s="12" t="s">
        <v>399</v>
      </c>
      <c r="AF49" s="12" t="s">
        <v>845</v>
      </c>
      <c r="AG49" s="12">
        <v>6.5</v>
      </c>
      <c r="AH49" s="12" t="s">
        <v>846</v>
      </c>
      <c r="AI49" s="12">
        <v>1</v>
      </c>
      <c r="AJ49" s="12"/>
      <c r="AK49" s="12">
        <v>1</v>
      </c>
      <c r="AL49" s="12">
        <v>1</v>
      </c>
      <c r="AM49" s="17" t="s">
        <v>847</v>
      </c>
      <c r="AN49" s="12">
        <v>14.2</v>
      </c>
      <c r="AO49" s="12">
        <v>26</v>
      </c>
      <c r="AP49" s="12">
        <v>29</v>
      </c>
      <c r="AQ49" s="12">
        <v>18.100000000000001</v>
      </c>
      <c r="AR49" s="12">
        <v>1</v>
      </c>
      <c r="AS4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4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4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4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4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4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4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4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4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4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4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4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4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4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4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4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4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4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4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4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4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4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4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4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4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49" s="6" t="s">
        <v>848</v>
      </c>
      <c r="BS49" s="27" t="s">
        <v>388</v>
      </c>
    </row>
    <row r="50" spans="1:71" ht="52.2" x14ac:dyDescent="0.3">
      <c r="A50" s="26" t="s">
        <v>66</v>
      </c>
      <c r="B50" s="14" t="s">
        <v>519</v>
      </c>
      <c r="C50" s="14" t="s">
        <v>434</v>
      </c>
      <c r="D50" s="14" t="s">
        <v>520</v>
      </c>
      <c r="E50" s="14" t="s">
        <v>769</v>
      </c>
      <c r="F50" s="14" t="s">
        <v>740</v>
      </c>
      <c r="G50" s="15" t="s">
        <v>0</v>
      </c>
      <c r="H50" s="16"/>
      <c r="I50" s="16" t="s">
        <v>381</v>
      </c>
      <c r="J50" s="16"/>
      <c r="K50" s="16">
        <v>1</v>
      </c>
      <c r="L50" s="16">
        <v>1</v>
      </c>
      <c r="M50" s="16">
        <v>1</v>
      </c>
      <c r="N50" s="16">
        <v>1</v>
      </c>
      <c r="O50" s="16">
        <v>1</v>
      </c>
      <c r="P50" s="16"/>
      <c r="Q50" s="16" t="s">
        <v>537</v>
      </c>
      <c r="R50" s="16"/>
      <c r="S50" s="16">
        <v>1</v>
      </c>
      <c r="T50" s="16"/>
      <c r="U50" s="16">
        <v>1</v>
      </c>
      <c r="V50" s="18" t="s">
        <v>521</v>
      </c>
      <c r="W50" s="16"/>
      <c r="X50" s="16">
        <v>1</v>
      </c>
      <c r="Y50" s="18"/>
      <c r="Z50" s="16" t="s">
        <v>399</v>
      </c>
      <c r="AA50" s="18" t="s">
        <v>386</v>
      </c>
      <c r="AB50" s="16">
        <v>1</v>
      </c>
      <c r="AC50" s="16" t="s">
        <v>824</v>
      </c>
      <c r="AD50" s="16">
        <v>60.6</v>
      </c>
      <c r="AE50" s="16" t="s">
        <v>399</v>
      </c>
      <c r="AF50" s="16" t="s">
        <v>849</v>
      </c>
      <c r="AG50" s="16">
        <v>13.5</v>
      </c>
      <c r="AH50" s="16" t="s">
        <v>742</v>
      </c>
      <c r="AI50" s="16">
        <v>1</v>
      </c>
      <c r="AJ50" s="16">
        <v>1</v>
      </c>
      <c r="AK50" s="16">
        <v>1</v>
      </c>
      <c r="AL50" s="16">
        <v>1</v>
      </c>
      <c r="AM50" s="18" t="s">
        <v>820</v>
      </c>
      <c r="AN50" s="16">
        <v>14.2</v>
      </c>
      <c r="AO50" s="16">
        <v>25.6</v>
      </c>
      <c r="AP50" s="16">
        <v>30</v>
      </c>
      <c r="AQ50" s="16">
        <v>18.2</v>
      </c>
      <c r="AR50" s="16">
        <v>1</v>
      </c>
      <c r="AS5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5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5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5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0" s="6" t="s">
        <v>850</v>
      </c>
      <c r="BS50" s="27" t="s">
        <v>388</v>
      </c>
    </row>
    <row r="51" spans="1:71" ht="52.2" x14ac:dyDescent="0.3">
      <c r="A51" s="4" t="s">
        <v>67</v>
      </c>
      <c r="B51" s="5" t="s">
        <v>524</v>
      </c>
      <c r="C51" s="5" t="s">
        <v>525</v>
      </c>
      <c r="D51" s="5" t="s">
        <v>68</v>
      </c>
      <c r="E51" s="5" t="s">
        <v>769</v>
      </c>
      <c r="F51" s="5" t="s">
        <v>789</v>
      </c>
      <c r="G51" s="6" t="s">
        <v>0</v>
      </c>
      <c r="H51" s="12"/>
      <c r="I51" s="12" t="s">
        <v>397</v>
      </c>
      <c r="J51" s="12"/>
      <c r="K51" s="12"/>
      <c r="L51" s="12"/>
      <c r="M51" s="12"/>
      <c r="N51" s="12">
        <v>1</v>
      </c>
      <c r="O51" s="12"/>
      <c r="P51" s="12"/>
      <c r="Q51" s="12"/>
      <c r="R51" s="12"/>
      <c r="S51" s="12">
        <v>1</v>
      </c>
      <c r="T51" s="12"/>
      <c r="U51" s="12">
        <v>1</v>
      </c>
      <c r="V51" s="17" t="s">
        <v>851</v>
      </c>
      <c r="W51" s="12" t="s">
        <v>383</v>
      </c>
      <c r="X51" s="12">
        <v>1</v>
      </c>
      <c r="Y51" s="17" t="s">
        <v>852</v>
      </c>
      <c r="Z51" s="12" t="s">
        <v>399</v>
      </c>
      <c r="AA51" s="17" t="s">
        <v>416</v>
      </c>
      <c r="AB51" s="12"/>
      <c r="AC51" s="12"/>
      <c r="AD51" s="12"/>
      <c r="AE51" s="12" t="s">
        <v>399</v>
      </c>
      <c r="AF51" s="12" t="s">
        <v>853</v>
      </c>
      <c r="AG51" s="12">
        <v>10</v>
      </c>
      <c r="AH51" s="12" t="s">
        <v>748</v>
      </c>
      <c r="AI51" s="12"/>
      <c r="AJ51" s="12"/>
      <c r="AK51" s="12">
        <v>1</v>
      </c>
      <c r="AL51" s="12">
        <v>1</v>
      </c>
      <c r="AM51" s="17" t="s">
        <v>749</v>
      </c>
      <c r="AN51" s="12">
        <v>15</v>
      </c>
      <c r="AO51" s="12">
        <v>25</v>
      </c>
      <c r="AP51" s="12">
        <v>28</v>
      </c>
      <c r="AQ51" s="12">
        <v>17</v>
      </c>
      <c r="AR51" s="12"/>
      <c r="AS5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1" s="6" t="s">
        <v>854</v>
      </c>
      <c r="BS51" s="27" t="s">
        <v>388</v>
      </c>
    </row>
    <row r="52" spans="1:71" ht="52.2" x14ac:dyDescent="0.3">
      <c r="A52" s="26" t="s">
        <v>69</v>
      </c>
      <c r="B52" s="14" t="s">
        <v>534</v>
      </c>
      <c r="C52" s="14" t="s">
        <v>427</v>
      </c>
      <c r="D52" s="14" t="s">
        <v>70</v>
      </c>
      <c r="E52" s="14" t="s">
        <v>769</v>
      </c>
      <c r="F52" s="14" t="s">
        <v>754</v>
      </c>
      <c r="G52" s="15" t="s">
        <v>0</v>
      </c>
      <c r="H52" s="16"/>
      <c r="I52" s="16" t="s">
        <v>381</v>
      </c>
      <c r="J52" s="16"/>
      <c r="K52" s="16">
        <v>1</v>
      </c>
      <c r="L52" s="16"/>
      <c r="M52" s="16">
        <v>1</v>
      </c>
      <c r="N52" s="16"/>
      <c r="O52" s="16">
        <v>1</v>
      </c>
      <c r="P52" s="16"/>
      <c r="Q52" s="16" t="s">
        <v>537</v>
      </c>
      <c r="R52" s="16"/>
      <c r="S52" s="16">
        <v>1</v>
      </c>
      <c r="T52" s="16" t="s">
        <v>713</v>
      </c>
      <c r="U52" s="16">
        <v>1</v>
      </c>
      <c r="V52" s="18" t="s">
        <v>474</v>
      </c>
      <c r="W52" s="16">
        <v>34</v>
      </c>
      <c r="X52" s="16">
        <v>1</v>
      </c>
      <c r="Y52" s="18"/>
      <c r="Z52" s="16" t="s">
        <v>399</v>
      </c>
      <c r="AA52" s="18" t="s">
        <v>386</v>
      </c>
      <c r="AB52" s="16">
        <v>1</v>
      </c>
      <c r="AC52" s="16" t="s">
        <v>824</v>
      </c>
      <c r="AD52" s="16">
        <v>59.1</v>
      </c>
      <c r="AE52" s="16" t="s">
        <v>444</v>
      </c>
      <c r="AF52" s="16" t="s">
        <v>855</v>
      </c>
      <c r="AG52" s="16">
        <v>6</v>
      </c>
      <c r="AH52" s="16" t="s">
        <v>748</v>
      </c>
      <c r="AI52" s="16">
        <v>1</v>
      </c>
      <c r="AJ52" s="16">
        <v>1</v>
      </c>
      <c r="AK52" s="16">
        <v>1</v>
      </c>
      <c r="AL52" s="16">
        <v>1</v>
      </c>
      <c r="AM52" s="18" t="s">
        <v>749</v>
      </c>
      <c r="AN52" s="16">
        <v>14</v>
      </c>
      <c r="AO52" s="16">
        <v>28.8</v>
      </c>
      <c r="AP52" s="16">
        <v>29</v>
      </c>
      <c r="AQ52" s="16">
        <v>18</v>
      </c>
      <c r="AR52" s="16">
        <v>1</v>
      </c>
      <c r="AS5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5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5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5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2" s="6" t="s">
        <v>856</v>
      </c>
      <c r="BS52" s="27" t="s">
        <v>857</v>
      </c>
    </row>
    <row r="53" spans="1:71" ht="52.2" x14ac:dyDescent="0.3">
      <c r="A53" s="4" t="s">
        <v>71</v>
      </c>
      <c r="B53" s="5" t="s">
        <v>534</v>
      </c>
      <c r="C53" s="5" t="s">
        <v>427</v>
      </c>
      <c r="D53" s="5" t="s">
        <v>70</v>
      </c>
      <c r="E53" s="5" t="s">
        <v>769</v>
      </c>
      <c r="F53" s="5" t="s">
        <v>740</v>
      </c>
      <c r="G53" s="6" t="s">
        <v>0</v>
      </c>
      <c r="H53" s="12"/>
      <c r="I53" s="12" t="s">
        <v>381</v>
      </c>
      <c r="J53" s="12"/>
      <c r="K53" s="12">
        <v>1</v>
      </c>
      <c r="L53" s="12"/>
      <c r="M53" s="12">
        <v>1</v>
      </c>
      <c r="N53" s="12">
        <v>1</v>
      </c>
      <c r="O53" s="12">
        <v>1</v>
      </c>
      <c r="P53" s="12"/>
      <c r="Q53" s="12" t="s">
        <v>537</v>
      </c>
      <c r="R53" s="12">
        <v>1</v>
      </c>
      <c r="S53" s="12">
        <v>1</v>
      </c>
      <c r="T53" s="12" t="s">
        <v>713</v>
      </c>
      <c r="U53" s="12">
        <v>1</v>
      </c>
      <c r="V53" s="17" t="s">
        <v>383</v>
      </c>
      <c r="W53" s="12"/>
      <c r="X53" s="12">
        <v>1</v>
      </c>
      <c r="Y53" s="17"/>
      <c r="Z53" s="12" t="s">
        <v>399</v>
      </c>
      <c r="AA53" s="17" t="s">
        <v>386</v>
      </c>
      <c r="AB53" s="12">
        <v>1</v>
      </c>
      <c r="AC53" s="12" t="s">
        <v>824</v>
      </c>
      <c r="AD53" s="12">
        <v>60.6</v>
      </c>
      <c r="AE53" s="12" t="s">
        <v>399</v>
      </c>
      <c r="AF53" s="12" t="s">
        <v>858</v>
      </c>
      <c r="AG53" s="12">
        <v>8.5</v>
      </c>
      <c r="AH53" s="12" t="s">
        <v>748</v>
      </c>
      <c r="AI53" s="12">
        <v>1</v>
      </c>
      <c r="AJ53" s="12">
        <v>1</v>
      </c>
      <c r="AK53" s="12">
        <v>1</v>
      </c>
      <c r="AL53" s="12">
        <v>1</v>
      </c>
      <c r="AM53" s="17" t="s">
        <v>749</v>
      </c>
      <c r="AN53" s="12">
        <v>14</v>
      </c>
      <c r="AO53" s="12">
        <v>25.6</v>
      </c>
      <c r="AP53" s="12">
        <v>32</v>
      </c>
      <c r="AQ53" s="12">
        <v>18</v>
      </c>
      <c r="AR53" s="12">
        <v>1</v>
      </c>
      <c r="AS5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5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5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5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3" s="6" t="s">
        <v>859</v>
      </c>
      <c r="BS53" s="27" t="s">
        <v>388</v>
      </c>
    </row>
    <row r="54" spans="1:71" ht="52.2" x14ac:dyDescent="0.3">
      <c r="A54" s="26" t="s">
        <v>73</v>
      </c>
      <c r="B54" s="14" t="s">
        <v>534</v>
      </c>
      <c r="C54" s="14" t="s">
        <v>427</v>
      </c>
      <c r="D54" s="14" t="s">
        <v>70</v>
      </c>
      <c r="E54" s="14" t="s">
        <v>769</v>
      </c>
      <c r="F54" s="14" t="s">
        <v>789</v>
      </c>
      <c r="G54" s="15" t="s">
        <v>0</v>
      </c>
      <c r="H54" s="16"/>
      <c r="I54" s="16" t="s">
        <v>381</v>
      </c>
      <c r="J54" s="16"/>
      <c r="K54" s="16">
        <v>1</v>
      </c>
      <c r="L54" s="16"/>
      <c r="M54" s="16">
        <v>1</v>
      </c>
      <c r="N54" s="16"/>
      <c r="O54" s="16"/>
      <c r="P54" s="16"/>
      <c r="Q54" s="16"/>
      <c r="R54" s="16"/>
      <c r="S54" s="16">
        <v>1</v>
      </c>
      <c r="T54" s="16"/>
      <c r="U54" s="16">
        <v>1</v>
      </c>
      <c r="V54" s="18" t="s">
        <v>583</v>
      </c>
      <c r="W54" s="16">
        <v>98</v>
      </c>
      <c r="X54" s="16">
        <v>1</v>
      </c>
      <c r="Y54" s="18"/>
      <c r="Z54" s="16" t="s">
        <v>399</v>
      </c>
      <c r="AA54" s="18" t="s">
        <v>416</v>
      </c>
      <c r="AB54" s="16"/>
      <c r="AC54" s="16"/>
      <c r="AD54" s="16"/>
      <c r="AE54" s="16" t="s">
        <v>444</v>
      </c>
      <c r="AF54" s="16" t="s">
        <v>863</v>
      </c>
      <c r="AG54" s="16">
        <v>5</v>
      </c>
      <c r="AH54" s="16" t="s">
        <v>748</v>
      </c>
      <c r="AI54" s="16"/>
      <c r="AJ54" s="16"/>
      <c r="AK54" s="16">
        <v>1</v>
      </c>
      <c r="AL54" s="16">
        <v>1</v>
      </c>
      <c r="AM54" s="18" t="s">
        <v>749</v>
      </c>
      <c r="AN54" s="16">
        <v>14</v>
      </c>
      <c r="AO54" s="16">
        <v>25</v>
      </c>
      <c r="AP54" s="16">
        <v>30</v>
      </c>
      <c r="AQ54" s="16">
        <v>18</v>
      </c>
      <c r="AR54" s="16"/>
      <c r="AS5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5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5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5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4" s="6" t="s">
        <v>864</v>
      </c>
      <c r="BS54" s="27" t="s">
        <v>388</v>
      </c>
    </row>
    <row r="55" spans="1:71" ht="52.2" x14ac:dyDescent="0.3">
      <c r="A55" s="4" t="s">
        <v>72</v>
      </c>
      <c r="B55" s="5" t="s">
        <v>534</v>
      </c>
      <c r="C55" s="5" t="s">
        <v>427</v>
      </c>
      <c r="D55" s="5" t="s">
        <v>70</v>
      </c>
      <c r="E55" s="5" t="s">
        <v>769</v>
      </c>
      <c r="F55" s="5" t="s">
        <v>789</v>
      </c>
      <c r="G55" s="6" t="s">
        <v>0</v>
      </c>
      <c r="H55" s="12"/>
      <c r="I55" s="12" t="s">
        <v>381</v>
      </c>
      <c r="J55" s="12"/>
      <c r="K55" s="12">
        <v>1</v>
      </c>
      <c r="L55" s="12"/>
      <c r="M55" s="12">
        <v>1</v>
      </c>
      <c r="N55" s="12"/>
      <c r="O55" s="12">
        <v>1</v>
      </c>
      <c r="P55" s="12"/>
      <c r="Q55" s="12"/>
      <c r="R55" s="12"/>
      <c r="S55" s="12">
        <v>1</v>
      </c>
      <c r="T55" s="12" t="s">
        <v>713</v>
      </c>
      <c r="U55" s="12">
        <v>1</v>
      </c>
      <c r="V55" s="17" t="s">
        <v>383</v>
      </c>
      <c r="W55" s="12"/>
      <c r="X55" s="12">
        <v>1</v>
      </c>
      <c r="Y55" s="17" t="s">
        <v>860</v>
      </c>
      <c r="Z55" s="12" t="s">
        <v>399</v>
      </c>
      <c r="AA55" s="17" t="s">
        <v>416</v>
      </c>
      <c r="AB55" s="12"/>
      <c r="AC55" s="12"/>
      <c r="AD55" s="12"/>
      <c r="AE55" s="12" t="s">
        <v>399</v>
      </c>
      <c r="AF55" s="12" t="s">
        <v>861</v>
      </c>
      <c r="AG55" s="12">
        <v>7</v>
      </c>
      <c r="AH55" s="12" t="s">
        <v>748</v>
      </c>
      <c r="AI55" s="12"/>
      <c r="AJ55" s="12"/>
      <c r="AK55" s="12">
        <v>1</v>
      </c>
      <c r="AL55" s="12">
        <v>1</v>
      </c>
      <c r="AM55" s="17" t="s">
        <v>749</v>
      </c>
      <c r="AN55" s="12">
        <v>11.6</v>
      </c>
      <c r="AO55" s="12">
        <v>25</v>
      </c>
      <c r="AP55" s="12">
        <v>27.5</v>
      </c>
      <c r="AQ55" s="12">
        <v>18</v>
      </c>
      <c r="AR55" s="12">
        <v>1</v>
      </c>
      <c r="AS5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5" s="6" t="s">
        <v>862</v>
      </c>
      <c r="BS55" s="27" t="s">
        <v>857</v>
      </c>
    </row>
    <row r="56" spans="1:71" ht="52.2" x14ac:dyDescent="0.3">
      <c r="A56" s="26" t="s">
        <v>74</v>
      </c>
      <c r="B56" s="14" t="s">
        <v>534</v>
      </c>
      <c r="C56" s="14" t="s">
        <v>427</v>
      </c>
      <c r="D56" s="14" t="s">
        <v>70</v>
      </c>
      <c r="E56" s="14" t="s">
        <v>769</v>
      </c>
      <c r="F56" s="14" t="s">
        <v>789</v>
      </c>
      <c r="G56" s="15" t="s">
        <v>0</v>
      </c>
      <c r="H56" s="16"/>
      <c r="I56" s="16" t="s">
        <v>381</v>
      </c>
      <c r="J56" s="16"/>
      <c r="K56" s="16">
        <v>1</v>
      </c>
      <c r="L56" s="16"/>
      <c r="M56" s="16">
        <v>1</v>
      </c>
      <c r="N56" s="16">
        <v>1</v>
      </c>
      <c r="O56" s="16"/>
      <c r="P56" s="16"/>
      <c r="Q56" s="16"/>
      <c r="R56" s="16"/>
      <c r="S56" s="16">
        <v>1</v>
      </c>
      <c r="T56" s="16"/>
      <c r="U56" s="16">
        <v>1</v>
      </c>
      <c r="V56" s="18" t="s">
        <v>535</v>
      </c>
      <c r="W56" s="16">
        <v>148</v>
      </c>
      <c r="X56" s="16">
        <v>1</v>
      </c>
      <c r="Y56" s="18" t="s">
        <v>550</v>
      </c>
      <c r="Z56" s="16" t="s">
        <v>399</v>
      </c>
      <c r="AA56" s="18" t="s">
        <v>416</v>
      </c>
      <c r="AB56" s="16"/>
      <c r="AC56" s="16"/>
      <c r="AD56" s="16"/>
      <c r="AE56" s="16" t="s">
        <v>385</v>
      </c>
      <c r="AF56" s="16" t="s">
        <v>865</v>
      </c>
      <c r="AG56" s="16">
        <v>6</v>
      </c>
      <c r="AH56" s="16" t="s">
        <v>748</v>
      </c>
      <c r="AI56" s="16"/>
      <c r="AJ56" s="16"/>
      <c r="AK56" s="16">
        <v>1</v>
      </c>
      <c r="AL56" s="16"/>
      <c r="AM56" s="18" t="s">
        <v>749</v>
      </c>
      <c r="AN56" s="16">
        <v>14</v>
      </c>
      <c r="AO56" s="16">
        <v>26.5</v>
      </c>
      <c r="AP56" s="16">
        <v>30</v>
      </c>
      <c r="AQ56" s="16">
        <v>18</v>
      </c>
      <c r="AR56" s="16"/>
      <c r="AS5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5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5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5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6" s="6" t="s">
        <v>866</v>
      </c>
      <c r="BS56" s="27" t="s">
        <v>857</v>
      </c>
    </row>
    <row r="57" spans="1:71" ht="52.2" x14ac:dyDescent="0.3">
      <c r="A57" s="4" t="s">
        <v>75</v>
      </c>
      <c r="B57" s="5" t="s">
        <v>534</v>
      </c>
      <c r="C57" s="5" t="s">
        <v>427</v>
      </c>
      <c r="D57" s="5" t="s">
        <v>70</v>
      </c>
      <c r="E57" s="5" t="s">
        <v>413</v>
      </c>
      <c r="F57" s="5" t="s">
        <v>789</v>
      </c>
      <c r="G57" s="6" t="s">
        <v>0</v>
      </c>
      <c r="H57" s="12">
        <v>1</v>
      </c>
      <c r="I57" s="12" t="s">
        <v>381</v>
      </c>
      <c r="J57" s="12"/>
      <c r="K57" s="12">
        <v>1</v>
      </c>
      <c r="L57" s="12"/>
      <c r="M57" s="12">
        <v>1</v>
      </c>
      <c r="N57" s="12"/>
      <c r="O57" s="12"/>
      <c r="P57" s="12"/>
      <c r="Q57" s="12"/>
      <c r="R57" s="12"/>
      <c r="S57" s="12"/>
      <c r="T57" s="12"/>
      <c r="U57" s="12"/>
      <c r="V57" s="17" t="s">
        <v>535</v>
      </c>
      <c r="W57" s="12">
        <v>149</v>
      </c>
      <c r="X57" s="12">
        <v>1</v>
      </c>
      <c r="Y57" s="17"/>
      <c r="Z57" s="12" t="s">
        <v>399</v>
      </c>
      <c r="AA57" s="17" t="s">
        <v>416</v>
      </c>
      <c r="AB57" s="12"/>
      <c r="AC57" s="12"/>
      <c r="AD57" s="12"/>
      <c r="AE57" s="12" t="s">
        <v>385</v>
      </c>
      <c r="AF57" s="12" t="s">
        <v>867</v>
      </c>
      <c r="AG57" s="12">
        <v>4</v>
      </c>
      <c r="AH57" s="12" t="s">
        <v>868</v>
      </c>
      <c r="AI57" s="12"/>
      <c r="AJ57" s="12"/>
      <c r="AK57" s="12">
        <v>1</v>
      </c>
      <c r="AL57" s="12"/>
      <c r="AM57" s="17" t="s">
        <v>868</v>
      </c>
      <c r="AN57" s="12"/>
      <c r="AO57" s="12"/>
      <c r="AP57" s="12"/>
      <c r="AQ57" s="12"/>
      <c r="AR57" s="12"/>
      <c r="AS5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7" s="6" t="s">
        <v>869</v>
      </c>
      <c r="BS57" s="27" t="s">
        <v>388</v>
      </c>
    </row>
    <row r="58" spans="1:71" ht="52.2" x14ac:dyDescent="0.3">
      <c r="A58" s="26" t="s">
        <v>76</v>
      </c>
      <c r="B58" s="14" t="s">
        <v>870</v>
      </c>
      <c r="C58" s="14" t="s">
        <v>452</v>
      </c>
      <c r="D58" s="14" t="s">
        <v>77</v>
      </c>
      <c r="E58" s="14" t="s">
        <v>739</v>
      </c>
      <c r="F58" s="14" t="s">
        <v>789</v>
      </c>
      <c r="G58" s="15" t="s">
        <v>0</v>
      </c>
      <c r="H58" s="16">
        <v>1</v>
      </c>
      <c r="I58" s="16" t="s">
        <v>381</v>
      </c>
      <c r="J58" s="16"/>
      <c r="K58" s="16">
        <v>1</v>
      </c>
      <c r="L58" s="16"/>
      <c r="M58" s="16">
        <v>1</v>
      </c>
      <c r="N58" s="16"/>
      <c r="O58" s="16"/>
      <c r="P58" s="16"/>
      <c r="Q58" s="16" t="s">
        <v>382</v>
      </c>
      <c r="R58" s="16">
        <v>1</v>
      </c>
      <c r="S58" s="16"/>
      <c r="T58" s="16"/>
      <c r="U58" s="16"/>
      <c r="V58" s="18" t="s">
        <v>383</v>
      </c>
      <c r="W58" s="16"/>
      <c r="X58" s="16">
        <v>1</v>
      </c>
      <c r="Y58" s="18"/>
      <c r="Z58" s="16" t="s">
        <v>399</v>
      </c>
      <c r="AA58" s="18" t="s">
        <v>416</v>
      </c>
      <c r="AB58" s="16"/>
      <c r="AC58" s="16"/>
      <c r="AD58" s="16"/>
      <c r="AE58" s="16" t="s">
        <v>385</v>
      </c>
      <c r="AF58" s="16" t="s">
        <v>871</v>
      </c>
      <c r="AG58" s="16">
        <v>4</v>
      </c>
      <c r="AH58" s="16" t="s">
        <v>742</v>
      </c>
      <c r="AI58" s="16"/>
      <c r="AJ58" s="16"/>
      <c r="AK58" s="16">
        <v>1</v>
      </c>
      <c r="AL58" s="16"/>
      <c r="AM58" s="18" t="s">
        <v>752</v>
      </c>
      <c r="AN58" s="16">
        <v>15</v>
      </c>
      <c r="AO58" s="16">
        <v>28.8</v>
      </c>
      <c r="AP58" s="16"/>
      <c r="AQ58" s="16">
        <v>20.5</v>
      </c>
      <c r="AR58" s="16"/>
      <c r="AS5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8" s="6" t="s">
        <v>872</v>
      </c>
      <c r="BS58" s="27" t="s">
        <v>388</v>
      </c>
    </row>
    <row r="59" spans="1:71" ht="52.2" x14ac:dyDescent="0.3">
      <c r="A59" s="4" t="s">
        <v>80</v>
      </c>
      <c r="B59" s="5" t="s">
        <v>541</v>
      </c>
      <c r="C59" s="5" t="s">
        <v>427</v>
      </c>
      <c r="D59" s="5" t="s">
        <v>79</v>
      </c>
      <c r="E59" s="5" t="s">
        <v>745</v>
      </c>
      <c r="F59" s="5" t="s">
        <v>746</v>
      </c>
      <c r="G59" s="6" t="s">
        <v>0</v>
      </c>
      <c r="H59" s="12">
        <v>1</v>
      </c>
      <c r="I59" s="12" t="s">
        <v>381</v>
      </c>
      <c r="J59" s="12"/>
      <c r="K59" s="12">
        <v>1</v>
      </c>
      <c r="L59" s="12"/>
      <c r="M59" s="12">
        <v>1</v>
      </c>
      <c r="N59" s="12"/>
      <c r="O59" s="12">
        <v>1</v>
      </c>
      <c r="P59" s="12"/>
      <c r="Q59" s="12"/>
      <c r="R59" s="12"/>
      <c r="S59" s="12">
        <v>1</v>
      </c>
      <c r="T59" s="12" t="s">
        <v>711</v>
      </c>
      <c r="U59" s="12"/>
      <c r="V59" s="17" t="s">
        <v>535</v>
      </c>
      <c r="W59" s="12">
        <v>64</v>
      </c>
      <c r="X59" s="12">
        <v>1</v>
      </c>
      <c r="Y59" s="17" t="s">
        <v>536</v>
      </c>
      <c r="Z59" s="12" t="s">
        <v>408</v>
      </c>
      <c r="AA59" s="17" t="s">
        <v>507</v>
      </c>
      <c r="AB59" s="12"/>
      <c r="AC59" s="12"/>
      <c r="AD59" s="12"/>
      <c r="AE59" s="12" t="s">
        <v>444</v>
      </c>
      <c r="AF59" s="12" t="s">
        <v>780</v>
      </c>
      <c r="AG59" s="12">
        <v>5.5</v>
      </c>
      <c r="AH59" s="12" t="s">
        <v>748</v>
      </c>
      <c r="AI59" s="12">
        <v>1</v>
      </c>
      <c r="AJ59" s="12"/>
      <c r="AK59" s="12">
        <v>1</v>
      </c>
      <c r="AL59" s="12"/>
      <c r="AM59" s="17" t="s">
        <v>749</v>
      </c>
      <c r="AN59" s="12">
        <v>17.399999999999999</v>
      </c>
      <c r="AO59" s="12">
        <v>31</v>
      </c>
      <c r="AP59" s="12">
        <v>34.5</v>
      </c>
      <c r="AQ59" s="12">
        <v>18</v>
      </c>
      <c r="AR59" s="12">
        <v>1</v>
      </c>
      <c r="AS5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5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5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5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5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5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5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5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5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5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5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5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5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5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5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5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5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5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5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5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5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5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5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5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5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59" s="6" t="s">
        <v>877</v>
      </c>
      <c r="BS59" s="27" t="s">
        <v>876</v>
      </c>
    </row>
    <row r="60" spans="1:71" ht="52.2" x14ac:dyDescent="0.3">
      <c r="A60" s="26" t="s">
        <v>78</v>
      </c>
      <c r="B60" s="14" t="s">
        <v>541</v>
      </c>
      <c r="C60" s="14" t="s">
        <v>427</v>
      </c>
      <c r="D60" s="14" t="s">
        <v>79</v>
      </c>
      <c r="E60" s="14" t="s">
        <v>745</v>
      </c>
      <c r="F60" s="14" t="s">
        <v>746</v>
      </c>
      <c r="G60" s="15" t="s">
        <v>0</v>
      </c>
      <c r="H60" s="16">
        <v>1</v>
      </c>
      <c r="I60" s="16" t="s">
        <v>381</v>
      </c>
      <c r="J60" s="16"/>
      <c r="K60" s="16">
        <v>1</v>
      </c>
      <c r="L60" s="16"/>
      <c r="M60" s="16">
        <v>1</v>
      </c>
      <c r="N60" s="16"/>
      <c r="O60" s="16">
        <v>1</v>
      </c>
      <c r="P60" s="16"/>
      <c r="Q60" s="16"/>
      <c r="R60" s="16"/>
      <c r="S60" s="16">
        <v>1</v>
      </c>
      <c r="T60" s="16" t="s">
        <v>711</v>
      </c>
      <c r="U60" s="16"/>
      <c r="V60" s="18" t="s">
        <v>535</v>
      </c>
      <c r="W60" s="16">
        <v>64</v>
      </c>
      <c r="X60" s="16">
        <v>1</v>
      </c>
      <c r="Y60" s="18" t="s">
        <v>873</v>
      </c>
      <c r="Z60" s="16" t="s">
        <v>408</v>
      </c>
      <c r="AA60" s="18" t="s">
        <v>507</v>
      </c>
      <c r="AB60" s="16"/>
      <c r="AC60" s="16"/>
      <c r="AD60" s="16"/>
      <c r="AE60" s="16" t="s">
        <v>408</v>
      </c>
      <c r="AF60" s="16" t="s">
        <v>874</v>
      </c>
      <c r="AG60" s="16">
        <v>5.5</v>
      </c>
      <c r="AH60" s="16" t="s">
        <v>742</v>
      </c>
      <c r="AI60" s="16">
        <v>1</v>
      </c>
      <c r="AJ60" s="16"/>
      <c r="AK60" s="16">
        <v>1</v>
      </c>
      <c r="AL60" s="16"/>
      <c r="AM60" s="18" t="s">
        <v>752</v>
      </c>
      <c r="AN60" s="16">
        <v>14.2</v>
      </c>
      <c r="AO60" s="16">
        <v>27</v>
      </c>
      <c r="AP60" s="16"/>
      <c r="AQ60" s="16">
        <v>20.2</v>
      </c>
      <c r="AR60" s="16">
        <v>1</v>
      </c>
      <c r="AS6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0" s="6" t="s">
        <v>875</v>
      </c>
      <c r="BS60" s="27" t="s">
        <v>876</v>
      </c>
    </row>
    <row r="61" spans="1:71" ht="52.2" x14ac:dyDescent="0.3">
      <c r="A61" s="4" t="s">
        <v>82</v>
      </c>
      <c r="B61" s="5" t="s">
        <v>541</v>
      </c>
      <c r="C61" s="5" t="s">
        <v>427</v>
      </c>
      <c r="D61" s="5" t="s">
        <v>79</v>
      </c>
      <c r="E61" s="5" t="s">
        <v>745</v>
      </c>
      <c r="F61" s="5" t="s">
        <v>746</v>
      </c>
      <c r="G61" s="6" t="s">
        <v>0</v>
      </c>
      <c r="H61" s="12">
        <v>1</v>
      </c>
      <c r="I61" s="12" t="s">
        <v>381</v>
      </c>
      <c r="J61" s="12"/>
      <c r="K61" s="12">
        <v>1</v>
      </c>
      <c r="L61" s="12"/>
      <c r="M61" s="12">
        <v>1</v>
      </c>
      <c r="N61" s="12"/>
      <c r="O61" s="12">
        <v>1</v>
      </c>
      <c r="P61" s="12"/>
      <c r="Q61" s="12" t="s">
        <v>537</v>
      </c>
      <c r="R61" s="12"/>
      <c r="S61" s="12">
        <v>1</v>
      </c>
      <c r="T61" s="12" t="s">
        <v>711</v>
      </c>
      <c r="U61" s="12"/>
      <c r="V61" s="17" t="s">
        <v>535</v>
      </c>
      <c r="W61" s="12">
        <v>64</v>
      </c>
      <c r="X61" s="12">
        <v>1</v>
      </c>
      <c r="Y61" s="17"/>
      <c r="Z61" s="12" t="s">
        <v>444</v>
      </c>
      <c r="AA61" s="17" t="s">
        <v>507</v>
      </c>
      <c r="AB61" s="12"/>
      <c r="AC61" s="12"/>
      <c r="AD61" s="12"/>
      <c r="AE61" s="12" t="s">
        <v>408</v>
      </c>
      <c r="AF61" s="12" t="s">
        <v>780</v>
      </c>
      <c r="AG61" s="12">
        <v>7.5</v>
      </c>
      <c r="AH61" s="12" t="s">
        <v>748</v>
      </c>
      <c r="AI61" s="12"/>
      <c r="AJ61" s="12"/>
      <c r="AK61" s="12">
        <v>1</v>
      </c>
      <c r="AL61" s="12"/>
      <c r="AM61" s="17" t="s">
        <v>879</v>
      </c>
      <c r="AN61" s="12">
        <v>15</v>
      </c>
      <c r="AO61" s="12">
        <v>27</v>
      </c>
      <c r="AP61" s="12">
        <v>35.5</v>
      </c>
      <c r="AQ61" s="12">
        <v>17.5</v>
      </c>
      <c r="AR61" s="12"/>
      <c r="AS6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1" s="6" t="s">
        <v>880</v>
      </c>
      <c r="BS61" s="27" t="s">
        <v>876</v>
      </c>
    </row>
    <row r="62" spans="1:71" ht="52.2" x14ac:dyDescent="0.3">
      <c r="A62" s="26" t="s">
        <v>81</v>
      </c>
      <c r="B62" s="14" t="s">
        <v>541</v>
      </c>
      <c r="C62" s="14" t="s">
        <v>427</v>
      </c>
      <c r="D62" s="14" t="s">
        <v>79</v>
      </c>
      <c r="E62" s="14" t="s">
        <v>745</v>
      </c>
      <c r="F62" s="14" t="s">
        <v>746</v>
      </c>
      <c r="G62" s="15" t="s">
        <v>0</v>
      </c>
      <c r="H62" s="16">
        <v>1</v>
      </c>
      <c r="I62" s="16" t="s">
        <v>381</v>
      </c>
      <c r="J62" s="16"/>
      <c r="K62" s="16">
        <v>1</v>
      </c>
      <c r="L62" s="16"/>
      <c r="M62" s="16">
        <v>1</v>
      </c>
      <c r="N62" s="16"/>
      <c r="O62" s="16">
        <v>1</v>
      </c>
      <c r="P62" s="16"/>
      <c r="Q62" s="16"/>
      <c r="R62" s="16"/>
      <c r="S62" s="16">
        <v>1</v>
      </c>
      <c r="T62" s="16" t="s">
        <v>711</v>
      </c>
      <c r="U62" s="16"/>
      <c r="V62" s="18" t="s">
        <v>535</v>
      </c>
      <c r="W62" s="16">
        <v>64</v>
      </c>
      <c r="X62" s="16">
        <v>1</v>
      </c>
      <c r="Y62" s="18"/>
      <c r="Z62" s="16" t="s">
        <v>444</v>
      </c>
      <c r="AA62" s="18" t="s">
        <v>507</v>
      </c>
      <c r="AB62" s="16"/>
      <c r="AC62" s="16"/>
      <c r="AD62" s="16"/>
      <c r="AE62" s="16" t="s">
        <v>408</v>
      </c>
      <c r="AF62" s="16" t="s">
        <v>780</v>
      </c>
      <c r="AG62" s="16">
        <v>7.5</v>
      </c>
      <c r="AH62" s="16" t="s">
        <v>748</v>
      </c>
      <c r="AI62" s="16">
        <v>1</v>
      </c>
      <c r="AJ62" s="16"/>
      <c r="AK62" s="16">
        <v>1</v>
      </c>
      <c r="AL62" s="16"/>
      <c r="AM62" s="18" t="s">
        <v>749</v>
      </c>
      <c r="AN62" s="16">
        <v>13</v>
      </c>
      <c r="AO62" s="16">
        <v>24</v>
      </c>
      <c r="AP62" s="16">
        <v>31.3</v>
      </c>
      <c r="AQ62" s="16">
        <v>18</v>
      </c>
      <c r="AR62" s="16"/>
      <c r="AS6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6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6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6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6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6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6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6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2" s="6" t="s">
        <v>878</v>
      </c>
      <c r="BS62" s="27" t="s">
        <v>388</v>
      </c>
    </row>
    <row r="63" spans="1:71" ht="52.2" x14ac:dyDescent="0.3">
      <c r="A63" s="4" t="s">
        <v>83</v>
      </c>
      <c r="B63" s="5" t="s">
        <v>881</v>
      </c>
      <c r="C63" s="5" t="s">
        <v>549</v>
      </c>
      <c r="D63" s="5" t="s">
        <v>84</v>
      </c>
      <c r="E63" s="5" t="s">
        <v>739</v>
      </c>
      <c r="F63" s="5" t="s">
        <v>740</v>
      </c>
      <c r="G63" s="6" t="s">
        <v>0</v>
      </c>
      <c r="H63" s="12">
        <v>1</v>
      </c>
      <c r="I63" s="12" t="s">
        <v>381</v>
      </c>
      <c r="J63" s="12"/>
      <c r="K63" s="12"/>
      <c r="L63" s="12"/>
      <c r="M63" s="12"/>
      <c r="N63" s="12"/>
      <c r="O63" s="12"/>
      <c r="P63" s="12"/>
      <c r="Q63" s="12" t="s">
        <v>537</v>
      </c>
      <c r="R63" s="12"/>
      <c r="S63" s="12">
        <v>1</v>
      </c>
      <c r="T63" s="12"/>
      <c r="U63" s="12"/>
      <c r="V63" s="17" t="s">
        <v>535</v>
      </c>
      <c r="W63" s="12">
        <v>50</v>
      </c>
      <c r="X63" s="12"/>
      <c r="Y63" s="17" t="s">
        <v>550</v>
      </c>
      <c r="Z63" s="12"/>
      <c r="AA63" s="17" t="s">
        <v>386</v>
      </c>
      <c r="AB63" s="12"/>
      <c r="AC63" s="12"/>
      <c r="AD63" s="12"/>
      <c r="AE63" s="12" t="s">
        <v>385</v>
      </c>
      <c r="AF63" s="12" t="s">
        <v>882</v>
      </c>
      <c r="AG63" s="12">
        <v>6.5</v>
      </c>
      <c r="AH63" s="12" t="s">
        <v>742</v>
      </c>
      <c r="AI63" s="12">
        <v>1</v>
      </c>
      <c r="AJ63" s="12">
        <v>1</v>
      </c>
      <c r="AK63" s="12">
        <v>1</v>
      </c>
      <c r="AL63" s="12">
        <v>1</v>
      </c>
      <c r="AM63" s="17" t="s">
        <v>793</v>
      </c>
      <c r="AN63" s="12">
        <v>14</v>
      </c>
      <c r="AO63" s="12">
        <v>25.7</v>
      </c>
      <c r="AP63" s="12">
        <v>33.5</v>
      </c>
      <c r="AQ63" s="12">
        <v>17.899999999999999</v>
      </c>
      <c r="AR63" s="12">
        <v>1</v>
      </c>
      <c r="AS6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3" s="6" t="s">
        <v>883</v>
      </c>
      <c r="BS63" s="27" t="s">
        <v>388</v>
      </c>
    </row>
    <row r="64" spans="1:71" ht="52.2" x14ac:dyDescent="0.3">
      <c r="A64" s="26" t="s">
        <v>85</v>
      </c>
      <c r="B64" s="14" t="s">
        <v>881</v>
      </c>
      <c r="C64" s="14" t="s">
        <v>549</v>
      </c>
      <c r="D64" s="14" t="s">
        <v>84</v>
      </c>
      <c r="E64" s="14" t="s">
        <v>739</v>
      </c>
      <c r="F64" s="14" t="s">
        <v>740</v>
      </c>
      <c r="G64" s="15" t="s">
        <v>0</v>
      </c>
      <c r="H64" s="16">
        <v>1</v>
      </c>
      <c r="I64" s="16" t="s">
        <v>381</v>
      </c>
      <c r="J64" s="16"/>
      <c r="K64" s="16"/>
      <c r="L64" s="16"/>
      <c r="M64" s="16"/>
      <c r="N64" s="16"/>
      <c r="O64" s="16"/>
      <c r="P64" s="16"/>
      <c r="Q64" s="16" t="s">
        <v>537</v>
      </c>
      <c r="R64" s="16"/>
      <c r="S64" s="16">
        <v>1</v>
      </c>
      <c r="T64" s="16"/>
      <c r="U64" s="16"/>
      <c r="V64" s="18" t="s">
        <v>535</v>
      </c>
      <c r="W64" s="16">
        <v>50</v>
      </c>
      <c r="X64" s="16"/>
      <c r="Y64" s="18" t="s">
        <v>550</v>
      </c>
      <c r="Z64" s="16"/>
      <c r="AA64" s="18" t="s">
        <v>386</v>
      </c>
      <c r="AB64" s="16"/>
      <c r="AC64" s="16"/>
      <c r="AD64" s="16"/>
      <c r="AE64" s="16" t="s">
        <v>385</v>
      </c>
      <c r="AF64" s="16" t="s">
        <v>884</v>
      </c>
      <c r="AG64" s="16">
        <v>6</v>
      </c>
      <c r="AH64" s="16" t="s">
        <v>742</v>
      </c>
      <c r="AI64" s="16">
        <v>1</v>
      </c>
      <c r="AJ64" s="16">
        <v>1</v>
      </c>
      <c r="AK64" s="16">
        <v>1</v>
      </c>
      <c r="AL64" s="16">
        <v>1</v>
      </c>
      <c r="AM64" s="18" t="s">
        <v>781</v>
      </c>
      <c r="AN64" s="16">
        <v>13.5</v>
      </c>
      <c r="AO64" s="16">
        <v>25.8</v>
      </c>
      <c r="AP64" s="16"/>
      <c r="AQ64" s="16">
        <v>18</v>
      </c>
      <c r="AR64" s="16">
        <v>1</v>
      </c>
      <c r="AS6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4" s="6" t="s">
        <v>885</v>
      </c>
      <c r="BS64" s="27" t="s">
        <v>886</v>
      </c>
    </row>
    <row r="65" spans="1:71" ht="52.2" x14ac:dyDescent="0.3">
      <c r="A65" s="4" t="s">
        <v>88</v>
      </c>
      <c r="B65" s="5" t="s">
        <v>553</v>
      </c>
      <c r="C65" s="5" t="s">
        <v>441</v>
      </c>
      <c r="D65" s="5" t="s">
        <v>87</v>
      </c>
      <c r="E65" s="5" t="s">
        <v>739</v>
      </c>
      <c r="F65" s="5" t="s">
        <v>789</v>
      </c>
      <c r="G65" s="6" t="s">
        <v>0</v>
      </c>
      <c r="H65" s="12">
        <v>1</v>
      </c>
      <c r="I65" s="12" t="s">
        <v>381</v>
      </c>
      <c r="J65" s="12"/>
      <c r="K65" s="12"/>
      <c r="L65" s="12"/>
      <c r="M65" s="12">
        <v>1</v>
      </c>
      <c r="N65" s="12"/>
      <c r="O65" s="12"/>
      <c r="P65" s="12"/>
      <c r="Q65" s="12"/>
      <c r="R65" s="12"/>
      <c r="S65" s="12">
        <v>1</v>
      </c>
      <c r="T65" s="12" t="s">
        <v>713</v>
      </c>
      <c r="U65" s="12"/>
      <c r="V65" s="17" t="s">
        <v>470</v>
      </c>
      <c r="W65" s="12">
        <v>242</v>
      </c>
      <c r="X65" s="12">
        <v>1</v>
      </c>
      <c r="Y65" s="17" t="s">
        <v>554</v>
      </c>
      <c r="Z65" s="12" t="s">
        <v>385</v>
      </c>
      <c r="AA65" s="17" t="s">
        <v>416</v>
      </c>
      <c r="AB65" s="12"/>
      <c r="AC65" s="12"/>
      <c r="AD65" s="12"/>
      <c r="AE65" s="12" t="s">
        <v>408</v>
      </c>
      <c r="AF65" s="12" t="s">
        <v>765</v>
      </c>
      <c r="AG65" s="12">
        <v>4</v>
      </c>
      <c r="AH65" s="12" t="s">
        <v>868</v>
      </c>
      <c r="AI65" s="12"/>
      <c r="AJ65" s="12"/>
      <c r="AK65" s="12">
        <v>1</v>
      </c>
      <c r="AL65" s="12"/>
      <c r="AM65" s="17" t="s">
        <v>868</v>
      </c>
      <c r="AN65" s="12">
        <v>8</v>
      </c>
      <c r="AO65" s="12">
        <v>17</v>
      </c>
      <c r="AP65" s="12"/>
      <c r="AQ65" s="12">
        <v>12</v>
      </c>
      <c r="AR65" s="12"/>
      <c r="AS6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5" s="6" t="s">
        <v>894</v>
      </c>
      <c r="BS65" s="27" t="s">
        <v>895</v>
      </c>
    </row>
    <row r="66" spans="1:71" s="63" customFormat="1" ht="52.2" x14ac:dyDescent="0.3">
      <c r="A66" s="56" t="s">
        <v>887</v>
      </c>
      <c r="B66" s="57" t="s">
        <v>553</v>
      </c>
      <c r="C66" s="57" t="s">
        <v>441</v>
      </c>
      <c r="D66" s="57" t="s">
        <v>87</v>
      </c>
      <c r="E66" s="57" t="s">
        <v>739</v>
      </c>
      <c r="F66" s="57" t="s">
        <v>754</v>
      </c>
      <c r="G66" s="58" t="s">
        <v>0</v>
      </c>
      <c r="H66" s="59">
        <v>1</v>
      </c>
      <c r="I66" s="59" t="s">
        <v>381</v>
      </c>
      <c r="J66" s="59"/>
      <c r="K66" s="59"/>
      <c r="L66" s="59"/>
      <c r="M66" s="59">
        <v>1</v>
      </c>
      <c r="N66" s="59"/>
      <c r="O66" s="59">
        <v>1</v>
      </c>
      <c r="P66" s="59"/>
      <c r="Q66" s="59" t="s">
        <v>537</v>
      </c>
      <c r="R66" s="59"/>
      <c r="S66" s="59">
        <v>1</v>
      </c>
      <c r="T66" s="59" t="s">
        <v>713</v>
      </c>
      <c r="U66" s="59"/>
      <c r="V66" s="60" t="s">
        <v>470</v>
      </c>
      <c r="W66" s="59">
        <v>242</v>
      </c>
      <c r="X66" s="59">
        <v>1</v>
      </c>
      <c r="Y66" s="60" t="s">
        <v>554</v>
      </c>
      <c r="Z66" s="59" t="s">
        <v>385</v>
      </c>
      <c r="AA66" s="60" t="s">
        <v>386</v>
      </c>
      <c r="AB66" s="59"/>
      <c r="AC66" s="59"/>
      <c r="AD66" s="59"/>
      <c r="AE66" s="59" t="s">
        <v>444</v>
      </c>
      <c r="AF66" s="59" t="s">
        <v>888</v>
      </c>
      <c r="AG66" s="59">
        <v>8</v>
      </c>
      <c r="AH66" s="59" t="s">
        <v>742</v>
      </c>
      <c r="AI66" s="59">
        <v>1</v>
      </c>
      <c r="AJ66" s="59">
        <v>1</v>
      </c>
      <c r="AK66" s="59">
        <v>1</v>
      </c>
      <c r="AL66" s="59"/>
      <c r="AM66" s="60" t="s">
        <v>781</v>
      </c>
      <c r="AN66" s="59">
        <v>18.5</v>
      </c>
      <c r="AO66" s="59">
        <v>35</v>
      </c>
      <c r="AP66" s="59">
        <v>42.2</v>
      </c>
      <c r="AQ66" s="59">
        <v>28</v>
      </c>
      <c r="AR66" s="59"/>
      <c r="AS66" s="61">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6" s="61">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6" s="61">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6" s="61">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6" s="61">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6" s="61">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6" s="61">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6" s="61">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6" s="61">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6" s="61">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6" s="61">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6" s="61">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6" s="61">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6" s="61">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6" s="61">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6" s="61">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6" s="61">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6" s="61">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6" s="61">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6" s="61">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6" s="61">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6" s="61">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6" s="61">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6" s="61">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6" s="61">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6" s="58" t="s">
        <v>889</v>
      </c>
      <c r="BS66" s="62" t="s">
        <v>388</v>
      </c>
    </row>
    <row r="67" spans="1:71" s="63" customFormat="1" ht="52.2" x14ac:dyDescent="0.3">
      <c r="A67" s="56" t="s">
        <v>890</v>
      </c>
      <c r="B67" s="57" t="s">
        <v>553</v>
      </c>
      <c r="C67" s="57" t="s">
        <v>441</v>
      </c>
      <c r="D67" s="57" t="s">
        <v>87</v>
      </c>
      <c r="E67" s="57" t="s">
        <v>739</v>
      </c>
      <c r="F67" s="57" t="s">
        <v>754</v>
      </c>
      <c r="G67" s="58" t="s">
        <v>0</v>
      </c>
      <c r="H67" s="59">
        <v>1</v>
      </c>
      <c r="I67" s="59" t="s">
        <v>381</v>
      </c>
      <c r="J67" s="59"/>
      <c r="K67" s="59"/>
      <c r="L67" s="59"/>
      <c r="M67" s="59">
        <v>1</v>
      </c>
      <c r="N67" s="59"/>
      <c r="O67" s="59"/>
      <c r="P67" s="59"/>
      <c r="Q67" s="59" t="s">
        <v>537</v>
      </c>
      <c r="R67" s="59"/>
      <c r="S67" s="59">
        <v>1</v>
      </c>
      <c r="T67" s="59" t="s">
        <v>713</v>
      </c>
      <c r="U67" s="59"/>
      <c r="V67" s="60" t="s">
        <v>470</v>
      </c>
      <c r="W67" s="59">
        <v>242</v>
      </c>
      <c r="X67" s="59">
        <v>1</v>
      </c>
      <c r="Y67" s="60" t="s">
        <v>554</v>
      </c>
      <c r="Z67" s="59" t="s">
        <v>385</v>
      </c>
      <c r="AA67" s="60" t="s">
        <v>386</v>
      </c>
      <c r="AB67" s="59"/>
      <c r="AC67" s="59"/>
      <c r="AD67" s="59"/>
      <c r="AE67" s="59" t="s">
        <v>399</v>
      </c>
      <c r="AF67" s="59" t="s">
        <v>891</v>
      </c>
      <c r="AG67" s="59">
        <v>9.5</v>
      </c>
      <c r="AH67" s="59"/>
      <c r="AI67" s="59"/>
      <c r="AJ67" s="59">
        <v>1</v>
      </c>
      <c r="AK67" s="59">
        <v>1</v>
      </c>
      <c r="AL67" s="59">
        <v>1</v>
      </c>
      <c r="AM67" s="60" t="s">
        <v>749</v>
      </c>
      <c r="AN67" s="59">
        <v>17</v>
      </c>
      <c r="AO67" s="59">
        <v>26.7</v>
      </c>
      <c r="AP67" s="59">
        <v>30</v>
      </c>
      <c r="AQ67" s="59">
        <v>18.399999999999999</v>
      </c>
      <c r="AR67" s="59"/>
      <c r="AS67" s="61">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7" s="61">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7" s="61">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7" s="61">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7" s="61">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7" s="61">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7" s="61">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7" s="61">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7" s="61">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7" s="61">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7" s="61">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7" s="61">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7" s="61">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7" s="61">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7" s="61">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7" s="61">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7" s="61">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7" s="61">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7" s="61">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7" s="61">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7" s="61">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7" s="61">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7" s="61">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7" s="61">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7" s="61">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7" s="58" t="s">
        <v>892</v>
      </c>
      <c r="BS67" s="62" t="s">
        <v>388</v>
      </c>
    </row>
    <row r="68" spans="1:71" s="63" customFormat="1" ht="52.2" x14ac:dyDescent="0.3">
      <c r="A68" s="56" t="s">
        <v>86</v>
      </c>
      <c r="B68" s="57" t="s">
        <v>553</v>
      </c>
      <c r="C68" s="57" t="s">
        <v>441</v>
      </c>
      <c r="D68" s="57" t="s">
        <v>87</v>
      </c>
      <c r="E68" s="57" t="s">
        <v>739</v>
      </c>
      <c r="F68" s="57" t="s">
        <v>789</v>
      </c>
      <c r="G68" s="58" t="s">
        <v>0</v>
      </c>
      <c r="H68" s="59">
        <v>1</v>
      </c>
      <c r="I68" s="59" t="s">
        <v>381</v>
      </c>
      <c r="J68" s="59"/>
      <c r="K68" s="59"/>
      <c r="L68" s="59"/>
      <c r="M68" s="59">
        <v>1</v>
      </c>
      <c r="N68" s="59"/>
      <c r="O68" s="59"/>
      <c r="P68" s="59"/>
      <c r="Q68" s="59"/>
      <c r="R68" s="59"/>
      <c r="S68" s="59">
        <v>1</v>
      </c>
      <c r="T68" s="59" t="s">
        <v>713</v>
      </c>
      <c r="U68" s="59"/>
      <c r="V68" s="60" t="s">
        <v>470</v>
      </c>
      <c r="W68" s="59">
        <v>242</v>
      </c>
      <c r="X68" s="59">
        <v>1</v>
      </c>
      <c r="Y68" s="60" t="s">
        <v>554</v>
      </c>
      <c r="Z68" s="59"/>
      <c r="AA68" s="60" t="s">
        <v>416</v>
      </c>
      <c r="AB68" s="59"/>
      <c r="AC68" s="59"/>
      <c r="AD68" s="59"/>
      <c r="AE68" s="59"/>
      <c r="AF68" s="59"/>
      <c r="AG68" s="59"/>
      <c r="AH68" s="59"/>
      <c r="AI68" s="59"/>
      <c r="AJ68" s="59"/>
      <c r="AK68" s="59"/>
      <c r="AL68" s="59"/>
      <c r="AM68" s="60"/>
      <c r="AN68" s="59"/>
      <c r="AO68" s="59"/>
      <c r="AP68" s="59"/>
      <c r="AQ68" s="59"/>
      <c r="AR68" s="59"/>
      <c r="AS68" s="61">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68" s="61">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8" s="61">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8" s="61">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8" s="61">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8" s="61">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8" s="61">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8" s="61">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8" s="61">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8" s="61">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8" s="61">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8" s="61">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8" s="61">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8" s="61">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8" s="61">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8" s="61">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8" s="61">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8" s="61">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8" s="61">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8" s="61">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8" s="61">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8" s="61">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68" s="61">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68" s="61">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8" s="61">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8" s="58" t="s">
        <v>893</v>
      </c>
      <c r="BS68" s="62" t="s">
        <v>388</v>
      </c>
    </row>
    <row r="69" spans="1:71" ht="52.2" x14ac:dyDescent="0.3">
      <c r="A69" s="4" t="s">
        <v>1045</v>
      </c>
      <c r="B69" s="5" t="s">
        <v>562</v>
      </c>
      <c r="C69" s="5" t="s">
        <v>525</v>
      </c>
      <c r="D69" s="5" t="s">
        <v>89</v>
      </c>
      <c r="E69" s="5" t="s">
        <v>739</v>
      </c>
      <c r="F69" s="5" t="s">
        <v>746</v>
      </c>
      <c r="G69" s="6" t="s">
        <v>0</v>
      </c>
      <c r="H69" s="12">
        <v>1</v>
      </c>
      <c r="I69" s="12" t="s">
        <v>381</v>
      </c>
      <c r="J69" s="12"/>
      <c r="K69" s="12">
        <v>1</v>
      </c>
      <c r="L69" s="12"/>
      <c r="M69" s="12">
        <v>1</v>
      </c>
      <c r="N69" s="12"/>
      <c r="O69" s="12"/>
      <c r="P69" s="12"/>
      <c r="Q69" s="12" t="s">
        <v>537</v>
      </c>
      <c r="R69" s="12"/>
      <c r="S69" s="12"/>
      <c r="T69" s="12"/>
      <c r="U69" s="12"/>
      <c r="V69" s="17" t="s">
        <v>563</v>
      </c>
      <c r="W69" s="12">
        <v>216</v>
      </c>
      <c r="X69" s="12">
        <v>1</v>
      </c>
      <c r="Y69" s="17" t="s">
        <v>896</v>
      </c>
      <c r="Z69" s="12" t="s">
        <v>399</v>
      </c>
      <c r="AA69" s="17" t="s">
        <v>507</v>
      </c>
      <c r="AB69" s="12"/>
      <c r="AC69" s="12"/>
      <c r="AD69" s="12"/>
      <c r="AE69" s="12" t="s">
        <v>385</v>
      </c>
      <c r="AF69" s="12" t="s">
        <v>861</v>
      </c>
      <c r="AG69" s="12">
        <v>7</v>
      </c>
      <c r="AH69" s="12" t="s">
        <v>742</v>
      </c>
      <c r="AI69" s="12">
        <v>1</v>
      </c>
      <c r="AJ69" s="12">
        <v>1</v>
      </c>
      <c r="AK69" s="12">
        <v>1</v>
      </c>
      <c r="AL69" s="12">
        <v>1</v>
      </c>
      <c r="AM69" s="17" t="s">
        <v>752</v>
      </c>
      <c r="AN69" s="12">
        <v>14</v>
      </c>
      <c r="AO69" s="12">
        <v>25</v>
      </c>
      <c r="AP69" s="12">
        <v>28</v>
      </c>
      <c r="AQ69" s="12">
        <v>18</v>
      </c>
      <c r="AR69" s="12">
        <v>1</v>
      </c>
      <c r="AS6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6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6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6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6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6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6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6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6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6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6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6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6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6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6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6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6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6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6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6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6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6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6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6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6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69" s="6" t="s">
        <v>897</v>
      </c>
      <c r="BS69" s="27" t="s">
        <v>388</v>
      </c>
    </row>
    <row r="70" spans="1:71" ht="52.2" x14ac:dyDescent="0.3">
      <c r="A70" s="26" t="s">
        <v>90</v>
      </c>
      <c r="B70" s="14" t="s">
        <v>898</v>
      </c>
      <c r="C70" s="14" t="s">
        <v>482</v>
      </c>
      <c r="D70" s="14" t="s">
        <v>91</v>
      </c>
      <c r="E70" s="14" t="s">
        <v>739</v>
      </c>
      <c r="F70" s="14" t="s">
        <v>789</v>
      </c>
      <c r="G70" s="15" t="s">
        <v>0</v>
      </c>
      <c r="H70" s="16">
        <v>1</v>
      </c>
      <c r="I70" s="16" t="s">
        <v>381</v>
      </c>
      <c r="J70" s="16"/>
      <c r="K70" s="16">
        <v>1</v>
      </c>
      <c r="L70" s="16">
        <v>1</v>
      </c>
      <c r="M70" s="16">
        <v>1</v>
      </c>
      <c r="N70" s="16"/>
      <c r="O70" s="16">
        <v>1</v>
      </c>
      <c r="P70" s="16"/>
      <c r="Q70" s="16"/>
      <c r="R70" s="16">
        <v>1</v>
      </c>
      <c r="S70" s="16"/>
      <c r="T70" s="16"/>
      <c r="U70" s="16"/>
      <c r="V70" s="18" t="s">
        <v>583</v>
      </c>
      <c r="W70" s="16">
        <v>112</v>
      </c>
      <c r="X70" s="16">
        <v>1</v>
      </c>
      <c r="Y70" s="18" t="s">
        <v>899</v>
      </c>
      <c r="Z70" s="16" t="s">
        <v>444</v>
      </c>
      <c r="AA70" s="18" t="s">
        <v>416</v>
      </c>
      <c r="AB70" s="16"/>
      <c r="AC70" s="16"/>
      <c r="AD70" s="16"/>
      <c r="AE70" s="16" t="s">
        <v>385</v>
      </c>
      <c r="AF70" s="16" t="s">
        <v>900</v>
      </c>
      <c r="AG70" s="16">
        <v>4</v>
      </c>
      <c r="AH70" s="16" t="s">
        <v>748</v>
      </c>
      <c r="AI70" s="16"/>
      <c r="AJ70" s="16"/>
      <c r="AK70" s="16">
        <v>1</v>
      </c>
      <c r="AL70" s="16"/>
      <c r="AM70" s="18" t="s">
        <v>749</v>
      </c>
      <c r="AN70" s="16">
        <v>9.5</v>
      </c>
      <c r="AO70" s="16">
        <v>19.5</v>
      </c>
      <c r="AP70" s="16">
        <v>22.7</v>
      </c>
      <c r="AQ70" s="16">
        <v>15</v>
      </c>
      <c r="AR70" s="16"/>
      <c r="AS7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0" s="6" t="s">
        <v>901</v>
      </c>
      <c r="BS70" s="27" t="s">
        <v>388</v>
      </c>
    </row>
    <row r="71" spans="1:71" ht="52.2" x14ac:dyDescent="0.3">
      <c r="A71" s="4" t="s">
        <v>92</v>
      </c>
      <c r="B71" s="5" t="s">
        <v>898</v>
      </c>
      <c r="C71" s="5" t="s">
        <v>482</v>
      </c>
      <c r="D71" s="5" t="s">
        <v>91</v>
      </c>
      <c r="E71" s="5" t="s">
        <v>739</v>
      </c>
      <c r="F71" s="5" t="s">
        <v>789</v>
      </c>
      <c r="G71" s="6" t="s">
        <v>0</v>
      </c>
      <c r="H71" s="12">
        <v>1</v>
      </c>
      <c r="I71" s="12" t="s">
        <v>381</v>
      </c>
      <c r="J71" s="12"/>
      <c r="K71" s="12">
        <v>1</v>
      </c>
      <c r="L71" s="12">
        <v>1</v>
      </c>
      <c r="M71" s="12">
        <v>1</v>
      </c>
      <c r="N71" s="12"/>
      <c r="O71" s="12">
        <v>1</v>
      </c>
      <c r="P71" s="12"/>
      <c r="Q71" s="12" t="s">
        <v>537</v>
      </c>
      <c r="R71" s="12">
        <v>1</v>
      </c>
      <c r="S71" s="12"/>
      <c r="T71" s="12"/>
      <c r="U71" s="12"/>
      <c r="V71" s="17" t="s">
        <v>583</v>
      </c>
      <c r="W71" s="12">
        <v>112</v>
      </c>
      <c r="X71" s="12">
        <v>1</v>
      </c>
      <c r="Y71" s="17" t="s">
        <v>899</v>
      </c>
      <c r="Z71" s="12" t="s">
        <v>444</v>
      </c>
      <c r="AA71" s="17" t="s">
        <v>416</v>
      </c>
      <c r="AB71" s="12"/>
      <c r="AC71" s="12"/>
      <c r="AD71" s="12"/>
      <c r="AE71" s="12" t="s">
        <v>444</v>
      </c>
      <c r="AF71" s="12" t="s">
        <v>902</v>
      </c>
      <c r="AG71" s="12">
        <v>5.5</v>
      </c>
      <c r="AH71" s="12" t="s">
        <v>748</v>
      </c>
      <c r="AI71" s="12"/>
      <c r="AJ71" s="12"/>
      <c r="AK71" s="12">
        <v>1</v>
      </c>
      <c r="AL71" s="12">
        <v>1</v>
      </c>
      <c r="AM71" s="17" t="s">
        <v>749</v>
      </c>
      <c r="AN71" s="12">
        <v>10</v>
      </c>
      <c r="AO71" s="12">
        <v>18</v>
      </c>
      <c r="AP71" s="12">
        <v>25</v>
      </c>
      <c r="AQ71" s="12">
        <v>15</v>
      </c>
      <c r="AR71" s="12"/>
      <c r="AS7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1" s="6" t="s">
        <v>903</v>
      </c>
      <c r="BS71" s="27" t="s">
        <v>388</v>
      </c>
    </row>
    <row r="72" spans="1:71" ht="52.2" x14ac:dyDescent="0.3">
      <c r="A72" s="26" t="s">
        <v>93</v>
      </c>
      <c r="B72" s="14" t="s">
        <v>570</v>
      </c>
      <c r="C72" s="14" t="s">
        <v>469</v>
      </c>
      <c r="D72" s="14" t="s">
        <v>94</v>
      </c>
      <c r="E72" s="14" t="s">
        <v>739</v>
      </c>
      <c r="F72" s="14" t="s">
        <v>746</v>
      </c>
      <c r="G72" s="15" t="s">
        <v>0</v>
      </c>
      <c r="H72" s="16">
        <v>1</v>
      </c>
      <c r="I72" s="16" t="s">
        <v>381</v>
      </c>
      <c r="J72" s="16"/>
      <c r="K72" s="16">
        <v>1</v>
      </c>
      <c r="L72" s="16"/>
      <c r="M72" s="16">
        <v>1</v>
      </c>
      <c r="N72" s="16"/>
      <c r="O72" s="16">
        <v>1</v>
      </c>
      <c r="P72" s="16"/>
      <c r="Q72" s="16" t="s">
        <v>537</v>
      </c>
      <c r="R72" s="16">
        <v>1</v>
      </c>
      <c r="S72" s="16">
        <v>1</v>
      </c>
      <c r="T72" s="16"/>
      <c r="U72" s="16"/>
      <c r="V72" s="18" t="s">
        <v>383</v>
      </c>
      <c r="W72" s="16"/>
      <c r="X72" s="16">
        <v>1</v>
      </c>
      <c r="Y72" s="18" t="s">
        <v>443</v>
      </c>
      <c r="Z72" s="16" t="s">
        <v>399</v>
      </c>
      <c r="AA72" s="18" t="s">
        <v>507</v>
      </c>
      <c r="AB72" s="16"/>
      <c r="AC72" s="16"/>
      <c r="AD72" s="16"/>
      <c r="AE72" s="16" t="s">
        <v>385</v>
      </c>
      <c r="AF72" s="16" t="s">
        <v>904</v>
      </c>
      <c r="AG72" s="16">
        <v>7</v>
      </c>
      <c r="AH72" s="16" t="s">
        <v>742</v>
      </c>
      <c r="AI72" s="16"/>
      <c r="AJ72" s="16"/>
      <c r="AK72" s="16">
        <v>1</v>
      </c>
      <c r="AL72" s="16"/>
      <c r="AM72" s="18" t="s">
        <v>752</v>
      </c>
      <c r="AN72" s="16">
        <v>14.4</v>
      </c>
      <c r="AO72" s="16">
        <v>26</v>
      </c>
      <c r="AP72" s="16"/>
      <c r="AQ72" s="16">
        <v>18.7</v>
      </c>
      <c r="AR72" s="16"/>
      <c r="AS7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2" s="6" t="s">
        <v>905</v>
      </c>
      <c r="BS72" s="27" t="s">
        <v>388</v>
      </c>
    </row>
    <row r="73" spans="1:71" ht="52.2" x14ac:dyDescent="0.3">
      <c r="A73" s="4" t="s">
        <v>95</v>
      </c>
      <c r="B73" s="5" t="s">
        <v>570</v>
      </c>
      <c r="C73" s="5" t="s">
        <v>469</v>
      </c>
      <c r="D73" s="5" t="s">
        <v>96</v>
      </c>
      <c r="E73" s="5" t="s">
        <v>739</v>
      </c>
      <c r="F73" s="5" t="s">
        <v>746</v>
      </c>
      <c r="G73" s="6" t="s">
        <v>0</v>
      </c>
      <c r="H73" s="12">
        <v>1</v>
      </c>
      <c r="I73" s="12" t="s">
        <v>381</v>
      </c>
      <c r="J73" s="12"/>
      <c r="K73" s="12">
        <v>1</v>
      </c>
      <c r="L73" s="12"/>
      <c r="M73" s="12">
        <v>1</v>
      </c>
      <c r="N73" s="12"/>
      <c r="O73" s="12"/>
      <c r="P73" s="12"/>
      <c r="Q73" s="12" t="s">
        <v>537</v>
      </c>
      <c r="R73" s="12">
        <v>1</v>
      </c>
      <c r="S73" s="12">
        <v>1</v>
      </c>
      <c r="T73" s="12"/>
      <c r="U73" s="12"/>
      <c r="V73" s="17" t="s">
        <v>383</v>
      </c>
      <c r="W73" s="12"/>
      <c r="X73" s="12">
        <v>1</v>
      </c>
      <c r="Y73" s="17" t="s">
        <v>443</v>
      </c>
      <c r="Z73" s="12" t="s">
        <v>399</v>
      </c>
      <c r="AA73" s="17" t="s">
        <v>507</v>
      </c>
      <c r="AB73" s="12"/>
      <c r="AC73" s="12"/>
      <c r="AD73" s="12"/>
      <c r="AE73" s="12" t="s">
        <v>385</v>
      </c>
      <c r="AF73" s="12" t="s">
        <v>906</v>
      </c>
      <c r="AG73" s="12">
        <v>7</v>
      </c>
      <c r="AH73" s="12" t="s">
        <v>742</v>
      </c>
      <c r="AI73" s="12"/>
      <c r="AJ73" s="12"/>
      <c r="AK73" s="12">
        <v>1</v>
      </c>
      <c r="AL73" s="12"/>
      <c r="AM73" s="17" t="s">
        <v>752</v>
      </c>
      <c r="AN73" s="12">
        <v>13.3</v>
      </c>
      <c r="AO73" s="12">
        <v>24.8</v>
      </c>
      <c r="AP73" s="12"/>
      <c r="AQ73" s="12">
        <v>17.3</v>
      </c>
      <c r="AR73" s="12"/>
      <c r="AS7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3" s="6" t="s">
        <v>907</v>
      </c>
      <c r="BS73" s="27" t="s">
        <v>388</v>
      </c>
    </row>
    <row r="74" spans="1:71" ht="52.2" x14ac:dyDescent="0.3">
      <c r="A74" s="26" t="s">
        <v>1046</v>
      </c>
      <c r="B74" s="14" t="s">
        <v>574</v>
      </c>
      <c r="C74" s="14" t="s">
        <v>512</v>
      </c>
      <c r="D74" s="14" t="s">
        <v>97</v>
      </c>
      <c r="E74" s="14" t="s">
        <v>739</v>
      </c>
      <c r="F74" s="14" t="s">
        <v>746</v>
      </c>
      <c r="G74" s="15" t="s">
        <v>0</v>
      </c>
      <c r="H74" s="16"/>
      <c r="I74" s="16" t="s">
        <v>381</v>
      </c>
      <c r="J74" s="16">
        <v>1</v>
      </c>
      <c r="K74" s="16">
        <v>1</v>
      </c>
      <c r="L74" s="16">
        <v>1</v>
      </c>
      <c r="M74" s="16">
        <v>1</v>
      </c>
      <c r="N74" s="16">
        <v>1</v>
      </c>
      <c r="O74" s="16">
        <v>1</v>
      </c>
      <c r="P74" s="16"/>
      <c r="Q74" s="16" t="s">
        <v>908</v>
      </c>
      <c r="R74" s="16"/>
      <c r="S74" s="16">
        <v>1</v>
      </c>
      <c r="T74" s="16"/>
      <c r="U74" s="16"/>
      <c r="V74" s="18" t="s">
        <v>535</v>
      </c>
      <c r="W74" s="16">
        <v>36</v>
      </c>
      <c r="X74" s="16">
        <v>1</v>
      </c>
      <c r="Y74" s="18" t="s">
        <v>576</v>
      </c>
      <c r="Z74" s="16" t="s">
        <v>385</v>
      </c>
      <c r="AA74" s="18" t="s">
        <v>507</v>
      </c>
      <c r="AB74" s="16">
        <v>1</v>
      </c>
      <c r="AC74" s="16" t="s">
        <v>770</v>
      </c>
      <c r="AD74" s="16">
        <v>73.3</v>
      </c>
      <c r="AE74" s="16" t="s">
        <v>408</v>
      </c>
      <c r="AF74" s="16" t="s">
        <v>909</v>
      </c>
      <c r="AG74" s="16">
        <v>8</v>
      </c>
      <c r="AH74" s="16" t="s">
        <v>748</v>
      </c>
      <c r="AI74" s="16">
        <v>1</v>
      </c>
      <c r="AJ74" s="16"/>
      <c r="AK74" s="16">
        <v>1</v>
      </c>
      <c r="AL74" s="16">
        <v>1</v>
      </c>
      <c r="AM74" s="18" t="s">
        <v>749</v>
      </c>
      <c r="AN74" s="16">
        <v>14</v>
      </c>
      <c r="AO74" s="16">
        <v>25.7</v>
      </c>
      <c r="AP74" s="16">
        <v>33.5</v>
      </c>
      <c r="AQ74" s="16">
        <v>17.8</v>
      </c>
      <c r="AR74" s="16">
        <v>1</v>
      </c>
      <c r="AS7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4" s="6" t="s">
        <v>910</v>
      </c>
      <c r="BS74" s="27" t="s">
        <v>388</v>
      </c>
    </row>
    <row r="75" spans="1:71" ht="52.2" x14ac:dyDescent="0.3">
      <c r="A75" s="4" t="s">
        <v>99</v>
      </c>
      <c r="B75" s="5" t="s">
        <v>574</v>
      </c>
      <c r="C75" s="5" t="s">
        <v>512</v>
      </c>
      <c r="D75" s="5" t="s">
        <v>97</v>
      </c>
      <c r="E75" s="5" t="s">
        <v>739</v>
      </c>
      <c r="F75" s="5" t="s">
        <v>746</v>
      </c>
      <c r="G75" s="6" t="s">
        <v>0</v>
      </c>
      <c r="H75" s="12">
        <v>1</v>
      </c>
      <c r="I75" s="12" t="s">
        <v>381</v>
      </c>
      <c r="J75" s="12"/>
      <c r="K75" s="12">
        <v>1</v>
      </c>
      <c r="L75" s="12">
        <v>1</v>
      </c>
      <c r="M75" s="12">
        <v>1</v>
      </c>
      <c r="N75" s="12">
        <v>1</v>
      </c>
      <c r="O75" s="12"/>
      <c r="P75" s="12"/>
      <c r="Q75" s="12" t="s">
        <v>537</v>
      </c>
      <c r="R75" s="12"/>
      <c r="S75" s="12">
        <v>1</v>
      </c>
      <c r="T75" s="12" t="s">
        <v>713</v>
      </c>
      <c r="U75" s="12"/>
      <c r="V75" s="17" t="s">
        <v>535</v>
      </c>
      <c r="W75" s="12">
        <v>36</v>
      </c>
      <c r="X75" s="12">
        <v>1</v>
      </c>
      <c r="Y75" s="17" t="s">
        <v>576</v>
      </c>
      <c r="Z75" s="12" t="s">
        <v>385</v>
      </c>
      <c r="AA75" s="17" t="s">
        <v>507</v>
      </c>
      <c r="AB75" s="12"/>
      <c r="AC75" s="12"/>
      <c r="AD75" s="12"/>
      <c r="AE75" s="12" t="s">
        <v>385</v>
      </c>
      <c r="AF75" s="12" t="s">
        <v>900</v>
      </c>
      <c r="AG75" s="12">
        <v>5.5</v>
      </c>
      <c r="AH75" s="12"/>
      <c r="AI75" s="12"/>
      <c r="AJ75" s="12">
        <v>1</v>
      </c>
      <c r="AK75" s="12">
        <v>1</v>
      </c>
      <c r="AL75" s="12"/>
      <c r="AM75" s="17" t="s">
        <v>793</v>
      </c>
      <c r="AN75" s="12">
        <v>12.7</v>
      </c>
      <c r="AO75" s="12">
        <v>22.3</v>
      </c>
      <c r="AP75" s="12"/>
      <c r="AQ75" s="12">
        <v>16.7</v>
      </c>
      <c r="AR75" s="12"/>
      <c r="AS7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5" s="6" t="s">
        <v>915</v>
      </c>
      <c r="BS75" s="27" t="s">
        <v>388</v>
      </c>
    </row>
    <row r="76" spans="1:71" ht="52.2" x14ac:dyDescent="0.3">
      <c r="A76" s="26" t="s">
        <v>98</v>
      </c>
      <c r="B76" s="14" t="s">
        <v>574</v>
      </c>
      <c r="C76" s="14" t="s">
        <v>512</v>
      </c>
      <c r="D76" s="14" t="s">
        <v>97</v>
      </c>
      <c r="E76" s="14" t="s">
        <v>739</v>
      </c>
      <c r="F76" s="14" t="s">
        <v>746</v>
      </c>
      <c r="G76" s="15" t="s">
        <v>0</v>
      </c>
      <c r="H76" s="16">
        <v>1</v>
      </c>
      <c r="I76" s="16" t="s">
        <v>381</v>
      </c>
      <c r="J76" s="16"/>
      <c r="K76" s="16">
        <v>1</v>
      </c>
      <c r="L76" s="16">
        <v>1</v>
      </c>
      <c r="M76" s="16">
        <v>1</v>
      </c>
      <c r="N76" s="16">
        <v>1</v>
      </c>
      <c r="O76" s="16">
        <v>1</v>
      </c>
      <c r="P76" s="16"/>
      <c r="Q76" s="16" t="s">
        <v>537</v>
      </c>
      <c r="R76" s="16"/>
      <c r="S76" s="16">
        <v>1</v>
      </c>
      <c r="T76" s="16" t="s">
        <v>713</v>
      </c>
      <c r="U76" s="16"/>
      <c r="V76" s="18" t="s">
        <v>535</v>
      </c>
      <c r="W76" s="16">
        <v>36</v>
      </c>
      <c r="X76" s="16">
        <v>1</v>
      </c>
      <c r="Y76" s="18" t="s">
        <v>576</v>
      </c>
      <c r="Z76" s="16" t="s">
        <v>385</v>
      </c>
      <c r="AA76" s="18" t="s">
        <v>507</v>
      </c>
      <c r="AB76" s="16">
        <v>1</v>
      </c>
      <c r="AC76" s="16" t="s">
        <v>770</v>
      </c>
      <c r="AD76" s="16">
        <v>53.2</v>
      </c>
      <c r="AE76" s="16" t="s">
        <v>444</v>
      </c>
      <c r="AF76" s="16" t="s">
        <v>911</v>
      </c>
      <c r="AG76" s="16">
        <v>9.5</v>
      </c>
      <c r="AH76" s="16" t="s">
        <v>742</v>
      </c>
      <c r="AI76" s="16">
        <v>1</v>
      </c>
      <c r="AJ76" s="16">
        <v>1</v>
      </c>
      <c r="AK76" s="16">
        <v>1</v>
      </c>
      <c r="AL76" s="16">
        <v>1</v>
      </c>
      <c r="AM76" s="18" t="s">
        <v>820</v>
      </c>
      <c r="AN76" s="16">
        <v>13.7</v>
      </c>
      <c r="AO76" s="16">
        <v>23.3</v>
      </c>
      <c r="AP76" s="16">
        <v>29.1</v>
      </c>
      <c r="AQ76" s="16">
        <v>18</v>
      </c>
      <c r="AR76" s="16">
        <v>1</v>
      </c>
      <c r="AS7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6" s="6" t="s">
        <v>912</v>
      </c>
      <c r="BS76" s="27" t="s">
        <v>388</v>
      </c>
    </row>
    <row r="77" spans="1:71" ht="52.2" x14ac:dyDescent="0.3">
      <c r="A77" s="4" t="s">
        <v>1044</v>
      </c>
      <c r="B77" s="5" t="s">
        <v>574</v>
      </c>
      <c r="C77" s="5" t="s">
        <v>512</v>
      </c>
      <c r="D77" s="5" t="s">
        <v>97</v>
      </c>
      <c r="E77" s="5" t="s">
        <v>739</v>
      </c>
      <c r="F77" s="5" t="s">
        <v>746</v>
      </c>
      <c r="G77" s="6" t="s">
        <v>0</v>
      </c>
      <c r="H77" s="12">
        <v>1</v>
      </c>
      <c r="I77" s="12" t="s">
        <v>381</v>
      </c>
      <c r="J77" s="12"/>
      <c r="K77" s="12">
        <v>1</v>
      </c>
      <c r="L77" s="12">
        <v>1</v>
      </c>
      <c r="M77" s="12">
        <v>1</v>
      </c>
      <c r="N77" s="12">
        <v>1</v>
      </c>
      <c r="O77" s="12">
        <v>1</v>
      </c>
      <c r="P77" s="12"/>
      <c r="Q77" s="12"/>
      <c r="R77" s="12"/>
      <c r="S77" s="12">
        <v>1</v>
      </c>
      <c r="T77" s="12"/>
      <c r="U77" s="12">
        <v>1</v>
      </c>
      <c r="V77" s="17" t="s">
        <v>535</v>
      </c>
      <c r="W77" s="12">
        <v>36</v>
      </c>
      <c r="X77" s="12">
        <v>1</v>
      </c>
      <c r="Y77" s="17" t="s">
        <v>576</v>
      </c>
      <c r="Z77" s="12" t="s">
        <v>385</v>
      </c>
      <c r="AA77" s="17" t="s">
        <v>507</v>
      </c>
      <c r="AB77" s="12"/>
      <c r="AC77" s="12"/>
      <c r="AD77" s="12"/>
      <c r="AE77" s="12"/>
      <c r="AF77" s="12" t="s">
        <v>829</v>
      </c>
      <c r="AG77" s="12">
        <v>9.5</v>
      </c>
      <c r="AH77" s="12" t="s">
        <v>748</v>
      </c>
      <c r="AI77" s="12">
        <v>1</v>
      </c>
      <c r="AJ77" s="12"/>
      <c r="AK77" s="12">
        <v>1</v>
      </c>
      <c r="AL77" s="12">
        <v>1</v>
      </c>
      <c r="AM77" s="17" t="s">
        <v>749</v>
      </c>
      <c r="AN77" s="12">
        <v>16</v>
      </c>
      <c r="AO77" s="12">
        <v>30.7</v>
      </c>
      <c r="AP77" s="12">
        <v>36</v>
      </c>
      <c r="AQ77" s="12">
        <v>20</v>
      </c>
      <c r="AR77" s="12"/>
      <c r="AS7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7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7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7" s="6" t="s">
        <v>913</v>
      </c>
      <c r="BS77" s="27" t="s">
        <v>914</v>
      </c>
    </row>
    <row r="78" spans="1:71" ht="52.2" x14ac:dyDescent="0.3">
      <c r="A78" s="26" t="s">
        <v>100</v>
      </c>
      <c r="B78" s="14" t="s">
        <v>574</v>
      </c>
      <c r="C78" s="14" t="s">
        <v>512</v>
      </c>
      <c r="D78" s="14" t="s">
        <v>97</v>
      </c>
      <c r="E78" s="14" t="s">
        <v>739</v>
      </c>
      <c r="F78" s="14" t="s">
        <v>746</v>
      </c>
      <c r="G78" s="15" t="s">
        <v>0</v>
      </c>
      <c r="H78" s="16">
        <v>1</v>
      </c>
      <c r="I78" s="16" t="s">
        <v>381</v>
      </c>
      <c r="J78" s="16"/>
      <c r="K78" s="16">
        <v>1</v>
      </c>
      <c r="L78" s="16">
        <v>1</v>
      </c>
      <c r="M78" s="16">
        <v>1</v>
      </c>
      <c r="N78" s="16">
        <v>1</v>
      </c>
      <c r="O78" s="16">
        <v>1</v>
      </c>
      <c r="P78" s="16"/>
      <c r="Q78" s="16" t="s">
        <v>537</v>
      </c>
      <c r="R78" s="16"/>
      <c r="S78" s="16">
        <v>1</v>
      </c>
      <c r="T78" s="16"/>
      <c r="U78" s="16"/>
      <c r="V78" s="18" t="s">
        <v>535</v>
      </c>
      <c r="W78" s="16">
        <v>36</v>
      </c>
      <c r="X78" s="16">
        <v>1</v>
      </c>
      <c r="Y78" s="18" t="s">
        <v>576</v>
      </c>
      <c r="Z78" s="16" t="s">
        <v>385</v>
      </c>
      <c r="AA78" s="18" t="s">
        <v>507</v>
      </c>
      <c r="AB78" s="16"/>
      <c r="AC78" s="16"/>
      <c r="AD78" s="16"/>
      <c r="AE78" s="16" t="s">
        <v>385</v>
      </c>
      <c r="AF78" s="16" t="s">
        <v>780</v>
      </c>
      <c r="AG78" s="16">
        <v>4</v>
      </c>
      <c r="AH78" s="16" t="s">
        <v>742</v>
      </c>
      <c r="AI78" s="16">
        <v>1</v>
      </c>
      <c r="AJ78" s="16"/>
      <c r="AK78" s="16">
        <v>1</v>
      </c>
      <c r="AL78" s="16"/>
      <c r="AM78" s="18" t="s">
        <v>793</v>
      </c>
      <c r="AN78" s="16">
        <v>12.3</v>
      </c>
      <c r="AO78" s="16">
        <v>24.5</v>
      </c>
      <c r="AP78" s="16"/>
      <c r="AQ78" s="16">
        <v>18.3</v>
      </c>
      <c r="AR78" s="16"/>
      <c r="AS7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1</v>
      </c>
      <c r="BA7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1</v>
      </c>
      <c r="BE7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8" s="6" t="s">
        <v>916</v>
      </c>
      <c r="BS78" s="27" t="s">
        <v>388</v>
      </c>
    </row>
    <row r="79" spans="1:71" ht="52.2" x14ac:dyDescent="0.3">
      <c r="A79" s="4" t="s">
        <v>100</v>
      </c>
      <c r="B79" s="5" t="s">
        <v>574</v>
      </c>
      <c r="C79" s="5" t="s">
        <v>512</v>
      </c>
      <c r="D79" s="5" t="s">
        <v>97</v>
      </c>
      <c r="E79" s="5" t="s">
        <v>739</v>
      </c>
      <c r="F79" s="5" t="s">
        <v>746</v>
      </c>
      <c r="G79" s="6" t="s">
        <v>0</v>
      </c>
      <c r="H79" s="12">
        <v>1</v>
      </c>
      <c r="I79" s="12" t="s">
        <v>381</v>
      </c>
      <c r="J79" s="12"/>
      <c r="K79" s="12">
        <v>1</v>
      </c>
      <c r="L79" s="12">
        <v>1</v>
      </c>
      <c r="M79" s="12">
        <v>1</v>
      </c>
      <c r="N79" s="12">
        <v>1</v>
      </c>
      <c r="O79" s="12">
        <v>1</v>
      </c>
      <c r="P79" s="12"/>
      <c r="Q79" s="12" t="s">
        <v>537</v>
      </c>
      <c r="R79" s="12"/>
      <c r="S79" s="12">
        <v>1</v>
      </c>
      <c r="T79" s="12" t="s">
        <v>713</v>
      </c>
      <c r="U79" s="12"/>
      <c r="V79" s="17" t="s">
        <v>535</v>
      </c>
      <c r="W79" s="12">
        <v>36</v>
      </c>
      <c r="X79" s="12">
        <v>1</v>
      </c>
      <c r="Y79" s="17" t="s">
        <v>576</v>
      </c>
      <c r="Z79" s="12" t="s">
        <v>385</v>
      </c>
      <c r="AA79" s="17" t="s">
        <v>507</v>
      </c>
      <c r="AB79" s="12"/>
      <c r="AC79" s="12"/>
      <c r="AD79" s="12"/>
      <c r="AE79" s="12" t="s">
        <v>385</v>
      </c>
      <c r="AF79" s="12" t="s">
        <v>780</v>
      </c>
      <c r="AG79" s="12">
        <v>4</v>
      </c>
      <c r="AH79" s="12" t="s">
        <v>742</v>
      </c>
      <c r="AI79" s="12">
        <v>1</v>
      </c>
      <c r="AJ79" s="12"/>
      <c r="AK79" s="12">
        <v>1</v>
      </c>
      <c r="AL79" s="12"/>
      <c r="AM79" s="17" t="s">
        <v>793</v>
      </c>
      <c r="AN79" s="12">
        <v>12.3</v>
      </c>
      <c r="AO79" s="12">
        <v>24.5</v>
      </c>
      <c r="AP79" s="12"/>
      <c r="AQ79" s="12">
        <v>18.3</v>
      </c>
      <c r="AR79" s="12"/>
      <c r="AS7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7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7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7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7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7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7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7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1</v>
      </c>
      <c r="BA7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7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7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7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1</v>
      </c>
      <c r="BE7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7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7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7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7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7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7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7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7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7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7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7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7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79" s="6" t="s">
        <v>916</v>
      </c>
      <c r="BS79" s="27" t="s">
        <v>388</v>
      </c>
    </row>
    <row r="80" spans="1:71" ht="52.2" x14ac:dyDescent="0.3">
      <c r="A80" s="26" t="s">
        <v>101</v>
      </c>
      <c r="B80" s="14" t="s">
        <v>582</v>
      </c>
      <c r="C80" s="14" t="s">
        <v>406</v>
      </c>
      <c r="D80" s="14" t="s">
        <v>102</v>
      </c>
      <c r="E80" s="14" t="s">
        <v>739</v>
      </c>
      <c r="F80" s="14" t="s">
        <v>746</v>
      </c>
      <c r="G80" s="15" t="s">
        <v>0</v>
      </c>
      <c r="H80" s="16">
        <v>1</v>
      </c>
      <c r="I80" s="16" t="s">
        <v>381</v>
      </c>
      <c r="J80" s="16"/>
      <c r="K80" s="16">
        <v>1</v>
      </c>
      <c r="L80" s="16"/>
      <c r="M80" s="16">
        <v>1</v>
      </c>
      <c r="N80" s="16"/>
      <c r="O80" s="16">
        <v>1</v>
      </c>
      <c r="P80" s="16">
        <v>1</v>
      </c>
      <c r="Q80" s="16" t="s">
        <v>917</v>
      </c>
      <c r="R80" s="16">
        <v>1</v>
      </c>
      <c r="S80" s="16">
        <v>1</v>
      </c>
      <c r="T80" s="16" t="s">
        <v>713</v>
      </c>
      <c r="U80" s="16"/>
      <c r="V80" s="18" t="s">
        <v>583</v>
      </c>
      <c r="W80" s="16">
        <v>30</v>
      </c>
      <c r="X80" s="16">
        <v>1</v>
      </c>
      <c r="Y80" s="18"/>
      <c r="Z80" s="16" t="s">
        <v>385</v>
      </c>
      <c r="AA80" s="18" t="s">
        <v>507</v>
      </c>
      <c r="AB80" s="16">
        <v>1</v>
      </c>
      <c r="AC80" s="16" t="s">
        <v>770</v>
      </c>
      <c r="AD80" s="16">
        <v>60.2</v>
      </c>
      <c r="AE80" s="16" t="s">
        <v>385</v>
      </c>
      <c r="AF80" s="16" t="s">
        <v>918</v>
      </c>
      <c r="AG80" s="16">
        <v>7.5</v>
      </c>
      <c r="AH80" s="16" t="s">
        <v>742</v>
      </c>
      <c r="AI80" s="16">
        <v>1</v>
      </c>
      <c r="AJ80" s="16">
        <v>1</v>
      </c>
      <c r="AK80" s="16">
        <v>1</v>
      </c>
      <c r="AL80" s="16">
        <v>1</v>
      </c>
      <c r="AM80" s="18" t="s">
        <v>820</v>
      </c>
      <c r="AN80" s="16">
        <v>14</v>
      </c>
      <c r="AO80" s="16">
        <v>25.5</v>
      </c>
      <c r="AP80" s="16">
        <v>29.5</v>
      </c>
      <c r="AQ80" s="16">
        <v>18</v>
      </c>
      <c r="AR80" s="16">
        <v>1</v>
      </c>
      <c r="AS8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8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8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8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0" s="6" t="s">
        <v>919</v>
      </c>
      <c r="BS80" s="27" t="s">
        <v>920</v>
      </c>
    </row>
    <row r="81" spans="1:71" ht="52.2" x14ac:dyDescent="0.3">
      <c r="A81" s="4" t="s">
        <v>103</v>
      </c>
      <c r="B81" s="5" t="s">
        <v>582</v>
      </c>
      <c r="C81" s="5" t="s">
        <v>406</v>
      </c>
      <c r="D81" s="5" t="s">
        <v>102</v>
      </c>
      <c r="E81" s="5" t="s">
        <v>739</v>
      </c>
      <c r="F81" s="5" t="s">
        <v>746</v>
      </c>
      <c r="G81" s="6" t="s">
        <v>0</v>
      </c>
      <c r="H81" s="12">
        <v>1</v>
      </c>
      <c r="I81" s="12" t="s">
        <v>381</v>
      </c>
      <c r="J81" s="12"/>
      <c r="K81" s="12">
        <v>1</v>
      </c>
      <c r="L81" s="12"/>
      <c r="M81" s="12">
        <v>1</v>
      </c>
      <c r="N81" s="12"/>
      <c r="O81" s="12">
        <v>1</v>
      </c>
      <c r="P81" s="12">
        <v>1</v>
      </c>
      <c r="Q81" s="12" t="s">
        <v>537</v>
      </c>
      <c r="R81" s="12">
        <v>1</v>
      </c>
      <c r="S81" s="12">
        <v>1</v>
      </c>
      <c r="T81" s="12" t="s">
        <v>713</v>
      </c>
      <c r="U81" s="12"/>
      <c r="V81" s="17" t="s">
        <v>583</v>
      </c>
      <c r="W81" s="12">
        <v>30</v>
      </c>
      <c r="X81" s="12">
        <v>1</v>
      </c>
      <c r="Y81" s="17" t="s">
        <v>921</v>
      </c>
      <c r="Z81" s="12" t="s">
        <v>385</v>
      </c>
      <c r="AA81" s="17" t="s">
        <v>507</v>
      </c>
      <c r="AB81" s="12">
        <v>1</v>
      </c>
      <c r="AC81" s="12" t="s">
        <v>770</v>
      </c>
      <c r="AD81" s="12">
        <v>51.2</v>
      </c>
      <c r="AE81" s="12" t="s">
        <v>399</v>
      </c>
      <c r="AF81" s="12" t="s">
        <v>922</v>
      </c>
      <c r="AG81" s="12">
        <v>7.5</v>
      </c>
      <c r="AH81" s="12" t="s">
        <v>742</v>
      </c>
      <c r="AI81" s="12">
        <v>1</v>
      </c>
      <c r="AJ81" s="12">
        <v>1</v>
      </c>
      <c r="AK81" s="12">
        <v>1</v>
      </c>
      <c r="AL81" s="12">
        <v>1</v>
      </c>
      <c r="AM81" s="17" t="s">
        <v>820</v>
      </c>
      <c r="AN81" s="12">
        <v>14</v>
      </c>
      <c r="AO81" s="12">
        <v>25.7</v>
      </c>
      <c r="AP81" s="12">
        <v>29</v>
      </c>
      <c r="AQ81" s="12">
        <v>18</v>
      </c>
      <c r="AR81" s="12">
        <v>1</v>
      </c>
      <c r="AS8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8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8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8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1" s="6" t="s">
        <v>923</v>
      </c>
      <c r="BS81" s="27" t="s">
        <v>920</v>
      </c>
    </row>
    <row r="82" spans="1:71" ht="52.2" x14ac:dyDescent="0.3">
      <c r="A82" s="26" t="s">
        <v>104</v>
      </c>
      <c r="B82" s="14" t="s">
        <v>582</v>
      </c>
      <c r="C82" s="14" t="s">
        <v>406</v>
      </c>
      <c r="D82" s="14" t="s">
        <v>102</v>
      </c>
      <c r="E82" s="14" t="s">
        <v>769</v>
      </c>
      <c r="F82" s="14" t="s">
        <v>789</v>
      </c>
      <c r="G82" s="15" t="s">
        <v>0</v>
      </c>
      <c r="H82" s="16"/>
      <c r="I82" s="16" t="s">
        <v>381</v>
      </c>
      <c r="J82" s="16"/>
      <c r="K82" s="16">
        <v>1</v>
      </c>
      <c r="L82" s="16"/>
      <c r="M82" s="16">
        <v>1</v>
      </c>
      <c r="N82" s="16"/>
      <c r="O82" s="16"/>
      <c r="P82" s="16"/>
      <c r="Q82" s="16"/>
      <c r="R82" s="16">
        <v>1</v>
      </c>
      <c r="S82" s="16">
        <v>1</v>
      </c>
      <c r="T82" s="16" t="s">
        <v>713</v>
      </c>
      <c r="U82" s="16"/>
      <c r="V82" s="18" t="s">
        <v>583</v>
      </c>
      <c r="W82" s="16">
        <v>30</v>
      </c>
      <c r="X82" s="16">
        <v>1</v>
      </c>
      <c r="Y82" s="18"/>
      <c r="Z82" s="16" t="s">
        <v>385</v>
      </c>
      <c r="AA82" s="18" t="s">
        <v>416</v>
      </c>
      <c r="AB82" s="16"/>
      <c r="AC82" s="16"/>
      <c r="AD82" s="16"/>
      <c r="AE82" s="16" t="s">
        <v>444</v>
      </c>
      <c r="AF82" s="16" t="s">
        <v>900</v>
      </c>
      <c r="AG82" s="16">
        <v>1.5</v>
      </c>
      <c r="AH82" s="16" t="s">
        <v>748</v>
      </c>
      <c r="AI82" s="16"/>
      <c r="AJ82" s="16"/>
      <c r="AK82" s="16">
        <v>1</v>
      </c>
      <c r="AL82" s="16"/>
      <c r="AM82" s="18" t="s">
        <v>749</v>
      </c>
      <c r="AN82" s="16">
        <v>8</v>
      </c>
      <c r="AO82" s="16">
        <v>16.2</v>
      </c>
      <c r="AP82" s="16">
        <v>20</v>
      </c>
      <c r="AQ82" s="16">
        <v>11.5</v>
      </c>
      <c r="AR82" s="16"/>
      <c r="AS8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2" s="6" t="s">
        <v>924</v>
      </c>
      <c r="BS82" s="27" t="s">
        <v>388</v>
      </c>
    </row>
    <row r="83" spans="1:71" ht="52.2" x14ac:dyDescent="0.3">
      <c r="A83" s="4" t="s">
        <v>105</v>
      </c>
      <c r="B83" s="5" t="s">
        <v>586</v>
      </c>
      <c r="C83" s="5" t="s">
        <v>512</v>
      </c>
      <c r="D83" s="5" t="s">
        <v>106</v>
      </c>
      <c r="E83" s="5" t="s">
        <v>739</v>
      </c>
      <c r="F83" s="5" t="s">
        <v>740</v>
      </c>
      <c r="G83" s="6" t="s">
        <v>0</v>
      </c>
      <c r="H83" s="12">
        <v>1</v>
      </c>
      <c r="I83" s="12" t="s">
        <v>381</v>
      </c>
      <c r="J83" s="12"/>
      <c r="K83" s="12">
        <v>1</v>
      </c>
      <c r="L83" s="12"/>
      <c r="M83" s="12">
        <v>1</v>
      </c>
      <c r="N83" s="12"/>
      <c r="O83" s="12"/>
      <c r="P83" s="12"/>
      <c r="Q83" s="12"/>
      <c r="R83" s="12">
        <v>1</v>
      </c>
      <c r="S83" s="12">
        <v>1</v>
      </c>
      <c r="T83" s="12"/>
      <c r="U83" s="12"/>
      <c r="V83" s="17" t="s">
        <v>587</v>
      </c>
      <c r="W83" s="12">
        <v>15</v>
      </c>
      <c r="X83" s="12">
        <v>1</v>
      </c>
      <c r="Y83" s="17" t="s">
        <v>588</v>
      </c>
      <c r="Z83" s="12" t="s">
        <v>444</v>
      </c>
      <c r="AA83" s="17" t="s">
        <v>386</v>
      </c>
      <c r="AB83" s="12"/>
      <c r="AC83" s="12"/>
      <c r="AD83" s="12"/>
      <c r="AE83" s="12" t="s">
        <v>444</v>
      </c>
      <c r="AF83" s="12" t="s">
        <v>925</v>
      </c>
      <c r="AG83" s="12">
        <v>5.5</v>
      </c>
      <c r="AH83" s="12" t="s">
        <v>926</v>
      </c>
      <c r="AI83" s="12"/>
      <c r="AJ83" s="12"/>
      <c r="AK83" s="12">
        <v>1</v>
      </c>
      <c r="AL83" s="12">
        <v>1</v>
      </c>
      <c r="AM83" s="17" t="s">
        <v>766</v>
      </c>
      <c r="AN83" s="12"/>
      <c r="AO83" s="12"/>
      <c r="AP83" s="12"/>
      <c r="AQ83" s="12"/>
      <c r="AR83" s="12"/>
      <c r="AS8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3" s="6" t="s">
        <v>927</v>
      </c>
      <c r="BS83" s="27" t="s">
        <v>388</v>
      </c>
    </row>
    <row r="84" spans="1:71" ht="52.2" x14ac:dyDescent="0.3">
      <c r="A84" s="26" t="s">
        <v>107</v>
      </c>
      <c r="B84" s="14" t="s">
        <v>586</v>
      </c>
      <c r="C84" s="14" t="s">
        <v>512</v>
      </c>
      <c r="D84" s="14" t="s">
        <v>106</v>
      </c>
      <c r="E84" s="14" t="s">
        <v>739</v>
      </c>
      <c r="F84" s="14" t="s">
        <v>740</v>
      </c>
      <c r="G84" s="15" t="s">
        <v>0</v>
      </c>
      <c r="H84" s="16">
        <v>1</v>
      </c>
      <c r="I84" s="16" t="s">
        <v>381</v>
      </c>
      <c r="J84" s="16"/>
      <c r="K84" s="16">
        <v>1</v>
      </c>
      <c r="L84" s="16"/>
      <c r="M84" s="16">
        <v>1</v>
      </c>
      <c r="N84" s="16"/>
      <c r="O84" s="16"/>
      <c r="P84" s="16"/>
      <c r="Q84" s="16"/>
      <c r="R84" s="16">
        <v>1</v>
      </c>
      <c r="S84" s="16">
        <v>1</v>
      </c>
      <c r="T84" s="16"/>
      <c r="U84" s="16"/>
      <c r="V84" s="18" t="s">
        <v>587</v>
      </c>
      <c r="W84" s="16">
        <v>15</v>
      </c>
      <c r="X84" s="16">
        <v>1</v>
      </c>
      <c r="Y84" s="18" t="s">
        <v>588</v>
      </c>
      <c r="Z84" s="16" t="s">
        <v>444</v>
      </c>
      <c r="AA84" s="18" t="s">
        <v>386</v>
      </c>
      <c r="AB84" s="16"/>
      <c r="AC84" s="16"/>
      <c r="AD84" s="16"/>
      <c r="AE84" s="16" t="s">
        <v>385</v>
      </c>
      <c r="AF84" s="16" t="s">
        <v>928</v>
      </c>
      <c r="AG84" s="16">
        <v>7.5</v>
      </c>
      <c r="AH84" s="16" t="s">
        <v>926</v>
      </c>
      <c r="AI84" s="16"/>
      <c r="AJ84" s="16"/>
      <c r="AK84" s="16">
        <v>1</v>
      </c>
      <c r="AL84" s="16"/>
      <c r="AM84" s="18" t="s">
        <v>766</v>
      </c>
      <c r="AN84" s="16"/>
      <c r="AO84" s="16"/>
      <c r="AP84" s="16"/>
      <c r="AQ84" s="16"/>
      <c r="AR84" s="16"/>
      <c r="AS8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4" s="6" t="s">
        <v>929</v>
      </c>
      <c r="BS84" s="27" t="s">
        <v>388</v>
      </c>
    </row>
    <row r="85" spans="1:71" ht="52.2" x14ac:dyDescent="0.3">
      <c r="A85" s="4" t="s">
        <v>110</v>
      </c>
      <c r="B85" s="5" t="s">
        <v>590</v>
      </c>
      <c r="C85" s="5" t="s">
        <v>466</v>
      </c>
      <c r="D85" s="5" t="s">
        <v>109</v>
      </c>
      <c r="E85" s="5" t="s">
        <v>739</v>
      </c>
      <c r="F85" s="5" t="s">
        <v>754</v>
      </c>
      <c r="G85" s="6" t="s">
        <v>0</v>
      </c>
      <c r="H85" s="12">
        <v>1</v>
      </c>
      <c r="I85" s="12" t="s">
        <v>381</v>
      </c>
      <c r="J85" s="12"/>
      <c r="K85" s="12">
        <v>1</v>
      </c>
      <c r="L85" s="12"/>
      <c r="M85" s="12"/>
      <c r="N85" s="12"/>
      <c r="O85" s="12"/>
      <c r="P85" s="12"/>
      <c r="Q85" s="12"/>
      <c r="R85" s="12">
        <v>1</v>
      </c>
      <c r="S85" s="12"/>
      <c r="T85" s="12" t="s">
        <v>711</v>
      </c>
      <c r="U85" s="12"/>
      <c r="V85" s="17" t="s">
        <v>383</v>
      </c>
      <c r="W85" s="12"/>
      <c r="X85" s="12">
        <v>1</v>
      </c>
      <c r="Y85" s="17"/>
      <c r="Z85" s="12" t="s">
        <v>399</v>
      </c>
      <c r="AA85" s="17" t="s">
        <v>386</v>
      </c>
      <c r="AB85" s="12"/>
      <c r="AC85" s="12"/>
      <c r="AD85" s="12"/>
      <c r="AE85" s="12" t="s">
        <v>399</v>
      </c>
      <c r="AF85" s="12" t="s">
        <v>933</v>
      </c>
      <c r="AG85" s="12">
        <v>11.5</v>
      </c>
      <c r="AH85" s="12" t="s">
        <v>748</v>
      </c>
      <c r="AI85" s="12"/>
      <c r="AJ85" s="12"/>
      <c r="AK85" s="12">
        <v>1</v>
      </c>
      <c r="AL85" s="12">
        <v>1</v>
      </c>
      <c r="AM85" s="17" t="s">
        <v>749</v>
      </c>
      <c r="AN85" s="12">
        <v>14.6</v>
      </c>
      <c r="AO85" s="12">
        <v>28.9</v>
      </c>
      <c r="AP85" s="12">
        <v>33.200000000000003</v>
      </c>
      <c r="AQ85" s="12">
        <v>19.8</v>
      </c>
      <c r="AR85" s="12"/>
      <c r="AS8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5" s="6" t="s">
        <v>934</v>
      </c>
      <c r="BS85" s="27" t="s">
        <v>388</v>
      </c>
    </row>
    <row r="86" spans="1:71" ht="52.2" x14ac:dyDescent="0.3">
      <c r="A86" s="26" t="s">
        <v>108</v>
      </c>
      <c r="B86" s="14" t="s">
        <v>590</v>
      </c>
      <c r="C86" s="14" t="s">
        <v>466</v>
      </c>
      <c r="D86" s="14" t="s">
        <v>109</v>
      </c>
      <c r="E86" s="14" t="s">
        <v>930</v>
      </c>
      <c r="F86" s="14" t="s">
        <v>740</v>
      </c>
      <c r="G86" s="15" t="s">
        <v>0</v>
      </c>
      <c r="H86" s="16">
        <v>1</v>
      </c>
      <c r="I86" s="16" t="s">
        <v>381</v>
      </c>
      <c r="J86" s="16"/>
      <c r="K86" s="16">
        <v>1</v>
      </c>
      <c r="L86" s="16"/>
      <c r="M86" s="16"/>
      <c r="N86" s="16"/>
      <c r="O86" s="16"/>
      <c r="P86" s="16"/>
      <c r="Q86" s="16"/>
      <c r="R86" s="16"/>
      <c r="S86" s="16">
        <v>1</v>
      </c>
      <c r="T86" s="16"/>
      <c r="U86" s="16"/>
      <c r="V86" s="18" t="s">
        <v>383</v>
      </c>
      <c r="W86" s="16"/>
      <c r="X86" s="16">
        <v>1</v>
      </c>
      <c r="Y86" s="18"/>
      <c r="Z86" s="16" t="s">
        <v>399</v>
      </c>
      <c r="AA86" s="18" t="s">
        <v>386</v>
      </c>
      <c r="AB86" s="16"/>
      <c r="AC86" s="16"/>
      <c r="AD86" s="16"/>
      <c r="AE86" s="16" t="s">
        <v>399</v>
      </c>
      <c r="AF86" s="16" t="s">
        <v>931</v>
      </c>
      <c r="AG86" s="16">
        <v>11.5</v>
      </c>
      <c r="AH86" s="16" t="s">
        <v>748</v>
      </c>
      <c r="AI86" s="16"/>
      <c r="AJ86" s="16"/>
      <c r="AK86" s="16">
        <v>1</v>
      </c>
      <c r="AL86" s="16">
        <v>1</v>
      </c>
      <c r="AM86" s="18" t="s">
        <v>749</v>
      </c>
      <c r="AN86" s="16">
        <v>15.5</v>
      </c>
      <c r="AO86" s="16">
        <v>25.5</v>
      </c>
      <c r="AP86" s="16">
        <v>31.5</v>
      </c>
      <c r="AQ86" s="16">
        <v>19.5</v>
      </c>
      <c r="AR86" s="16"/>
      <c r="AS8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6" s="6" t="s">
        <v>932</v>
      </c>
      <c r="BS86" s="27" t="s">
        <v>388</v>
      </c>
    </row>
    <row r="87" spans="1:71" ht="52.2" x14ac:dyDescent="0.3">
      <c r="A87" s="4" t="s">
        <v>111</v>
      </c>
      <c r="B87" s="5" t="s">
        <v>590</v>
      </c>
      <c r="C87" s="5" t="s">
        <v>466</v>
      </c>
      <c r="D87" s="5" t="s">
        <v>109</v>
      </c>
      <c r="E87" s="5" t="s">
        <v>739</v>
      </c>
      <c r="F87" s="5" t="s">
        <v>754</v>
      </c>
      <c r="G87" s="6" t="s">
        <v>0</v>
      </c>
      <c r="H87" s="12">
        <v>1</v>
      </c>
      <c r="I87" s="12" t="s">
        <v>381</v>
      </c>
      <c r="J87" s="12"/>
      <c r="K87" s="12">
        <v>1</v>
      </c>
      <c r="L87" s="12"/>
      <c r="M87" s="12"/>
      <c r="N87" s="12"/>
      <c r="O87" s="12"/>
      <c r="P87" s="12"/>
      <c r="Q87" s="12"/>
      <c r="R87" s="12">
        <v>1</v>
      </c>
      <c r="S87" s="12"/>
      <c r="T87" s="12" t="s">
        <v>711</v>
      </c>
      <c r="U87" s="12"/>
      <c r="V87" s="17" t="s">
        <v>383</v>
      </c>
      <c r="W87" s="12"/>
      <c r="X87" s="12">
        <v>1</v>
      </c>
      <c r="Y87" s="17"/>
      <c r="Z87" s="12" t="s">
        <v>399</v>
      </c>
      <c r="AA87" s="17" t="s">
        <v>386</v>
      </c>
      <c r="AB87" s="12"/>
      <c r="AC87" s="12"/>
      <c r="AD87" s="12"/>
      <c r="AE87" s="12" t="s">
        <v>399</v>
      </c>
      <c r="AF87" s="12" t="s">
        <v>935</v>
      </c>
      <c r="AG87" s="12">
        <v>11.5</v>
      </c>
      <c r="AH87" s="12" t="s">
        <v>748</v>
      </c>
      <c r="AI87" s="12"/>
      <c r="AJ87" s="12"/>
      <c r="AK87" s="12">
        <v>1</v>
      </c>
      <c r="AL87" s="12">
        <v>1</v>
      </c>
      <c r="AM87" s="17" t="s">
        <v>749</v>
      </c>
      <c r="AN87" s="12">
        <v>13</v>
      </c>
      <c r="AO87" s="12">
        <v>23.4</v>
      </c>
      <c r="AP87" s="12">
        <v>31</v>
      </c>
      <c r="AQ87" s="12">
        <v>19</v>
      </c>
      <c r="AR87" s="12"/>
      <c r="AS8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7" s="6" t="s">
        <v>936</v>
      </c>
      <c r="BS87" s="27" t="s">
        <v>388</v>
      </c>
    </row>
    <row r="88" spans="1:71" ht="52.2" x14ac:dyDescent="0.3">
      <c r="A88" s="26" t="s">
        <v>112</v>
      </c>
      <c r="B88" s="14" t="s">
        <v>590</v>
      </c>
      <c r="C88" s="14" t="s">
        <v>466</v>
      </c>
      <c r="D88" s="14" t="s">
        <v>109</v>
      </c>
      <c r="E88" s="14" t="s">
        <v>739</v>
      </c>
      <c r="F88" s="14" t="s">
        <v>754</v>
      </c>
      <c r="G88" s="15" t="s">
        <v>0</v>
      </c>
      <c r="H88" s="16">
        <v>1</v>
      </c>
      <c r="I88" s="16" t="s">
        <v>381</v>
      </c>
      <c r="J88" s="16"/>
      <c r="K88" s="16">
        <v>1</v>
      </c>
      <c r="L88" s="16"/>
      <c r="M88" s="16"/>
      <c r="N88" s="16"/>
      <c r="O88" s="16"/>
      <c r="P88" s="16"/>
      <c r="Q88" s="16"/>
      <c r="R88" s="16">
        <v>1</v>
      </c>
      <c r="S88" s="16"/>
      <c r="T88" s="16" t="s">
        <v>711</v>
      </c>
      <c r="U88" s="16"/>
      <c r="V88" s="18" t="s">
        <v>383</v>
      </c>
      <c r="W88" s="16"/>
      <c r="X88" s="16">
        <v>1</v>
      </c>
      <c r="Y88" s="18"/>
      <c r="Z88" s="16" t="s">
        <v>399</v>
      </c>
      <c r="AA88" s="18" t="s">
        <v>386</v>
      </c>
      <c r="AB88" s="16"/>
      <c r="AC88" s="16"/>
      <c r="AD88" s="16"/>
      <c r="AE88" s="16" t="s">
        <v>399</v>
      </c>
      <c r="AF88" s="16" t="s">
        <v>937</v>
      </c>
      <c r="AG88" s="16">
        <v>11.5</v>
      </c>
      <c r="AH88" s="16" t="s">
        <v>748</v>
      </c>
      <c r="AI88" s="16"/>
      <c r="AJ88" s="16"/>
      <c r="AK88" s="16">
        <v>1</v>
      </c>
      <c r="AL88" s="16">
        <v>1</v>
      </c>
      <c r="AM88" s="18" t="s">
        <v>749</v>
      </c>
      <c r="AN88" s="16">
        <v>14</v>
      </c>
      <c r="AO88" s="16">
        <v>26.5</v>
      </c>
      <c r="AP88" s="16">
        <v>31.2</v>
      </c>
      <c r="AQ88" s="16">
        <v>19.3</v>
      </c>
      <c r="AR88" s="16"/>
      <c r="AS8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8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8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8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8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8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8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8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8" s="6" t="s">
        <v>936</v>
      </c>
      <c r="BS88" s="27" t="s">
        <v>388</v>
      </c>
    </row>
    <row r="89" spans="1:71" ht="52.2" x14ac:dyDescent="0.3">
      <c r="A89" s="4" t="s">
        <v>113</v>
      </c>
      <c r="B89" s="5" t="s">
        <v>596</v>
      </c>
      <c r="C89" s="5" t="s">
        <v>418</v>
      </c>
      <c r="D89" s="5" t="s">
        <v>114</v>
      </c>
      <c r="E89" s="5" t="s">
        <v>739</v>
      </c>
      <c r="F89" s="5" t="s">
        <v>789</v>
      </c>
      <c r="G89" s="6" t="s">
        <v>0</v>
      </c>
      <c r="H89" s="12">
        <v>1</v>
      </c>
      <c r="I89" s="12" t="s">
        <v>381</v>
      </c>
      <c r="J89" s="12"/>
      <c r="K89" s="12">
        <v>1</v>
      </c>
      <c r="L89" s="12"/>
      <c r="M89" s="12">
        <v>1</v>
      </c>
      <c r="N89" s="12"/>
      <c r="O89" s="12">
        <v>1</v>
      </c>
      <c r="P89" s="12"/>
      <c r="Q89" s="12"/>
      <c r="R89" s="12">
        <v>1</v>
      </c>
      <c r="S89" s="12">
        <v>1</v>
      </c>
      <c r="T89" s="12" t="s">
        <v>713</v>
      </c>
      <c r="U89" s="12"/>
      <c r="V89" s="17" t="s">
        <v>383</v>
      </c>
      <c r="W89" s="12"/>
      <c r="X89" s="12">
        <v>1</v>
      </c>
      <c r="Y89" s="17"/>
      <c r="Z89" s="12" t="s">
        <v>385</v>
      </c>
      <c r="AA89" s="17" t="s">
        <v>416</v>
      </c>
      <c r="AB89" s="12"/>
      <c r="AC89" s="12"/>
      <c r="AD89" s="12"/>
      <c r="AE89" s="12" t="s">
        <v>444</v>
      </c>
      <c r="AF89" s="12" t="s">
        <v>938</v>
      </c>
      <c r="AG89" s="12">
        <v>4</v>
      </c>
      <c r="AH89" s="12" t="s">
        <v>742</v>
      </c>
      <c r="AI89" s="12"/>
      <c r="AJ89" s="12"/>
      <c r="AK89" s="12">
        <v>1</v>
      </c>
      <c r="AL89" s="12"/>
      <c r="AM89" s="17" t="s">
        <v>793</v>
      </c>
      <c r="AN89" s="12">
        <v>13</v>
      </c>
      <c r="AO89" s="12"/>
      <c r="AP89" s="12"/>
      <c r="AQ89" s="12">
        <v>18</v>
      </c>
      <c r="AR89" s="12"/>
      <c r="AS8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8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8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8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8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8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8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8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8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8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8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8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8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8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8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8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8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8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8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8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8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8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8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8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8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89" s="6" t="s">
        <v>939</v>
      </c>
      <c r="BS89" s="27" t="s">
        <v>388</v>
      </c>
    </row>
    <row r="90" spans="1:71" ht="52.2" x14ac:dyDescent="0.3">
      <c r="A90" s="26" t="s">
        <v>115</v>
      </c>
      <c r="B90" s="14" t="s">
        <v>596</v>
      </c>
      <c r="C90" s="14" t="s">
        <v>418</v>
      </c>
      <c r="D90" s="14" t="s">
        <v>114</v>
      </c>
      <c r="E90" s="14" t="s">
        <v>739</v>
      </c>
      <c r="F90" s="14" t="s">
        <v>789</v>
      </c>
      <c r="G90" s="15" t="s">
        <v>0</v>
      </c>
      <c r="H90" s="16">
        <v>1</v>
      </c>
      <c r="I90" s="16" t="s">
        <v>381</v>
      </c>
      <c r="J90" s="16"/>
      <c r="K90" s="16">
        <v>1</v>
      </c>
      <c r="L90" s="16"/>
      <c r="M90" s="16">
        <v>1</v>
      </c>
      <c r="N90" s="16"/>
      <c r="O90" s="16">
        <v>1</v>
      </c>
      <c r="P90" s="16">
        <v>1</v>
      </c>
      <c r="Q90" s="16" t="s">
        <v>537</v>
      </c>
      <c r="R90" s="16">
        <v>1</v>
      </c>
      <c r="S90" s="16">
        <v>1</v>
      </c>
      <c r="T90" s="16" t="s">
        <v>713</v>
      </c>
      <c r="U90" s="16"/>
      <c r="V90" s="18" t="s">
        <v>383</v>
      </c>
      <c r="W90" s="16"/>
      <c r="X90" s="16">
        <v>1</v>
      </c>
      <c r="Y90" s="18"/>
      <c r="Z90" s="16" t="s">
        <v>385</v>
      </c>
      <c r="AA90" s="18" t="s">
        <v>416</v>
      </c>
      <c r="AB90" s="16">
        <v>1</v>
      </c>
      <c r="AC90" s="16" t="s">
        <v>770</v>
      </c>
      <c r="AD90" s="16">
        <v>63</v>
      </c>
      <c r="AE90" s="16" t="s">
        <v>385</v>
      </c>
      <c r="AF90" s="16" t="s">
        <v>940</v>
      </c>
      <c r="AG90" s="16">
        <v>7.5</v>
      </c>
      <c r="AH90" s="16" t="s">
        <v>748</v>
      </c>
      <c r="AI90" s="16">
        <v>1</v>
      </c>
      <c r="AJ90" s="16">
        <v>1</v>
      </c>
      <c r="AK90" s="16">
        <v>1</v>
      </c>
      <c r="AL90" s="16">
        <v>1</v>
      </c>
      <c r="AM90" s="18" t="s">
        <v>749</v>
      </c>
      <c r="AN90" s="16">
        <v>14.5</v>
      </c>
      <c r="AO90" s="16">
        <v>26</v>
      </c>
      <c r="AP90" s="16">
        <v>33.799999999999997</v>
      </c>
      <c r="AQ90" s="16">
        <v>21</v>
      </c>
      <c r="AR90" s="16"/>
      <c r="AS9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0" s="6" t="s">
        <v>941</v>
      </c>
      <c r="BS90" s="27" t="s">
        <v>388</v>
      </c>
    </row>
    <row r="91" spans="1:71" ht="52.2" x14ac:dyDescent="0.3">
      <c r="A91" s="4" t="s">
        <v>116</v>
      </c>
      <c r="B91" s="5" t="s">
        <v>596</v>
      </c>
      <c r="C91" s="5" t="s">
        <v>418</v>
      </c>
      <c r="D91" s="5" t="s">
        <v>114</v>
      </c>
      <c r="E91" s="5" t="s">
        <v>739</v>
      </c>
      <c r="F91" s="5" t="s">
        <v>754</v>
      </c>
      <c r="G91" s="6" t="s">
        <v>0</v>
      </c>
      <c r="H91" s="12">
        <v>1</v>
      </c>
      <c r="I91" s="12" t="s">
        <v>381</v>
      </c>
      <c r="J91" s="12"/>
      <c r="K91" s="12">
        <v>1</v>
      </c>
      <c r="L91" s="12"/>
      <c r="M91" s="12">
        <v>1</v>
      </c>
      <c r="N91" s="12"/>
      <c r="O91" s="12">
        <v>1</v>
      </c>
      <c r="P91" s="12"/>
      <c r="Q91" s="12" t="s">
        <v>537</v>
      </c>
      <c r="R91" s="12">
        <v>1</v>
      </c>
      <c r="S91" s="12">
        <v>1</v>
      </c>
      <c r="T91" s="12" t="s">
        <v>713</v>
      </c>
      <c r="U91" s="12"/>
      <c r="V91" s="17" t="s">
        <v>383</v>
      </c>
      <c r="W91" s="12"/>
      <c r="X91" s="12">
        <v>1</v>
      </c>
      <c r="Y91" s="17"/>
      <c r="Z91" s="12" t="s">
        <v>385</v>
      </c>
      <c r="AA91" s="17" t="s">
        <v>386</v>
      </c>
      <c r="AB91" s="12"/>
      <c r="AC91" s="12" t="s">
        <v>770</v>
      </c>
      <c r="AD91" s="12">
        <v>90</v>
      </c>
      <c r="AE91" s="12" t="s">
        <v>385</v>
      </c>
      <c r="AF91" s="12" t="s">
        <v>942</v>
      </c>
      <c r="AG91" s="12">
        <v>9.5</v>
      </c>
      <c r="AH91" s="12" t="s">
        <v>742</v>
      </c>
      <c r="AI91" s="12">
        <v>1</v>
      </c>
      <c r="AJ91" s="12">
        <v>1</v>
      </c>
      <c r="AK91" s="12">
        <v>1</v>
      </c>
      <c r="AL91" s="12">
        <v>1</v>
      </c>
      <c r="AM91" s="17" t="s">
        <v>752</v>
      </c>
      <c r="AN91" s="12">
        <v>18.100000000000001</v>
      </c>
      <c r="AO91" s="12">
        <v>38.200000000000003</v>
      </c>
      <c r="AP91" s="12">
        <v>45.2</v>
      </c>
      <c r="AQ91" s="12">
        <v>26.6</v>
      </c>
      <c r="AR91" s="12"/>
      <c r="AS9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1" s="6" t="s">
        <v>943</v>
      </c>
      <c r="BS91" s="27" t="s">
        <v>388</v>
      </c>
    </row>
    <row r="92" spans="1:71" ht="52.2" x14ac:dyDescent="0.3">
      <c r="A92" s="26" t="s">
        <v>117</v>
      </c>
      <c r="B92" s="14" t="s">
        <v>596</v>
      </c>
      <c r="C92" s="14" t="s">
        <v>418</v>
      </c>
      <c r="D92" s="14" t="s">
        <v>114</v>
      </c>
      <c r="E92" s="14" t="s">
        <v>739</v>
      </c>
      <c r="F92" s="14" t="s">
        <v>789</v>
      </c>
      <c r="G92" s="15" t="s">
        <v>0</v>
      </c>
      <c r="H92" s="16">
        <v>1</v>
      </c>
      <c r="I92" s="16" t="s">
        <v>381</v>
      </c>
      <c r="J92" s="16"/>
      <c r="K92" s="16">
        <v>1</v>
      </c>
      <c r="L92" s="16"/>
      <c r="M92" s="16">
        <v>1</v>
      </c>
      <c r="N92" s="16"/>
      <c r="O92" s="16">
        <v>1</v>
      </c>
      <c r="P92" s="16"/>
      <c r="Q92" s="16" t="s">
        <v>537</v>
      </c>
      <c r="R92" s="16">
        <v>1</v>
      </c>
      <c r="S92" s="16">
        <v>1</v>
      </c>
      <c r="T92" s="16" t="s">
        <v>713</v>
      </c>
      <c r="U92" s="16"/>
      <c r="V92" s="18" t="s">
        <v>383</v>
      </c>
      <c r="W92" s="16"/>
      <c r="X92" s="16">
        <v>1</v>
      </c>
      <c r="Y92" s="18"/>
      <c r="Z92" s="16" t="s">
        <v>385</v>
      </c>
      <c r="AA92" s="18" t="s">
        <v>416</v>
      </c>
      <c r="AB92" s="16"/>
      <c r="AC92" s="16"/>
      <c r="AD92" s="16"/>
      <c r="AE92" s="16" t="s">
        <v>399</v>
      </c>
      <c r="AF92" s="16" t="s">
        <v>944</v>
      </c>
      <c r="AG92" s="16">
        <v>5.5</v>
      </c>
      <c r="AH92" s="16" t="s">
        <v>748</v>
      </c>
      <c r="AI92" s="16">
        <v>1</v>
      </c>
      <c r="AJ92" s="16">
        <v>1</v>
      </c>
      <c r="AK92" s="16">
        <v>1</v>
      </c>
      <c r="AL92" s="16">
        <v>1</v>
      </c>
      <c r="AM92" s="18" t="s">
        <v>749</v>
      </c>
      <c r="AN92" s="16">
        <v>14.5</v>
      </c>
      <c r="AO92" s="16">
        <v>26</v>
      </c>
      <c r="AP92" s="16">
        <v>30.3</v>
      </c>
      <c r="AQ92" s="16">
        <v>18.2</v>
      </c>
      <c r="AR92" s="16"/>
      <c r="AS9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2" s="6" t="s">
        <v>945</v>
      </c>
      <c r="BS92" s="27" t="s">
        <v>388</v>
      </c>
    </row>
    <row r="93" spans="1:71" ht="52.2" x14ac:dyDescent="0.3">
      <c r="A93" s="4" t="s">
        <v>118</v>
      </c>
      <c r="B93" s="5" t="s">
        <v>946</v>
      </c>
      <c r="C93" s="5" t="s">
        <v>412</v>
      </c>
      <c r="D93" s="5" t="s">
        <v>119</v>
      </c>
      <c r="E93" s="5" t="s">
        <v>739</v>
      </c>
      <c r="F93" s="5" t="s">
        <v>789</v>
      </c>
      <c r="G93" s="6" t="s">
        <v>0</v>
      </c>
      <c r="H93" s="12">
        <v>1</v>
      </c>
      <c r="I93" s="12" t="s">
        <v>381</v>
      </c>
      <c r="J93" s="12"/>
      <c r="K93" s="12">
        <v>1</v>
      </c>
      <c r="L93" s="12"/>
      <c r="M93" s="12">
        <v>1</v>
      </c>
      <c r="N93" s="12"/>
      <c r="O93" s="12"/>
      <c r="P93" s="12"/>
      <c r="Q93" s="12"/>
      <c r="R93" s="12">
        <v>1</v>
      </c>
      <c r="S93" s="12"/>
      <c r="T93" s="12"/>
      <c r="U93" s="12"/>
      <c r="V93" s="17" t="s">
        <v>383</v>
      </c>
      <c r="W93" s="12"/>
      <c r="X93" s="12">
        <v>1</v>
      </c>
      <c r="Y93" s="17" t="s">
        <v>602</v>
      </c>
      <c r="Z93" s="12" t="s">
        <v>444</v>
      </c>
      <c r="AA93" s="17" t="s">
        <v>416</v>
      </c>
      <c r="AB93" s="12"/>
      <c r="AC93" s="12"/>
      <c r="AD93" s="12"/>
      <c r="AE93" s="12" t="s">
        <v>408</v>
      </c>
      <c r="AF93" s="12" t="s">
        <v>947</v>
      </c>
      <c r="AG93" s="12">
        <v>4</v>
      </c>
      <c r="AH93" s="12" t="s">
        <v>748</v>
      </c>
      <c r="AI93" s="12"/>
      <c r="AJ93" s="12"/>
      <c r="AK93" s="12">
        <v>1</v>
      </c>
      <c r="AL93" s="12"/>
      <c r="AM93" s="17" t="s">
        <v>749</v>
      </c>
      <c r="AN93" s="12">
        <v>12</v>
      </c>
      <c r="AO93" s="12">
        <v>23</v>
      </c>
      <c r="AP93" s="12">
        <v>26</v>
      </c>
      <c r="AQ93" s="12">
        <v>16</v>
      </c>
      <c r="AR93" s="12"/>
      <c r="AS9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3" s="6" t="s">
        <v>948</v>
      </c>
      <c r="BS93" s="27" t="s">
        <v>949</v>
      </c>
    </row>
    <row r="94" spans="1:71" ht="52.2" x14ac:dyDescent="0.3">
      <c r="A94" s="26" t="s">
        <v>120</v>
      </c>
      <c r="B94" s="14" t="s">
        <v>946</v>
      </c>
      <c r="C94" s="14" t="s">
        <v>412</v>
      </c>
      <c r="D94" s="14" t="s">
        <v>119</v>
      </c>
      <c r="E94" s="14" t="s">
        <v>739</v>
      </c>
      <c r="F94" s="14" t="s">
        <v>789</v>
      </c>
      <c r="G94" s="15" t="s">
        <v>0</v>
      </c>
      <c r="H94" s="16">
        <v>1</v>
      </c>
      <c r="I94" s="16" t="s">
        <v>381</v>
      </c>
      <c r="J94" s="16"/>
      <c r="K94" s="16">
        <v>1</v>
      </c>
      <c r="L94" s="16"/>
      <c r="M94" s="16">
        <v>1</v>
      </c>
      <c r="N94" s="16"/>
      <c r="O94" s="16">
        <v>1</v>
      </c>
      <c r="P94" s="16"/>
      <c r="Q94" s="16"/>
      <c r="R94" s="16">
        <v>1</v>
      </c>
      <c r="S94" s="16"/>
      <c r="T94" s="16"/>
      <c r="U94" s="16"/>
      <c r="V94" s="18" t="s">
        <v>383</v>
      </c>
      <c r="W94" s="16"/>
      <c r="X94" s="16">
        <v>1</v>
      </c>
      <c r="Y94" s="18" t="s">
        <v>602</v>
      </c>
      <c r="Z94" s="16" t="s">
        <v>444</v>
      </c>
      <c r="AA94" s="18" t="s">
        <v>416</v>
      </c>
      <c r="AB94" s="16"/>
      <c r="AC94" s="16"/>
      <c r="AD94" s="16"/>
      <c r="AE94" s="16" t="s">
        <v>444</v>
      </c>
      <c r="AF94" s="16" t="s">
        <v>813</v>
      </c>
      <c r="AG94" s="16">
        <v>5.5</v>
      </c>
      <c r="AH94" s="16" t="s">
        <v>748</v>
      </c>
      <c r="AI94" s="16"/>
      <c r="AJ94" s="16"/>
      <c r="AK94" s="16">
        <v>1</v>
      </c>
      <c r="AL94" s="16">
        <v>1</v>
      </c>
      <c r="AM94" s="18" t="s">
        <v>749</v>
      </c>
      <c r="AN94" s="16">
        <v>11</v>
      </c>
      <c r="AO94" s="16">
        <v>25</v>
      </c>
      <c r="AP94" s="16">
        <v>29.5</v>
      </c>
      <c r="AQ94" s="16">
        <v>16</v>
      </c>
      <c r="AR94" s="16"/>
      <c r="AS9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4" s="6" t="s">
        <v>833</v>
      </c>
      <c r="BS94" s="27" t="s">
        <v>388</v>
      </c>
    </row>
    <row r="95" spans="1:71" ht="52.2" x14ac:dyDescent="0.3">
      <c r="A95" s="4" t="s">
        <v>121</v>
      </c>
      <c r="B95" s="5" t="s">
        <v>604</v>
      </c>
      <c r="C95" s="5" t="s">
        <v>605</v>
      </c>
      <c r="D95" s="5" t="s">
        <v>122</v>
      </c>
      <c r="E95" s="5" t="s">
        <v>769</v>
      </c>
      <c r="F95" s="5" t="s">
        <v>789</v>
      </c>
      <c r="G95" s="6" t="s">
        <v>0</v>
      </c>
      <c r="H95" s="12"/>
      <c r="I95" s="12" t="s">
        <v>381</v>
      </c>
      <c r="J95" s="12"/>
      <c r="K95" s="12">
        <v>1</v>
      </c>
      <c r="L95" s="12">
        <v>1</v>
      </c>
      <c r="M95" s="12"/>
      <c r="N95" s="12"/>
      <c r="O95" s="12"/>
      <c r="P95" s="12"/>
      <c r="Q95" s="12"/>
      <c r="R95" s="12">
        <v>1</v>
      </c>
      <c r="S95" s="12">
        <v>1</v>
      </c>
      <c r="T95" s="12"/>
      <c r="U95" s="12"/>
      <c r="V95" s="17" t="s">
        <v>606</v>
      </c>
      <c r="W95" s="12">
        <v>35</v>
      </c>
      <c r="X95" s="12">
        <v>1</v>
      </c>
      <c r="Y95" s="17" t="s">
        <v>607</v>
      </c>
      <c r="Z95" s="12" t="s">
        <v>385</v>
      </c>
      <c r="AA95" s="17" t="s">
        <v>416</v>
      </c>
      <c r="AB95" s="12"/>
      <c r="AC95" s="12"/>
      <c r="AD95" s="12"/>
      <c r="AE95" s="12" t="s">
        <v>444</v>
      </c>
      <c r="AF95" s="12" t="s">
        <v>950</v>
      </c>
      <c r="AG95" s="12">
        <v>4</v>
      </c>
      <c r="AH95" s="12"/>
      <c r="AI95" s="12"/>
      <c r="AJ95" s="12"/>
      <c r="AK95" s="12"/>
      <c r="AL95" s="12"/>
      <c r="AM95" s="17" t="s">
        <v>766</v>
      </c>
      <c r="AN95" s="12"/>
      <c r="AO95" s="12">
        <v>13.2</v>
      </c>
      <c r="AP95" s="12"/>
      <c r="AQ95" s="12"/>
      <c r="AR95" s="12"/>
      <c r="AS9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5" s="6" t="s">
        <v>951</v>
      </c>
      <c r="BS95" s="27" t="s">
        <v>388</v>
      </c>
    </row>
    <row r="96" spans="1:71" ht="52.2" x14ac:dyDescent="0.3">
      <c r="A96" s="26" t="s">
        <v>123</v>
      </c>
      <c r="B96" s="14" t="s">
        <v>604</v>
      </c>
      <c r="C96" s="14" t="s">
        <v>605</v>
      </c>
      <c r="D96" s="14" t="s">
        <v>124</v>
      </c>
      <c r="E96" s="14" t="s">
        <v>739</v>
      </c>
      <c r="F96" s="14" t="s">
        <v>789</v>
      </c>
      <c r="G96" s="15" t="s">
        <v>0</v>
      </c>
      <c r="H96" s="16">
        <v>1</v>
      </c>
      <c r="I96" s="16" t="s">
        <v>381</v>
      </c>
      <c r="J96" s="16"/>
      <c r="K96" s="16">
        <v>1</v>
      </c>
      <c r="L96" s="16">
        <v>1</v>
      </c>
      <c r="M96" s="16">
        <v>1</v>
      </c>
      <c r="N96" s="16"/>
      <c r="O96" s="16">
        <v>1</v>
      </c>
      <c r="P96" s="16"/>
      <c r="Q96" s="16" t="s">
        <v>537</v>
      </c>
      <c r="R96" s="16">
        <v>1</v>
      </c>
      <c r="S96" s="16">
        <v>1</v>
      </c>
      <c r="T96" s="16" t="s">
        <v>713</v>
      </c>
      <c r="U96" s="16"/>
      <c r="V96" s="18" t="s">
        <v>606</v>
      </c>
      <c r="W96" s="16">
        <v>35</v>
      </c>
      <c r="X96" s="16">
        <v>1</v>
      </c>
      <c r="Y96" s="18" t="s">
        <v>607</v>
      </c>
      <c r="Z96" s="16" t="s">
        <v>385</v>
      </c>
      <c r="AA96" s="18" t="s">
        <v>416</v>
      </c>
      <c r="AB96" s="16"/>
      <c r="AC96" s="16"/>
      <c r="AD96" s="16"/>
      <c r="AE96" s="16" t="s">
        <v>399</v>
      </c>
      <c r="AF96" s="16" t="s">
        <v>952</v>
      </c>
      <c r="AG96" s="16">
        <v>7.5</v>
      </c>
      <c r="AH96" s="16" t="s">
        <v>742</v>
      </c>
      <c r="AI96" s="16">
        <v>1</v>
      </c>
      <c r="AJ96" s="16">
        <v>1</v>
      </c>
      <c r="AK96" s="16">
        <v>1</v>
      </c>
      <c r="AL96" s="16"/>
      <c r="AM96" s="18" t="s">
        <v>783</v>
      </c>
      <c r="AN96" s="16">
        <v>14.1</v>
      </c>
      <c r="AO96" s="16">
        <v>26</v>
      </c>
      <c r="AP96" s="16"/>
      <c r="AQ96" s="16">
        <v>18</v>
      </c>
      <c r="AR96" s="16"/>
      <c r="AS9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9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9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9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6" s="6" t="s">
        <v>953</v>
      </c>
      <c r="BS96" s="27" t="s">
        <v>388</v>
      </c>
    </row>
    <row r="97" spans="1:71" ht="52.2" x14ac:dyDescent="0.3">
      <c r="A97" s="4" t="s">
        <v>125</v>
      </c>
      <c r="B97" s="5" t="s">
        <v>604</v>
      </c>
      <c r="C97" s="5" t="s">
        <v>605</v>
      </c>
      <c r="D97" s="5" t="s">
        <v>124</v>
      </c>
      <c r="E97" s="5" t="s">
        <v>769</v>
      </c>
      <c r="F97" s="5" t="s">
        <v>789</v>
      </c>
      <c r="G97" s="6" t="s">
        <v>0</v>
      </c>
      <c r="H97" s="12"/>
      <c r="I97" s="12" t="s">
        <v>381</v>
      </c>
      <c r="J97" s="12"/>
      <c r="K97" s="12">
        <v>1</v>
      </c>
      <c r="L97" s="12">
        <v>1</v>
      </c>
      <c r="M97" s="12"/>
      <c r="N97" s="12"/>
      <c r="O97" s="12"/>
      <c r="P97" s="12"/>
      <c r="Q97" s="12"/>
      <c r="R97" s="12">
        <v>1</v>
      </c>
      <c r="S97" s="12">
        <v>1</v>
      </c>
      <c r="T97" s="12" t="s">
        <v>713</v>
      </c>
      <c r="U97" s="12"/>
      <c r="V97" s="17" t="s">
        <v>606</v>
      </c>
      <c r="W97" s="12">
        <v>35</v>
      </c>
      <c r="X97" s="12">
        <v>1</v>
      </c>
      <c r="Y97" s="17" t="s">
        <v>607</v>
      </c>
      <c r="Z97" s="12" t="s">
        <v>444</v>
      </c>
      <c r="AA97" s="17" t="s">
        <v>416</v>
      </c>
      <c r="AB97" s="12">
        <v>1</v>
      </c>
      <c r="AC97" s="12" t="s">
        <v>824</v>
      </c>
      <c r="AD97" s="12">
        <v>37.700000000000003</v>
      </c>
      <c r="AE97" s="12" t="s">
        <v>385</v>
      </c>
      <c r="AF97" s="12" t="s">
        <v>954</v>
      </c>
      <c r="AG97" s="12">
        <v>4</v>
      </c>
      <c r="AH97" s="12" t="s">
        <v>742</v>
      </c>
      <c r="AI97" s="12"/>
      <c r="AJ97" s="12"/>
      <c r="AK97" s="12">
        <v>1</v>
      </c>
      <c r="AL97" s="12"/>
      <c r="AM97" s="17" t="s">
        <v>783</v>
      </c>
      <c r="AN97" s="12">
        <v>13.3</v>
      </c>
      <c r="AO97" s="12">
        <v>22.2</v>
      </c>
      <c r="AP97" s="12"/>
      <c r="AQ97" s="12">
        <v>16.3</v>
      </c>
      <c r="AR97" s="12">
        <v>1</v>
      </c>
      <c r="AS9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7" s="6" t="s">
        <v>955</v>
      </c>
      <c r="BS97" s="27" t="s">
        <v>388</v>
      </c>
    </row>
    <row r="98" spans="1:71" ht="52.2" x14ac:dyDescent="0.3">
      <c r="A98" s="26" t="s">
        <v>126</v>
      </c>
      <c r="B98" s="14" t="s">
        <v>604</v>
      </c>
      <c r="C98" s="14" t="s">
        <v>605</v>
      </c>
      <c r="D98" s="14" t="s">
        <v>124</v>
      </c>
      <c r="E98" s="14" t="s">
        <v>739</v>
      </c>
      <c r="F98" s="14" t="s">
        <v>789</v>
      </c>
      <c r="G98" s="15" t="s">
        <v>0</v>
      </c>
      <c r="H98" s="16">
        <v>1</v>
      </c>
      <c r="I98" s="16" t="s">
        <v>381</v>
      </c>
      <c r="J98" s="16"/>
      <c r="K98" s="16">
        <v>1</v>
      </c>
      <c r="L98" s="16">
        <v>1</v>
      </c>
      <c r="M98" s="16"/>
      <c r="N98" s="16"/>
      <c r="O98" s="16"/>
      <c r="P98" s="16"/>
      <c r="Q98" s="16" t="s">
        <v>537</v>
      </c>
      <c r="R98" s="16">
        <v>1</v>
      </c>
      <c r="S98" s="16">
        <v>1</v>
      </c>
      <c r="T98" s="16" t="s">
        <v>713</v>
      </c>
      <c r="U98" s="16"/>
      <c r="V98" s="18" t="s">
        <v>606</v>
      </c>
      <c r="W98" s="16">
        <v>35</v>
      </c>
      <c r="X98" s="16">
        <v>1</v>
      </c>
      <c r="Y98" s="18" t="s">
        <v>607</v>
      </c>
      <c r="Z98" s="16" t="s">
        <v>385</v>
      </c>
      <c r="AA98" s="18" t="s">
        <v>416</v>
      </c>
      <c r="AB98" s="16"/>
      <c r="AC98" s="16"/>
      <c r="AD98" s="16"/>
      <c r="AE98" s="16" t="s">
        <v>408</v>
      </c>
      <c r="AF98" s="16" t="s">
        <v>956</v>
      </c>
      <c r="AG98" s="16">
        <v>7</v>
      </c>
      <c r="AH98" s="16" t="s">
        <v>742</v>
      </c>
      <c r="AI98" s="16">
        <v>1</v>
      </c>
      <c r="AJ98" s="16">
        <v>1</v>
      </c>
      <c r="AK98" s="16">
        <v>1</v>
      </c>
      <c r="AL98" s="16"/>
      <c r="AM98" s="18" t="s">
        <v>879</v>
      </c>
      <c r="AN98" s="16">
        <v>14.1</v>
      </c>
      <c r="AO98" s="16">
        <v>26.8</v>
      </c>
      <c r="AP98" s="16"/>
      <c r="AQ98" s="16">
        <v>19.3</v>
      </c>
      <c r="AR98" s="16"/>
      <c r="AS9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9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9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9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9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9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9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9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8" s="6" t="s">
        <v>957</v>
      </c>
      <c r="BS98" s="27" t="s">
        <v>421</v>
      </c>
    </row>
    <row r="99" spans="1:71" ht="52.2" x14ac:dyDescent="0.3">
      <c r="A99" s="4" t="s">
        <v>127</v>
      </c>
      <c r="B99" s="5" t="s">
        <v>618</v>
      </c>
      <c r="C99" s="5" t="s">
        <v>432</v>
      </c>
      <c r="D99" s="5" t="s">
        <v>619</v>
      </c>
      <c r="E99" s="5" t="s">
        <v>739</v>
      </c>
      <c r="F99" s="5" t="s">
        <v>789</v>
      </c>
      <c r="G99" s="6" t="s">
        <v>0</v>
      </c>
      <c r="H99" s="12">
        <v>1</v>
      </c>
      <c r="I99" s="12" t="s">
        <v>381</v>
      </c>
      <c r="J99" s="12"/>
      <c r="K99" s="12">
        <v>1</v>
      </c>
      <c r="L99" s="12">
        <v>1</v>
      </c>
      <c r="M99" s="12">
        <v>1</v>
      </c>
      <c r="N99" s="12"/>
      <c r="O99" s="12"/>
      <c r="P99" s="12"/>
      <c r="Q99" s="12" t="s">
        <v>537</v>
      </c>
      <c r="R99" s="12">
        <v>1</v>
      </c>
      <c r="S99" s="12">
        <v>1</v>
      </c>
      <c r="T99" s="12"/>
      <c r="U99" s="12"/>
      <c r="V99" s="17" t="s">
        <v>383</v>
      </c>
      <c r="W99" s="12"/>
      <c r="X99" s="12">
        <v>1</v>
      </c>
      <c r="Y99" s="17" t="s">
        <v>620</v>
      </c>
      <c r="Z99" s="12" t="s">
        <v>444</v>
      </c>
      <c r="AA99" s="17" t="s">
        <v>416</v>
      </c>
      <c r="AB99" s="12"/>
      <c r="AC99" s="12"/>
      <c r="AD99" s="12"/>
      <c r="AE99" s="12" t="s">
        <v>399</v>
      </c>
      <c r="AF99" s="12" t="s">
        <v>958</v>
      </c>
      <c r="AG99" s="12">
        <v>7.5</v>
      </c>
      <c r="AH99" s="12" t="s">
        <v>742</v>
      </c>
      <c r="AI99" s="12"/>
      <c r="AJ99" s="12"/>
      <c r="AK99" s="12">
        <v>1</v>
      </c>
      <c r="AL99" s="12"/>
      <c r="AM99" s="17" t="s">
        <v>772</v>
      </c>
      <c r="AN99" s="12">
        <v>13.1</v>
      </c>
      <c r="AO99" s="12">
        <v>24.8</v>
      </c>
      <c r="AP99" s="12"/>
      <c r="AQ99" s="12">
        <v>18</v>
      </c>
      <c r="AR99" s="12">
        <v>1</v>
      </c>
      <c r="AS9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9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9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9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9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9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9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9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9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9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9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9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9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9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9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9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9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9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9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9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9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9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9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9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9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99" s="6" t="s">
        <v>959</v>
      </c>
      <c r="BS99" s="27" t="s">
        <v>595</v>
      </c>
    </row>
    <row r="100" spans="1:71" ht="52.2" x14ac:dyDescent="0.3">
      <c r="A100" s="26" t="s">
        <v>128</v>
      </c>
      <c r="B100" s="14" t="s">
        <v>618</v>
      </c>
      <c r="C100" s="14" t="s">
        <v>432</v>
      </c>
      <c r="D100" s="14" t="s">
        <v>619</v>
      </c>
      <c r="E100" s="14" t="s">
        <v>739</v>
      </c>
      <c r="F100" s="14" t="s">
        <v>789</v>
      </c>
      <c r="G100" s="15" t="s">
        <v>0</v>
      </c>
      <c r="H100" s="16">
        <v>1</v>
      </c>
      <c r="I100" s="16" t="s">
        <v>381</v>
      </c>
      <c r="J100" s="16"/>
      <c r="K100" s="16">
        <v>1</v>
      </c>
      <c r="L100" s="16">
        <v>1</v>
      </c>
      <c r="M100" s="16">
        <v>1</v>
      </c>
      <c r="N100" s="16"/>
      <c r="O100" s="16"/>
      <c r="P100" s="16"/>
      <c r="Q100" s="16" t="s">
        <v>537</v>
      </c>
      <c r="R100" s="16">
        <v>1</v>
      </c>
      <c r="S100" s="16">
        <v>1</v>
      </c>
      <c r="T100" s="16"/>
      <c r="U100" s="16"/>
      <c r="V100" s="18" t="s">
        <v>383</v>
      </c>
      <c r="W100" s="16"/>
      <c r="X100" s="16">
        <v>1</v>
      </c>
      <c r="Y100" s="18" t="s">
        <v>620</v>
      </c>
      <c r="Z100" s="16" t="s">
        <v>385</v>
      </c>
      <c r="AA100" s="18" t="s">
        <v>416</v>
      </c>
      <c r="AB100" s="16"/>
      <c r="AC100" s="16"/>
      <c r="AD100" s="16"/>
      <c r="AE100" s="16" t="s">
        <v>385</v>
      </c>
      <c r="AF100" s="16" t="s">
        <v>958</v>
      </c>
      <c r="AG100" s="16">
        <v>7.5</v>
      </c>
      <c r="AH100" s="16" t="s">
        <v>742</v>
      </c>
      <c r="AI100" s="16">
        <v>1</v>
      </c>
      <c r="AJ100" s="16">
        <v>1</v>
      </c>
      <c r="AK100" s="16">
        <v>1</v>
      </c>
      <c r="AL100" s="16"/>
      <c r="AM100" s="18" t="s">
        <v>772</v>
      </c>
      <c r="AN100" s="16">
        <v>13.8</v>
      </c>
      <c r="AO100" s="16">
        <v>26</v>
      </c>
      <c r="AP100" s="16"/>
      <c r="AQ100" s="16">
        <v>18.100000000000001</v>
      </c>
      <c r="AR100" s="16">
        <v>1</v>
      </c>
      <c r="AS10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10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10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10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0" s="6" t="s">
        <v>959</v>
      </c>
      <c r="BS100" s="27" t="s">
        <v>595</v>
      </c>
    </row>
    <row r="101" spans="1:71" ht="52.2" x14ac:dyDescent="0.3">
      <c r="A101" s="4" t="s">
        <v>129</v>
      </c>
      <c r="B101" s="5" t="s">
        <v>434</v>
      </c>
      <c r="C101" s="5" t="s">
        <v>434</v>
      </c>
      <c r="D101" s="5" t="s">
        <v>130</v>
      </c>
      <c r="E101" s="5" t="s">
        <v>739</v>
      </c>
      <c r="F101" s="5" t="s">
        <v>789</v>
      </c>
      <c r="G101" s="6" t="s">
        <v>0</v>
      </c>
      <c r="H101" s="12">
        <v>1</v>
      </c>
      <c r="I101" s="12" t="s">
        <v>381</v>
      </c>
      <c r="J101" s="12"/>
      <c r="K101" s="12">
        <v>1</v>
      </c>
      <c r="L101" s="12"/>
      <c r="M101" s="12">
        <v>1</v>
      </c>
      <c r="N101" s="12"/>
      <c r="O101" s="12">
        <v>1</v>
      </c>
      <c r="P101" s="12"/>
      <c r="Q101" s="12" t="s">
        <v>537</v>
      </c>
      <c r="R101" s="12">
        <v>1</v>
      </c>
      <c r="S101" s="12">
        <v>1</v>
      </c>
      <c r="T101" s="12"/>
      <c r="U101" s="12"/>
      <c r="V101" s="17" t="s">
        <v>442</v>
      </c>
      <c r="W101" s="12">
        <v>49</v>
      </c>
      <c r="X101" s="12">
        <v>1</v>
      </c>
      <c r="Y101" s="17" t="s">
        <v>960</v>
      </c>
      <c r="Z101" s="12" t="s">
        <v>399</v>
      </c>
      <c r="AA101" s="17" t="s">
        <v>416</v>
      </c>
      <c r="AB101" s="12"/>
      <c r="AC101" s="12"/>
      <c r="AD101" s="12"/>
      <c r="AE101" s="12" t="s">
        <v>408</v>
      </c>
      <c r="AF101" s="12" t="s">
        <v>961</v>
      </c>
      <c r="AG101" s="12">
        <v>6</v>
      </c>
      <c r="AH101" s="12" t="s">
        <v>748</v>
      </c>
      <c r="AI101" s="12"/>
      <c r="AJ101" s="12"/>
      <c r="AK101" s="12">
        <v>1</v>
      </c>
      <c r="AL101" s="12">
        <v>1</v>
      </c>
      <c r="AM101" s="17" t="s">
        <v>811</v>
      </c>
      <c r="AN101" s="12">
        <v>11.8</v>
      </c>
      <c r="AO101" s="12">
        <v>21.5</v>
      </c>
      <c r="AP101" s="12">
        <v>29</v>
      </c>
      <c r="AQ101" s="12">
        <v>14.9</v>
      </c>
      <c r="AR101" s="12"/>
      <c r="AS10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1" s="6" t="s">
        <v>962</v>
      </c>
      <c r="BS101" s="27" t="s">
        <v>388</v>
      </c>
    </row>
    <row r="102" spans="1:71" ht="52.2" x14ac:dyDescent="0.3">
      <c r="A102" s="26" t="s">
        <v>131</v>
      </c>
      <c r="B102" s="14" t="s">
        <v>628</v>
      </c>
      <c r="C102" s="14" t="s">
        <v>512</v>
      </c>
      <c r="D102" s="14" t="s">
        <v>132</v>
      </c>
      <c r="E102" s="14" t="s">
        <v>739</v>
      </c>
      <c r="F102" s="14" t="s">
        <v>789</v>
      </c>
      <c r="G102" s="15" t="s">
        <v>0</v>
      </c>
      <c r="H102" s="16">
        <v>1</v>
      </c>
      <c r="I102" s="16" t="s">
        <v>381</v>
      </c>
      <c r="J102" s="16"/>
      <c r="K102" s="16">
        <v>1</v>
      </c>
      <c r="L102" s="16">
        <v>1</v>
      </c>
      <c r="M102" s="16">
        <v>1</v>
      </c>
      <c r="N102" s="16"/>
      <c r="O102" s="16"/>
      <c r="P102" s="16"/>
      <c r="Q102" s="16" t="s">
        <v>537</v>
      </c>
      <c r="R102" s="16">
        <v>1</v>
      </c>
      <c r="S102" s="16"/>
      <c r="T102" s="16"/>
      <c r="U102" s="16"/>
      <c r="V102" s="18" t="s">
        <v>383</v>
      </c>
      <c r="W102" s="16"/>
      <c r="X102" s="16">
        <v>1</v>
      </c>
      <c r="Y102" s="18" t="s">
        <v>629</v>
      </c>
      <c r="Z102" s="16" t="s">
        <v>385</v>
      </c>
      <c r="AA102" s="18" t="s">
        <v>416</v>
      </c>
      <c r="AB102" s="16"/>
      <c r="AC102" s="16"/>
      <c r="AD102" s="16"/>
      <c r="AE102" s="16" t="s">
        <v>408</v>
      </c>
      <c r="AF102" s="16" t="s">
        <v>963</v>
      </c>
      <c r="AG102" s="16">
        <v>7.5</v>
      </c>
      <c r="AH102" s="16" t="s">
        <v>748</v>
      </c>
      <c r="AI102" s="16"/>
      <c r="AJ102" s="16"/>
      <c r="AK102" s="16">
        <v>1</v>
      </c>
      <c r="AL102" s="16">
        <v>1</v>
      </c>
      <c r="AM102" s="18" t="s">
        <v>749</v>
      </c>
      <c r="AN102" s="16">
        <v>13</v>
      </c>
      <c r="AO102" s="16">
        <v>28</v>
      </c>
      <c r="AP102" s="16">
        <v>31.3</v>
      </c>
      <c r="AQ102" s="16">
        <v>18</v>
      </c>
      <c r="AR102" s="16"/>
      <c r="AS10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1</v>
      </c>
      <c r="AU10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1</v>
      </c>
      <c r="AY10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1</v>
      </c>
      <c r="AZ10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1</v>
      </c>
      <c r="BB10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1</v>
      </c>
      <c r="BC10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1</v>
      </c>
      <c r="BD10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1</v>
      </c>
      <c r="BQ10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2" s="6" t="s">
        <v>964</v>
      </c>
      <c r="BS102" s="27" t="s">
        <v>388</v>
      </c>
    </row>
    <row r="103" spans="1:71" ht="52.2" x14ac:dyDescent="0.3">
      <c r="A103" s="4" t="s">
        <v>133</v>
      </c>
      <c r="B103" s="5" t="s">
        <v>630</v>
      </c>
      <c r="C103" s="5" t="s">
        <v>379</v>
      </c>
      <c r="D103" s="5" t="s">
        <v>134</v>
      </c>
      <c r="E103" s="5" t="s">
        <v>739</v>
      </c>
      <c r="F103" s="5" t="s">
        <v>740</v>
      </c>
      <c r="G103" s="6" t="s">
        <v>0</v>
      </c>
      <c r="H103" s="12">
        <v>1</v>
      </c>
      <c r="I103" s="12" t="s">
        <v>381</v>
      </c>
      <c r="J103" s="12"/>
      <c r="K103" s="12">
        <v>1</v>
      </c>
      <c r="L103" s="12">
        <v>1</v>
      </c>
      <c r="M103" s="12">
        <v>1</v>
      </c>
      <c r="N103" s="12"/>
      <c r="O103" s="12"/>
      <c r="P103" s="12"/>
      <c r="Q103" s="12" t="s">
        <v>414</v>
      </c>
      <c r="R103" s="12">
        <v>1</v>
      </c>
      <c r="S103" s="12">
        <v>1</v>
      </c>
      <c r="T103" s="12"/>
      <c r="U103" s="12"/>
      <c r="V103" s="17" t="s">
        <v>535</v>
      </c>
      <c r="W103" s="12" t="s">
        <v>631</v>
      </c>
      <c r="X103" s="12">
        <v>1</v>
      </c>
      <c r="Y103" s="17"/>
      <c r="Z103" s="12" t="s">
        <v>444</v>
      </c>
      <c r="AA103" s="17" t="s">
        <v>386</v>
      </c>
      <c r="AB103" s="12"/>
      <c r="AC103" s="12"/>
      <c r="AD103" s="12"/>
      <c r="AE103" s="12" t="s">
        <v>385</v>
      </c>
      <c r="AF103" s="12" t="s">
        <v>965</v>
      </c>
      <c r="AG103" s="12">
        <v>5</v>
      </c>
      <c r="AH103" s="12" t="s">
        <v>748</v>
      </c>
      <c r="AI103" s="12"/>
      <c r="AJ103" s="12"/>
      <c r="AK103" s="12">
        <v>1</v>
      </c>
      <c r="AL103" s="12">
        <v>1</v>
      </c>
      <c r="AM103" s="17" t="s">
        <v>749</v>
      </c>
      <c r="AN103" s="12">
        <v>18</v>
      </c>
      <c r="AO103" s="12">
        <v>29.8</v>
      </c>
      <c r="AP103" s="12">
        <v>34.5</v>
      </c>
      <c r="AQ103" s="12">
        <v>18</v>
      </c>
      <c r="AR103" s="12"/>
      <c r="AS10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3" s="6" t="s">
        <v>387</v>
      </c>
      <c r="BS103" s="27" t="s">
        <v>388</v>
      </c>
    </row>
    <row r="104" spans="1:71" ht="52.2" x14ac:dyDescent="0.3">
      <c r="A104" s="26" t="s">
        <v>1047</v>
      </c>
      <c r="B104" s="14" t="s">
        <v>633</v>
      </c>
      <c r="C104" s="14" t="s">
        <v>605</v>
      </c>
      <c r="D104" s="14" t="s">
        <v>135</v>
      </c>
      <c r="E104" s="14" t="s">
        <v>739</v>
      </c>
      <c r="F104" s="14" t="s">
        <v>789</v>
      </c>
      <c r="G104" s="15" t="s">
        <v>0</v>
      </c>
      <c r="H104" s="16">
        <v>1</v>
      </c>
      <c r="I104" s="16" t="s">
        <v>381</v>
      </c>
      <c r="J104" s="16"/>
      <c r="K104" s="16"/>
      <c r="L104" s="16"/>
      <c r="M104" s="16"/>
      <c r="N104" s="16"/>
      <c r="O104" s="16"/>
      <c r="P104" s="16"/>
      <c r="Q104" s="16"/>
      <c r="R104" s="16">
        <v>1</v>
      </c>
      <c r="S104" s="16">
        <v>1</v>
      </c>
      <c r="T104" s="16"/>
      <c r="U104" s="16"/>
      <c r="V104" s="18" t="s">
        <v>383</v>
      </c>
      <c r="W104" s="16"/>
      <c r="X104" s="16">
        <v>1</v>
      </c>
      <c r="Y104" s="18"/>
      <c r="Z104" s="16" t="s">
        <v>385</v>
      </c>
      <c r="AA104" s="18" t="s">
        <v>416</v>
      </c>
      <c r="AB104" s="16"/>
      <c r="AC104" s="16"/>
      <c r="AD104" s="16"/>
      <c r="AE104" s="16" t="s">
        <v>385</v>
      </c>
      <c r="AF104" s="16" t="s">
        <v>966</v>
      </c>
      <c r="AG104" s="16">
        <v>7.5</v>
      </c>
      <c r="AH104" s="16" t="s">
        <v>748</v>
      </c>
      <c r="AI104" s="16">
        <v>1</v>
      </c>
      <c r="AJ104" s="16"/>
      <c r="AK104" s="16">
        <v>1</v>
      </c>
      <c r="AL104" s="16">
        <v>1</v>
      </c>
      <c r="AM104" s="18" t="s">
        <v>749</v>
      </c>
      <c r="AN104" s="16">
        <v>11</v>
      </c>
      <c r="AO104" s="16">
        <v>21.5</v>
      </c>
      <c r="AP104" s="16">
        <v>30</v>
      </c>
      <c r="AQ104" s="16">
        <v>16.5</v>
      </c>
      <c r="AR104" s="16"/>
      <c r="AS10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4" s="6" t="s">
        <v>967</v>
      </c>
      <c r="BS104" s="27" t="s">
        <v>388</v>
      </c>
    </row>
    <row r="105" spans="1:71" ht="52.2" x14ac:dyDescent="0.3">
      <c r="A105" s="4" t="s">
        <v>138</v>
      </c>
      <c r="B105" s="5" t="s">
        <v>647</v>
      </c>
      <c r="C105" s="5" t="s">
        <v>567</v>
      </c>
      <c r="D105" s="5" t="s">
        <v>139</v>
      </c>
      <c r="E105" s="5" t="s">
        <v>739</v>
      </c>
      <c r="F105" s="5" t="s">
        <v>740</v>
      </c>
      <c r="G105" s="6" t="s">
        <v>0</v>
      </c>
      <c r="H105" s="12">
        <v>1</v>
      </c>
      <c r="I105" s="12" t="s">
        <v>381</v>
      </c>
      <c r="J105" s="12"/>
      <c r="K105" s="12">
        <v>1</v>
      </c>
      <c r="L105" s="12"/>
      <c r="M105" s="12">
        <v>1</v>
      </c>
      <c r="N105" s="12"/>
      <c r="O105" s="12">
        <v>1</v>
      </c>
      <c r="P105" s="12"/>
      <c r="Q105" s="12"/>
      <c r="R105" s="12">
        <v>1</v>
      </c>
      <c r="S105" s="12">
        <v>1</v>
      </c>
      <c r="T105" s="12" t="s">
        <v>711</v>
      </c>
      <c r="U105" s="12"/>
      <c r="V105" s="17" t="s">
        <v>383</v>
      </c>
      <c r="W105" s="12"/>
      <c r="X105" s="12">
        <v>1</v>
      </c>
      <c r="Y105" s="17" t="s">
        <v>648</v>
      </c>
      <c r="Z105" s="12" t="s">
        <v>385</v>
      </c>
      <c r="AA105" s="17" t="s">
        <v>386</v>
      </c>
      <c r="AB105" s="12"/>
      <c r="AC105" s="12"/>
      <c r="AD105" s="12"/>
      <c r="AE105" s="12" t="s">
        <v>385</v>
      </c>
      <c r="AF105" s="12" t="s">
        <v>970</v>
      </c>
      <c r="AG105" s="12">
        <v>7.5</v>
      </c>
      <c r="AH105" s="12" t="s">
        <v>748</v>
      </c>
      <c r="AI105" s="12"/>
      <c r="AJ105" s="12"/>
      <c r="AK105" s="12">
        <v>1</v>
      </c>
      <c r="AL105" s="12">
        <v>1</v>
      </c>
      <c r="AM105" s="17" t="s">
        <v>749</v>
      </c>
      <c r="AN105" s="12">
        <v>14.8</v>
      </c>
      <c r="AO105" s="12">
        <v>27.1</v>
      </c>
      <c r="AP105" s="12">
        <v>31.3</v>
      </c>
      <c r="AQ105" s="12">
        <v>19.5</v>
      </c>
      <c r="AR105" s="12">
        <v>1</v>
      </c>
      <c r="AS10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5" s="6" t="s">
        <v>971</v>
      </c>
      <c r="BS105" s="27" t="s">
        <v>388</v>
      </c>
    </row>
    <row r="106" spans="1:71" ht="52.2" x14ac:dyDescent="0.3">
      <c r="A106" s="26" t="s">
        <v>140</v>
      </c>
      <c r="B106" s="14" t="s">
        <v>647</v>
      </c>
      <c r="C106" s="14" t="s">
        <v>567</v>
      </c>
      <c r="D106" s="14" t="s">
        <v>139</v>
      </c>
      <c r="E106" s="14" t="s">
        <v>739</v>
      </c>
      <c r="F106" s="14" t="s">
        <v>754</v>
      </c>
      <c r="G106" s="15" t="s">
        <v>0</v>
      </c>
      <c r="H106" s="16">
        <v>1</v>
      </c>
      <c r="I106" s="16" t="s">
        <v>381</v>
      </c>
      <c r="J106" s="16"/>
      <c r="K106" s="16">
        <v>1</v>
      </c>
      <c r="L106" s="16"/>
      <c r="M106" s="16">
        <v>1</v>
      </c>
      <c r="N106" s="16"/>
      <c r="O106" s="16">
        <v>1</v>
      </c>
      <c r="P106" s="16"/>
      <c r="Q106" s="16" t="s">
        <v>537</v>
      </c>
      <c r="R106" s="16">
        <v>1</v>
      </c>
      <c r="S106" s="16">
        <v>1</v>
      </c>
      <c r="T106" s="16" t="s">
        <v>711</v>
      </c>
      <c r="U106" s="16"/>
      <c r="V106" s="18" t="s">
        <v>383</v>
      </c>
      <c r="W106" s="16"/>
      <c r="X106" s="16">
        <v>1</v>
      </c>
      <c r="Y106" s="18" t="s">
        <v>648</v>
      </c>
      <c r="Z106" s="16" t="s">
        <v>385</v>
      </c>
      <c r="AA106" s="18" t="s">
        <v>386</v>
      </c>
      <c r="AB106" s="16"/>
      <c r="AC106" s="16"/>
      <c r="AD106" s="16"/>
      <c r="AE106" s="16" t="s">
        <v>444</v>
      </c>
      <c r="AF106" s="16" t="s">
        <v>972</v>
      </c>
      <c r="AG106" s="16">
        <v>9.5</v>
      </c>
      <c r="AH106" s="16" t="s">
        <v>748</v>
      </c>
      <c r="AI106" s="16"/>
      <c r="AJ106" s="16"/>
      <c r="AK106" s="16">
        <v>1</v>
      </c>
      <c r="AL106" s="16"/>
      <c r="AM106" s="18" t="s">
        <v>749</v>
      </c>
      <c r="AN106" s="16">
        <v>14.8</v>
      </c>
      <c r="AO106" s="16">
        <v>27.3</v>
      </c>
      <c r="AP106" s="16">
        <v>31</v>
      </c>
      <c r="AQ106" s="16">
        <v>19.2</v>
      </c>
      <c r="AR106" s="16">
        <v>1</v>
      </c>
      <c r="AS10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6" s="6" t="s">
        <v>973</v>
      </c>
      <c r="BS106" s="27" t="s">
        <v>388</v>
      </c>
    </row>
    <row r="107" spans="1:71" ht="52.2" x14ac:dyDescent="0.3">
      <c r="A107" s="4" t="s">
        <v>141</v>
      </c>
      <c r="B107" s="5" t="s">
        <v>647</v>
      </c>
      <c r="C107" s="5" t="s">
        <v>567</v>
      </c>
      <c r="D107" s="5" t="s">
        <v>139</v>
      </c>
      <c r="E107" s="5" t="s">
        <v>739</v>
      </c>
      <c r="F107" s="5" t="s">
        <v>754</v>
      </c>
      <c r="G107" s="6" t="s">
        <v>0</v>
      </c>
      <c r="H107" s="12">
        <v>1</v>
      </c>
      <c r="I107" s="12" t="s">
        <v>381</v>
      </c>
      <c r="J107" s="12"/>
      <c r="K107" s="12">
        <v>1</v>
      </c>
      <c r="L107" s="12"/>
      <c r="M107" s="12">
        <v>1</v>
      </c>
      <c r="N107" s="12"/>
      <c r="O107" s="12">
        <v>1</v>
      </c>
      <c r="P107" s="12"/>
      <c r="Q107" s="12" t="s">
        <v>537</v>
      </c>
      <c r="R107" s="12">
        <v>1</v>
      </c>
      <c r="S107" s="12">
        <v>1</v>
      </c>
      <c r="T107" s="12" t="s">
        <v>711</v>
      </c>
      <c r="U107" s="12"/>
      <c r="V107" s="17" t="s">
        <v>383</v>
      </c>
      <c r="W107" s="12"/>
      <c r="X107" s="12">
        <v>1</v>
      </c>
      <c r="Y107" s="17" t="s">
        <v>648</v>
      </c>
      <c r="Z107" s="12" t="s">
        <v>385</v>
      </c>
      <c r="AA107" s="17" t="s">
        <v>386</v>
      </c>
      <c r="AB107" s="12"/>
      <c r="AC107" s="12"/>
      <c r="AD107" s="12"/>
      <c r="AE107" s="12" t="s">
        <v>408</v>
      </c>
      <c r="AF107" s="12" t="s">
        <v>974</v>
      </c>
      <c r="AG107" s="12">
        <v>8.5</v>
      </c>
      <c r="AH107" s="12" t="s">
        <v>748</v>
      </c>
      <c r="AI107" s="12"/>
      <c r="AJ107" s="12"/>
      <c r="AK107" s="12">
        <v>1</v>
      </c>
      <c r="AL107" s="12"/>
      <c r="AM107" s="17" t="s">
        <v>749</v>
      </c>
      <c r="AN107" s="12">
        <v>15</v>
      </c>
      <c r="AO107" s="12">
        <v>27.5</v>
      </c>
      <c r="AP107" s="12">
        <v>40</v>
      </c>
      <c r="AQ107" s="12">
        <v>19.3</v>
      </c>
      <c r="AR107" s="12">
        <v>1</v>
      </c>
      <c r="AS10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7" s="6" t="s">
        <v>973</v>
      </c>
      <c r="BS107" s="27" t="s">
        <v>388</v>
      </c>
    </row>
    <row r="108" spans="1:71" ht="52.2" x14ac:dyDescent="0.3">
      <c r="A108" s="26" t="s">
        <v>142</v>
      </c>
      <c r="B108" s="14" t="s">
        <v>651</v>
      </c>
      <c r="C108" s="14" t="s">
        <v>379</v>
      </c>
      <c r="D108" s="14" t="s">
        <v>143</v>
      </c>
      <c r="E108" s="14" t="s">
        <v>739</v>
      </c>
      <c r="F108" s="14" t="s">
        <v>740</v>
      </c>
      <c r="G108" s="15" t="s">
        <v>0</v>
      </c>
      <c r="H108" s="16">
        <v>1</v>
      </c>
      <c r="I108" s="16" t="s">
        <v>381</v>
      </c>
      <c r="J108" s="16"/>
      <c r="K108" s="16">
        <v>1</v>
      </c>
      <c r="L108" s="16"/>
      <c r="M108" s="16">
        <v>1</v>
      </c>
      <c r="N108" s="16"/>
      <c r="O108" s="16">
        <v>1</v>
      </c>
      <c r="P108" s="16"/>
      <c r="Q108" s="16"/>
      <c r="R108" s="16">
        <v>1</v>
      </c>
      <c r="S108" s="16">
        <v>1</v>
      </c>
      <c r="T108" s="16"/>
      <c r="U108" s="16"/>
      <c r="V108" s="18" t="s">
        <v>383</v>
      </c>
      <c r="W108" s="16"/>
      <c r="X108" s="16">
        <v>1</v>
      </c>
      <c r="Y108" s="18" t="s">
        <v>648</v>
      </c>
      <c r="Z108" s="16" t="s">
        <v>399</v>
      </c>
      <c r="AA108" s="18" t="s">
        <v>386</v>
      </c>
      <c r="AB108" s="16"/>
      <c r="AC108" s="16"/>
      <c r="AD108" s="16"/>
      <c r="AE108" s="16" t="s">
        <v>444</v>
      </c>
      <c r="AF108" s="16" t="s">
        <v>975</v>
      </c>
      <c r="AG108" s="16">
        <v>8</v>
      </c>
      <c r="AH108" s="16" t="s">
        <v>742</v>
      </c>
      <c r="AI108" s="16">
        <v>1</v>
      </c>
      <c r="AJ108" s="16">
        <v>1</v>
      </c>
      <c r="AK108" s="16">
        <v>1</v>
      </c>
      <c r="AL108" s="16">
        <v>1</v>
      </c>
      <c r="AM108" s="18" t="s">
        <v>772</v>
      </c>
      <c r="AN108" s="16">
        <v>18.2</v>
      </c>
      <c r="AO108" s="16">
        <v>36.299999999999997</v>
      </c>
      <c r="AP108" s="16">
        <v>42.7</v>
      </c>
      <c r="AQ108" s="16">
        <v>25.9</v>
      </c>
      <c r="AR108" s="16">
        <v>1</v>
      </c>
      <c r="AS10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0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0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0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8" s="6" t="s">
        <v>976</v>
      </c>
      <c r="BS108" s="27" t="s">
        <v>388</v>
      </c>
    </row>
    <row r="109" spans="1:71" ht="52.2" x14ac:dyDescent="0.3">
      <c r="A109" s="4" t="s">
        <v>144</v>
      </c>
      <c r="B109" s="5" t="s">
        <v>656</v>
      </c>
      <c r="C109" s="5" t="s">
        <v>502</v>
      </c>
      <c r="D109" s="5" t="s">
        <v>145</v>
      </c>
      <c r="E109" s="5" t="s">
        <v>739</v>
      </c>
      <c r="F109" s="5" t="s">
        <v>754</v>
      </c>
      <c r="G109" s="6" t="s">
        <v>0</v>
      </c>
      <c r="H109" s="12">
        <v>1</v>
      </c>
      <c r="I109" s="12" t="s">
        <v>381</v>
      </c>
      <c r="J109" s="12"/>
      <c r="K109" s="12"/>
      <c r="L109" s="12"/>
      <c r="M109" s="12"/>
      <c r="N109" s="12"/>
      <c r="O109" s="12"/>
      <c r="P109" s="12"/>
      <c r="Q109" s="12"/>
      <c r="R109" s="12"/>
      <c r="S109" s="12">
        <v>1</v>
      </c>
      <c r="T109" s="12"/>
      <c r="U109" s="12"/>
      <c r="V109" s="17" t="s">
        <v>383</v>
      </c>
      <c r="W109" s="12"/>
      <c r="X109" s="12">
        <v>1</v>
      </c>
      <c r="Y109" s="17" t="s">
        <v>648</v>
      </c>
      <c r="Z109" s="12" t="s">
        <v>399</v>
      </c>
      <c r="AA109" s="17" t="s">
        <v>386</v>
      </c>
      <c r="AB109" s="12"/>
      <c r="AC109" s="12"/>
      <c r="AD109" s="12"/>
      <c r="AE109" s="12" t="s">
        <v>399</v>
      </c>
      <c r="AF109" s="12" t="s">
        <v>977</v>
      </c>
      <c r="AG109" s="12">
        <v>8</v>
      </c>
      <c r="AH109" s="12" t="s">
        <v>742</v>
      </c>
      <c r="AI109" s="12"/>
      <c r="AJ109" s="12"/>
      <c r="AK109" s="12">
        <v>1</v>
      </c>
      <c r="AL109" s="12"/>
      <c r="AM109" s="17" t="s">
        <v>752</v>
      </c>
      <c r="AN109" s="12">
        <v>14</v>
      </c>
      <c r="AO109" s="12">
        <v>25</v>
      </c>
      <c r="AP109" s="12"/>
      <c r="AQ109" s="12">
        <v>18</v>
      </c>
      <c r="AR109" s="12"/>
      <c r="AS109"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109"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09"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09"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09"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09"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09"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09"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09"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09"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09"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09"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09"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09"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09"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09"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09"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09"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09"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09"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09"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09"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109"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109"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09"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09" s="6" t="s">
        <v>978</v>
      </c>
      <c r="BS109" s="27" t="s">
        <v>388</v>
      </c>
    </row>
    <row r="110" spans="1:71" ht="52.2" x14ac:dyDescent="0.3">
      <c r="A110" s="26" t="s">
        <v>146</v>
      </c>
      <c r="B110" s="14" t="s">
        <v>658</v>
      </c>
      <c r="C110" s="14" t="s">
        <v>466</v>
      </c>
      <c r="D110" s="14" t="s">
        <v>147</v>
      </c>
      <c r="E110" s="14" t="s">
        <v>739</v>
      </c>
      <c r="F110" s="14" t="s">
        <v>740</v>
      </c>
      <c r="G110" s="15" t="s">
        <v>0</v>
      </c>
      <c r="H110" s="16">
        <v>1</v>
      </c>
      <c r="I110" s="16" t="s">
        <v>381</v>
      </c>
      <c r="J110" s="16"/>
      <c r="K110" s="16"/>
      <c r="L110" s="16"/>
      <c r="M110" s="16">
        <v>1</v>
      </c>
      <c r="N110" s="16"/>
      <c r="O110" s="16"/>
      <c r="P110" s="16"/>
      <c r="Q110" s="16" t="s">
        <v>414</v>
      </c>
      <c r="R110" s="16"/>
      <c r="S110" s="16">
        <v>1</v>
      </c>
      <c r="T110" s="16"/>
      <c r="U110" s="16"/>
      <c r="V110" s="18" t="s">
        <v>383</v>
      </c>
      <c r="W110" s="16"/>
      <c r="X110" s="16">
        <v>1</v>
      </c>
      <c r="Y110" s="18" t="s">
        <v>648</v>
      </c>
      <c r="Z110" s="16" t="s">
        <v>385</v>
      </c>
      <c r="AA110" s="18" t="s">
        <v>386</v>
      </c>
      <c r="AB110" s="16"/>
      <c r="AC110" s="16"/>
      <c r="AD110" s="16"/>
      <c r="AE110" s="16" t="s">
        <v>444</v>
      </c>
      <c r="AF110" s="16" t="s">
        <v>979</v>
      </c>
      <c r="AG110" s="16">
        <v>5.5</v>
      </c>
      <c r="AH110" s="16" t="s">
        <v>591</v>
      </c>
      <c r="AI110" s="16" t="s">
        <v>591</v>
      </c>
      <c r="AJ110" s="16" t="s">
        <v>591</v>
      </c>
      <c r="AK110" s="16">
        <v>1</v>
      </c>
      <c r="AL110" s="16"/>
      <c r="AM110" s="18" t="s">
        <v>749</v>
      </c>
      <c r="AN110" s="16">
        <v>13</v>
      </c>
      <c r="AO110" s="16">
        <v>23</v>
      </c>
      <c r="AP110" s="16">
        <v>29</v>
      </c>
      <c r="AQ110" s="16">
        <v>17</v>
      </c>
      <c r="AR110" s="16" t="s">
        <v>591</v>
      </c>
      <c r="AS110"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0"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0"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0"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0"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0"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0"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0"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0"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0"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0"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0"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0"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0"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0"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0"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0"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0"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0"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0"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0"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0"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0"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0"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0"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0" s="6" t="s">
        <v>980</v>
      </c>
      <c r="BS110" s="27" t="s">
        <v>388</v>
      </c>
    </row>
    <row r="111" spans="1:71" ht="52.2" x14ac:dyDescent="0.3">
      <c r="A111" s="4" t="s">
        <v>148</v>
      </c>
      <c r="B111" s="5" t="s">
        <v>658</v>
      </c>
      <c r="C111" s="5" t="s">
        <v>466</v>
      </c>
      <c r="D111" s="5" t="s">
        <v>147</v>
      </c>
      <c r="E111" s="5" t="s">
        <v>739</v>
      </c>
      <c r="F111" s="5" t="s">
        <v>740</v>
      </c>
      <c r="G111" s="6" t="s">
        <v>0</v>
      </c>
      <c r="H111" s="12">
        <v>1</v>
      </c>
      <c r="I111" s="12" t="s">
        <v>381</v>
      </c>
      <c r="J111" s="12"/>
      <c r="K111" s="12"/>
      <c r="L111" s="12"/>
      <c r="M111" s="12">
        <v>1</v>
      </c>
      <c r="N111" s="12"/>
      <c r="O111" s="12"/>
      <c r="P111" s="12"/>
      <c r="Q111" s="12"/>
      <c r="R111" s="12"/>
      <c r="S111" s="12">
        <v>1</v>
      </c>
      <c r="T111" s="12"/>
      <c r="U111" s="12"/>
      <c r="V111" s="17" t="s">
        <v>383</v>
      </c>
      <c r="W111" s="12"/>
      <c r="X111" s="12">
        <v>1</v>
      </c>
      <c r="Y111" s="17" t="s">
        <v>648</v>
      </c>
      <c r="Z111" s="12" t="s">
        <v>385</v>
      </c>
      <c r="AA111" s="17" t="s">
        <v>386</v>
      </c>
      <c r="AB111" s="12"/>
      <c r="AC111" s="12"/>
      <c r="AD111" s="12"/>
      <c r="AE111" s="12" t="s">
        <v>385</v>
      </c>
      <c r="AF111" s="12" t="s">
        <v>981</v>
      </c>
      <c r="AG111" s="12">
        <v>9.5</v>
      </c>
      <c r="AH111" s="12" t="s">
        <v>591</v>
      </c>
      <c r="AI111" s="12" t="s">
        <v>591</v>
      </c>
      <c r="AJ111" s="12" t="s">
        <v>591</v>
      </c>
      <c r="AK111" s="12">
        <v>1</v>
      </c>
      <c r="AL111" s="12">
        <v>1</v>
      </c>
      <c r="AM111" s="17" t="s">
        <v>749</v>
      </c>
      <c r="AN111" s="12">
        <v>12.5</v>
      </c>
      <c r="AO111" s="12">
        <v>23.5</v>
      </c>
      <c r="AP111" s="12">
        <v>29.5</v>
      </c>
      <c r="AQ111" s="12">
        <v>12.3</v>
      </c>
      <c r="AR111" s="12" t="s">
        <v>591</v>
      </c>
      <c r="AS111"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1"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1"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1"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1"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1"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1"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1"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1"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1"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1"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1"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1"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1"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1"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1"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1"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1"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1"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1"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1"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1"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1"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1"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1"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1" s="6" t="s">
        <v>982</v>
      </c>
      <c r="BS111" s="27" t="s">
        <v>388</v>
      </c>
    </row>
    <row r="112" spans="1:71" ht="52.2" x14ac:dyDescent="0.3">
      <c r="A112" s="26" t="s">
        <v>149</v>
      </c>
      <c r="B112" s="14" t="s">
        <v>659</v>
      </c>
      <c r="C112" s="14" t="s">
        <v>432</v>
      </c>
      <c r="D112" s="14" t="s">
        <v>150</v>
      </c>
      <c r="E112" s="14" t="s">
        <v>739</v>
      </c>
      <c r="F112" s="14" t="s">
        <v>754</v>
      </c>
      <c r="G112" s="15" t="s">
        <v>0</v>
      </c>
      <c r="H112" s="16">
        <v>1</v>
      </c>
      <c r="I112" s="16" t="s">
        <v>381</v>
      </c>
      <c r="J112" s="16"/>
      <c r="K112" s="16">
        <v>1</v>
      </c>
      <c r="L112" s="16"/>
      <c r="M112" s="16">
        <v>1</v>
      </c>
      <c r="N112" s="16"/>
      <c r="O112" s="16">
        <v>1</v>
      </c>
      <c r="P112" s="16"/>
      <c r="Q112" s="16" t="s">
        <v>537</v>
      </c>
      <c r="R112" s="16"/>
      <c r="S112" s="16">
        <v>1</v>
      </c>
      <c r="T112" s="16"/>
      <c r="U112" s="16"/>
      <c r="V112" s="18" t="s">
        <v>383</v>
      </c>
      <c r="W112" s="16"/>
      <c r="X112" s="16">
        <v>1</v>
      </c>
      <c r="Y112" s="18" t="s">
        <v>648</v>
      </c>
      <c r="Z112" s="16" t="s">
        <v>399</v>
      </c>
      <c r="AA112" s="18" t="s">
        <v>386</v>
      </c>
      <c r="AB112" s="16"/>
      <c r="AC112" s="16"/>
      <c r="AD112" s="16"/>
      <c r="AE112" s="16" t="s">
        <v>399</v>
      </c>
      <c r="AF112" s="16" t="s">
        <v>983</v>
      </c>
      <c r="AG112" s="16">
        <v>10</v>
      </c>
      <c r="AH112" s="16" t="s">
        <v>742</v>
      </c>
      <c r="AI112" s="16">
        <v>1</v>
      </c>
      <c r="AJ112" s="16">
        <v>1</v>
      </c>
      <c r="AK112" s="16">
        <v>1</v>
      </c>
      <c r="AL112" s="16">
        <v>1</v>
      </c>
      <c r="AM112" s="18" t="s">
        <v>772</v>
      </c>
      <c r="AN112" s="16">
        <v>18.7</v>
      </c>
      <c r="AO112" s="16">
        <v>39.299999999999997</v>
      </c>
      <c r="AP112" s="16"/>
      <c r="AQ112" s="16">
        <v>27.6</v>
      </c>
      <c r="AR112" s="16">
        <v>1</v>
      </c>
      <c r="AS112"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2"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2"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2"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2"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2"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2"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2"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2"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2"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2"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2"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2"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2"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2"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2"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2"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2"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2"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1</v>
      </c>
      <c r="BL112"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2"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2"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2"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2"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2"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2" s="6" t="s">
        <v>984</v>
      </c>
      <c r="BS112" s="27" t="s">
        <v>388</v>
      </c>
    </row>
    <row r="113" spans="1:71" ht="52.2" x14ac:dyDescent="0.3">
      <c r="A113" s="4" t="s">
        <v>151</v>
      </c>
      <c r="B113" s="5" t="s">
        <v>659</v>
      </c>
      <c r="C113" s="5" t="s">
        <v>432</v>
      </c>
      <c r="D113" s="5" t="s">
        <v>150</v>
      </c>
      <c r="E113" s="5" t="s">
        <v>769</v>
      </c>
      <c r="F113" s="5" t="s">
        <v>754</v>
      </c>
      <c r="G113" s="6" t="s">
        <v>0</v>
      </c>
      <c r="H113" s="12"/>
      <c r="I113" s="12" t="s">
        <v>381</v>
      </c>
      <c r="J113" s="12"/>
      <c r="K113" s="12">
        <v>1</v>
      </c>
      <c r="L113" s="12"/>
      <c r="M113" s="12">
        <v>1</v>
      </c>
      <c r="N113" s="12"/>
      <c r="O113" s="12">
        <v>1</v>
      </c>
      <c r="P113" s="12"/>
      <c r="Q113" s="12" t="s">
        <v>537</v>
      </c>
      <c r="R113" s="12"/>
      <c r="S113" s="12">
        <v>1</v>
      </c>
      <c r="T113" s="12"/>
      <c r="U113" s="12">
        <v>1</v>
      </c>
      <c r="V113" s="17" t="s">
        <v>383</v>
      </c>
      <c r="W113" s="12"/>
      <c r="X113" s="12">
        <v>1</v>
      </c>
      <c r="Y113" s="17" t="s">
        <v>648</v>
      </c>
      <c r="Z113" s="12" t="s">
        <v>399</v>
      </c>
      <c r="AA113" s="17" t="s">
        <v>386</v>
      </c>
      <c r="AB113" s="12">
        <v>1</v>
      </c>
      <c r="AC113" s="12" t="s">
        <v>824</v>
      </c>
      <c r="AD113" s="12">
        <v>61.1</v>
      </c>
      <c r="AE113" s="12" t="s">
        <v>399</v>
      </c>
      <c r="AF113" s="12" t="s">
        <v>985</v>
      </c>
      <c r="AG113" s="12">
        <v>10</v>
      </c>
      <c r="AH113" s="12" t="s">
        <v>748</v>
      </c>
      <c r="AI113" s="12"/>
      <c r="AJ113" s="12"/>
      <c r="AK113" s="12">
        <v>1</v>
      </c>
      <c r="AL113" s="12">
        <v>1</v>
      </c>
      <c r="AM113" s="17" t="s">
        <v>749</v>
      </c>
      <c r="AN113" s="12">
        <v>12.5</v>
      </c>
      <c r="AO113" s="12">
        <v>26</v>
      </c>
      <c r="AP113" s="12">
        <v>32.4</v>
      </c>
      <c r="AQ113" s="12">
        <v>15.8</v>
      </c>
      <c r="AR113" s="12"/>
      <c r="AS113"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3"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3"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3"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3"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3"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3"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3"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3"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3"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3"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3"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3"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3"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3"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3"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3"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3"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3"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3"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3"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3"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3"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3"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3"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3" s="6" t="s">
        <v>986</v>
      </c>
      <c r="BS113" s="27" t="s">
        <v>388</v>
      </c>
    </row>
    <row r="114" spans="1:71" ht="52.2" x14ac:dyDescent="0.3">
      <c r="A114" s="26" t="s">
        <v>152</v>
      </c>
      <c r="B114" s="14" t="s">
        <v>659</v>
      </c>
      <c r="C114" s="14" t="s">
        <v>432</v>
      </c>
      <c r="D114" s="14" t="s">
        <v>150</v>
      </c>
      <c r="E114" s="14" t="s">
        <v>739</v>
      </c>
      <c r="F114" s="14" t="s">
        <v>754</v>
      </c>
      <c r="G114" s="15" t="s">
        <v>0</v>
      </c>
      <c r="H114" s="16">
        <v>1</v>
      </c>
      <c r="I114" s="16" t="s">
        <v>381</v>
      </c>
      <c r="J114" s="16"/>
      <c r="K114" s="16">
        <v>1</v>
      </c>
      <c r="L114" s="16"/>
      <c r="M114" s="16">
        <v>1</v>
      </c>
      <c r="N114" s="16"/>
      <c r="O114" s="16">
        <v>1</v>
      </c>
      <c r="P114" s="16"/>
      <c r="Q114" s="16" t="s">
        <v>537</v>
      </c>
      <c r="R114" s="16"/>
      <c r="S114" s="16">
        <v>1</v>
      </c>
      <c r="T114" s="16"/>
      <c r="U114" s="16"/>
      <c r="V114" s="18" t="s">
        <v>383</v>
      </c>
      <c r="W114" s="16"/>
      <c r="X114" s="16">
        <v>1</v>
      </c>
      <c r="Y114" s="18" t="s">
        <v>648</v>
      </c>
      <c r="Z114" s="16" t="s">
        <v>399</v>
      </c>
      <c r="AA114" s="18" t="s">
        <v>386</v>
      </c>
      <c r="AB114" s="16"/>
      <c r="AC114" s="16"/>
      <c r="AD114" s="16"/>
      <c r="AE114" s="16" t="s">
        <v>399</v>
      </c>
      <c r="AF114" s="16" t="s">
        <v>987</v>
      </c>
      <c r="AG114" s="16">
        <v>6</v>
      </c>
      <c r="AH114" s="16" t="s">
        <v>748</v>
      </c>
      <c r="AI114" s="16"/>
      <c r="AJ114" s="16"/>
      <c r="AK114" s="16">
        <v>1</v>
      </c>
      <c r="AL114" s="16">
        <v>1</v>
      </c>
      <c r="AM114" s="18" t="s">
        <v>811</v>
      </c>
      <c r="AN114" s="16">
        <v>14.8</v>
      </c>
      <c r="AO114" s="16">
        <v>23.5</v>
      </c>
      <c r="AP114" s="16">
        <v>31</v>
      </c>
      <c r="AQ114" s="16">
        <v>16.2</v>
      </c>
      <c r="AR114" s="16"/>
      <c r="AS114"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4"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4"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4"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4"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4"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4"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4"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4"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4"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4"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4"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4"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4"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4"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4"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4"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4"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4"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4"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4"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4"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4"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4"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4"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4" s="6" t="s">
        <v>988</v>
      </c>
      <c r="BS114" s="27" t="s">
        <v>388</v>
      </c>
    </row>
    <row r="115" spans="1:71" ht="52.2" x14ac:dyDescent="0.3">
      <c r="A115" s="4" t="s">
        <v>153</v>
      </c>
      <c r="B115" s="5" t="s">
        <v>672</v>
      </c>
      <c r="C115" s="5" t="s">
        <v>525</v>
      </c>
      <c r="D115" s="5" t="s">
        <v>154</v>
      </c>
      <c r="E115" s="5" t="s">
        <v>739</v>
      </c>
      <c r="F115" s="5" t="s">
        <v>789</v>
      </c>
      <c r="G115" s="6" t="s">
        <v>0</v>
      </c>
      <c r="H115" s="12">
        <v>1</v>
      </c>
      <c r="I115" s="12" t="s">
        <v>381</v>
      </c>
      <c r="J115" s="12"/>
      <c r="K115" s="12">
        <v>1</v>
      </c>
      <c r="L115" s="12"/>
      <c r="M115" s="12">
        <v>1</v>
      </c>
      <c r="N115" s="12"/>
      <c r="O115" s="12">
        <v>1</v>
      </c>
      <c r="P115" s="12"/>
      <c r="Q115" s="12" t="s">
        <v>537</v>
      </c>
      <c r="R115" s="12"/>
      <c r="S115" s="12">
        <v>1</v>
      </c>
      <c r="T115" s="12" t="s">
        <v>713</v>
      </c>
      <c r="U115" s="12"/>
      <c r="V115" s="17" t="s">
        <v>383</v>
      </c>
      <c r="W115" s="12"/>
      <c r="X115" s="12">
        <v>1</v>
      </c>
      <c r="Y115" s="17" t="s">
        <v>648</v>
      </c>
      <c r="Z115" s="12" t="s">
        <v>399</v>
      </c>
      <c r="AA115" s="17" t="s">
        <v>416</v>
      </c>
      <c r="AB115" s="12"/>
      <c r="AC115" s="12"/>
      <c r="AD115" s="12"/>
      <c r="AE115" s="12" t="s">
        <v>444</v>
      </c>
      <c r="AF115" s="12" t="s">
        <v>989</v>
      </c>
      <c r="AG115" s="12">
        <v>5</v>
      </c>
      <c r="AH115" s="12" t="s">
        <v>742</v>
      </c>
      <c r="AI115" s="12">
        <v>1</v>
      </c>
      <c r="AJ115" s="12">
        <v>1</v>
      </c>
      <c r="AK115" s="12">
        <v>1</v>
      </c>
      <c r="AL115" s="12"/>
      <c r="AM115" s="17" t="s">
        <v>752</v>
      </c>
      <c r="AN115" s="12">
        <v>13.8</v>
      </c>
      <c r="AO115" s="12">
        <v>24.7</v>
      </c>
      <c r="AP115" s="12"/>
      <c r="AQ115" s="12">
        <v>17</v>
      </c>
      <c r="AR115" s="12"/>
      <c r="AS115"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5"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5"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5"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5"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5"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5"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5"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5"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5"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5"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5"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5"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5"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5"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5"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5"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5"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5"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5"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5"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5"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5"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5"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5"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5" s="6" t="s">
        <v>990</v>
      </c>
      <c r="BS115" s="27" t="s">
        <v>991</v>
      </c>
    </row>
    <row r="116" spans="1:71" ht="52.2" x14ac:dyDescent="0.3">
      <c r="A116" s="26" t="s">
        <v>155</v>
      </c>
      <c r="B116" s="14" t="s">
        <v>672</v>
      </c>
      <c r="C116" s="14" t="s">
        <v>525</v>
      </c>
      <c r="D116" s="14" t="s">
        <v>154</v>
      </c>
      <c r="E116" s="14" t="s">
        <v>739</v>
      </c>
      <c r="F116" s="14" t="s">
        <v>789</v>
      </c>
      <c r="G116" s="15" t="s">
        <v>0</v>
      </c>
      <c r="H116" s="16">
        <v>1</v>
      </c>
      <c r="I116" s="16" t="s">
        <v>381</v>
      </c>
      <c r="J116" s="16"/>
      <c r="K116" s="16">
        <v>1</v>
      </c>
      <c r="L116" s="16"/>
      <c r="M116" s="16">
        <v>1</v>
      </c>
      <c r="N116" s="16"/>
      <c r="O116" s="16">
        <v>1</v>
      </c>
      <c r="P116" s="16"/>
      <c r="Q116" s="16" t="s">
        <v>537</v>
      </c>
      <c r="R116" s="16"/>
      <c r="S116" s="16">
        <v>1</v>
      </c>
      <c r="T116" s="16" t="s">
        <v>713</v>
      </c>
      <c r="U116" s="16"/>
      <c r="V116" s="18" t="s">
        <v>383</v>
      </c>
      <c r="W116" s="16"/>
      <c r="X116" s="16">
        <v>1</v>
      </c>
      <c r="Y116" s="18" t="s">
        <v>648</v>
      </c>
      <c r="Z116" s="16" t="s">
        <v>399</v>
      </c>
      <c r="AA116" s="18" t="s">
        <v>416</v>
      </c>
      <c r="AB116" s="16"/>
      <c r="AC116" s="16"/>
      <c r="AD116" s="16"/>
      <c r="AE116" s="16" t="s">
        <v>408</v>
      </c>
      <c r="AF116" s="16" t="s">
        <v>904</v>
      </c>
      <c r="AG116" s="16">
        <v>7</v>
      </c>
      <c r="AH116" s="16" t="s">
        <v>742</v>
      </c>
      <c r="AI116" s="16"/>
      <c r="AJ116" s="16">
        <v>1</v>
      </c>
      <c r="AK116" s="16">
        <v>1</v>
      </c>
      <c r="AL116" s="16">
        <v>1</v>
      </c>
      <c r="AM116" s="18" t="s">
        <v>752</v>
      </c>
      <c r="AN116" s="16">
        <v>13.4</v>
      </c>
      <c r="AO116" s="16">
        <v>26</v>
      </c>
      <c r="AP116" s="16">
        <v>29.1</v>
      </c>
      <c r="AQ116" s="16">
        <v>19</v>
      </c>
      <c r="AR116" s="16"/>
      <c r="AS116"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6"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6"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6"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6"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6"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6"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6"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6"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6"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6"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6"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6"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6"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6"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6"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6"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6"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6"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6"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6"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6"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6"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6"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6"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6" s="6" t="s">
        <v>387</v>
      </c>
      <c r="BS116" s="27" t="s">
        <v>388</v>
      </c>
    </row>
    <row r="117" spans="1:71" ht="52.2" x14ac:dyDescent="0.3">
      <c r="A117" s="4" t="s">
        <v>156</v>
      </c>
      <c r="B117" s="5" t="s">
        <v>672</v>
      </c>
      <c r="C117" s="5" t="s">
        <v>525</v>
      </c>
      <c r="D117" s="5" t="s">
        <v>154</v>
      </c>
      <c r="E117" s="5" t="s">
        <v>739</v>
      </c>
      <c r="F117" s="5" t="s">
        <v>789</v>
      </c>
      <c r="G117" s="6" t="s">
        <v>0</v>
      </c>
      <c r="H117" s="12">
        <v>1</v>
      </c>
      <c r="I117" s="12" t="s">
        <v>381</v>
      </c>
      <c r="J117" s="12"/>
      <c r="K117" s="12">
        <v>1</v>
      </c>
      <c r="L117" s="12"/>
      <c r="M117" s="12">
        <v>1</v>
      </c>
      <c r="N117" s="12"/>
      <c r="O117" s="12">
        <v>1</v>
      </c>
      <c r="P117" s="12"/>
      <c r="Q117" s="12" t="s">
        <v>537</v>
      </c>
      <c r="R117" s="12"/>
      <c r="S117" s="12">
        <v>1</v>
      </c>
      <c r="T117" s="12" t="s">
        <v>713</v>
      </c>
      <c r="U117" s="12"/>
      <c r="V117" s="17" t="s">
        <v>383</v>
      </c>
      <c r="W117" s="12"/>
      <c r="X117" s="12">
        <v>1</v>
      </c>
      <c r="Y117" s="17" t="s">
        <v>648</v>
      </c>
      <c r="Z117" s="12" t="s">
        <v>399</v>
      </c>
      <c r="AA117" s="17" t="s">
        <v>416</v>
      </c>
      <c r="AB117" s="12"/>
      <c r="AC117" s="12"/>
      <c r="AD117" s="12"/>
      <c r="AE117" s="12" t="s">
        <v>399</v>
      </c>
      <c r="AF117" s="12" t="s">
        <v>992</v>
      </c>
      <c r="AG117" s="12">
        <v>5.5</v>
      </c>
      <c r="AH117" s="12" t="s">
        <v>742</v>
      </c>
      <c r="AI117" s="12"/>
      <c r="AJ117" s="12"/>
      <c r="AK117" s="12">
        <v>1</v>
      </c>
      <c r="AL117" s="12"/>
      <c r="AM117" s="17" t="s">
        <v>752</v>
      </c>
      <c r="AN117" s="12">
        <v>9.6</v>
      </c>
      <c r="AO117" s="12">
        <v>16.8</v>
      </c>
      <c r="AP117" s="12"/>
      <c r="AQ117" s="12">
        <v>12.3</v>
      </c>
      <c r="AR117" s="12"/>
      <c r="AS117"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0</v>
      </c>
      <c r="AT117"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7"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7"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7"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7"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7"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7"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7"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7"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7"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7"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7"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7"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7"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7"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7"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7"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7"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7"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7"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7"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0</v>
      </c>
      <c r="BO117"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0</v>
      </c>
      <c r="BP117"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7"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7" s="6" t="s">
        <v>990</v>
      </c>
      <c r="BS117" s="27" t="s">
        <v>388</v>
      </c>
    </row>
    <row r="118" spans="1:71" ht="52.2" x14ac:dyDescent="0.3">
      <c r="A118" s="30" t="s">
        <v>157</v>
      </c>
      <c r="B118" s="31" t="s">
        <v>676</v>
      </c>
      <c r="C118" s="31" t="s">
        <v>502</v>
      </c>
      <c r="D118" s="31" t="s">
        <v>158</v>
      </c>
      <c r="E118" s="31" t="s">
        <v>739</v>
      </c>
      <c r="F118" s="31" t="s">
        <v>789</v>
      </c>
      <c r="G118" s="32" t="s">
        <v>0</v>
      </c>
      <c r="H118" s="33">
        <v>1</v>
      </c>
      <c r="I118" s="33" t="s">
        <v>381</v>
      </c>
      <c r="J118" s="33"/>
      <c r="K118" s="33">
        <v>1</v>
      </c>
      <c r="L118" s="33"/>
      <c r="M118" s="33">
        <v>1</v>
      </c>
      <c r="N118" s="33"/>
      <c r="O118" s="33">
        <v>1</v>
      </c>
      <c r="P118" s="33"/>
      <c r="Q118" s="33"/>
      <c r="R118" s="33">
        <v>1</v>
      </c>
      <c r="S118" s="33"/>
      <c r="T118" s="33"/>
      <c r="U118" s="33"/>
      <c r="V118" s="34" t="s">
        <v>383</v>
      </c>
      <c r="W118" s="33"/>
      <c r="X118" s="33">
        <v>1</v>
      </c>
      <c r="Y118" s="34" t="s">
        <v>993</v>
      </c>
      <c r="Z118" s="33" t="s">
        <v>399</v>
      </c>
      <c r="AA118" s="34" t="s">
        <v>416</v>
      </c>
      <c r="AB118" s="33"/>
      <c r="AC118" s="33"/>
      <c r="AD118" s="33"/>
      <c r="AE118" s="33" t="s">
        <v>408</v>
      </c>
      <c r="AF118" s="33" t="s">
        <v>994</v>
      </c>
      <c r="AG118" s="33">
        <v>6.5</v>
      </c>
      <c r="AH118" s="33" t="s">
        <v>748</v>
      </c>
      <c r="AI118" s="33"/>
      <c r="AJ118" s="33"/>
      <c r="AK118" s="33">
        <v>1</v>
      </c>
      <c r="AL118" s="33">
        <v>1</v>
      </c>
      <c r="AM118" s="34" t="s">
        <v>749</v>
      </c>
      <c r="AN118" s="33">
        <v>13.8</v>
      </c>
      <c r="AO118" s="33">
        <v>25.5</v>
      </c>
      <c r="AP118" s="33">
        <v>30</v>
      </c>
      <c r="AQ118" s="33">
        <v>18.2</v>
      </c>
      <c r="AR118" s="33"/>
      <c r="AS118" s="20">
        <f>COUNTIFS(Table3[[#This Row],[Diamonds: Dimension Home to Pitchers Plate - m ]],Methods_Dimensions!H$21,Table3[[#This Row],[Diamonds: Dimension Home to Pitchers Plate - m ]],Methods_Dimensions!I$21,Table3[[#This Row],[Diamonds: Home to First Base Path - m ]],Methods_Dimensions!J$21,Table3[[#This Row],[Diamonds: Home to First Base Path - m ]],Methods_Dimensions!K$21)</f>
        <v>1</v>
      </c>
      <c r="AT118" s="20">
        <f>COUNTIFS(Table3[[#This Row],[Diamonds: Dimension Home to Pitchers Plate - m ]],Methods_Dimensions!H$22,Table3[[#This Row],[Diamonds: Dimension Home to Pitchers Plate - m ]],Methods_Dimensions!I$22,Table3[[#This Row],[Diamonds: Home to First Base Path - m ]],Methods_Dimensions!J$22,Table3[[#This Row],[Diamonds: Home to First Base Path - m ]],Methods_Dimensions!K$22)</f>
        <v>0</v>
      </c>
      <c r="AU118" s="20">
        <f>COUNTIFS(Table3[[#This Row],[Diamonds: Dimension Home to Pitchers Plate - m ]],Methods_Dimensions!H$23,Table3[[#This Row],[Diamonds: Dimension Home to Pitchers Plate - m ]],Methods_Dimensions!I$23,Table3[[#This Row],[Diamonds: Home to First Base Path - m ]],Methods_Dimensions!J$23,Table3[[#This Row],[Diamonds: Home to First Base Path - m ]],Methods_Dimensions!K$23)</f>
        <v>0</v>
      </c>
      <c r="AV118" s="20">
        <f>COUNTIFS(Table3[[#This Row],[Diamonds: Dimension Home to Pitchers Plate - m ]],Methods_Dimensions!H$24,Table3[[#This Row],[Diamonds: Dimension Home to Pitchers Plate - m ]],Methods_Dimensions!I$24,Table3[[#This Row],[Diamonds: Home to First Base Path - m ]],Methods_Dimensions!J$24,Table3[[#This Row],[Diamonds: Home to First Base Path - m ]],Methods_Dimensions!K$24)</f>
        <v>0</v>
      </c>
      <c r="AW118" s="20">
        <f>COUNTIFS(Table3[[#This Row],[Diamonds: Dimension Home to Pitchers Plate - m ]],Methods_Dimensions!H$25,Table3[[#This Row],[Diamonds: Dimension Home to Pitchers Plate - m ]],Methods_Dimensions!I$25,Table3[[#This Row],[Diamonds: Home to First Base Path - m ]],Methods_Dimensions!J$25,Table3[[#This Row],[Diamonds: Home to First Base Path - m ]],Methods_Dimensions!K$25)</f>
        <v>0</v>
      </c>
      <c r="AX118" s="20">
        <f>COUNTIFS(Table3[[#This Row],[Diamonds: Dimension Home to Pitchers Plate - m ]],Methods_Dimensions!H$26,Table3[[#This Row],[Diamonds: Dimension Home to Pitchers Plate - m ]],Methods_Dimensions!I$26,Table3[[#This Row],[Diamonds: Home to First Base Path - m ]],Methods_Dimensions!J$26,Table3[[#This Row],[Diamonds: Home to First Base Path - m ]],Methods_Dimensions!K$26)</f>
        <v>0</v>
      </c>
      <c r="AY118" s="20">
        <f>COUNTIFS(Table3[[#This Row],[Diamonds: Dimension Home to Pitchers Plate - m ]],Methods_Dimensions!H$27,Table3[[#This Row],[Diamonds: Dimension Home to Pitchers Plate - m ]],Methods_Dimensions!I$27,Table3[[#This Row],[Diamonds: Home to First Base Path - m ]],Methods_Dimensions!J$27,Table3[[#This Row],[Diamonds: Home to First Base Path - m ]],Methods_Dimensions!K$27)</f>
        <v>0</v>
      </c>
      <c r="AZ118" s="20">
        <f>COUNTIFS(Table3[[#This Row],[Diamonds: Dimension Home to Pitchers Plate - m ]],Methods_Dimensions!H$28,Table3[[#This Row],[Diamonds: Dimension Home to Pitchers Plate - m ]],Methods_Dimensions!I$28,Table3[[#This Row],[Diamonds: Home to First Base Path - m ]],Methods_Dimensions!J$28,Table3[[#This Row],[Diamonds: Home to First Base Path - m ]],Methods_Dimensions!K$28)</f>
        <v>0</v>
      </c>
      <c r="BA118" s="20">
        <f>COUNTIFS(Table3[[#This Row],[Diamonds: Dimension Home to Pitchers Plate - m ]],Methods_Dimensions!H$29,Table3[[#This Row],[Diamonds: Dimension Home to Pitchers Plate - m ]],Methods_Dimensions!I$29,Table3[[#This Row],[Diamonds: Home to First Base Path - m ]],Methods_Dimensions!J$29,Table3[[#This Row],[Diamonds: Home to First Base Path - m ]],Methods_Dimensions!K$29)</f>
        <v>0</v>
      </c>
      <c r="BB118" s="20">
        <f>COUNTIFS(Table3[[#This Row],[Diamonds: Dimension Home to Pitchers Plate - m ]],Methods_Dimensions!H$30,Table3[[#This Row],[Diamonds: Dimension Home to Pitchers Plate - m ]],Methods_Dimensions!I$30,Table3[[#This Row],[Diamonds: Home to First Base Path - m ]],Methods_Dimensions!J$30,Table3[[#This Row],[Diamonds: Home to First Base Path - m ]],Methods_Dimensions!K$30)</f>
        <v>0</v>
      </c>
      <c r="BC118" s="20">
        <f>COUNTIFS(Table3[[#This Row],[Diamonds: Dimension Home to Pitchers Plate - m ]],Methods_Dimensions!H$31,Table3[[#This Row],[Diamonds: Dimension Home to Pitchers Plate - m ]],Methods_Dimensions!I$31,Table3[[#This Row],[Diamonds: Home to First Base Path - m ]],Methods_Dimensions!J$31,Table3[[#This Row],[Diamonds: Home to First Base Path - m ]],Methods_Dimensions!K$31)</f>
        <v>0</v>
      </c>
      <c r="BD118" s="20">
        <f>COUNTIFS(Table3[[#This Row],[Diamonds: Dimension Home to Pitchers Plate - m ]],Methods_Dimensions!H$32,Table3[[#This Row],[Diamonds: Dimension Home to Pitchers Plate - m ]],Methods_Dimensions!I$32,Table3[[#This Row],[Diamonds: Home to First Base Path - m ]],Methods_Dimensions!J$32,Table3[[#This Row],[Diamonds: Home to First Base Path - m ]],Methods_Dimensions!K$32)</f>
        <v>0</v>
      </c>
      <c r="BE118" s="20">
        <f>COUNTIFS(Table3[[#This Row],[Diamonds: Dimension Home to Pitchers Plate - m ]],Methods_Dimensions!H$33,Table3[[#This Row],[Diamonds: Dimension Home to Pitchers Plate - m ]],Methods_Dimensions!I$33,Table3[[#This Row],[Diamonds: Home to First Base Path - m ]],Methods_Dimensions!J$33,Table3[[#This Row],[Diamonds: Home to First Base Path - m ]],Methods_Dimensions!K$33)</f>
        <v>0</v>
      </c>
      <c r="BF118" s="20">
        <f>COUNTIFS(Table3[[#This Row],[Diamonds: Dimension Home to Pitchers Plate - m ]],Methods_Dimensions!H$34,Table3[[#This Row],[Diamonds: Dimension Home to Pitchers Plate - m ]],Methods_Dimensions!I$34,Table3[[#This Row],[Diamonds: Home to First Base Path - m ]],Methods_Dimensions!J$34,Table3[[#This Row],[Diamonds: Home to First Base Path - m ]],Methods_Dimensions!K$34)</f>
        <v>0</v>
      </c>
      <c r="BG118" s="20">
        <f>COUNTIFS(Table3[[#This Row],[Diamonds: Dimension Home to Pitchers Plate - m ]],Methods_Dimensions!H$35,Table3[[#This Row],[Diamonds: Dimension Home to Pitchers Plate - m ]],Methods_Dimensions!I$35,Table3[[#This Row],[Diamonds: Home to First Base Path - m ]],Methods_Dimensions!J$35,Table3[[#This Row],[Diamonds: Home to First Base Path - m ]],Methods_Dimensions!K$35)</f>
        <v>0</v>
      </c>
      <c r="BH118" s="20">
        <f>COUNTIFS(Table3[[#This Row],[Diamonds: Dimension Home to Pitchers Plate - m ]],Methods_Dimensions!H$36,Table3[[#This Row],[Diamonds: Dimension Home to Pitchers Plate - m ]],Methods_Dimensions!I$36,Table3[[#This Row],[Diamonds: Home to First Base Path - m ]],Methods_Dimensions!J$36,Table3[[#This Row],[Diamonds: Home to First Base Path - m ]],Methods_Dimensions!K$36)</f>
        <v>0</v>
      </c>
      <c r="BI118" s="20">
        <f>COUNTIFS(Table3[[#This Row],[Diamonds: Dimension Home to Pitchers Plate - m ]],Methods_Dimensions!H$37,Table3[[#This Row],[Diamonds: Dimension Home to Pitchers Plate - m ]],Methods_Dimensions!I$37,Table3[[#This Row],[Diamonds: Home to First Base Path - m ]],Methods_Dimensions!J$37,Table3[[#This Row],[Diamonds: Home to First Base Path - m ]],Methods_Dimensions!K$37)</f>
        <v>0</v>
      </c>
      <c r="BJ118" s="20">
        <f>COUNTIFS(Table3[[#This Row],[Diamonds: Dimension Home to Pitchers Plate - m ]],Methods_Dimensions!H$38,Table3[[#This Row],[Diamonds: Dimension Home to Pitchers Plate - m ]],Methods_Dimensions!I$38,Table3[[#This Row],[Diamonds: Home to First Base Path - m ]],Methods_Dimensions!J$38,Table3[[#This Row],[Diamonds: Home to First Base Path - m ]],Methods_Dimensions!K$38)</f>
        <v>0</v>
      </c>
      <c r="BK118" s="20">
        <f>COUNTIFS(Table3[[#This Row],[Diamonds: Dimension Home to Pitchers Plate - m ]],Methods_Dimensions!H$39,Table3[[#This Row],[Diamonds: Dimension Home to Pitchers Plate - m ]],Methods_Dimensions!I$39,Table3[[#This Row],[Diamonds: Home to First Base Path - m ]],Methods_Dimensions!J$39,Table3[[#This Row],[Diamonds: Home to First Base Path - m ]],Methods_Dimensions!K$39)</f>
        <v>0</v>
      </c>
      <c r="BL118" s="20">
        <f>COUNTIFS(Table3[[#This Row],[Diamonds: Dimension Home to Pitchers Plate - m ]],Methods_Dimensions!H$40,Table3[[#This Row],[Diamonds: Dimension Home to Pitchers Plate - m ]],Methods_Dimensions!I$40,Table3[[#This Row],[Diamonds: Home to First Base Path - m ]],Methods_Dimensions!J$40,Table3[[#This Row],[Diamonds: Home to First Base Path - m ]],Methods_Dimensions!K$40)</f>
        <v>0</v>
      </c>
      <c r="BM118" s="20">
        <f>COUNTIFS(Table3[[#This Row],[Diamonds: Dimension Home to Pitchers Plate - m ]],Methods_Dimensions!H$41,Table3[[#This Row],[Diamonds: Dimension Home to Pitchers Plate - m ]],Methods_Dimensions!I$41,Table3[[#This Row],[Diamonds: Home to First Base Path - m ]],Methods_Dimensions!J$41,Table3[[#This Row],[Diamonds: Home to First Base Path - m ]],Methods_Dimensions!K$41)</f>
        <v>0</v>
      </c>
      <c r="BN118" s="20">
        <f>COUNTIFS(Table3[[#This Row],[Diamonds: Dimension Home to Pitchers Plate - m ]],Methods_Dimensions!H$42,Table3[[#This Row],[Diamonds: Dimension Home to Pitchers Plate - m ]],Methods_Dimensions!I$42,Table3[[#This Row],[Diamonds: Home to First Base Path - m ]],Methods_Dimensions!J$42,Table3[[#This Row],[Diamonds: Home to First Base Path - m ]],Methods_Dimensions!K$42)</f>
        <v>1</v>
      </c>
      <c r="BO118" s="20">
        <f>COUNTIFS(Table3[[#This Row],[Diamonds: Dimension Home to Pitchers Plate - m ]],Methods_Dimensions!H$43,Table3[[#This Row],[Diamonds: Dimension Home to Pitchers Plate - m ]],Methods_Dimensions!I$43,Table3[[#This Row],[Diamonds: Home to First Base Path - m ]],Methods_Dimensions!J$43,Table3[[#This Row],[Diamonds: Home to First Base Path - m ]],Methods_Dimensions!K$43)</f>
        <v>1</v>
      </c>
      <c r="BP118" s="20">
        <f>COUNTIFS(Table3[[#This Row],[Diamonds: Dimension Home to Pitchers Plate - m ]],Methods_Dimensions!H$44,Table3[[#This Row],[Diamonds: Dimension Home to Pitchers Plate - m ]],Methods_Dimensions!I$44,Table3[[#This Row],[Diamonds: Home to First Base Path - m ]],Methods_Dimensions!J$44,Table3[[#This Row],[Diamonds: Home to First Base Path - m ]],Methods_Dimensions!K$44)</f>
        <v>0</v>
      </c>
      <c r="BQ118" s="20">
        <f>COUNTIFS(Table3[[#This Row],[Diamonds: Dimension Home to Pitchers Plate - m ]],Methods_Dimensions!H$45,Table3[[#This Row],[Diamonds: Dimension Home to Pitchers Plate - m ]],Methods_Dimensions!I$45,Table3[[#This Row],[Diamonds: Home to First Base Path - m ]],Methods_Dimensions!J$45,Table3[[#This Row],[Diamonds: Home to First Base Path - m ]],Methods_Dimensions!K$45)</f>
        <v>0</v>
      </c>
      <c r="BR118" s="7" t="s">
        <v>995</v>
      </c>
      <c r="BS118" s="35" t="s">
        <v>388</v>
      </c>
    </row>
    <row r="119" spans="1:71" ht="17.399999999999999" x14ac:dyDescent="0.3">
      <c r="A119" s="30"/>
      <c r="B119" s="31"/>
      <c r="C119" s="31"/>
      <c r="D119" s="31"/>
      <c r="E119" s="31"/>
      <c r="F119" s="31"/>
      <c r="G119" s="32"/>
      <c r="H119" s="33"/>
      <c r="I119" s="33"/>
      <c r="J119" s="33"/>
      <c r="K119" s="33"/>
      <c r="L119" s="33"/>
      <c r="M119" s="33"/>
      <c r="N119" s="33"/>
      <c r="O119" s="33"/>
      <c r="P119" s="33"/>
      <c r="Q119" s="33"/>
      <c r="R119" s="33"/>
      <c r="S119" s="33"/>
      <c r="T119" s="33"/>
      <c r="U119" s="33"/>
      <c r="V119" s="34"/>
      <c r="W119" s="33"/>
      <c r="X119" s="33"/>
      <c r="Y119" s="34"/>
      <c r="Z119" s="33"/>
      <c r="AA119" s="34"/>
      <c r="AB119" s="33"/>
      <c r="AC119" s="33"/>
      <c r="AD119" s="33"/>
      <c r="AE119" s="33"/>
      <c r="AF119" s="33"/>
      <c r="AG119" s="33"/>
      <c r="AH119" s="33"/>
      <c r="AI119" s="64"/>
      <c r="AJ119" s="64"/>
      <c r="AK119" s="64"/>
      <c r="AL119" s="64"/>
      <c r="AM119" s="64"/>
      <c r="AN119" s="64"/>
      <c r="AO119" s="64"/>
      <c r="AP119" s="64"/>
      <c r="AQ119" s="64"/>
      <c r="AR119" s="64">
        <f>SUM(Table3[Diamonds: Base Anchors or Plug  (1= Yes)])</f>
        <v>38</v>
      </c>
      <c r="AS119" s="64">
        <f>SUM(Table3[Sofball Male - Masters U23, U20, u17 (1= Yes)])</f>
        <v>18</v>
      </c>
      <c r="AT119" s="64">
        <f>SUM(Table3[Softball Men - U15 (1= Yes)])</f>
        <v>8</v>
      </c>
      <c r="AU119" s="64">
        <f>SUM(Table3[Softball Men - U13 (1= Yes)])</f>
        <v>0</v>
      </c>
      <c r="AV119" s="64">
        <f>SUM(Table3[Softball Men - U11 (1= Yes)])</f>
        <v>0</v>
      </c>
      <c r="AW119" s="64">
        <f>SUM(Table3[Softball Men - U9, U7 (1= Yes)])</f>
        <v>0</v>
      </c>
      <c r="AX119" s="64">
        <f>SUM(Table3[Softball Female - Masters (1= Yes)])</f>
        <v>7</v>
      </c>
      <c r="AY119" s="64">
        <f>SUM(Table3[Softball Female - A,B, &amp;C  (1= Yes)])</f>
        <v>7</v>
      </c>
      <c r="AZ119" s="64">
        <f>SUM(Table3[Softball Female - D  (1= Yes)])</f>
        <v>3</v>
      </c>
      <c r="BA119" s="64">
        <f>SUM(Table3[Softball Female - U19 A &amp; B  (1= Yes)])</f>
        <v>7</v>
      </c>
      <c r="BB119" s="64">
        <f>SUM(Table3[Softball Female - U20 C (1= Yes)])</f>
        <v>7</v>
      </c>
      <c r="BC119" s="64">
        <f>SUM(Table3[Softball Female - U17 (1= Yes)])</f>
        <v>7</v>
      </c>
      <c r="BD119" s="64">
        <f>SUM(Table3[Softball Female - U15 (1= Yes)])</f>
        <v>3</v>
      </c>
      <c r="BE119" s="64">
        <f>SUM(Table3[Softball Female - U13 (1= Yes)])</f>
        <v>0</v>
      </c>
      <c r="BF119" s="64">
        <f>SUM(Table3[Softball Female - U11 (1= Yes)])</f>
        <v>0</v>
      </c>
      <c r="BG119" s="64">
        <f>SUM(Table3[Softball Female - U9, U7 (1= Yes)])</f>
        <v>0</v>
      </c>
      <c r="BH119" s="64">
        <f>SUM(Table3[Slo - Pitch - Mens (1= Yes)])</f>
        <v>0</v>
      </c>
      <c r="BI119" s="64">
        <f>SUM(Table3[Slo - Pitch - Womens (1= Yes)])</f>
        <v>1</v>
      </c>
      <c r="BJ119" s="64">
        <f>SUM(Table3[Slo - Pitch - Co-Ed (1= Yes)])</f>
        <v>1</v>
      </c>
      <c r="BK119" s="64">
        <f>SUM(Table3[Baseball - U18 (1= Yes)])</f>
        <v>2</v>
      </c>
      <c r="BL119" s="64">
        <f>SUM(Table3[Baseball - U15 (1= Yes)])</f>
        <v>2</v>
      </c>
      <c r="BM119" s="64">
        <f>SUM(Table3[Baseball - U13 (1= Yes)])</f>
        <v>1</v>
      </c>
      <c r="BN119" s="64">
        <f>SUM(Table3[Baseball - U10 &amp; U11 (1= Yes)])</f>
        <v>18</v>
      </c>
      <c r="BO119" s="64">
        <f>SUM(Table3[Baseball - U9 (1= Yes)])</f>
        <v>18</v>
      </c>
      <c r="BP119" s="64">
        <f>SUM(Table3[Baseball - U9 2 (1= Yes)])</f>
        <v>8</v>
      </c>
      <c r="BQ119" s="64">
        <f>SUM(Table3[Baseball - U7 (1= Yes)])</f>
        <v>0</v>
      </c>
      <c r="BR119" s="7"/>
      <c r="BS119" s="35"/>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6A47-AB1C-4F32-A34C-4FC74DB19E26}">
  <dimension ref="A1:AY153"/>
  <sheetViews>
    <sheetView zoomScale="75" zoomScaleNormal="75" workbookViewId="0">
      <pane xSplit="1" topLeftCell="B1" activePane="topRight" state="frozen"/>
      <selection pane="topRight" activeCell="AT8" sqref="AT8"/>
    </sheetView>
  </sheetViews>
  <sheetFormatPr defaultRowHeight="14.4" x14ac:dyDescent="0.3"/>
  <cols>
    <col min="1" max="1" width="46.5546875" customWidth="1"/>
    <col min="2" max="2" width="27.33203125" customWidth="1"/>
    <col min="3" max="3" width="26.33203125" customWidth="1"/>
    <col min="4" max="4" width="24.5546875" customWidth="1"/>
    <col min="5" max="5" width="20" customWidth="1"/>
    <col min="6" max="6" width="23.33203125" customWidth="1"/>
    <col min="7" max="7" width="19.5546875" customWidth="1"/>
    <col min="8" max="8" width="29.109375" customWidth="1"/>
    <col min="9" max="9" width="32" customWidth="1"/>
    <col min="10" max="10" width="22.109375" customWidth="1"/>
    <col min="11" max="11" width="23.44140625" customWidth="1"/>
    <col min="12" max="12" width="16.6640625" customWidth="1"/>
    <col min="13" max="13" width="36.109375" customWidth="1"/>
    <col min="14" max="14" width="28.109375" customWidth="1"/>
    <col min="15" max="15" width="17.88671875" customWidth="1"/>
    <col min="16" max="16" width="21.44140625" customWidth="1"/>
    <col min="17" max="17" width="17.44140625" customWidth="1"/>
    <col min="18" max="18" width="19.33203125" customWidth="1"/>
    <col min="19" max="19" width="14" customWidth="1"/>
    <col min="20" max="20" width="17.5546875" customWidth="1"/>
    <col min="21" max="21" width="16.5546875" customWidth="1"/>
    <col min="22" max="22" width="23.44140625" customWidth="1"/>
    <col min="23" max="23" width="19" customWidth="1"/>
    <col min="24" max="24" width="16.44140625" customWidth="1"/>
    <col min="25" max="25" width="19.109375" customWidth="1"/>
    <col min="26" max="26" width="18.88671875" customWidth="1"/>
    <col min="27" max="27" width="27.5546875" customWidth="1"/>
    <col min="28" max="28" width="27.109375" customWidth="1"/>
    <col min="29" max="29" width="28.33203125" customWidth="1"/>
    <col min="30" max="30" width="36.109375" customWidth="1"/>
    <col min="31" max="31" width="32.44140625" customWidth="1"/>
    <col min="32" max="32" width="20.5546875" customWidth="1"/>
    <col min="33" max="33" width="29.6640625" style="19" customWidth="1"/>
    <col min="34" max="34" width="27.6640625" customWidth="1"/>
    <col min="35" max="36" width="28.109375" customWidth="1"/>
    <col min="37" max="37" width="20.5546875" customWidth="1"/>
    <col min="38" max="38" width="15.44140625" customWidth="1"/>
    <col min="39" max="39" width="18.88671875" customWidth="1"/>
    <col min="40" max="40" width="20.6640625" customWidth="1"/>
    <col min="41" max="41" width="20.5546875" customWidth="1"/>
    <col min="42" max="42" width="15.88671875" customWidth="1"/>
    <col min="43" max="43" width="18.44140625" customWidth="1"/>
    <col min="44" max="44" width="10.6640625" customWidth="1"/>
    <col min="45" max="45" width="9.6640625" customWidth="1"/>
    <col min="46" max="46" width="16.6640625" customWidth="1"/>
    <col min="47" max="47" width="11" customWidth="1"/>
    <col min="48" max="48" width="14.5546875" customWidth="1"/>
    <col min="49" max="49" width="17.6640625" customWidth="1"/>
    <col min="50" max="50" width="39.88671875" style="19" customWidth="1"/>
    <col min="51" max="51" width="46.5546875" style="19" customWidth="1"/>
  </cols>
  <sheetData>
    <row r="1" spans="1:51" ht="52.2" x14ac:dyDescent="0.3">
      <c r="A1" s="25" t="s">
        <v>328</v>
      </c>
      <c r="B1" s="13" t="s">
        <v>329</v>
      </c>
      <c r="C1" s="13" t="s">
        <v>330</v>
      </c>
      <c r="D1" s="13" t="s">
        <v>331</v>
      </c>
      <c r="E1" s="13" t="s">
        <v>332</v>
      </c>
      <c r="F1" s="13" t="s">
        <v>678</v>
      </c>
      <c r="G1" s="13" t="s">
        <v>333</v>
      </c>
      <c r="H1" s="13" t="s">
        <v>334</v>
      </c>
      <c r="I1" s="13" t="s">
        <v>335</v>
      </c>
      <c r="J1" s="13" t="s">
        <v>336</v>
      </c>
      <c r="K1" s="13" t="s">
        <v>337</v>
      </c>
      <c r="L1" s="13" t="s">
        <v>338</v>
      </c>
      <c r="M1" s="13" t="s">
        <v>339</v>
      </c>
      <c r="N1" s="13" t="s">
        <v>340</v>
      </c>
      <c r="O1" s="13" t="s">
        <v>341</v>
      </c>
      <c r="P1" s="13" t="s">
        <v>342</v>
      </c>
      <c r="Q1" s="13" t="s">
        <v>343</v>
      </c>
      <c r="R1" s="13" t="s">
        <v>344</v>
      </c>
      <c r="S1" s="13" t="s">
        <v>345</v>
      </c>
      <c r="T1" s="13" t="s">
        <v>346</v>
      </c>
      <c r="U1" s="13" t="s">
        <v>347</v>
      </c>
      <c r="V1" s="13" t="s">
        <v>348</v>
      </c>
      <c r="W1" s="13" t="s">
        <v>349</v>
      </c>
      <c r="X1" s="13" t="s">
        <v>350</v>
      </c>
      <c r="Y1" s="13" t="s">
        <v>351</v>
      </c>
      <c r="Z1" s="13" t="s">
        <v>352</v>
      </c>
      <c r="AA1" s="13" t="s">
        <v>353</v>
      </c>
      <c r="AB1" s="13" t="s">
        <v>354</v>
      </c>
      <c r="AC1" s="13" t="s">
        <v>355</v>
      </c>
      <c r="AD1" s="13" t="s">
        <v>356</v>
      </c>
      <c r="AE1" s="13" t="s">
        <v>357</v>
      </c>
      <c r="AF1" s="13" t="s">
        <v>358</v>
      </c>
      <c r="AG1" s="13" t="s">
        <v>359</v>
      </c>
      <c r="AH1" s="13" t="s">
        <v>360</v>
      </c>
      <c r="AI1" s="13" t="s">
        <v>361</v>
      </c>
      <c r="AJ1" s="113" t="s">
        <v>362</v>
      </c>
      <c r="AK1" s="9" t="s">
        <v>363</v>
      </c>
      <c r="AL1" s="9" t="s">
        <v>364</v>
      </c>
      <c r="AM1" s="9" t="s">
        <v>365</v>
      </c>
      <c r="AN1" s="9" t="s">
        <v>366</v>
      </c>
      <c r="AO1" s="9" t="s">
        <v>367</v>
      </c>
      <c r="AP1" s="9" t="s">
        <v>368</v>
      </c>
      <c r="AQ1" s="9" t="s">
        <v>369</v>
      </c>
      <c r="AR1" s="9" t="s">
        <v>370</v>
      </c>
      <c r="AS1" s="9" t="s">
        <v>371</v>
      </c>
      <c r="AT1" s="9" t="s">
        <v>372</v>
      </c>
      <c r="AU1" s="9" t="s">
        <v>373</v>
      </c>
      <c r="AV1" s="9" t="s">
        <v>374</v>
      </c>
      <c r="AW1" s="9" t="s">
        <v>375</v>
      </c>
      <c r="AX1" s="24" t="s">
        <v>376</v>
      </c>
      <c r="AY1" s="24" t="s">
        <v>377</v>
      </c>
    </row>
    <row r="2" spans="1:51" ht="34.799999999999997" x14ac:dyDescent="0.3">
      <c r="A2" s="26" t="s">
        <v>160</v>
      </c>
      <c r="B2" s="14" t="s">
        <v>378</v>
      </c>
      <c r="C2" s="14" t="s">
        <v>379</v>
      </c>
      <c r="D2" s="14" t="s">
        <v>380</v>
      </c>
      <c r="E2" s="14" t="s">
        <v>1271</v>
      </c>
      <c r="F2" s="14" t="s">
        <v>740</v>
      </c>
      <c r="G2" s="15" t="s">
        <v>159</v>
      </c>
      <c r="H2" s="16">
        <v>100</v>
      </c>
      <c r="I2" s="16">
        <v>71</v>
      </c>
      <c r="J2" s="36">
        <v>7100</v>
      </c>
      <c r="K2" s="16"/>
      <c r="L2" s="16" t="s">
        <v>381</v>
      </c>
      <c r="M2" s="16">
        <v>1</v>
      </c>
      <c r="N2" s="16"/>
      <c r="O2" s="16"/>
      <c r="P2" s="16">
        <v>1</v>
      </c>
      <c r="Q2" s="16">
        <v>1</v>
      </c>
      <c r="R2" s="16">
        <v>1</v>
      </c>
      <c r="S2" s="16">
        <v>1</v>
      </c>
      <c r="T2" s="16"/>
      <c r="U2" s="16"/>
      <c r="V2" s="16"/>
      <c r="W2" s="18" t="s">
        <v>382</v>
      </c>
      <c r="X2" s="16">
        <v>1</v>
      </c>
      <c r="Y2" s="16"/>
      <c r="Z2" s="16">
        <v>1</v>
      </c>
      <c r="AA2" s="16"/>
      <c r="AB2" s="18" t="s">
        <v>383</v>
      </c>
      <c r="AC2" s="18"/>
      <c r="AD2" s="16">
        <v>1</v>
      </c>
      <c r="AE2" s="18" t="s">
        <v>384</v>
      </c>
      <c r="AF2" s="16" t="s">
        <v>385</v>
      </c>
      <c r="AG2" s="18" t="s">
        <v>386</v>
      </c>
      <c r="AH2" s="16"/>
      <c r="AI2" s="16"/>
      <c r="AJ2" s="16">
        <f>SUM(Table4[[#This Row],[Soccer/U7 (Yes=1)]:[Ultimate Frisbee (Yes=1)]])</f>
        <v>5</v>
      </c>
      <c r="AK2" s="10"/>
      <c r="AL2" s="10">
        <f>COUNTIFS(Table4[[#This Row],[Rectangular Field Dimension: Width - m ]],Methods_Dimensions!H$8,Table4[[#This Row],[Rectangular Field Dimension: Length - m ]],Methods_Dimensions!J$8)</f>
        <v>1</v>
      </c>
      <c r="AM2" s="10">
        <f>COUNTIFS(Table4[[#This Row],[Rectangular Field Dimension: Length - m ]],Methods_Dimensions!J$9,Table4[[#This Row],[Rectangular Field Dimension: Width - m ]],Methods_Dimensions!H$9)</f>
        <v>1</v>
      </c>
      <c r="AN2" s="10">
        <f>COUNTIFS(Table4[[#This Row],[Rectangular Field Dimension: Length - m ]],Methods_Dimensions!J$10,Table4[[#This Row],[Rectangular Field Dimension: Width - m ]],Methods_Dimensions!H$10)</f>
        <v>1</v>
      </c>
      <c r="AO2" s="10">
        <f>COUNTIFS(Table4[[#This Row],[Rectangular Field Dimension: Length - m ]],Methods_Dimensions!J$11,Table4[[#This Row],[Rectangular Field Dimension: Width - m ]],Methods_Dimensions!H$11)</f>
        <v>1</v>
      </c>
      <c r="AP2" s="10">
        <f>COUNTIFS(Table4[[#This Row],[Rectangular Field Dimension: Length - m ]],Methods_Dimensions!J$12,Table4[[#This Row],[Rectangular Field Dimension: Width - m ]],Methods_Dimensions!H$12)</f>
        <v>1</v>
      </c>
      <c r="AQ2" s="10">
        <f>COUNTIFS(Table4[[#This Row],[Rectangular Field Dimension: Length - m ]],Methods_Dimensions!J$13,Table4[[#This Row],[Rectangular Field Dimension: Width - m ]],Methods_Dimensions!H$13)</f>
        <v>0</v>
      </c>
      <c r="AR2" s="10">
        <f>COUNTIFS(Table4[[#This Row],[Rectangular Field Dimension: Length - m ]],Methods_Dimensions!J$14,Table4[[#This Row],[Rectangular Field Dimension: Width - m ]],Methods_Dimensions!H$14)</f>
        <v>0</v>
      </c>
      <c r="AS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 s="10">
        <f>COUNTIFS(Table4[[#This Row],[Rectangular Field Dimension: Length - m ]],Methods_Dimensions!J$16,Table4[[#This Row],[Rectangular Field Dimension: Width - m ]],Methods_Dimensions!H$16)</f>
        <v>0</v>
      </c>
      <c r="AU2" s="10">
        <f>COUNTIFS(Table4[[#This Row],[Rectangular Field Dimension: Length - m ]],Methods_Dimensions!J$17,Table4[[#This Row],[Rectangular Field Dimension: Width - m ]],Methods_Dimensions!H$17)</f>
        <v>0</v>
      </c>
      <c r="AV2" s="10">
        <f>COUNTIFS(Table4[[#This Row],[Rectangular Field Dimension: Length - m ]],Methods_Dimensions!J$18,Table4[[#This Row],[Rectangular Field Dimension: Width - m ]],Methods_Dimensions!H$18)</f>
        <v>0</v>
      </c>
      <c r="AW2" s="10">
        <f>COUNTIFS(Table4[[#This Row],[Rectangular Field Dimension: Length - m ]],Methods_Dimensions!J$19,Table4[[#This Row],[Rectangular Field Dimension: Width - m ]],Methods_Dimensions!H$19)</f>
        <v>0</v>
      </c>
      <c r="AX2" s="6" t="s">
        <v>387</v>
      </c>
      <c r="AY2" s="6" t="s">
        <v>388</v>
      </c>
    </row>
    <row r="3" spans="1:51" ht="34.799999999999997" x14ac:dyDescent="0.3">
      <c r="A3" s="4" t="s">
        <v>161</v>
      </c>
      <c r="B3" s="5" t="s">
        <v>378</v>
      </c>
      <c r="C3" s="5" t="s">
        <v>379</v>
      </c>
      <c r="D3" s="5" t="s">
        <v>380</v>
      </c>
      <c r="E3" s="5" t="s">
        <v>1271</v>
      </c>
      <c r="F3" s="5" t="s">
        <v>740</v>
      </c>
      <c r="G3" s="6" t="s">
        <v>159</v>
      </c>
      <c r="H3" s="12">
        <v>110</v>
      </c>
      <c r="I3" s="12">
        <v>151</v>
      </c>
      <c r="J3" s="37">
        <v>16610</v>
      </c>
      <c r="K3" s="12">
        <v>1</v>
      </c>
      <c r="L3" s="12" t="s">
        <v>389</v>
      </c>
      <c r="M3" s="12"/>
      <c r="N3" s="12">
        <v>1</v>
      </c>
      <c r="O3" s="12"/>
      <c r="P3" s="12">
        <v>1</v>
      </c>
      <c r="Q3" s="12">
        <v>1</v>
      </c>
      <c r="R3" s="12">
        <v>1</v>
      </c>
      <c r="S3" s="12">
        <v>1</v>
      </c>
      <c r="T3" s="12"/>
      <c r="U3" s="12"/>
      <c r="V3" s="12"/>
      <c r="W3" s="17"/>
      <c r="X3" s="12">
        <v>1</v>
      </c>
      <c r="Y3" s="12"/>
      <c r="Z3" s="12">
        <v>1</v>
      </c>
      <c r="AA3" s="12"/>
      <c r="AB3" s="17" t="s">
        <v>383</v>
      </c>
      <c r="AC3" s="17"/>
      <c r="AD3" s="12">
        <v>1</v>
      </c>
      <c r="AE3" s="17" t="s">
        <v>384</v>
      </c>
      <c r="AF3" s="12" t="s">
        <v>385</v>
      </c>
      <c r="AG3" s="17" t="s">
        <v>386</v>
      </c>
      <c r="AH3" s="12"/>
      <c r="AI3" s="12"/>
      <c r="AJ3" s="12">
        <f>SUM(Table4[[#This Row],[Soccer/U7 (Yes=1)]:[Ultimate Frisbee (Yes=1)]])</f>
        <v>6</v>
      </c>
      <c r="AK3" s="10"/>
      <c r="AL3" s="10">
        <f>COUNTIFS(Table4[[#This Row],[Rectangular Field Dimension: Width - m ]],Methods_Dimensions!H$8,Table4[[#This Row],[Rectangular Field Dimension: Length - m ]],Methods_Dimensions!J$8)</f>
        <v>1</v>
      </c>
      <c r="AM3" s="10">
        <f>COUNTIFS(Table4[[#This Row],[Rectangular Field Dimension: Length - m ]],Methods_Dimensions!J$9,Table4[[#This Row],[Rectangular Field Dimension: Width - m ]],Methods_Dimensions!H$9)</f>
        <v>1</v>
      </c>
      <c r="AN3" s="10">
        <f>COUNTIFS(Table4[[#This Row],[Rectangular Field Dimension: Length - m ]],Methods_Dimensions!J$10,Table4[[#This Row],[Rectangular Field Dimension: Width - m ]],Methods_Dimensions!H$10)</f>
        <v>1</v>
      </c>
      <c r="AO3" s="10">
        <f>COUNTIFS(Table4[[#This Row],[Rectangular Field Dimension: Length - m ]],Methods_Dimensions!J$11,Table4[[#This Row],[Rectangular Field Dimension: Width - m ]],Methods_Dimensions!H$11)</f>
        <v>1</v>
      </c>
      <c r="AP3" s="10">
        <f>COUNTIFS(Table4[[#This Row],[Rectangular Field Dimension: Length - m ]],Methods_Dimensions!J$12,Table4[[#This Row],[Rectangular Field Dimension: Width - m ]],Methods_Dimensions!H$12)</f>
        <v>1</v>
      </c>
      <c r="AQ3" s="10">
        <f>COUNTIFS(Table4[[#This Row],[Rectangular Field Dimension: Length - m ]],Methods_Dimensions!J$13,Table4[[#This Row],[Rectangular Field Dimension: Width - m ]],Methods_Dimensions!H$13)</f>
        <v>0</v>
      </c>
      <c r="AR3" s="10">
        <f>COUNTIFS(Table4[[#This Row],[Rectangular Field Dimension: Length - m ]],Methods_Dimensions!J$14,Table4[[#This Row],[Rectangular Field Dimension: Width - m ]],Methods_Dimensions!H$14)</f>
        <v>0</v>
      </c>
      <c r="AS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 s="10">
        <f>COUNTIFS(Table4[[#This Row],[Rectangular Field Dimension: Length - m ]],Methods_Dimensions!J$16,Table4[[#This Row],[Rectangular Field Dimension: Width - m ]],Methods_Dimensions!H$16)</f>
        <v>0</v>
      </c>
      <c r="AU3" s="10">
        <f>COUNTIFS(Table4[[#This Row],[Rectangular Field Dimension: Length - m ]],Methods_Dimensions!J$17,Table4[[#This Row],[Rectangular Field Dimension: Width - m ]],Methods_Dimensions!H$17)</f>
        <v>0</v>
      </c>
      <c r="AV3" s="10">
        <f>COUNTIFS(Table4[[#This Row],[Rectangular Field Dimension: Length - m ]],Methods_Dimensions!J$18,Table4[[#This Row],[Rectangular Field Dimension: Width - m ]],Methods_Dimensions!H$18)</f>
        <v>0</v>
      </c>
      <c r="AW3" s="10">
        <f>COUNTIFS(Table4[[#This Row],[Rectangular Field Dimension: Length - m ]],Methods_Dimensions!J$19,Table4[[#This Row],[Rectangular Field Dimension: Width - m ]],Methods_Dimensions!H$19)</f>
        <v>1</v>
      </c>
      <c r="AX3" s="6" t="s">
        <v>387</v>
      </c>
      <c r="AY3" s="6" t="s">
        <v>388</v>
      </c>
    </row>
    <row r="4" spans="1:51" ht="34.799999999999997" x14ac:dyDescent="0.3">
      <c r="A4" s="26" t="s">
        <v>162</v>
      </c>
      <c r="B4" s="14" t="s">
        <v>378</v>
      </c>
      <c r="C4" s="14" t="s">
        <v>379</v>
      </c>
      <c r="D4" s="14" t="s">
        <v>380</v>
      </c>
      <c r="E4" s="14" t="s">
        <v>1271</v>
      </c>
      <c r="F4" s="14" t="s">
        <v>740</v>
      </c>
      <c r="G4" s="15" t="s">
        <v>159</v>
      </c>
      <c r="H4" s="16">
        <v>110</v>
      </c>
      <c r="I4" s="16">
        <v>151</v>
      </c>
      <c r="J4" s="36">
        <v>16610</v>
      </c>
      <c r="K4" s="16">
        <v>1</v>
      </c>
      <c r="L4" s="16" t="s">
        <v>381</v>
      </c>
      <c r="M4" s="16">
        <v>1</v>
      </c>
      <c r="N4" s="16"/>
      <c r="O4" s="16"/>
      <c r="P4" s="16">
        <v>1</v>
      </c>
      <c r="Q4" s="16">
        <v>1</v>
      </c>
      <c r="R4" s="16">
        <v>1</v>
      </c>
      <c r="S4" s="16">
        <v>1</v>
      </c>
      <c r="T4" s="16"/>
      <c r="U4" s="16"/>
      <c r="V4" s="16"/>
      <c r="W4" s="18"/>
      <c r="X4" s="16">
        <v>1</v>
      </c>
      <c r="Y4" s="16"/>
      <c r="Z4" s="16">
        <v>1</v>
      </c>
      <c r="AA4" s="16"/>
      <c r="AB4" s="18" t="s">
        <v>383</v>
      </c>
      <c r="AC4" s="18"/>
      <c r="AD4" s="16">
        <v>1</v>
      </c>
      <c r="AE4" s="18" t="s">
        <v>384</v>
      </c>
      <c r="AF4" s="16" t="s">
        <v>385</v>
      </c>
      <c r="AG4" s="18" t="s">
        <v>386</v>
      </c>
      <c r="AH4" s="16"/>
      <c r="AI4" s="16"/>
      <c r="AJ4" s="16">
        <f>SUM(Table4[[#This Row],[Soccer/U7 (Yes=1)]:[Ultimate Frisbee (Yes=1)]])</f>
        <v>6</v>
      </c>
      <c r="AK4" s="10"/>
      <c r="AL4" s="10">
        <f>COUNTIFS(Table4[[#This Row],[Rectangular Field Dimension: Width - m ]],Methods_Dimensions!H$8,Table4[[#This Row],[Rectangular Field Dimension: Length - m ]],Methods_Dimensions!J$8)</f>
        <v>1</v>
      </c>
      <c r="AM4" s="10">
        <f>COUNTIFS(Table4[[#This Row],[Rectangular Field Dimension: Length - m ]],Methods_Dimensions!J$9,Table4[[#This Row],[Rectangular Field Dimension: Width - m ]],Methods_Dimensions!H$9)</f>
        <v>1</v>
      </c>
      <c r="AN4" s="10">
        <f>COUNTIFS(Table4[[#This Row],[Rectangular Field Dimension: Length - m ]],Methods_Dimensions!J$10,Table4[[#This Row],[Rectangular Field Dimension: Width - m ]],Methods_Dimensions!H$10)</f>
        <v>1</v>
      </c>
      <c r="AO4" s="10">
        <f>COUNTIFS(Table4[[#This Row],[Rectangular Field Dimension: Length - m ]],Methods_Dimensions!J$11,Table4[[#This Row],[Rectangular Field Dimension: Width - m ]],Methods_Dimensions!H$11)</f>
        <v>1</v>
      </c>
      <c r="AP4" s="10">
        <f>COUNTIFS(Table4[[#This Row],[Rectangular Field Dimension: Length - m ]],Methods_Dimensions!J$12,Table4[[#This Row],[Rectangular Field Dimension: Width - m ]],Methods_Dimensions!H$12)</f>
        <v>1</v>
      </c>
      <c r="AQ4" s="10">
        <f>COUNTIFS(Table4[[#This Row],[Rectangular Field Dimension: Length - m ]],Methods_Dimensions!J$13,Table4[[#This Row],[Rectangular Field Dimension: Width - m ]],Methods_Dimensions!H$13)</f>
        <v>0</v>
      </c>
      <c r="AR4" s="10">
        <f>COUNTIFS(Table4[[#This Row],[Rectangular Field Dimension: Length - m ]],Methods_Dimensions!J$14,Table4[[#This Row],[Rectangular Field Dimension: Width - m ]],Methods_Dimensions!H$14)</f>
        <v>0</v>
      </c>
      <c r="AS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 s="10">
        <f>COUNTIFS(Table4[[#This Row],[Rectangular Field Dimension: Length - m ]],Methods_Dimensions!J$16,Table4[[#This Row],[Rectangular Field Dimension: Width - m ]],Methods_Dimensions!H$16)</f>
        <v>0</v>
      </c>
      <c r="AU4" s="10">
        <f>COUNTIFS(Table4[[#This Row],[Rectangular Field Dimension: Length - m ]],Methods_Dimensions!J$17,Table4[[#This Row],[Rectangular Field Dimension: Width - m ]],Methods_Dimensions!H$17)</f>
        <v>0</v>
      </c>
      <c r="AV4" s="10">
        <f>COUNTIFS(Table4[[#This Row],[Rectangular Field Dimension: Length - m ]],Methods_Dimensions!J$18,Table4[[#This Row],[Rectangular Field Dimension: Width - m ]],Methods_Dimensions!H$18)</f>
        <v>0</v>
      </c>
      <c r="AW4" s="10">
        <f>COUNTIFS(Table4[[#This Row],[Rectangular Field Dimension: Length - m ]],Methods_Dimensions!J$19,Table4[[#This Row],[Rectangular Field Dimension: Width - m ]],Methods_Dimensions!H$19)</f>
        <v>1</v>
      </c>
      <c r="AX4" s="6" t="s">
        <v>387</v>
      </c>
      <c r="AY4" s="6" t="s">
        <v>388</v>
      </c>
    </row>
    <row r="5" spans="1:51" ht="34.799999999999997" x14ac:dyDescent="0.3">
      <c r="A5" s="4" t="s">
        <v>163</v>
      </c>
      <c r="B5" s="5" t="s">
        <v>378</v>
      </c>
      <c r="C5" s="5" t="s">
        <v>379</v>
      </c>
      <c r="D5" s="5" t="s">
        <v>380</v>
      </c>
      <c r="E5" s="5" t="s">
        <v>1271</v>
      </c>
      <c r="F5" s="5" t="s">
        <v>740</v>
      </c>
      <c r="G5" s="6" t="s">
        <v>159</v>
      </c>
      <c r="H5" s="12">
        <v>110</v>
      </c>
      <c r="I5" s="12">
        <v>151</v>
      </c>
      <c r="J5" s="37">
        <v>16610</v>
      </c>
      <c r="K5" s="12">
        <v>1</v>
      </c>
      <c r="L5" s="12" t="s">
        <v>389</v>
      </c>
      <c r="M5" s="12"/>
      <c r="N5" s="12">
        <v>1</v>
      </c>
      <c r="O5" s="12"/>
      <c r="P5" s="12">
        <v>1</v>
      </c>
      <c r="Q5" s="12">
        <v>1</v>
      </c>
      <c r="R5" s="12">
        <v>1</v>
      </c>
      <c r="S5" s="12">
        <v>1</v>
      </c>
      <c r="T5" s="12"/>
      <c r="U5" s="12"/>
      <c r="V5" s="12"/>
      <c r="W5" s="17"/>
      <c r="X5" s="12">
        <v>1</v>
      </c>
      <c r="Y5" s="12"/>
      <c r="Z5" s="12">
        <v>1</v>
      </c>
      <c r="AA5" s="12"/>
      <c r="AB5" s="17" t="s">
        <v>383</v>
      </c>
      <c r="AC5" s="17"/>
      <c r="AD5" s="12">
        <v>1</v>
      </c>
      <c r="AE5" s="17" t="s">
        <v>384</v>
      </c>
      <c r="AF5" s="12" t="s">
        <v>385</v>
      </c>
      <c r="AG5" s="17" t="s">
        <v>386</v>
      </c>
      <c r="AH5" s="12" t="s">
        <v>390</v>
      </c>
      <c r="AI5" s="12">
        <v>6</v>
      </c>
      <c r="AJ5" s="12">
        <f>SUM(Table4[[#This Row],[Soccer/U7 (Yes=1)]:[Ultimate Frisbee (Yes=1)]])</f>
        <v>6</v>
      </c>
      <c r="AK5" s="10"/>
      <c r="AL5" s="10">
        <f>COUNTIFS(Table4[[#This Row],[Rectangular Field Dimension: Width - m ]],Methods_Dimensions!H$8,Table4[[#This Row],[Rectangular Field Dimension: Length - m ]],Methods_Dimensions!J$8)</f>
        <v>1</v>
      </c>
      <c r="AM5" s="10">
        <f>COUNTIFS(Table4[[#This Row],[Rectangular Field Dimension: Length - m ]],Methods_Dimensions!J$9,Table4[[#This Row],[Rectangular Field Dimension: Width - m ]],Methods_Dimensions!H$9)</f>
        <v>1</v>
      </c>
      <c r="AN5" s="10">
        <f>COUNTIFS(Table4[[#This Row],[Rectangular Field Dimension: Length - m ]],Methods_Dimensions!J$10,Table4[[#This Row],[Rectangular Field Dimension: Width - m ]],Methods_Dimensions!H$10)</f>
        <v>1</v>
      </c>
      <c r="AO5" s="10">
        <f>COUNTIFS(Table4[[#This Row],[Rectangular Field Dimension: Length - m ]],Methods_Dimensions!J$11,Table4[[#This Row],[Rectangular Field Dimension: Width - m ]],Methods_Dimensions!H$11)</f>
        <v>1</v>
      </c>
      <c r="AP5" s="10">
        <f>COUNTIFS(Table4[[#This Row],[Rectangular Field Dimension: Length - m ]],Methods_Dimensions!J$12,Table4[[#This Row],[Rectangular Field Dimension: Width - m ]],Methods_Dimensions!H$12)</f>
        <v>1</v>
      </c>
      <c r="AQ5" s="10">
        <f>COUNTIFS(Table4[[#This Row],[Rectangular Field Dimension: Length - m ]],Methods_Dimensions!J$13,Table4[[#This Row],[Rectangular Field Dimension: Width - m ]],Methods_Dimensions!H$13)</f>
        <v>0</v>
      </c>
      <c r="AR5" s="10">
        <f>COUNTIFS(Table4[[#This Row],[Rectangular Field Dimension: Length - m ]],Methods_Dimensions!J$14,Table4[[#This Row],[Rectangular Field Dimension: Width - m ]],Methods_Dimensions!H$14)</f>
        <v>0</v>
      </c>
      <c r="AS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 s="10">
        <f>COUNTIFS(Table4[[#This Row],[Rectangular Field Dimension: Length - m ]],Methods_Dimensions!J$16,Table4[[#This Row],[Rectangular Field Dimension: Width - m ]],Methods_Dimensions!H$16)</f>
        <v>0</v>
      </c>
      <c r="AU5" s="10">
        <f>COUNTIFS(Table4[[#This Row],[Rectangular Field Dimension: Length - m ]],Methods_Dimensions!J$17,Table4[[#This Row],[Rectangular Field Dimension: Width - m ]],Methods_Dimensions!H$17)</f>
        <v>0</v>
      </c>
      <c r="AV5" s="10">
        <f>COUNTIFS(Table4[[#This Row],[Rectangular Field Dimension: Length - m ]],Methods_Dimensions!J$18,Table4[[#This Row],[Rectangular Field Dimension: Width - m ]],Methods_Dimensions!H$18)</f>
        <v>0</v>
      </c>
      <c r="AW5" s="10">
        <f>COUNTIFS(Table4[[#This Row],[Rectangular Field Dimension: Length - m ]],Methods_Dimensions!J$19,Table4[[#This Row],[Rectangular Field Dimension: Width - m ]],Methods_Dimensions!H$19)</f>
        <v>1</v>
      </c>
      <c r="AX5" s="6" t="s">
        <v>391</v>
      </c>
      <c r="AY5" s="6" t="s">
        <v>388</v>
      </c>
    </row>
    <row r="6" spans="1:51" ht="34.799999999999997" x14ac:dyDescent="0.3">
      <c r="A6" s="26" t="s">
        <v>392</v>
      </c>
      <c r="B6" s="14" t="s">
        <v>393</v>
      </c>
      <c r="C6" s="14" t="s">
        <v>394</v>
      </c>
      <c r="D6" s="14" t="s">
        <v>164</v>
      </c>
      <c r="E6" s="14" t="s">
        <v>395</v>
      </c>
      <c r="F6" s="14" t="s">
        <v>396</v>
      </c>
      <c r="G6" s="15" t="s">
        <v>159</v>
      </c>
      <c r="H6" s="16">
        <v>116</v>
      </c>
      <c r="I6" s="16">
        <v>68</v>
      </c>
      <c r="J6" s="36">
        <v>7888</v>
      </c>
      <c r="K6" s="16"/>
      <c r="L6" s="16" t="s">
        <v>397</v>
      </c>
      <c r="M6" s="16">
        <v>1</v>
      </c>
      <c r="N6" s="16">
        <v>1</v>
      </c>
      <c r="O6" s="16">
        <v>1</v>
      </c>
      <c r="P6" s="16">
        <v>1</v>
      </c>
      <c r="Q6" s="16">
        <v>1</v>
      </c>
      <c r="R6" s="16">
        <v>1</v>
      </c>
      <c r="S6" s="16"/>
      <c r="T6" s="16"/>
      <c r="U6" s="16"/>
      <c r="V6" s="16"/>
      <c r="W6" s="18"/>
      <c r="X6" s="16">
        <v>1</v>
      </c>
      <c r="Y6" s="16">
        <v>1</v>
      </c>
      <c r="Z6" s="16">
        <v>1</v>
      </c>
      <c r="AA6" s="16"/>
      <c r="AB6" s="18" t="s">
        <v>383</v>
      </c>
      <c r="AC6" s="18"/>
      <c r="AD6" s="16">
        <v>1</v>
      </c>
      <c r="AE6" s="18" t="s">
        <v>398</v>
      </c>
      <c r="AF6" s="16" t="s">
        <v>399</v>
      </c>
      <c r="AG6" s="18" t="s">
        <v>400</v>
      </c>
      <c r="AH6" s="16">
        <v>18</v>
      </c>
      <c r="AI6" s="16">
        <v>3.6</v>
      </c>
      <c r="AJ6" s="16">
        <f>SUM(Table4[[#This Row],[Soccer/U7 (Yes=1)]:[Ultimate Frisbee (Yes=1)]])</f>
        <v>6</v>
      </c>
      <c r="AK6" s="10"/>
      <c r="AL6" s="10">
        <f>COUNTIFS(Table4[[#This Row],[Rectangular Field Dimension: Width - m ]],Methods_Dimensions!H$8,Table4[[#This Row],[Rectangular Field Dimension: Length - m ]],Methods_Dimensions!J$8)</f>
        <v>1</v>
      </c>
      <c r="AM6" s="10">
        <f>COUNTIFS(Table4[[#This Row],[Rectangular Field Dimension: Length - m ]],Methods_Dimensions!J$9,Table4[[#This Row],[Rectangular Field Dimension: Width - m ]],Methods_Dimensions!H$9)</f>
        <v>1</v>
      </c>
      <c r="AN6" s="10">
        <f>COUNTIFS(Table4[[#This Row],[Rectangular Field Dimension: Length - m ]],Methods_Dimensions!J$10,Table4[[#This Row],[Rectangular Field Dimension: Width - m ]],Methods_Dimensions!H$10)</f>
        <v>1</v>
      </c>
      <c r="AO6" s="10">
        <f>COUNTIFS(Table4[[#This Row],[Rectangular Field Dimension: Length - m ]],Methods_Dimensions!J$11,Table4[[#This Row],[Rectangular Field Dimension: Width - m ]],Methods_Dimensions!H$11)</f>
        <v>1</v>
      </c>
      <c r="AP6" s="10">
        <f>COUNTIFS(Table4[[#This Row],[Rectangular Field Dimension: Length - m ]],Methods_Dimensions!J$12,Table4[[#This Row],[Rectangular Field Dimension: Width - m ]],Methods_Dimensions!H$12)</f>
        <v>1</v>
      </c>
      <c r="AQ6" s="10">
        <f>COUNTIFS(Table4[[#This Row],[Rectangular Field Dimension: Length - m ]],Methods_Dimensions!J$13,Table4[[#This Row],[Rectangular Field Dimension: Width - m ]],Methods_Dimensions!H$13)</f>
        <v>0</v>
      </c>
      <c r="AR6" s="10">
        <f>COUNTIFS(Table4[[#This Row],[Rectangular Field Dimension: Length - m ]],Methods_Dimensions!J$14,Table4[[#This Row],[Rectangular Field Dimension: Width - m ]],Methods_Dimensions!H$14)</f>
        <v>0</v>
      </c>
      <c r="AS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 s="10">
        <f>COUNTIFS(Table4[[#This Row],[Rectangular Field Dimension: Length - m ]],Methods_Dimensions!J$16,Table4[[#This Row],[Rectangular Field Dimension: Width - m ]],Methods_Dimensions!H$16)</f>
        <v>0</v>
      </c>
      <c r="AU6" s="10">
        <f>COUNTIFS(Table4[[#This Row],[Rectangular Field Dimension: Length - m ]],Methods_Dimensions!J$17,Table4[[#This Row],[Rectangular Field Dimension: Width - m ]],Methods_Dimensions!H$17)</f>
        <v>0</v>
      </c>
      <c r="AV6" s="10">
        <f>COUNTIFS(Table4[[#This Row],[Rectangular Field Dimension: Length - m ]],Methods_Dimensions!J$18,Table4[[#This Row],[Rectangular Field Dimension: Width - m ]],Methods_Dimensions!H$18)</f>
        <v>0</v>
      </c>
      <c r="AW6" s="10">
        <f>COUNTIFS(Table4[[#This Row],[Rectangular Field Dimension: Length - m ]],Methods_Dimensions!J$19,Table4[[#This Row],[Rectangular Field Dimension: Width - m ]],Methods_Dimensions!H$19)</f>
        <v>1</v>
      </c>
      <c r="AX6" s="6" t="s">
        <v>387</v>
      </c>
      <c r="AY6" s="6" t="s">
        <v>401</v>
      </c>
    </row>
    <row r="7" spans="1:51" ht="34.799999999999997" x14ac:dyDescent="0.3">
      <c r="A7" s="4" t="s">
        <v>402</v>
      </c>
      <c r="B7" s="5" t="s">
        <v>393</v>
      </c>
      <c r="C7" s="5" t="s">
        <v>394</v>
      </c>
      <c r="D7" s="5" t="s">
        <v>164</v>
      </c>
      <c r="E7" s="5" t="s">
        <v>395</v>
      </c>
      <c r="F7" s="5" t="s">
        <v>396</v>
      </c>
      <c r="G7" s="6" t="s">
        <v>159</v>
      </c>
      <c r="H7" s="12">
        <v>116</v>
      </c>
      <c r="I7" s="12">
        <v>70</v>
      </c>
      <c r="J7" s="37">
        <v>8120</v>
      </c>
      <c r="K7" s="12"/>
      <c r="L7" s="12" t="s">
        <v>397</v>
      </c>
      <c r="M7" s="12">
        <v>1</v>
      </c>
      <c r="N7" s="12">
        <v>1</v>
      </c>
      <c r="O7" s="12">
        <v>1</v>
      </c>
      <c r="P7" s="12">
        <v>1</v>
      </c>
      <c r="Q7" s="12">
        <v>1</v>
      </c>
      <c r="R7" s="12">
        <v>1</v>
      </c>
      <c r="S7" s="12"/>
      <c r="T7" s="12"/>
      <c r="U7" s="12"/>
      <c r="V7" s="12"/>
      <c r="W7" s="17"/>
      <c r="X7" s="12">
        <v>1</v>
      </c>
      <c r="Y7" s="12">
        <v>1</v>
      </c>
      <c r="Z7" s="12">
        <v>1</v>
      </c>
      <c r="AA7" s="12"/>
      <c r="AB7" s="17" t="s">
        <v>383</v>
      </c>
      <c r="AC7" s="17"/>
      <c r="AD7" s="12">
        <v>1</v>
      </c>
      <c r="AE7" s="17" t="s">
        <v>398</v>
      </c>
      <c r="AF7" s="12" t="s">
        <v>399</v>
      </c>
      <c r="AG7" s="17" t="s">
        <v>400</v>
      </c>
      <c r="AH7" s="12">
        <v>18</v>
      </c>
      <c r="AI7" s="12">
        <v>3.6</v>
      </c>
      <c r="AJ7" s="12">
        <f>SUM(Table4[[#This Row],[Soccer/U7 (Yes=1)]:[Ultimate Frisbee (Yes=1)]])</f>
        <v>6</v>
      </c>
      <c r="AK7" s="10"/>
      <c r="AL7" s="10">
        <f>COUNTIFS(Table4[[#This Row],[Rectangular Field Dimension: Width - m ]],Methods_Dimensions!H$8,Table4[[#This Row],[Rectangular Field Dimension: Length - m ]],Methods_Dimensions!J$8)</f>
        <v>1</v>
      </c>
      <c r="AM7" s="10">
        <f>COUNTIFS(Table4[[#This Row],[Rectangular Field Dimension: Length - m ]],Methods_Dimensions!J$9,Table4[[#This Row],[Rectangular Field Dimension: Width - m ]],Methods_Dimensions!H$9)</f>
        <v>1</v>
      </c>
      <c r="AN7" s="10">
        <f>COUNTIFS(Table4[[#This Row],[Rectangular Field Dimension: Length - m ]],Methods_Dimensions!J$10,Table4[[#This Row],[Rectangular Field Dimension: Width - m ]],Methods_Dimensions!H$10)</f>
        <v>1</v>
      </c>
      <c r="AO7" s="10">
        <f>COUNTIFS(Table4[[#This Row],[Rectangular Field Dimension: Length - m ]],Methods_Dimensions!J$11,Table4[[#This Row],[Rectangular Field Dimension: Width - m ]],Methods_Dimensions!H$11)</f>
        <v>1</v>
      </c>
      <c r="AP7" s="10">
        <f>COUNTIFS(Table4[[#This Row],[Rectangular Field Dimension: Length - m ]],Methods_Dimensions!J$12,Table4[[#This Row],[Rectangular Field Dimension: Width - m ]],Methods_Dimensions!H$12)</f>
        <v>1</v>
      </c>
      <c r="AQ7" s="10">
        <f>COUNTIFS(Table4[[#This Row],[Rectangular Field Dimension: Length - m ]],Methods_Dimensions!J$13,Table4[[#This Row],[Rectangular Field Dimension: Width - m ]],Methods_Dimensions!H$13)</f>
        <v>0</v>
      </c>
      <c r="AR7" s="10">
        <f>COUNTIFS(Table4[[#This Row],[Rectangular Field Dimension: Length - m ]],Methods_Dimensions!J$14,Table4[[#This Row],[Rectangular Field Dimension: Width - m ]],Methods_Dimensions!H$14)</f>
        <v>0</v>
      </c>
      <c r="AS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 s="10">
        <f>COUNTIFS(Table4[[#This Row],[Rectangular Field Dimension: Length - m ]],Methods_Dimensions!J$16,Table4[[#This Row],[Rectangular Field Dimension: Width - m ]],Methods_Dimensions!H$16)</f>
        <v>0</v>
      </c>
      <c r="AU7" s="10">
        <f>COUNTIFS(Table4[[#This Row],[Rectangular Field Dimension: Length - m ]],Methods_Dimensions!J$17,Table4[[#This Row],[Rectangular Field Dimension: Width - m ]],Methods_Dimensions!H$17)</f>
        <v>0</v>
      </c>
      <c r="AV7" s="10">
        <f>COUNTIFS(Table4[[#This Row],[Rectangular Field Dimension: Length - m ]],Methods_Dimensions!J$18,Table4[[#This Row],[Rectangular Field Dimension: Width - m ]],Methods_Dimensions!H$18)</f>
        <v>0</v>
      </c>
      <c r="AW7" s="10">
        <f>COUNTIFS(Table4[[#This Row],[Rectangular Field Dimension: Length - m ]],Methods_Dimensions!J$19,Table4[[#This Row],[Rectangular Field Dimension: Width - m ]],Methods_Dimensions!H$19)</f>
        <v>1</v>
      </c>
      <c r="AX7" s="6" t="s">
        <v>403</v>
      </c>
      <c r="AY7" s="6" t="s">
        <v>404</v>
      </c>
    </row>
    <row r="8" spans="1:51" ht="69.599999999999994" x14ac:dyDescent="0.3">
      <c r="A8" s="26" t="s">
        <v>165</v>
      </c>
      <c r="B8" s="14" t="s">
        <v>405</v>
      </c>
      <c r="C8" s="14" t="s">
        <v>406</v>
      </c>
      <c r="D8" s="14" t="s">
        <v>2</v>
      </c>
      <c r="E8" s="14" t="s">
        <v>1271</v>
      </c>
      <c r="F8" s="14" t="s">
        <v>740</v>
      </c>
      <c r="G8" s="15" t="s">
        <v>159</v>
      </c>
      <c r="H8" s="16">
        <v>110</v>
      </c>
      <c r="I8" s="16">
        <v>65</v>
      </c>
      <c r="J8" s="36">
        <v>7150</v>
      </c>
      <c r="K8" s="16"/>
      <c r="L8" s="12" t="s">
        <v>397</v>
      </c>
      <c r="M8" s="16">
        <v>1</v>
      </c>
      <c r="N8" s="16">
        <v>1</v>
      </c>
      <c r="O8" s="16">
        <v>1</v>
      </c>
      <c r="P8" s="16">
        <v>1</v>
      </c>
      <c r="Q8" s="16"/>
      <c r="R8" s="16">
        <v>1</v>
      </c>
      <c r="S8" s="16"/>
      <c r="T8" s="16"/>
      <c r="U8" s="16"/>
      <c r="V8" s="16"/>
      <c r="W8" s="18"/>
      <c r="X8" s="16">
        <v>1</v>
      </c>
      <c r="Y8" s="16">
        <v>1</v>
      </c>
      <c r="Z8" s="16">
        <v>1</v>
      </c>
      <c r="AA8" s="16"/>
      <c r="AB8" s="18" t="s">
        <v>383</v>
      </c>
      <c r="AC8" s="18"/>
      <c r="AD8" s="16">
        <v>1</v>
      </c>
      <c r="AE8" s="18" t="s">
        <v>407</v>
      </c>
      <c r="AF8" s="16" t="s">
        <v>408</v>
      </c>
      <c r="AG8" s="18" t="s">
        <v>386</v>
      </c>
      <c r="AH8" s="16"/>
      <c r="AI8" s="16"/>
      <c r="AJ8" s="16">
        <f>SUM(Table4[[#This Row],[Soccer/U7 (Yes=1)]:[Ultimate Frisbee (Yes=1)]])</f>
        <v>6</v>
      </c>
      <c r="AK8" s="10"/>
      <c r="AL8" s="10">
        <f>COUNTIFS(Table4[[#This Row],[Rectangular Field Dimension: Width - m ]],Methods_Dimensions!H$8,Table4[[#This Row],[Rectangular Field Dimension: Length - m ]],Methods_Dimensions!J$8)</f>
        <v>1</v>
      </c>
      <c r="AM8" s="10">
        <f>COUNTIFS(Table4[[#This Row],[Rectangular Field Dimension: Length - m ]],Methods_Dimensions!J$9,Table4[[#This Row],[Rectangular Field Dimension: Width - m ]],Methods_Dimensions!H$9)</f>
        <v>1</v>
      </c>
      <c r="AN8" s="10">
        <f>COUNTIFS(Table4[[#This Row],[Rectangular Field Dimension: Length - m ]],Methods_Dimensions!J$10,Table4[[#This Row],[Rectangular Field Dimension: Width - m ]],Methods_Dimensions!H$10)</f>
        <v>1</v>
      </c>
      <c r="AO8" s="10">
        <f>COUNTIFS(Table4[[#This Row],[Rectangular Field Dimension: Length - m ]],Methods_Dimensions!J$11,Table4[[#This Row],[Rectangular Field Dimension: Width - m ]],Methods_Dimensions!H$11)</f>
        <v>1</v>
      </c>
      <c r="AP8" s="10">
        <f>COUNTIFS(Table4[[#This Row],[Rectangular Field Dimension: Length - m ]],Methods_Dimensions!J$12,Table4[[#This Row],[Rectangular Field Dimension: Width - m ]],Methods_Dimensions!H$12)</f>
        <v>1</v>
      </c>
      <c r="AQ8" s="10">
        <f>COUNTIFS(Table4[[#This Row],[Rectangular Field Dimension: Length - m ]],Methods_Dimensions!J$13,Table4[[#This Row],[Rectangular Field Dimension: Width - m ]],Methods_Dimensions!H$13)</f>
        <v>0</v>
      </c>
      <c r="AR8" s="10">
        <f>COUNTIFS(Table4[[#This Row],[Rectangular Field Dimension: Length - m ]],Methods_Dimensions!J$14,Table4[[#This Row],[Rectangular Field Dimension: Width - m ]],Methods_Dimensions!H$14)</f>
        <v>0</v>
      </c>
      <c r="AS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 s="10">
        <f>COUNTIFS(Table4[[#This Row],[Rectangular Field Dimension: Length - m ]],Methods_Dimensions!J$16,Table4[[#This Row],[Rectangular Field Dimension: Width - m ]],Methods_Dimensions!H$16)</f>
        <v>0</v>
      </c>
      <c r="AU8" s="10">
        <f>COUNTIFS(Table4[[#This Row],[Rectangular Field Dimension: Length - m ]],Methods_Dimensions!J$17,Table4[[#This Row],[Rectangular Field Dimension: Width - m ]],Methods_Dimensions!H$17)</f>
        <v>0</v>
      </c>
      <c r="AV8" s="10">
        <f>COUNTIFS(Table4[[#This Row],[Rectangular Field Dimension: Length - m ]],Methods_Dimensions!J$18,Table4[[#This Row],[Rectangular Field Dimension: Width - m ]],Methods_Dimensions!H$18)</f>
        <v>0</v>
      </c>
      <c r="AW8" s="10">
        <f>COUNTIFS(Table4[[#This Row],[Rectangular Field Dimension: Length - m ]],Methods_Dimensions!J$19,Table4[[#This Row],[Rectangular Field Dimension: Width - m ]],Methods_Dimensions!H$19)</f>
        <v>1</v>
      </c>
      <c r="AX8" s="6" t="s">
        <v>409</v>
      </c>
      <c r="AY8" s="6" t="s">
        <v>388</v>
      </c>
    </row>
    <row r="9" spans="1:51" ht="34.799999999999997" x14ac:dyDescent="0.3">
      <c r="A9" s="4" t="s">
        <v>166</v>
      </c>
      <c r="B9" s="5" t="s">
        <v>405</v>
      </c>
      <c r="C9" s="5" t="s">
        <v>406</v>
      </c>
      <c r="D9" s="5" t="s">
        <v>2</v>
      </c>
      <c r="E9" s="5" t="s">
        <v>1271</v>
      </c>
      <c r="F9" s="5" t="s">
        <v>740</v>
      </c>
      <c r="G9" s="6" t="s">
        <v>159</v>
      </c>
      <c r="H9" s="12">
        <v>102</v>
      </c>
      <c r="I9" s="12">
        <v>70</v>
      </c>
      <c r="J9" s="37">
        <v>7140</v>
      </c>
      <c r="K9" s="12">
        <v>1</v>
      </c>
      <c r="L9" s="12" t="s">
        <v>389</v>
      </c>
      <c r="M9" s="12"/>
      <c r="N9" s="12">
        <v>1</v>
      </c>
      <c r="O9" s="12">
        <v>1</v>
      </c>
      <c r="P9" s="12">
        <v>1</v>
      </c>
      <c r="Q9" s="12"/>
      <c r="R9" s="12">
        <v>1</v>
      </c>
      <c r="S9" s="12"/>
      <c r="T9" s="12"/>
      <c r="U9" s="12"/>
      <c r="V9" s="12"/>
      <c r="W9" s="17"/>
      <c r="X9" s="12">
        <v>1</v>
      </c>
      <c r="Y9" s="12">
        <v>1</v>
      </c>
      <c r="Z9" s="12">
        <v>1</v>
      </c>
      <c r="AA9" s="12"/>
      <c r="AB9" s="17" t="s">
        <v>383</v>
      </c>
      <c r="AC9" s="17"/>
      <c r="AD9" s="12">
        <v>1</v>
      </c>
      <c r="AE9" s="17" t="s">
        <v>407</v>
      </c>
      <c r="AF9" s="12" t="s">
        <v>385</v>
      </c>
      <c r="AG9" s="17" t="s">
        <v>386</v>
      </c>
      <c r="AH9" s="12"/>
      <c r="AI9" s="12"/>
      <c r="AJ9" s="12">
        <f>SUM(Table4[[#This Row],[Soccer/U7 (Yes=1)]:[Ultimate Frisbee (Yes=1)]])</f>
        <v>5</v>
      </c>
      <c r="AK9" s="10"/>
      <c r="AL9" s="10">
        <f>COUNTIFS(Table4[[#This Row],[Rectangular Field Dimension: Width - m ]],Methods_Dimensions!H$8,Table4[[#This Row],[Rectangular Field Dimension: Length - m ]],Methods_Dimensions!J$8)</f>
        <v>1</v>
      </c>
      <c r="AM9" s="10">
        <f>COUNTIFS(Table4[[#This Row],[Rectangular Field Dimension: Length - m ]],Methods_Dimensions!J$9,Table4[[#This Row],[Rectangular Field Dimension: Width - m ]],Methods_Dimensions!H$9)</f>
        <v>1</v>
      </c>
      <c r="AN9" s="10">
        <f>COUNTIFS(Table4[[#This Row],[Rectangular Field Dimension: Length - m ]],Methods_Dimensions!J$10,Table4[[#This Row],[Rectangular Field Dimension: Width - m ]],Methods_Dimensions!H$10)</f>
        <v>1</v>
      </c>
      <c r="AO9" s="10">
        <f>COUNTIFS(Table4[[#This Row],[Rectangular Field Dimension: Length - m ]],Methods_Dimensions!J$11,Table4[[#This Row],[Rectangular Field Dimension: Width - m ]],Methods_Dimensions!H$11)</f>
        <v>1</v>
      </c>
      <c r="AP9" s="10">
        <f>COUNTIFS(Table4[[#This Row],[Rectangular Field Dimension: Length - m ]],Methods_Dimensions!J$12,Table4[[#This Row],[Rectangular Field Dimension: Width - m ]],Methods_Dimensions!H$12)</f>
        <v>1</v>
      </c>
      <c r="AQ9" s="10">
        <f>COUNTIFS(Table4[[#This Row],[Rectangular Field Dimension: Length - m ]],Methods_Dimensions!J$13,Table4[[#This Row],[Rectangular Field Dimension: Width - m ]],Methods_Dimensions!H$13)</f>
        <v>0</v>
      </c>
      <c r="AR9" s="10">
        <f>COUNTIFS(Table4[[#This Row],[Rectangular Field Dimension: Length - m ]],Methods_Dimensions!J$14,Table4[[#This Row],[Rectangular Field Dimension: Width - m ]],Methods_Dimensions!H$14)</f>
        <v>0</v>
      </c>
      <c r="AS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 s="10">
        <f>COUNTIFS(Table4[[#This Row],[Rectangular Field Dimension: Length - m ]],Methods_Dimensions!J$16,Table4[[#This Row],[Rectangular Field Dimension: Width - m ]],Methods_Dimensions!H$16)</f>
        <v>0</v>
      </c>
      <c r="AU9" s="10">
        <f>COUNTIFS(Table4[[#This Row],[Rectangular Field Dimension: Length - m ]],Methods_Dimensions!J$17,Table4[[#This Row],[Rectangular Field Dimension: Width - m ]],Methods_Dimensions!H$17)</f>
        <v>0</v>
      </c>
      <c r="AV9" s="10">
        <f>COUNTIFS(Table4[[#This Row],[Rectangular Field Dimension: Length - m ]],Methods_Dimensions!J$18,Table4[[#This Row],[Rectangular Field Dimension: Width - m ]],Methods_Dimensions!H$18)</f>
        <v>0</v>
      </c>
      <c r="AW9" s="10">
        <f>COUNTIFS(Table4[[#This Row],[Rectangular Field Dimension: Length - m ]],Methods_Dimensions!J$19,Table4[[#This Row],[Rectangular Field Dimension: Width - m ]],Methods_Dimensions!H$19)</f>
        <v>0</v>
      </c>
      <c r="AX9" s="6" t="s">
        <v>410</v>
      </c>
      <c r="AY9" s="6" t="s">
        <v>388</v>
      </c>
    </row>
    <row r="10" spans="1:51" ht="34.799999999999997" x14ac:dyDescent="0.3">
      <c r="A10" s="26" t="s">
        <v>167</v>
      </c>
      <c r="B10" s="14" t="s">
        <v>411</v>
      </c>
      <c r="C10" s="14" t="s">
        <v>412</v>
      </c>
      <c r="D10" s="14" t="s">
        <v>5</v>
      </c>
      <c r="E10" s="14" t="s">
        <v>413</v>
      </c>
      <c r="F10" s="14" t="s">
        <v>789</v>
      </c>
      <c r="G10" s="15" t="s">
        <v>159</v>
      </c>
      <c r="H10" s="16">
        <v>98</v>
      </c>
      <c r="I10" s="16">
        <v>57</v>
      </c>
      <c r="J10" s="36">
        <v>5586</v>
      </c>
      <c r="K10" s="16"/>
      <c r="L10" s="16" t="s">
        <v>397</v>
      </c>
      <c r="M10" s="16">
        <v>1</v>
      </c>
      <c r="N10" s="16">
        <v>1</v>
      </c>
      <c r="O10" s="16">
        <v>1</v>
      </c>
      <c r="P10" s="16">
        <v>1</v>
      </c>
      <c r="Q10" s="16">
        <v>1</v>
      </c>
      <c r="R10" s="16">
        <v>1</v>
      </c>
      <c r="S10" s="16"/>
      <c r="T10" s="16"/>
      <c r="U10" s="16"/>
      <c r="V10" s="16"/>
      <c r="W10" s="18" t="s">
        <v>414</v>
      </c>
      <c r="X10" s="16">
        <v>1</v>
      </c>
      <c r="Y10" s="16">
        <v>1</v>
      </c>
      <c r="Z10" s="16">
        <v>1</v>
      </c>
      <c r="AA10" s="16"/>
      <c r="AB10" s="18" t="s">
        <v>383</v>
      </c>
      <c r="AC10" s="18"/>
      <c r="AD10" s="16">
        <v>1</v>
      </c>
      <c r="AE10" s="18" t="s">
        <v>415</v>
      </c>
      <c r="AF10" s="16" t="s">
        <v>399</v>
      </c>
      <c r="AG10" s="18" t="s">
        <v>416</v>
      </c>
      <c r="AH10" s="16"/>
      <c r="AI10" s="16"/>
      <c r="AJ10" s="16">
        <f>SUM(Table4[[#This Row],[Soccer/U7 (Yes=1)]:[Ultimate Frisbee (Yes=1)]])</f>
        <v>5</v>
      </c>
      <c r="AK10" s="10"/>
      <c r="AL10" s="10">
        <f>COUNTIFS(Table4[[#This Row],[Rectangular Field Dimension: Width - m ]],Methods_Dimensions!H$8,Table4[[#This Row],[Rectangular Field Dimension: Length - m ]],Methods_Dimensions!J$8)</f>
        <v>1</v>
      </c>
      <c r="AM10" s="10">
        <f>COUNTIFS(Table4[[#This Row],[Rectangular Field Dimension: Length - m ]],Methods_Dimensions!J$9,Table4[[#This Row],[Rectangular Field Dimension: Width - m ]],Methods_Dimensions!H$9)</f>
        <v>1</v>
      </c>
      <c r="AN10" s="10">
        <f>COUNTIFS(Table4[[#This Row],[Rectangular Field Dimension: Length - m ]],Methods_Dimensions!J$10,Table4[[#This Row],[Rectangular Field Dimension: Width - m ]],Methods_Dimensions!H$10)</f>
        <v>1</v>
      </c>
      <c r="AO10" s="10">
        <f>COUNTIFS(Table4[[#This Row],[Rectangular Field Dimension: Length - m ]],Methods_Dimensions!J$11,Table4[[#This Row],[Rectangular Field Dimension: Width - m ]],Methods_Dimensions!H$11)</f>
        <v>1</v>
      </c>
      <c r="AP10" s="10">
        <f>COUNTIFS(Table4[[#This Row],[Rectangular Field Dimension: Length - m ]],Methods_Dimensions!J$12,Table4[[#This Row],[Rectangular Field Dimension: Width - m ]],Methods_Dimensions!H$12)</f>
        <v>1</v>
      </c>
      <c r="AQ10" s="10">
        <f>COUNTIFS(Table4[[#This Row],[Rectangular Field Dimension: Length - m ]],Methods_Dimensions!J$13,Table4[[#This Row],[Rectangular Field Dimension: Width - m ]],Methods_Dimensions!H$13)</f>
        <v>0</v>
      </c>
      <c r="AR10" s="10">
        <f>COUNTIFS(Table4[[#This Row],[Rectangular Field Dimension: Length - m ]],Methods_Dimensions!J$14,Table4[[#This Row],[Rectangular Field Dimension: Width - m ]],Methods_Dimensions!H$14)</f>
        <v>0</v>
      </c>
      <c r="AS1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 s="10">
        <f>COUNTIFS(Table4[[#This Row],[Rectangular Field Dimension: Length - m ]],Methods_Dimensions!J$16,Table4[[#This Row],[Rectangular Field Dimension: Width - m ]],Methods_Dimensions!H$16)</f>
        <v>0</v>
      </c>
      <c r="AU10" s="10">
        <f>COUNTIFS(Table4[[#This Row],[Rectangular Field Dimension: Length - m ]],Methods_Dimensions!J$17,Table4[[#This Row],[Rectangular Field Dimension: Width - m ]],Methods_Dimensions!H$17)</f>
        <v>0</v>
      </c>
      <c r="AV10" s="10">
        <f>COUNTIFS(Table4[[#This Row],[Rectangular Field Dimension: Length - m ]],Methods_Dimensions!J$18,Table4[[#This Row],[Rectangular Field Dimension: Width - m ]],Methods_Dimensions!H$18)</f>
        <v>0</v>
      </c>
      <c r="AW10" s="10">
        <f>COUNTIFS(Table4[[#This Row],[Rectangular Field Dimension: Length - m ]],Methods_Dimensions!J$19,Table4[[#This Row],[Rectangular Field Dimension: Width - m ]],Methods_Dimensions!H$19)</f>
        <v>0</v>
      </c>
      <c r="AX10" s="6" t="s">
        <v>387</v>
      </c>
      <c r="AY10" s="6" t="s">
        <v>388</v>
      </c>
    </row>
    <row r="11" spans="1:51" ht="34.799999999999997" x14ac:dyDescent="0.3">
      <c r="A11" s="4" t="s">
        <v>168</v>
      </c>
      <c r="B11" s="5" t="s">
        <v>411</v>
      </c>
      <c r="C11" s="5" t="s">
        <v>412</v>
      </c>
      <c r="D11" s="5" t="s">
        <v>5</v>
      </c>
      <c r="E11" s="5" t="s">
        <v>1272</v>
      </c>
      <c r="F11" s="5" t="s">
        <v>740</v>
      </c>
      <c r="G11" s="6" t="s">
        <v>159</v>
      </c>
      <c r="H11" s="12">
        <v>74</v>
      </c>
      <c r="I11" s="12">
        <v>40</v>
      </c>
      <c r="J11" s="37">
        <v>2960</v>
      </c>
      <c r="K11" s="12"/>
      <c r="L11" s="12" t="s">
        <v>397</v>
      </c>
      <c r="M11" s="12">
        <v>1</v>
      </c>
      <c r="N11" s="12">
        <v>1</v>
      </c>
      <c r="O11" s="12"/>
      <c r="P11" s="12">
        <v>1</v>
      </c>
      <c r="Q11" s="12">
        <v>1</v>
      </c>
      <c r="R11" s="12">
        <v>1</v>
      </c>
      <c r="S11" s="12"/>
      <c r="T11" s="12"/>
      <c r="U11" s="12"/>
      <c r="V11" s="12"/>
      <c r="W11" s="17" t="s">
        <v>414</v>
      </c>
      <c r="X11" s="12">
        <v>1</v>
      </c>
      <c r="Y11" s="12"/>
      <c r="Z11" s="12">
        <v>1</v>
      </c>
      <c r="AA11" s="12"/>
      <c r="AB11" s="17" t="s">
        <v>383</v>
      </c>
      <c r="AC11" s="17"/>
      <c r="AD11" s="12">
        <v>1</v>
      </c>
      <c r="AE11" s="17" t="s">
        <v>415</v>
      </c>
      <c r="AF11" s="12" t="s">
        <v>399</v>
      </c>
      <c r="AG11" s="17" t="s">
        <v>386</v>
      </c>
      <c r="AH11" s="12"/>
      <c r="AI11" s="12"/>
      <c r="AJ11" s="12">
        <f>SUM(Table4[[#This Row],[Soccer/U7 (Yes=1)]:[Ultimate Frisbee (Yes=1)]])</f>
        <v>3</v>
      </c>
      <c r="AK11" s="10"/>
      <c r="AL11" s="10">
        <f>COUNTIFS(Table4[[#This Row],[Rectangular Field Dimension: Width - m ]],Methods_Dimensions!H$8,Table4[[#This Row],[Rectangular Field Dimension: Length - m ]],Methods_Dimensions!J$8)</f>
        <v>1</v>
      </c>
      <c r="AM11" s="10">
        <f>COUNTIFS(Table4[[#This Row],[Rectangular Field Dimension: Length - m ]],Methods_Dimensions!J$9,Table4[[#This Row],[Rectangular Field Dimension: Width - m ]],Methods_Dimensions!H$9)</f>
        <v>1</v>
      </c>
      <c r="AN11" s="10">
        <f>COUNTIFS(Table4[[#This Row],[Rectangular Field Dimension: Length - m ]],Methods_Dimensions!J$10,Table4[[#This Row],[Rectangular Field Dimension: Width - m ]],Methods_Dimensions!H$10)</f>
        <v>1</v>
      </c>
      <c r="AO11" s="10">
        <f>COUNTIFS(Table4[[#This Row],[Rectangular Field Dimension: Length - m ]],Methods_Dimensions!J$11,Table4[[#This Row],[Rectangular Field Dimension: Width - m ]],Methods_Dimensions!H$11)</f>
        <v>0</v>
      </c>
      <c r="AP11" s="10">
        <f>COUNTIFS(Table4[[#This Row],[Rectangular Field Dimension: Length - m ]],Methods_Dimensions!J$12,Table4[[#This Row],[Rectangular Field Dimension: Width - m ]],Methods_Dimensions!H$12)</f>
        <v>0</v>
      </c>
      <c r="AQ11" s="10">
        <f>COUNTIFS(Table4[[#This Row],[Rectangular Field Dimension: Length - m ]],Methods_Dimensions!J$13,Table4[[#This Row],[Rectangular Field Dimension: Width - m ]],Methods_Dimensions!H$13)</f>
        <v>0</v>
      </c>
      <c r="AR11" s="10">
        <f>COUNTIFS(Table4[[#This Row],[Rectangular Field Dimension: Length - m ]],Methods_Dimensions!J$14,Table4[[#This Row],[Rectangular Field Dimension: Width - m ]],Methods_Dimensions!H$14)</f>
        <v>0</v>
      </c>
      <c r="AS1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 s="10">
        <f>COUNTIFS(Table4[[#This Row],[Rectangular Field Dimension: Length - m ]],Methods_Dimensions!J$16,Table4[[#This Row],[Rectangular Field Dimension: Width - m ]],Methods_Dimensions!H$16)</f>
        <v>0</v>
      </c>
      <c r="AU11" s="10">
        <f>COUNTIFS(Table4[[#This Row],[Rectangular Field Dimension: Length - m ]],Methods_Dimensions!J$17,Table4[[#This Row],[Rectangular Field Dimension: Width - m ]],Methods_Dimensions!H$17)</f>
        <v>0</v>
      </c>
      <c r="AV11" s="10">
        <f>COUNTIFS(Table4[[#This Row],[Rectangular Field Dimension: Length - m ]],Methods_Dimensions!J$18,Table4[[#This Row],[Rectangular Field Dimension: Width - m ]],Methods_Dimensions!H$18)</f>
        <v>0</v>
      </c>
      <c r="AW11" s="10">
        <f>COUNTIFS(Table4[[#This Row],[Rectangular Field Dimension: Length - m ]],Methods_Dimensions!J$19,Table4[[#This Row],[Rectangular Field Dimension: Width - m ]],Methods_Dimensions!H$19)</f>
        <v>0</v>
      </c>
      <c r="AX11" s="6" t="s">
        <v>387</v>
      </c>
      <c r="AY11" s="6" t="s">
        <v>388</v>
      </c>
    </row>
    <row r="12" spans="1:51" ht="34.799999999999997" x14ac:dyDescent="0.3">
      <c r="A12" s="26" t="s">
        <v>169</v>
      </c>
      <c r="B12" s="14" t="s">
        <v>411</v>
      </c>
      <c r="C12" s="14" t="s">
        <v>412</v>
      </c>
      <c r="D12" s="14" t="s">
        <v>5</v>
      </c>
      <c r="E12" s="14" t="s">
        <v>1271</v>
      </c>
      <c r="F12" s="14" t="s">
        <v>740</v>
      </c>
      <c r="G12" s="15" t="s">
        <v>159</v>
      </c>
      <c r="H12" s="16">
        <v>74</v>
      </c>
      <c r="I12" s="16">
        <v>40</v>
      </c>
      <c r="J12" s="36">
        <v>2960</v>
      </c>
      <c r="K12" s="16">
        <v>1</v>
      </c>
      <c r="L12" s="16" t="s">
        <v>389</v>
      </c>
      <c r="M12" s="16"/>
      <c r="N12" s="16">
        <v>1</v>
      </c>
      <c r="O12" s="16"/>
      <c r="P12" s="16">
        <v>1</v>
      </c>
      <c r="Q12" s="16">
        <v>1</v>
      </c>
      <c r="R12" s="16">
        <v>1</v>
      </c>
      <c r="S12" s="16"/>
      <c r="T12" s="16"/>
      <c r="U12" s="16"/>
      <c r="V12" s="16"/>
      <c r="W12" s="18" t="s">
        <v>414</v>
      </c>
      <c r="X12" s="16">
        <v>1</v>
      </c>
      <c r="Y12" s="16"/>
      <c r="Z12" s="16">
        <v>1</v>
      </c>
      <c r="AA12" s="16"/>
      <c r="AB12" s="18" t="s">
        <v>383</v>
      </c>
      <c r="AC12" s="18"/>
      <c r="AD12" s="16">
        <v>1</v>
      </c>
      <c r="AE12" s="18" t="s">
        <v>415</v>
      </c>
      <c r="AF12" s="16" t="s">
        <v>399</v>
      </c>
      <c r="AG12" s="18" t="s">
        <v>386</v>
      </c>
      <c r="AH12" s="16"/>
      <c r="AI12" s="16"/>
      <c r="AJ12" s="16">
        <f>SUM(Table4[[#This Row],[Soccer/U7 (Yes=1)]:[Ultimate Frisbee (Yes=1)]])</f>
        <v>3</v>
      </c>
      <c r="AK12" s="10"/>
      <c r="AL12" s="10">
        <f>COUNTIFS(Table4[[#This Row],[Rectangular Field Dimension: Width - m ]],Methods_Dimensions!H$8,Table4[[#This Row],[Rectangular Field Dimension: Length - m ]],Methods_Dimensions!J$8)</f>
        <v>1</v>
      </c>
      <c r="AM12" s="10">
        <f>COUNTIFS(Table4[[#This Row],[Rectangular Field Dimension: Length - m ]],Methods_Dimensions!J$9,Table4[[#This Row],[Rectangular Field Dimension: Width - m ]],Methods_Dimensions!H$9)</f>
        <v>1</v>
      </c>
      <c r="AN12" s="10">
        <f>COUNTIFS(Table4[[#This Row],[Rectangular Field Dimension: Length - m ]],Methods_Dimensions!J$10,Table4[[#This Row],[Rectangular Field Dimension: Width - m ]],Methods_Dimensions!H$10)</f>
        <v>1</v>
      </c>
      <c r="AO12" s="10">
        <f>COUNTIFS(Table4[[#This Row],[Rectangular Field Dimension: Length - m ]],Methods_Dimensions!J$11,Table4[[#This Row],[Rectangular Field Dimension: Width - m ]],Methods_Dimensions!H$11)</f>
        <v>0</v>
      </c>
      <c r="AP12" s="10">
        <f>COUNTIFS(Table4[[#This Row],[Rectangular Field Dimension: Length - m ]],Methods_Dimensions!J$12,Table4[[#This Row],[Rectangular Field Dimension: Width - m ]],Methods_Dimensions!H$12)</f>
        <v>0</v>
      </c>
      <c r="AQ12" s="10">
        <f>COUNTIFS(Table4[[#This Row],[Rectangular Field Dimension: Length - m ]],Methods_Dimensions!J$13,Table4[[#This Row],[Rectangular Field Dimension: Width - m ]],Methods_Dimensions!H$13)</f>
        <v>0</v>
      </c>
      <c r="AR12" s="10">
        <f>COUNTIFS(Table4[[#This Row],[Rectangular Field Dimension: Length - m ]],Methods_Dimensions!J$14,Table4[[#This Row],[Rectangular Field Dimension: Width - m ]],Methods_Dimensions!H$14)</f>
        <v>0</v>
      </c>
      <c r="AS1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 s="10">
        <f>COUNTIFS(Table4[[#This Row],[Rectangular Field Dimension: Length - m ]],Methods_Dimensions!J$16,Table4[[#This Row],[Rectangular Field Dimension: Width - m ]],Methods_Dimensions!H$16)</f>
        <v>0</v>
      </c>
      <c r="AU12" s="10">
        <f>COUNTIFS(Table4[[#This Row],[Rectangular Field Dimension: Length - m ]],Methods_Dimensions!J$17,Table4[[#This Row],[Rectangular Field Dimension: Width - m ]],Methods_Dimensions!H$17)</f>
        <v>0</v>
      </c>
      <c r="AV12" s="10">
        <f>COUNTIFS(Table4[[#This Row],[Rectangular Field Dimension: Length - m ]],Methods_Dimensions!J$18,Table4[[#This Row],[Rectangular Field Dimension: Width - m ]],Methods_Dimensions!H$18)</f>
        <v>0</v>
      </c>
      <c r="AW12" s="10">
        <f>COUNTIFS(Table4[[#This Row],[Rectangular Field Dimension: Length - m ]],Methods_Dimensions!J$19,Table4[[#This Row],[Rectangular Field Dimension: Width - m ]],Methods_Dimensions!H$19)</f>
        <v>0</v>
      </c>
      <c r="AX12" s="6" t="s">
        <v>387</v>
      </c>
      <c r="AY12" s="6" t="s">
        <v>388</v>
      </c>
    </row>
    <row r="13" spans="1:51" ht="34.799999999999997" x14ac:dyDescent="0.3">
      <c r="A13" s="4" t="s">
        <v>170</v>
      </c>
      <c r="B13" s="5" t="s">
        <v>417</v>
      </c>
      <c r="C13" s="5" t="s">
        <v>418</v>
      </c>
      <c r="D13" s="5" t="s">
        <v>7</v>
      </c>
      <c r="E13" s="5" t="s">
        <v>1271</v>
      </c>
      <c r="F13" s="5" t="s">
        <v>754</v>
      </c>
      <c r="G13" s="6" t="s">
        <v>159</v>
      </c>
      <c r="H13" s="12">
        <v>70</v>
      </c>
      <c r="I13" s="12">
        <v>70</v>
      </c>
      <c r="J13" s="37">
        <v>4900</v>
      </c>
      <c r="K13" s="12">
        <v>1</v>
      </c>
      <c r="L13" s="12" t="s">
        <v>389</v>
      </c>
      <c r="M13" s="12"/>
      <c r="N13" s="12">
        <v>1</v>
      </c>
      <c r="O13" s="12"/>
      <c r="P13" s="12">
        <v>1</v>
      </c>
      <c r="Q13" s="12"/>
      <c r="R13" s="12">
        <v>1</v>
      </c>
      <c r="S13" s="12"/>
      <c r="T13" s="12"/>
      <c r="U13" s="12"/>
      <c r="V13" s="12"/>
      <c r="W13" s="17"/>
      <c r="X13" s="12">
        <v>1</v>
      </c>
      <c r="Y13" s="12">
        <v>1</v>
      </c>
      <c r="Z13" s="12">
        <v>1</v>
      </c>
      <c r="AA13" s="12"/>
      <c r="AB13" s="17" t="s">
        <v>383</v>
      </c>
      <c r="AC13" s="17"/>
      <c r="AD13" s="12">
        <v>1</v>
      </c>
      <c r="AE13" s="17" t="s">
        <v>419</v>
      </c>
      <c r="AF13" s="12" t="s">
        <v>385</v>
      </c>
      <c r="AG13" s="17" t="s">
        <v>386</v>
      </c>
      <c r="AH13" s="12"/>
      <c r="AI13" s="12"/>
      <c r="AJ13" s="12">
        <f>SUM(Table4[[#This Row],[Soccer/U7 (Yes=1)]:[Ultimate Frisbee (Yes=1)]])</f>
        <v>4</v>
      </c>
      <c r="AK13" s="10"/>
      <c r="AL13" s="10">
        <f>COUNTIFS(Table4[[#This Row],[Rectangular Field Dimension: Width - m ]],Methods_Dimensions!H$8,Table4[[#This Row],[Rectangular Field Dimension: Length - m ]],Methods_Dimensions!J$8)</f>
        <v>1</v>
      </c>
      <c r="AM13" s="10">
        <f>COUNTIFS(Table4[[#This Row],[Rectangular Field Dimension: Length - m ]],Methods_Dimensions!J$9,Table4[[#This Row],[Rectangular Field Dimension: Width - m ]],Methods_Dimensions!H$9)</f>
        <v>1</v>
      </c>
      <c r="AN13" s="10">
        <f>COUNTIFS(Table4[[#This Row],[Rectangular Field Dimension: Length - m ]],Methods_Dimensions!J$10,Table4[[#This Row],[Rectangular Field Dimension: Width - m ]],Methods_Dimensions!H$10)</f>
        <v>1</v>
      </c>
      <c r="AO13" s="10">
        <f>COUNTIFS(Table4[[#This Row],[Rectangular Field Dimension: Length - m ]],Methods_Dimensions!J$11,Table4[[#This Row],[Rectangular Field Dimension: Width - m ]],Methods_Dimensions!H$11)</f>
        <v>1</v>
      </c>
      <c r="AP13" s="10">
        <f>COUNTIFS(Table4[[#This Row],[Rectangular Field Dimension: Length - m ]],Methods_Dimensions!J$12,Table4[[#This Row],[Rectangular Field Dimension: Width - m ]],Methods_Dimensions!H$12)</f>
        <v>0</v>
      </c>
      <c r="AQ13" s="10">
        <f>COUNTIFS(Table4[[#This Row],[Rectangular Field Dimension: Length - m ]],Methods_Dimensions!J$13,Table4[[#This Row],[Rectangular Field Dimension: Width - m ]],Methods_Dimensions!H$13)</f>
        <v>0</v>
      </c>
      <c r="AR13" s="10">
        <f>COUNTIFS(Table4[[#This Row],[Rectangular Field Dimension: Length - m ]],Methods_Dimensions!J$14,Table4[[#This Row],[Rectangular Field Dimension: Width - m ]],Methods_Dimensions!H$14)</f>
        <v>0</v>
      </c>
      <c r="AS1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 s="10">
        <f>COUNTIFS(Table4[[#This Row],[Rectangular Field Dimension: Length - m ]],Methods_Dimensions!J$16,Table4[[#This Row],[Rectangular Field Dimension: Width - m ]],Methods_Dimensions!H$16)</f>
        <v>0</v>
      </c>
      <c r="AU13" s="10">
        <f>COUNTIFS(Table4[[#This Row],[Rectangular Field Dimension: Length - m ]],Methods_Dimensions!J$17,Table4[[#This Row],[Rectangular Field Dimension: Width - m ]],Methods_Dimensions!H$17)</f>
        <v>0</v>
      </c>
      <c r="AV13" s="10">
        <f>COUNTIFS(Table4[[#This Row],[Rectangular Field Dimension: Length - m ]],Methods_Dimensions!J$18,Table4[[#This Row],[Rectangular Field Dimension: Width - m ]],Methods_Dimensions!H$18)</f>
        <v>0</v>
      </c>
      <c r="AW13" s="10">
        <f>COUNTIFS(Table4[[#This Row],[Rectangular Field Dimension: Length - m ]],Methods_Dimensions!J$19,Table4[[#This Row],[Rectangular Field Dimension: Width - m ]],Methods_Dimensions!H$19)</f>
        <v>0</v>
      </c>
      <c r="AX13" s="6" t="s">
        <v>420</v>
      </c>
      <c r="AY13" s="6" t="s">
        <v>421</v>
      </c>
    </row>
    <row r="14" spans="1:51" ht="34.799999999999997" x14ac:dyDescent="0.3">
      <c r="A14" s="26" t="s">
        <v>171</v>
      </c>
      <c r="B14" s="14" t="s">
        <v>417</v>
      </c>
      <c r="C14" s="14" t="s">
        <v>418</v>
      </c>
      <c r="D14" s="14" t="s">
        <v>7</v>
      </c>
      <c r="E14" s="14" t="s">
        <v>745</v>
      </c>
      <c r="F14" s="14" t="s">
        <v>789</v>
      </c>
      <c r="G14" s="15" t="s">
        <v>159</v>
      </c>
      <c r="H14" s="16">
        <v>64</v>
      </c>
      <c r="I14" s="16">
        <v>44</v>
      </c>
      <c r="J14" s="36">
        <v>2816</v>
      </c>
      <c r="K14" s="16"/>
      <c r="L14" s="16" t="s">
        <v>397</v>
      </c>
      <c r="M14" s="16">
        <v>1</v>
      </c>
      <c r="N14" s="16">
        <v>1</v>
      </c>
      <c r="O14" s="16"/>
      <c r="P14" s="16">
        <v>1</v>
      </c>
      <c r="Q14" s="16"/>
      <c r="R14" s="16"/>
      <c r="S14" s="16"/>
      <c r="T14" s="16"/>
      <c r="U14" s="16"/>
      <c r="V14" s="16"/>
      <c r="W14" s="18"/>
      <c r="X14" s="16">
        <v>1</v>
      </c>
      <c r="Y14" s="16"/>
      <c r="Z14" s="16">
        <v>1</v>
      </c>
      <c r="AA14" s="16"/>
      <c r="AB14" s="18" t="s">
        <v>383</v>
      </c>
      <c r="AC14" s="18"/>
      <c r="AD14" s="16">
        <v>1</v>
      </c>
      <c r="AE14" s="18" t="s">
        <v>419</v>
      </c>
      <c r="AF14" s="16" t="s">
        <v>385</v>
      </c>
      <c r="AG14" s="18" t="s">
        <v>416</v>
      </c>
      <c r="AH14" s="16"/>
      <c r="AI14" s="16"/>
      <c r="AJ14" s="16">
        <f>SUM(Table4[[#This Row],[Soccer/U7 (Yes=1)]:[Ultimate Frisbee (Yes=1)]])</f>
        <v>4</v>
      </c>
      <c r="AK14" s="10"/>
      <c r="AL14" s="10">
        <f>COUNTIFS(Table4[[#This Row],[Rectangular Field Dimension: Width - m ]],Methods_Dimensions!H$8,Table4[[#This Row],[Rectangular Field Dimension: Length - m ]],Methods_Dimensions!J$8)</f>
        <v>1</v>
      </c>
      <c r="AM14" s="10">
        <f>COUNTIFS(Table4[[#This Row],[Rectangular Field Dimension: Length - m ]],Methods_Dimensions!J$9,Table4[[#This Row],[Rectangular Field Dimension: Width - m ]],Methods_Dimensions!H$9)</f>
        <v>1</v>
      </c>
      <c r="AN14" s="10">
        <f>COUNTIFS(Table4[[#This Row],[Rectangular Field Dimension: Length - m ]],Methods_Dimensions!J$10,Table4[[#This Row],[Rectangular Field Dimension: Width - m ]],Methods_Dimensions!H$10)</f>
        <v>1</v>
      </c>
      <c r="AO14" s="10">
        <f>COUNTIFS(Table4[[#This Row],[Rectangular Field Dimension: Length - m ]],Methods_Dimensions!J$11,Table4[[#This Row],[Rectangular Field Dimension: Width - m ]],Methods_Dimensions!H$11)</f>
        <v>1</v>
      </c>
      <c r="AP14" s="10">
        <f>COUNTIFS(Table4[[#This Row],[Rectangular Field Dimension: Length - m ]],Methods_Dimensions!J$12,Table4[[#This Row],[Rectangular Field Dimension: Width - m ]],Methods_Dimensions!H$12)</f>
        <v>0</v>
      </c>
      <c r="AQ14" s="10">
        <f>COUNTIFS(Table4[[#This Row],[Rectangular Field Dimension: Length - m ]],Methods_Dimensions!J$13,Table4[[#This Row],[Rectangular Field Dimension: Width - m ]],Methods_Dimensions!H$13)</f>
        <v>0</v>
      </c>
      <c r="AR14" s="10">
        <f>COUNTIFS(Table4[[#This Row],[Rectangular Field Dimension: Length - m ]],Methods_Dimensions!J$14,Table4[[#This Row],[Rectangular Field Dimension: Width - m ]],Methods_Dimensions!H$14)</f>
        <v>0</v>
      </c>
      <c r="AS1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 s="10">
        <f>COUNTIFS(Table4[[#This Row],[Rectangular Field Dimension: Length - m ]],Methods_Dimensions!J$16,Table4[[#This Row],[Rectangular Field Dimension: Width - m ]],Methods_Dimensions!H$16)</f>
        <v>0</v>
      </c>
      <c r="AU14" s="10">
        <f>COUNTIFS(Table4[[#This Row],[Rectangular Field Dimension: Length - m ]],Methods_Dimensions!J$17,Table4[[#This Row],[Rectangular Field Dimension: Width - m ]],Methods_Dimensions!H$17)</f>
        <v>0</v>
      </c>
      <c r="AV14" s="10">
        <f>COUNTIFS(Table4[[#This Row],[Rectangular Field Dimension: Length - m ]],Methods_Dimensions!J$18,Table4[[#This Row],[Rectangular Field Dimension: Width - m ]],Methods_Dimensions!H$18)</f>
        <v>0</v>
      </c>
      <c r="AW14" s="10">
        <f>COUNTIFS(Table4[[#This Row],[Rectangular Field Dimension: Length - m ]],Methods_Dimensions!J$19,Table4[[#This Row],[Rectangular Field Dimension: Width - m ]],Methods_Dimensions!H$19)</f>
        <v>0</v>
      </c>
      <c r="AX14" s="6" t="s">
        <v>422</v>
      </c>
      <c r="AY14" s="6" t="s">
        <v>388</v>
      </c>
    </row>
    <row r="15" spans="1:51" ht="34.799999999999997" x14ac:dyDescent="0.3">
      <c r="A15" s="4" t="s">
        <v>172</v>
      </c>
      <c r="B15" s="5" t="s">
        <v>417</v>
      </c>
      <c r="C15" s="5" t="s">
        <v>418</v>
      </c>
      <c r="D15" s="5" t="s">
        <v>7</v>
      </c>
      <c r="E15" s="5" t="s">
        <v>1271</v>
      </c>
      <c r="F15" s="5" t="s">
        <v>740</v>
      </c>
      <c r="G15" s="6" t="s">
        <v>159</v>
      </c>
      <c r="H15" s="12">
        <v>78</v>
      </c>
      <c r="I15" s="12">
        <v>60</v>
      </c>
      <c r="J15" s="37">
        <v>4680</v>
      </c>
      <c r="K15" s="12">
        <v>1</v>
      </c>
      <c r="L15" s="12" t="s">
        <v>389</v>
      </c>
      <c r="M15" s="12"/>
      <c r="N15" s="12">
        <v>1</v>
      </c>
      <c r="O15" s="12"/>
      <c r="P15" s="12">
        <v>1</v>
      </c>
      <c r="Q15" s="12"/>
      <c r="R15" s="12">
        <v>1</v>
      </c>
      <c r="S15" s="12"/>
      <c r="T15" s="12"/>
      <c r="U15" s="12"/>
      <c r="V15" s="12"/>
      <c r="W15" s="17"/>
      <c r="X15" s="12">
        <v>1</v>
      </c>
      <c r="Y15" s="12">
        <v>1</v>
      </c>
      <c r="Z15" s="12">
        <v>1</v>
      </c>
      <c r="AA15" s="12"/>
      <c r="AB15" s="17" t="s">
        <v>383</v>
      </c>
      <c r="AC15" s="17"/>
      <c r="AD15" s="12">
        <v>1</v>
      </c>
      <c r="AE15" s="17" t="s">
        <v>419</v>
      </c>
      <c r="AF15" s="12" t="s">
        <v>385</v>
      </c>
      <c r="AG15" s="17" t="s">
        <v>386</v>
      </c>
      <c r="AH15" s="12"/>
      <c r="AI15" s="12"/>
      <c r="AJ15" s="12">
        <f>SUM(Table4[[#This Row],[Soccer/U7 (Yes=1)]:[Ultimate Frisbee (Yes=1)]])</f>
        <v>4</v>
      </c>
      <c r="AK15" s="10"/>
      <c r="AL15" s="10">
        <f>COUNTIFS(Table4[[#This Row],[Rectangular Field Dimension: Width - m ]],Methods_Dimensions!H$8,Table4[[#This Row],[Rectangular Field Dimension: Length - m ]],Methods_Dimensions!J$8)</f>
        <v>1</v>
      </c>
      <c r="AM15" s="10">
        <f>COUNTIFS(Table4[[#This Row],[Rectangular Field Dimension: Length - m ]],Methods_Dimensions!J$9,Table4[[#This Row],[Rectangular Field Dimension: Width - m ]],Methods_Dimensions!H$9)</f>
        <v>1</v>
      </c>
      <c r="AN15" s="10">
        <f>COUNTIFS(Table4[[#This Row],[Rectangular Field Dimension: Length - m ]],Methods_Dimensions!J$10,Table4[[#This Row],[Rectangular Field Dimension: Width - m ]],Methods_Dimensions!H$10)</f>
        <v>1</v>
      </c>
      <c r="AO15" s="10">
        <f>COUNTIFS(Table4[[#This Row],[Rectangular Field Dimension: Length - m ]],Methods_Dimensions!J$11,Table4[[#This Row],[Rectangular Field Dimension: Width - m ]],Methods_Dimensions!H$11)</f>
        <v>1</v>
      </c>
      <c r="AP15" s="10">
        <f>COUNTIFS(Table4[[#This Row],[Rectangular Field Dimension: Length - m ]],Methods_Dimensions!J$12,Table4[[#This Row],[Rectangular Field Dimension: Width - m ]],Methods_Dimensions!H$12)</f>
        <v>0</v>
      </c>
      <c r="AQ15" s="10">
        <f>COUNTIFS(Table4[[#This Row],[Rectangular Field Dimension: Length - m ]],Methods_Dimensions!J$13,Table4[[#This Row],[Rectangular Field Dimension: Width - m ]],Methods_Dimensions!H$13)</f>
        <v>0</v>
      </c>
      <c r="AR15" s="10">
        <f>COUNTIFS(Table4[[#This Row],[Rectangular Field Dimension: Length - m ]],Methods_Dimensions!J$14,Table4[[#This Row],[Rectangular Field Dimension: Width - m ]],Methods_Dimensions!H$14)</f>
        <v>0</v>
      </c>
      <c r="AS1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5" s="10">
        <f>COUNTIFS(Table4[[#This Row],[Rectangular Field Dimension: Length - m ]],Methods_Dimensions!J$16,Table4[[#This Row],[Rectangular Field Dimension: Width - m ]],Methods_Dimensions!H$16)</f>
        <v>0</v>
      </c>
      <c r="AU15" s="10">
        <f>COUNTIFS(Table4[[#This Row],[Rectangular Field Dimension: Length - m ]],Methods_Dimensions!J$17,Table4[[#This Row],[Rectangular Field Dimension: Width - m ]],Methods_Dimensions!H$17)</f>
        <v>0</v>
      </c>
      <c r="AV15" s="10">
        <f>COUNTIFS(Table4[[#This Row],[Rectangular Field Dimension: Length - m ]],Methods_Dimensions!J$18,Table4[[#This Row],[Rectangular Field Dimension: Width - m ]],Methods_Dimensions!H$18)</f>
        <v>0</v>
      </c>
      <c r="AW15" s="10">
        <f>COUNTIFS(Table4[[#This Row],[Rectangular Field Dimension: Length - m ]],Methods_Dimensions!J$19,Table4[[#This Row],[Rectangular Field Dimension: Width - m ]],Methods_Dimensions!H$19)</f>
        <v>0</v>
      </c>
      <c r="AX15" s="6" t="s">
        <v>420</v>
      </c>
      <c r="AY15" s="6" t="s">
        <v>421</v>
      </c>
    </row>
    <row r="16" spans="1:51" ht="34.799999999999997" x14ac:dyDescent="0.3">
      <c r="A16" s="26" t="s">
        <v>173</v>
      </c>
      <c r="B16" s="14" t="s">
        <v>423</v>
      </c>
      <c r="C16" s="14" t="s">
        <v>424</v>
      </c>
      <c r="D16" s="14" t="s">
        <v>12</v>
      </c>
      <c r="E16" s="14" t="s">
        <v>1272</v>
      </c>
      <c r="F16" s="14" t="s">
        <v>789</v>
      </c>
      <c r="G16" s="15" t="s">
        <v>159</v>
      </c>
      <c r="H16" s="16">
        <v>65</v>
      </c>
      <c r="I16" s="16">
        <v>45</v>
      </c>
      <c r="J16" s="36">
        <v>2925</v>
      </c>
      <c r="K16" s="16">
        <v>1</v>
      </c>
      <c r="L16" s="16" t="s">
        <v>389</v>
      </c>
      <c r="M16" s="16"/>
      <c r="N16" s="16">
        <v>1</v>
      </c>
      <c r="O16" s="16">
        <v>1</v>
      </c>
      <c r="P16" s="16">
        <v>1</v>
      </c>
      <c r="Q16" s="16">
        <v>1</v>
      </c>
      <c r="R16" s="16">
        <v>1</v>
      </c>
      <c r="S16" s="16"/>
      <c r="T16" s="16"/>
      <c r="U16" s="16"/>
      <c r="V16" s="16"/>
      <c r="W16" s="18"/>
      <c r="X16" s="16">
        <v>1</v>
      </c>
      <c r="Y16" s="16">
        <v>1</v>
      </c>
      <c r="Z16" s="16"/>
      <c r="AA16" s="16"/>
      <c r="AB16" s="18" t="s">
        <v>383</v>
      </c>
      <c r="AC16" s="18"/>
      <c r="AD16" s="16">
        <v>1</v>
      </c>
      <c r="AE16" s="18"/>
      <c r="AF16" s="16" t="s">
        <v>399</v>
      </c>
      <c r="AG16" s="18" t="s">
        <v>416</v>
      </c>
      <c r="AH16" s="16"/>
      <c r="AI16" s="16"/>
      <c r="AJ16" s="16">
        <f>SUM(Table4[[#This Row],[Soccer/U7 (Yes=1)]:[Ultimate Frisbee (Yes=1)]])</f>
        <v>4</v>
      </c>
      <c r="AK16" s="10"/>
      <c r="AL16" s="10">
        <f>COUNTIFS(Table4[[#This Row],[Rectangular Field Dimension: Width - m ]],Methods_Dimensions!H$8,Table4[[#This Row],[Rectangular Field Dimension: Length - m ]],Methods_Dimensions!J$8)</f>
        <v>1</v>
      </c>
      <c r="AM16" s="10">
        <f>COUNTIFS(Table4[[#This Row],[Rectangular Field Dimension: Length - m ]],Methods_Dimensions!J$9,Table4[[#This Row],[Rectangular Field Dimension: Width - m ]],Methods_Dimensions!H$9)</f>
        <v>1</v>
      </c>
      <c r="AN16" s="10">
        <f>COUNTIFS(Table4[[#This Row],[Rectangular Field Dimension: Length - m ]],Methods_Dimensions!J$10,Table4[[#This Row],[Rectangular Field Dimension: Width - m ]],Methods_Dimensions!H$10)</f>
        <v>1</v>
      </c>
      <c r="AO16" s="10">
        <f>COUNTIFS(Table4[[#This Row],[Rectangular Field Dimension: Length - m ]],Methods_Dimensions!J$11,Table4[[#This Row],[Rectangular Field Dimension: Width - m ]],Methods_Dimensions!H$11)</f>
        <v>1</v>
      </c>
      <c r="AP16" s="10">
        <f>COUNTIFS(Table4[[#This Row],[Rectangular Field Dimension: Length - m ]],Methods_Dimensions!J$12,Table4[[#This Row],[Rectangular Field Dimension: Width - m ]],Methods_Dimensions!H$12)</f>
        <v>0</v>
      </c>
      <c r="AQ16" s="10">
        <f>COUNTIFS(Table4[[#This Row],[Rectangular Field Dimension: Length - m ]],Methods_Dimensions!J$13,Table4[[#This Row],[Rectangular Field Dimension: Width - m ]],Methods_Dimensions!H$13)</f>
        <v>0</v>
      </c>
      <c r="AR16" s="10">
        <f>COUNTIFS(Table4[[#This Row],[Rectangular Field Dimension: Length - m ]],Methods_Dimensions!J$14,Table4[[#This Row],[Rectangular Field Dimension: Width - m ]],Methods_Dimensions!H$14)</f>
        <v>0</v>
      </c>
      <c r="AS1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6" s="10">
        <f>COUNTIFS(Table4[[#This Row],[Rectangular Field Dimension: Length - m ]],Methods_Dimensions!J$16,Table4[[#This Row],[Rectangular Field Dimension: Width - m ]],Methods_Dimensions!H$16)</f>
        <v>0</v>
      </c>
      <c r="AU16" s="10">
        <f>COUNTIFS(Table4[[#This Row],[Rectangular Field Dimension: Length - m ]],Methods_Dimensions!J$17,Table4[[#This Row],[Rectangular Field Dimension: Width - m ]],Methods_Dimensions!H$17)</f>
        <v>0</v>
      </c>
      <c r="AV16" s="10">
        <f>COUNTIFS(Table4[[#This Row],[Rectangular Field Dimension: Length - m ]],Methods_Dimensions!J$18,Table4[[#This Row],[Rectangular Field Dimension: Width - m ]],Methods_Dimensions!H$18)</f>
        <v>0</v>
      </c>
      <c r="AW16" s="10">
        <f>COUNTIFS(Table4[[#This Row],[Rectangular Field Dimension: Length - m ]],Methods_Dimensions!J$19,Table4[[#This Row],[Rectangular Field Dimension: Width - m ]],Methods_Dimensions!H$19)</f>
        <v>0</v>
      </c>
      <c r="AX16" s="6" t="s">
        <v>425</v>
      </c>
      <c r="AY16" s="6" t="s">
        <v>388</v>
      </c>
    </row>
    <row r="17" spans="1:51" ht="34.799999999999997" x14ac:dyDescent="0.3">
      <c r="A17" s="4" t="s">
        <v>174</v>
      </c>
      <c r="B17" s="5" t="s">
        <v>426</v>
      </c>
      <c r="C17" s="5" t="s">
        <v>427</v>
      </c>
      <c r="D17" s="5" t="s">
        <v>175</v>
      </c>
      <c r="E17" s="5" t="s">
        <v>789</v>
      </c>
      <c r="F17" s="5" t="s">
        <v>1273</v>
      </c>
      <c r="G17" s="6" t="s">
        <v>159</v>
      </c>
      <c r="H17" s="12">
        <v>70</v>
      </c>
      <c r="I17" s="12">
        <v>51</v>
      </c>
      <c r="J17" s="37">
        <v>3570</v>
      </c>
      <c r="K17" s="12"/>
      <c r="L17" s="12" t="s">
        <v>397</v>
      </c>
      <c r="M17" s="12">
        <v>1</v>
      </c>
      <c r="N17" s="12">
        <v>1</v>
      </c>
      <c r="O17" s="12"/>
      <c r="P17" s="12">
        <v>1</v>
      </c>
      <c r="Q17" s="12"/>
      <c r="R17" s="12">
        <v>1</v>
      </c>
      <c r="S17" s="12"/>
      <c r="T17" s="12"/>
      <c r="U17" s="12"/>
      <c r="V17" s="12"/>
      <c r="W17" s="17" t="s">
        <v>428</v>
      </c>
      <c r="X17" s="12">
        <v>1</v>
      </c>
      <c r="Y17" s="12"/>
      <c r="Z17" s="12"/>
      <c r="AA17" s="12"/>
      <c r="AB17" s="17" t="s">
        <v>383</v>
      </c>
      <c r="AC17" s="17"/>
      <c r="AD17" s="12">
        <v>1</v>
      </c>
      <c r="AE17" s="17" t="s">
        <v>429</v>
      </c>
      <c r="AF17" s="12" t="s">
        <v>399</v>
      </c>
      <c r="AG17" s="17" t="s">
        <v>269</v>
      </c>
      <c r="AH17" s="12"/>
      <c r="AI17" s="12"/>
      <c r="AJ17" s="12">
        <f>SUM(Table4[[#This Row],[Soccer/U7 (Yes=1)]:[Ultimate Frisbee (Yes=1)]])</f>
        <v>4</v>
      </c>
      <c r="AK17" s="10"/>
      <c r="AL17" s="10">
        <f>COUNTIFS(Table4[[#This Row],[Rectangular Field Dimension: Width - m ]],Methods_Dimensions!H$8,Table4[[#This Row],[Rectangular Field Dimension: Length - m ]],Methods_Dimensions!J$8)</f>
        <v>1</v>
      </c>
      <c r="AM17" s="10">
        <f>COUNTIFS(Table4[[#This Row],[Rectangular Field Dimension: Length - m ]],Methods_Dimensions!J$9,Table4[[#This Row],[Rectangular Field Dimension: Width - m ]],Methods_Dimensions!H$9)</f>
        <v>1</v>
      </c>
      <c r="AN17" s="10">
        <f>COUNTIFS(Table4[[#This Row],[Rectangular Field Dimension: Length - m ]],Methods_Dimensions!J$10,Table4[[#This Row],[Rectangular Field Dimension: Width - m ]],Methods_Dimensions!H$10)</f>
        <v>1</v>
      </c>
      <c r="AO17" s="10">
        <f>COUNTIFS(Table4[[#This Row],[Rectangular Field Dimension: Length - m ]],Methods_Dimensions!J$11,Table4[[#This Row],[Rectangular Field Dimension: Width - m ]],Methods_Dimensions!H$11)</f>
        <v>1</v>
      </c>
      <c r="AP17" s="10">
        <f>COUNTIFS(Table4[[#This Row],[Rectangular Field Dimension: Length - m ]],Methods_Dimensions!J$12,Table4[[#This Row],[Rectangular Field Dimension: Width - m ]],Methods_Dimensions!H$12)</f>
        <v>0</v>
      </c>
      <c r="AQ17" s="10">
        <f>COUNTIFS(Table4[[#This Row],[Rectangular Field Dimension: Length - m ]],Methods_Dimensions!J$13,Table4[[#This Row],[Rectangular Field Dimension: Width - m ]],Methods_Dimensions!H$13)</f>
        <v>0</v>
      </c>
      <c r="AR17" s="10">
        <f>COUNTIFS(Table4[[#This Row],[Rectangular Field Dimension: Length - m ]],Methods_Dimensions!J$14,Table4[[#This Row],[Rectangular Field Dimension: Width - m ]],Methods_Dimensions!H$14)</f>
        <v>0</v>
      </c>
      <c r="AS1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7" s="10">
        <f>COUNTIFS(Table4[[#This Row],[Rectangular Field Dimension: Length - m ]],Methods_Dimensions!J$16,Table4[[#This Row],[Rectangular Field Dimension: Width - m ]],Methods_Dimensions!H$16)</f>
        <v>0</v>
      </c>
      <c r="AU17" s="10">
        <f>COUNTIFS(Table4[[#This Row],[Rectangular Field Dimension: Length - m ]],Methods_Dimensions!J$17,Table4[[#This Row],[Rectangular Field Dimension: Width - m ]],Methods_Dimensions!H$17)</f>
        <v>0</v>
      </c>
      <c r="AV17" s="10">
        <f>COUNTIFS(Table4[[#This Row],[Rectangular Field Dimension: Length - m ]],Methods_Dimensions!J$18,Table4[[#This Row],[Rectangular Field Dimension: Width - m ]],Methods_Dimensions!H$18)</f>
        <v>0</v>
      </c>
      <c r="AW17" s="10">
        <f>COUNTIFS(Table4[[#This Row],[Rectangular Field Dimension: Length - m ]],Methods_Dimensions!J$19,Table4[[#This Row],[Rectangular Field Dimension: Width - m ]],Methods_Dimensions!H$19)</f>
        <v>0</v>
      </c>
      <c r="AX17" s="6" t="s">
        <v>430</v>
      </c>
      <c r="AY17" s="6" t="s">
        <v>388</v>
      </c>
    </row>
    <row r="18" spans="1:51" ht="34.799999999999997" x14ac:dyDescent="0.3">
      <c r="A18" s="26" t="s">
        <v>176</v>
      </c>
      <c r="B18" s="14" t="s">
        <v>431</v>
      </c>
      <c r="C18" s="14" t="s">
        <v>432</v>
      </c>
      <c r="D18" s="14" t="s">
        <v>14</v>
      </c>
      <c r="E18" s="14" t="s">
        <v>1271</v>
      </c>
      <c r="F18" s="14" t="s">
        <v>740</v>
      </c>
      <c r="G18" s="15" t="s">
        <v>159</v>
      </c>
      <c r="H18" s="114"/>
      <c r="I18" s="114"/>
      <c r="J18" s="36"/>
      <c r="K18" s="16">
        <v>1</v>
      </c>
      <c r="L18" s="16" t="s">
        <v>381</v>
      </c>
      <c r="M18" s="16">
        <v>1</v>
      </c>
      <c r="N18" s="16"/>
      <c r="O18" s="16"/>
      <c r="P18" s="16">
        <v>1</v>
      </c>
      <c r="Q18" s="16"/>
      <c r="R18" s="16">
        <v>1</v>
      </c>
      <c r="S18" s="16">
        <v>1</v>
      </c>
      <c r="T18" s="16"/>
      <c r="U18" s="16"/>
      <c r="V18" s="16"/>
      <c r="W18" s="18"/>
      <c r="X18" s="16">
        <v>1</v>
      </c>
      <c r="Y18" s="16"/>
      <c r="Z18" s="16">
        <v>1</v>
      </c>
      <c r="AA18" s="16"/>
      <c r="AB18" s="18" t="s">
        <v>383</v>
      </c>
      <c r="AC18" s="18"/>
      <c r="AD18" s="16">
        <v>1</v>
      </c>
      <c r="AE18" s="18"/>
      <c r="AF18" s="16" t="s">
        <v>399</v>
      </c>
      <c r="AG18" s="18" t="s">
        <v>386</v>
      </c>
      <c r="AH18" s="16"/>
      <c r="AI18" s="16"/>
      <c r="AJ18" s="16">
        <f>SUM(Table4[[#This Row],[Soccer/U7 (Yes=1)]:[Ultimate Frisbee (Yes=1)]])</f>
        <v>0</v>
      </c>
      <c r="AK18" s="10"/>
      <c r="AL18" s="10">
        <f>COUNTIFS(Table4[[#This Row],[Rectangular Field Dimension: Width - m ]],Methods_Dimensions!H$8,Table4[[#This Row],[Rectangular Field Dimension: Length - m ]],Methods_Dimensions!J$8)</f>
        <v>0</v>
      </c>
      <c r="AM18" s="10">
        <f>COUNTIFS(Table4[[#This Row],[Rectangular Field Dimension: Length - m ]],Methods_Dimensions!J$9,Table4[[#This Row],[Rectangular Field Dimension: Width - m ]],Methods_Dimensions!H$9)</f>
        <v>0</v>
      </c>
      <c r="AN18" s="10">
        <f>COUNTIFS(Table4[[#This Row],[Rectangular Field Dimension: Length - m ]],Methods_Dimensions!J$10,Table4[[#This Row],[Rectangular Field Dimension: Width - m ]],Methods_Dimensions!H$10)</f>
        <v>0</v>
      </c>
      <c r="AO18" s="10">
        <f>COUNTIFS(Table4[[#This Row],[Rectangular Field Dimension: Length - m ]],Methods_Dimensions!J$11,Table4[[#This Row],[Rectangular Field Dimension: Width - m ]],Methods_Dimensions!H$11)</f>
        <v>0</v>
      </c>
      <c r="AP18" s="10">
        <f>COUNTIFS(Table4[[#This Row],[Rectangular Field Dimension: Length - m ]],Methods_Dimensions!J$12,Table4[[#This Row],[Rectangular Field Dimension: Width - m ]],Methods_Dimensions!H$12)</f>
        <v>0</v>
      </c>
      <c r="AQ18" s="10">
        <f>COUNTIFS(Table4[[#This Row],[Rectangular Field Dimension: Length - m ]],Methods_Dimensions!J$13,Table4[[#This Row],[Rectangular Field Dimension: Width - m ]],Methods_Dimensions!H$13)</f>
        <v>0</v>
      </c>
      <c r="AR18" s="10">
        <f>COUNTIFS(Table4[[#This Row],[Rectangular Field Dimension: Length - m ]],Methods_Dimensions!J$14,Table4[[#This Row],[Rectangular Field Dimension: Width - m ]],Methods_Dimensions!H$14)</f>
        <v>0</v>
      </c>
      <c r="AS1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8" s="10">
        <f>COUNTIFS(Table4[[#This Row],[Rectangular Field Dimension: Length - m ]],Methods_Dimensions!J$16,Table4[[#This Row],[Rectangular Field Dimension: Width - m ]],Methods_Dimensions!H$16)</f>
        <v>0</v>
      </c>
      <c r="AU18" s="10">
        <f>COUNTIFS(Table4[[#This Row],[Rectangular Field Dimension: Length - m ]],Methods_Dimensions!J$17,Table4[[#This Row],[Rectangular Field Dimension: Width - m ]],Methods_Dimensions!H$17)</f>
        <v>0</v>
      </c>
      <c r="AV18" s="10">
        <f>COUNTIFS(Table4[[#This Row],[Rectangular Field Dimension: Length - m ]],Methods_Dimensions!J$18,Table4[[#This Row],[Rectangular Field Dimension: Width - m ]],Methods_Dimensions!H$18)</f>
        <v>0</v>
      </c>
      <c r="AW18" s="10">
        <f>COUNTIFS(Table4[[#This Row],[Rectangular Field Dimension: Length - m ]],Methods_Dimensions!J$19,Table4[[#This Row],[Rectangular Field Dimension: Width - m ]],Methods_Dimensions!H$19)</f>
        <v>0</v>
      </c>
      <c r="AX18" s="6" t="s">
        <v>387</v>
      </c>
      <c r="AY18" s="6" t="s">
        <v>388</v>
      </c>
    </row>
    <row r="19" spans="1:51" ht="34.799999999999997" x14ac:dyDescent="0.3">
      <c r="A19" s="4" t="s">
        <v>177</v>
      </c>
      <c r="B19" s="5" t="s">
        <v>431</v>
      </c>
      <c r="C19" s="5" t="s">
        <v>432</v>
      </c>
      <c r="D19" s="5" t="s">
        <v>14</v>
      </c>
      <c r="E19" s="5" t="s">
        <v>1271</v>
      </c>
      <c r="F19" s="5" t="s">
        <v>740</v>
      </c>
      <c r="G19" s="6" t="s">
        <v>159</v>
      </c>
      <c r="H19" s="12">
        <v>144</v>
      </c>
      <c r="I19" s="12">
        <v>76</v>
      </c>
      <c r="J19" s="37">
        <v>10944</v>
      </c>
      <c r="K19" s="12">
        <v>1</v>
      </c>
      <c r="L19" s="12" t="s">
        <v>389</v>
      </c>
      <c r="M19" s="12"/>
      <c r="N19" s="12">
        <v>1</v>
      </c>
      <c r="O19" s="12"/>
      <c r="P19" s="12">
        <v>1</v>
      </c>
      <c r="Q19" s="12"/>
      <c r="R19" s="12">
        <v>1</v>
      </c>
      <c r="S19" s="12">
        <v>1</v>
      </c>
      <c r="T19" s="12"/>
      <c r="U19" s="12"/>
      <c r="V19" s="12"/>
      <c r="W19" s="17"/>
      <c r="X19" s="12">
        <v>1</v>
      </c>
      <c r="Y19" s="12">
        <v>1</v>
      </c>
      <c r="Z19" s="12">
        <v>1</v>
      </c>
      <c r="AA19" s="12"/>
      <c r="AB19" s="17" t="s">
        <v>383</v>
      </c>
      <c r="AC19" s="17"/>
      <c r="AD19" s="12">
        <v>1</v>
      </c>
      <c r="AE19" s="17"/>
      <c r="AF19" s="12" t="s">
        <v>399</v>
      </c>
      <c r="AG19" s="17" t="s">
        <v>386</v>
      </c>
      <c r="AH19" s="12"/>
      <c r="AI19" s="12"/>
      <c r="AJ19" s="12">
        <f>SUM(Table4[[#This Row],[Soccer/U7 (Yes=1)]:[Ultimate Frisbee (Yes=1)]])</f>
        <v>7</v>
      </c>
      <c r="AK19" s="10"/>
      <c r="AL19" s="10">
        <f>COUNTIFS(Table4[[#This Row],[Rectangular Field Dimension: Width - m ]],Methods_Dimensions!H$8,Table4[[#This Row],[Rectangular Field Dimension: Length - m ]],Methods_Dimensions!J$8)</f>
        <v>1</v>
      </c>
      <c r="AM19" s="10">
        <f>COUNTIFS(Table4[[#This Row],[Rectangular Field Dimension: Length - m ]],Methods_Dimensions!J$9,Table4[[#This Row],[Rectangular Field Dimension: Width - m ]],Methods_Dimensions!H$9)</f>
        <v>1</v>
      </c>
      <c r="AN19" s="10">
        <f>COUNTIFS(Table4[[#This Row],[Rectangular Field Dimension: Length - m ]],Methods_Dimensions!J$10,Table4[[#This Row],[Rectangular Field Dimension: Width - m ]],Methods_Dimensions!H$10)</f>
        <v>1</v>
      </c>
      <c r="AO19" s="10">
        <f>COUNTIFS(Table4[[#This Row],[Rectangular Field Dimension: Length - m ]],Methods_Dimensions!J$11,Table4[[#This Row],[Rectangular Field Dimension: Width - m ]],Methods_Dimensions!H$11)</f>
        <v>1</v>
      </c>
      <c r="AP19" s="10">
        <f>COUNTIFS(Table4[[#This Row],[Rectangular Field Dimension: Length - m ]],Methods_Dimensions!J$12,Table4[[#This Row],[Rectangular Field Dimension: Width - m ]],Methods_Dimensions!H$12)</f>
        <v>1</v>
      </c>
      <c r="AQ19" s="10">
        <f>COUNTIFS(Table4[[#This Row],[Rectangular Field Dimension: Length - m ]],Methods_Dimensions!J$13,Table4[[#This Row],[Rectangular Field Dimension: Width - m ]],Methods_Dimensions!H$13)</f>
        <v>0</v>
      </c>
      <c r="AR19" s="10">
        <f>COUNTIFS(Table4[[#This Row],[Rectangular Field Dimension: Length - m ]],Methods_Dimensions!J$14,Table4[[#This Row],[Rectangular Field Dimension: Width - m ]],Methods_Dimensions!H$14)</f>
        <v>0</v>
      </c>
      <c r="AS1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9" s="10">
        <f>COUNTIFS(Table4[[#This Row],[Rectangular Field Dimension: Length - m ]],Methods_Dimensions!J$16,Table4[[#This Row],[Rectangular Field Dimension: Width - m ]],Methods_Dimensions!H$16)</f>
        <v>0</v>
      </c>
      <c r="AU19" s="10">
        <f>COUNTIFS(Table4[[#This Row],[Rectangular Field Dimension: Length - m ]],Methods_Dimensions!J$17,Table4[[#This Row],[Rectangular Field Dimension: Width - m ]],Methods_Dimensions!H$17)</f>
        <v>1</v>
      </c>
      <c r="AV19" s="10">
        <f>COUNTIFS(Table4[[#This Row],[Rectangular Field Dimension: Length - m ]],Methods_Dimensions!J$18,Table4[[#This Row],[Rectangular Field Dimension: Width - m ]],Methods_Dimensions!H$18)</f>
        <v>0</v>
      </c>
      <c r="AW19" s="10">
        <f>COUNTIFS(Table4[[#This Row],[Rectangular Field Dimension: Length - m ]],Methods_Dimensions!J$19,Table4[[#This Row],[Rectangular Field Dimension: Width - m ]],Methods_Dimensions!H$19)</f>
        <v>1</v>
      </c>
      <c r="AX19" s="6" t="s">
        <v>387</v>
      </c>
      <c r="AY19" s="6" t="s">
        <v>388</v>
      </c>
    </row>
    <row r="20" spans="1:51" ht="34.799999999999997" x14ac:dyDescent="0.3">
      <c r="A20" s="26" t="s">
        <v>178</v>
      </c>
      <c r="B20" s="14" t="s">
        <v>431</v>
      </c>
      <c r="C20" s="14" t="s">
        <v>432</v>
      </c>
      <c r="D20" s="14" t="s">
        <v>14</v>
      </c>
      <c r="E20" s="14" t="s">
        <v>1271</v>
      </c>
      <c r="F20" s="14" t="s">
        <v>740</v>
      </c>
      <c r="G20" s="15" t="s">
        <v>159</v>
      </c>
      <c r="H20" s="16">
        <v>125</v>
      </c>
      <c r="I20" s="16">
        <v>65</v>
      </c>
      <c r="J20" s="36">
        <v>8125</v>
      </c>
      <c r="K20" s="16">
        <v>1</v>
      </c>
      <c r="L20" s="16" t="s">
        <v>389</v>
      </c>
      <c r="M20" s="16"/>
      <c r="N20" s="16">
        <v>1</v>
      </c>
      <c r="O20" s="16"/>
      <c r="P20" s="16">
        <v>1</v>
      </c>
      <c r="Q20" s="16"/>
      <c r="R20" s="16">
        <v>1</v>
      </c>
      <c r="S20" s="16">
        <v>1</v>
      </c>
      <c r="T20" s="16"/>
      <c r="U20" s="16"/>
      <c r="V20" s="16"/>
      <c r="W20" s="18"/>
      <c r="X20" s="16">
        <v>1</v>
      </c>
      <c r="Y20" s="16">
        <v>1</v>
      </c>
      <c r="Z20" s="16">
        <v>1</v>
      </c>
      <c r="AA20" s="16"/>
      <c r="AB20" s="18" t="s">
        <v>383</v>
      </c>
      <c r="AC20" s="18"/>
      <c r="AD20" s="16">
        <v>1</v>
      </c>
      <c r="AE20" s="18"/>
      <c r="AF20" s="16" t="s">
        <v>399</v>
      </c>
      <c r="AG20" s="18" t="s">
        <v>386</v>
      </c>
      <c r="AH20" s="16"/>
      <c r="AI20" s="16"/>
      <c r="AJ20" s="16">
        <f>SUM(Table4[[#This Row],[Soccer/U7 (Yes=1)]:[Ultimate Frisbee (Yes=1)]])</f>
        <v>6</v>
      </c>
      <c r="AK20" s="10"/>
      <c r="AL20" s="10">
        <f>COUNTIFS(Table4[[#This Row],[Rectangular Field Dimension: Width - m ]],Methods_Dimensions!H$8,Table4[[#This Row],[Rectangular Field Dimension: Length - m ]],Methods_Dimensions!J$8)</f>
        <v>1</v>
      </c>
      <c r="AM20" s="10">
        <f>COUNTIFS(Table4[[#This Row],[Rectangular Field Dimension: Length - m ]],Methods_Dimensions!J$9,Table4[[#This Row],[Rectangular Field Dimension: Width - m ]],Methods_Dimensions!H$9)</f>
        <v>1</v>
      </c>
      <c r="AN20" s="10">
        <f>COUNTIFS(Table4[[#This Row],[Rectangular Field Dimension: Length - m ]],Methods_Dimensions!J$10,Table4[[#This Row],[Rectangular Field Dimension: Width - m ]],Methods_Dimensions!H$10)</f>
        <v>1</v>
      </c>
      <c r="AO20" s="10">
        <f>COUNTIFS(Table4[[#This Row],[Rectangular Field Dimension: Length - m ]],Methods_Dimensions!J$11,Table4[[#This Row],[Rectangular Field Dimension: Width - m ]],Methods_Dimensions!H$11)</f>
        <v>1</v>
      </c>
      <c r="AP20" s="10">
        <f>COUNTIFS(Table4[[#This Row],[Rectangular Field Dimension: Length - m ]],Methods_Dimensions!J$12,Table4[[#This Row],[Rectangular Field Dimension: Width - m ]],Methods_Dimensions!H$12)</f>
        <v>1</v>
      </c>
      <c r="AQ20" s="10">
        <f>COUNTIFS(Table4[[#This Row],[Rectangular Field Dimension: Length - m ]],Methods_Dimensions!J$13,Table4[[#This Row],[Rectangular Field Dimension: Width - m ]],Methods_Dimensions!H$13)</f>
        <v>0</v>
      </c>
      <c r="AR20" s="10">
        <f>COUNTIFS(Table4[[#This Row],[Rectangular Field Dimension: Length - m ]],Methods_Dimensions!J$14,Table4[[#This Row],[Rectangular Field Dimension: Width - m ]],Methods_Dimensions!H$14)</f>
        <v>0</v>
      </c>
      <c r="AS2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0" s="10">
        <f>COUNTIFS(Table4[[#This Row],[Rectangular Field Dimension: Length - m ]],Methods_Dimensions!J$16,Table4[[#This Row],[Rectangular Field Dimension: Width - m ]],Methods_Dimensions!H$16)</f>
        <v>0</v>
      </c>
      <c r="AU20" s="10">
        <f>COUNTIFS(Table4[[#This Row],[Rectangular Field Dimension: Length - m ]],Methods_Dimensions!J$17,Table4[[#This Row],[Rectangular Field Dimension: Width - m ]],Methods_Dimensions!H$17)</f>
        <v>0</v>
      </c>
      <c r="AV20" s="10">
        <f>COUNTIFS(Table4[[#This Row],[Rectangular Field Dimension: Length - m ]],Methods_Dimensions!J$18,Table4[[#This Row],[Rectangular Field Dimension: Width - m ]],Methods_Dimensions!H$18)</f>
        <v>0</v>
      </c>
      <c r="AW20" s="10">
        <f>COUNTIFS(Table4[[#This Row],[Rectangular Field Dimension: Length - m ]],Methods_Dimensions!J$19,Table4[[#This Row],[Rectangular Field Dimension: Width - m ]],Methods_Dimensions!H$19)</f>
        <v>1</v>
      </c>
      <c r="AX20" s="6" t="s">
        <v>387</v>
      </c>
      <c r="AY20" s="6" t="s">
        <v>388</v>
      </c>
    </row>
    <row r="21" spans="1:51" ht="34.799999999999997" x14ac:dyDescent="0.3">
      <c r="A21" s="4" t="s">
        <v>179</v>
      </c>
      <c r="B21" s="5" t="s">
        <v>431</v>
      </c>
      <c r="C21" s="5" t="s">
        <v>432</v>
      </c>
      <c r="D21" s="5" t="s">
        <v>14</v>
      </c>
      <c r="E21" s="5" t="s">
        <v>1271</v>
      </c>
      <c r="F21" s="5" t="s">
        <v>740</v>
      </c>
      <c r="G21" s="6" t="s">
        <v>159</v>
      </c>
      <c r="H21" s="59"/>
      <c r="I21" s="59"/>
      <c r="J21" s="37"/>
      <c r="K21" s="12">
        <v>1</v>
      </c>
      <c r="L21" s="12" t="s">
        <v>381</v>
      </c>
      <c r="M21" s="12">
        <v>1</v>
      </c>
      <c r="N21" s="12"/>
      <c r="O21" s="12"/>
      <c r="P21" s="12">
        <v>1</v>
      </c>
      <c r="Q21" s="12"/>
      <c r="R21" s="12">
        <v>1</v>
      </c>
      <c r="S21" s="12">
        <v>1</v>
      </c>
      <c r="T21" s="12"/>
      <c r="U21" s="12"/>
      <c r="V21" s="12"/>
      <c r="W21" s="17"/>
      <c r="X21" s="12">
        <v>1</v>
      </c>
      <c r="Y21" s="12"/>
      <c r="Z21" s="12">
        <v>1</v>
      </c>
      <c r="AA21" s="12"/>
      <c r="AB21" s="17" t="s">
        <v>383</v>
      </c>
      <c r="AC21" s="17"/>
      <c r="AD21" s="12">
        <v>1</v>
      </c>
      <c r="AE21" s="17"/>
      <c r="AF21" s="12" t="s">
        <v>399</v>
      </c>
      <c r="AG21" s="17" t="s">
        <v>386</v>
      </c>
      <c r="AH21" s="12"/>
      <c r="AI21" s="12"/>
      <c r="AJ21" s="12">
        <f>SUM(Table4[[#This Row],[Soccer/U7 (Yes=1)]:[Ultimate Frisbee (Yes=1)]])</f>
        <v>0</v>
      </c>
      <c r="AK21" s="10"/>
      <c r="AL21" s="10">
        <f>COUNTIFS(Table4[[#This Row],[Rectangular Field Dimension: Width - m ]],Methods_Dimensions!H$8,Table4[[#This Row],[Rectangular Field Dimension: Length - m ]],Methods_Dimensions!J$8)</f>
        <v>0</v>
      </c>
      <c r="AM21" s="10">
        <f>COUNTIFS(Table4[[#This Row],[Rectangular Field Dimension: Length - m ]],Methods_Dimensions!J$9,Table4[[#This Row],[Rectangular Field Dimension: Width - m ]],Methods_Dimensions!H$9)</f>
        <v>0</v>
      </c>
      <c r="AN21" s="10">
        <f>COUNTIFS(Table4[[#This Row],[Rectangular Field Dimension: Length - m ]],Methods_Dimensions!J$10,Table4[[#This Row],[Rectangular Field Dimension: Width - m ]],Methods_Dimensions!H$10)</f>
        <v>0</v>
      </c>
      <c r="AO21" s="10">
        <f>COUNTIFS(Table4[[#This Row],[Rectangular Field Dimension: Length - m ]],Methods_Dimensions!J$11,Table4[[#This Row],[Rectangular Field Dimension: Width - m ]],Methods_Dimensions!H$11)</f>
        <v>0</v>
      </c>
      <c r="AP21" s="10">
        <f>COUNTIFS(Table4[[#This Row],[Rectangular Field Dimension: Length - m ]],Methods_Dimensions!J$12,Table4[[#This Row],[Rectangular Field Dimension: Width - m ]],Methods_Dimensions!H$12)</f>
        <v>0</v>
      </c>
      <c r="AQ21" s="10">
        <f>COUNTIFS(Table4[[#This Row],[Rectangular Field Dimension: Length - m ]],Methods_Dimensions!J$13,Table4[[#This Row],[Rectangular Field Dimension: Width - m ]],Methods_Dimensions!H$13)</f>
        <v>0</v>
      </c>
      <c r="AR21" s="10">
        <f>COUNTIFS(Table4[[#This Row],[Rectangular Field Dimension: Length - m ]],Methods_Dimensions!J$14,Table4[[#This Row],[Rectangular Field Dimension: Width - m ]],Methods_Dimensions!H$14)</f>
        <v>0</v>
      </c>
      <c r="AS2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1" s="10">
        <f>COUNTIFS(Table4[[#This Row],[Rectangular Field Dimension: Length - m ]],Methods_Dimensions!J$16,Table4[[#This Row],[Rectangular Field Dimension: Width - m ]],Methods_Dimensions!H$16)</f>
        <v>0</v>
      </c>
      <c r="AU21" s="10">
        <f>COUNTIFS(Table4[[#This Row],[Rectangular Field Dimension: Length - m ]],Methods_Dimensions!J$17,Table4[[#This Row],[Rectangular Field Dimension: Width - m ]],Methods_Dimensions!H$17)</f>
        <v>0</v>
      </c>
      <c r="AV21" s="10">
        <f>COUNTIFS(Table4[[#This Row],[Rectangular Field Dimension: Length - m ]],Methods_Dimensions!J$18,Table4[[#This Row],[Rectangular Field Dimension: Width - m ]],Methods_Dimensions!H$18)</f>
        <v>0</v>
      </c>
      <c r="AW21" s="10">
        <f>COUNTIFS(Table4[[#This Row],[Rectangular Field Dimension: Length - m ]],Methods_Dimensions!J$19,Table4[[#This Row],[Rectangular Field Dimension: Width - m ]],Methods_Dimensions!H$19)</f>
        <v>0</v>
      </c>
      <c r="AX21" s="6" t="s">
        <v>387</v>
      </c>
      <c r="AY21" s="6" t="s">
        <v>388</v>
      </c>
    </row>
    <row r="22" spans="1:51" ht="52.2" x14ac:dyDescent="0.3">
      <c r="A22" s="26" t="s">
        <v>180</v>
      </c>
      <c r="B22" s="14" t="s">
        <v>433</v>
      </c>
      <c r="C22" s="14" t="s">
        <v>434</v>
      </c>
      <c r="D22" s="14" t="s">
        <v>435</v>
      </c>
      <c r="E22" s="14" t="s">
        <v>789</v>
      </c>
      <c r="F22" s="14" t="s">
        <v>789</v>
      </c>
      <c r="G22" s="15" t="s">
        <v>159</v>
      </c>
      <c r="H22" s="114"/>
      <c r="I22" s="114"/>
      <c r="J22" s="36"/>
      <c r="K22" s="16"/>
      <c r="L22" s="16" t="s">
        <v>381</v>
      </c>
      <c r="M22" s="16">
        <v>1</v>
      </c>
      <c r="N22" s="16"/>
      <c r="O22" s="16"/>
      <c r="P22" s="16"/>
      <c r="Q22" s="16"/>
      <c r="R22" s="16">
        <v>1</v>
      </c>
      <c r="S22" s="16"/>
      <c r="T22" s="16">
        <v>1</v>
      </c>
      <c r="U22" s="16"/>
      <c r="V22" s="16"/>
      <c r="W22" s="18" t="s">
        <v>414</v>
      </c>
      <c r="X22" s="16"/>
      <c r="Y22" s="16"/>
      <c r="Z22" s="16"/>
      <c r="AA22" s="16"/>
      <c r="AB22" s="18" t="s">
        <v>383</v>
      </c>
      <c r="AC22" s="18"/>
      <c r="AD22" s="16">
        <v>1</v>
      </c>
      <c r="AE22" s="18"/>
      <c r="AF22" s="16" t="s">
        <v>399</v>
      </c>
      <c r="AG22" s="18" t="s">
        <v>416</v>
      </c>
      <c r="AH22" s="16">
        <v>81.5</v>
      </c>
      <c r="AI22" s="16">
        <v>6</v>
      </c>
      <c r="AJ22" s="16">
        <f>SUM(Table4[[#This Row],[Soccer/U7 (Yes=1)]:[Ultimate Frisbee (Yes=1)]])</f>
        <v>0</v>
      </c>
      <c r="AK22" s="10"/>
      <c r="AL22" s="10">
        <f>COUNTIFS(Table4[[#This Row],[Rectangular Field Dimension: Width - m ]],Methods_Dimensions!H$8,Table4[[#This Row],[Rectangular Field Dimension: Length - m ]],Methods_Dimensions!J$8)</f>
        <v>0</v>
      </c>
      <c r="AM22" s="10">
        <f>COUNTIFS(Table4[[#This Row],[Rectangular Field Dimension: Length - m ]],Methods_Dimensions!J$9,Table4[[#This Row],[Rectangular Field Dimension: Width - m ]],Methods_Dimensions!H$9)</f>
        <v>0</v>
      </c>
      <c r="AN22" s="10">
        <f>COUNTIFS(Table4[[#This Row],[Rectangular Field Dimension: Length - m ]],Methods_Dimensions!J$10,Table4[[#This Row],[Rectangular Field Dimension: Width - m ]],Methods_Dimensions!H$10)</f>
        <v>0</v>
      </c>
      <c r="AO22" s="10">
        <f>COUNTIFS(Table4[[#This Row],[Rectangular Field Dimension: Length - m ]],Methods_Dimensions!J$11,Table4[[#This Row],[Rectangular Field Dimension: Width - m ]],Methods_Dimensions!H$11)</f>
        <v>0</v>
      </c>
      <c r="AP22" s="10">
        <f>COUNTIFS(Table4[[#This Row],[Rectangular Field Dimension: Length - m ]],Methods_Dimensions!J$12,Table4[[#This Row],[Rectangular Field Dimension: Width - m ]],Methods_Dimensions!H$12)</f>
        <v>0</v>
      </c>
      <c r="AQ22" s="10">
        <f>COUNTIFS(Table4[[#This Row],[Rectangular Field Dimension: Length - m ]],Methods_Dimensions!J$13,Table4[[#This Row],[Rectangular Field Dimension: Width - m ]],Methods_Dimensions!H$13)</f>
        <v>0</v>
      </c>
      <c r="AR22" s="10">
        <f>COUNTIFS(Table4[[#This Row],[Rectangular Field Dimension: Length - m ]],Methods_Dimensions!J$14,Table4[[#This Row],[Rectangular Field Dimension: Width - m ]],Methods_Dimensions!H$14)</f>
        <v>0</v>
      </c>
      <c r="AS2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2" s="10">
        <f>COUNTIFS(Table4[[#This Row],[Rectangular Field Dimension: Length - m ]],Methods_Dimensions!J$16,Table4[[#This Row],[Rectangular Field Dimension: Width - m ]],Methods_Dimensions!H$16)</f>
        <v>0</v>
      </c>
      <c r="AU22" s="10">
        <f>COUNTIFS(Table4[[#This Row],[Rectangular Field Dimension: Length - m ]],Methods_Dimensions!J$17,Table4[[#This Row],[Rectangular Field Dimension: Width - m ]],Methods_Dimensions!H$17)</f>
        <v>0</v>
      </c>
      <c r="AV22" s="10">
        <f>COUNTIFS(Table4[[#This Row],[Rectangular Field Dimension: Length - m ]],Methods_Dimensions!J$18,Table4[[#This Row],[Rectangular Field Dimension: Width - m ]],Methods_Dimensions!H$18)</f>
        <v>0</v>
      </c>
      <c r="AW22" s="10">
        <f>COUNTIFS(Table4[[#This Row],[Rectangular Field Dimension: Length - m ]],Methods_Dimensions!J$19,Table4[[#This Row],[Rectangular Field Dimension: Width - m ]],Methods_Dimensions!H$19)</f>
        <v>0</v>
      </c>
      <c r="AX22" s="6" t="s">
        <v>436</v>
      </c>
      <c r="AY22" s="6" t="s">
        <v>388</v>
      </c>
    </row>
    <row r="23" spans="1:51" ht="34.799999999999997" x14ac:dyDescent="0.3">
      <c r="A23" s="4" t="s">
        <v>181</v>
      </c>
      <c r="B23" s="5" t="s">
        <v>437</v>
      </c>
      <c r="C23" s="5" t="s">
        <v>406</v>
      </c>
      <c r="D23" s="5" t="s">
        <v>19</v>
      </c>
      <c r="E23" s="5" t="s">
        <v>1272</v>
      </c>
      <c r="F23" s="5" t="s">
        <v>740</v>
      </c>
      <c r="G23" s="6" t="s">
        <v>159</v>
      </c>
      <c r="H23" s="12">
        <v>170</v>
      </c>
      <c r="I23" s="12">
        <v>86</v>
      </c>
      <c r="J23" s="37">
        <v>14620</v>
      </c>
      <c r="K23" s="12">
        <v>1</v>
      </c>
      <c r="L23" s="12" t="s">
        <v>389</v>
      </c>
      <c r="M23" s="12"/>
      <c r="N23" s="12">
        <v>1</v>
      </c>
      <c r="O23" s="12"/>
      <c r="P23" s="12">
        <v>1</v>
      </c>
      <c r="Q23" s="12"/>
      <c r="R23" s="12">
        <v>1</v>
      </c>
      <c r="S23" s="12"/>
      <c r="T23" s="12"/>
      <c r="U23" s="12"/>
      <c r="V23" s="12"/>
      <c r="W23" s="17"/>
      <c r="X23" s="12">
        <v>1</v>
      </c>
      <c r="Y23" s="12">
        <v>1</v>
      </c>
      <c r="Z23" s="12">
        <v>1</v>
      </c>
      <c r="AA23" s="12"/>
      <c r="AB23" s="17" t="s">
        <v>383</v>
      </c>
      <c r="AC23" s="17"/>
      <c r="AD23" s="12">
        <v>1</v>
      </c>
      <c r="AE23" s="17" t="s">
        <v>438</v>
      </c>
      <c r="AF23" s="12" t="s">
        <v>399</v>
      </c>
      <c r="AG23" s="17" t="s">
        <v>386</v>
      </c>
      <c r="AH23" s="12"/>
      <c r="AI23" s="12"/>
      <c r="AJ23" s="12">
        <f>SUM(Table4[[#This Row],[Soccer/U7 (Yes=1)]:[Ultimate Frisbee (Yes=1)]])</f>
        <v>9</v>
      </c>
      <c r="AK23" s="10"/>
      <c r="AL23" s="10">
        <f>COUNTIFS(Table4[[#This Row],[Rectangular Field Dimension: Width - m ]],Methods_Dimensions!H$8,Table4[[#This Row],[Rectangular Field Dimension: Length - m ]],Methods_Dimensions!J$8)</f>
        <v>1</v>
      </c>
      <c r="AM23" s="10">
        <f>COUNTIFS(Table4[[#This Row],[Rectangular Field Dimension: Length - m ]],Methods_Dimensions!J$9,Table4[[#This Row],[Rectangular Field Dimension: Width - m ]],Methods_Dimensions!H$9)</f>
        <v>1</v>
      </c>
      <c r="AN23" s="10">
        <f>COUNTIFS(Table4[[#This Row],[Rectangular Field Dimension: Length - m ]],Methods_Dimensions!J$10,Table4[[#This Row],[Rectangular Field Dimension: Width - m ]],Methods_Dimensions!H$10)</f>
        <v>1</v>
      </c>
      <c r="AO23" s="10">
        <f>COUNTIFS(Table4[[#This Row],[Rectangular Field Dimension: Length - m ]],Methods_Dimensions!J$11,Table4[[#This Row],[Rectangular Field Dimension: Width - m ]],Methods_Dimensions!H$11)</f>
        <v>1</v>
      </c>
      <c r="AP23" s="10">
        <f>COUNTIFS(Table4[[#This Row],[Rectangular Field Dimension: Length - m ]],Methods_Dimensions!J$12,Table4[[#This Row],[Rectangular Field Dimension: Width - m ]],Methods_Dimensions!H$12)</f>
        <v>1</v>
      </c>
      <c r="AQ23" s="10">
        <f>COUNTIFS(Table4[[#This Row],[Rectangular Field Dimension: Length - m ]],Methods_Dimensions!J$13,Table4[[#This Row],[Rectangular Field Dimension: Width - m ]],Methods_Dimensions!H$13)</f>
        <v>0</v>
      </c>
      <c r="AR23" s="10">
        <f>COUNTIFS(Table4[[#This Row],[Rectangular Field Dimension: Length - m ]],Methods_Dimensions!J$14,Table4[[#This Row],[Rectangular Field Dimension: Width - m ]],Methods_Dimensions!H$14)</f>
        <v>1</v>
      </c>
      <c r="AS2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3" s="10">
        <f>COUNTIFS(Table4[[#This Row],[Rectangular Field Dimension: Length - m ]],Methods_Dimensions!J$16,Table4[[#This Row],[Rectangular Field Dimension: Width - m ]],Methods_Dimensions!H$16)</f>
        <v>0</v>
      </c>
      <c r="AU23" s="10">
        <f>COUNTIFS(Table4[[#This Row],[Rectangular Field Dimension: Length - m ]],Methods_Dimensions!J$17,Table4[[#This Row],[Rectangular Field Dimension: Width - m ]],Methods_Dimensions!H$17)</f>
        <v>1</v>
      </c>
      <c r="AV23" s="10">
        <f>COUNTIFS(Table4[[#This Row],[Rectangular Field Dimension: Length - m ]],Methods_Dimensions!J$18,Table4[[#This Row],[Rectangular Field Dimension: Width - m ]],Methods_Dimensions!H$18)</f>
        <v>1</v>
      </c>
      <c r="AW23" s="10">
        <f>COUNTIFS(Table4[[#This Row],[Rectangular Field Dimension: Length - m ]],Methods_Dimensions!J$19,Table4[[#This Row],[Rectangular Field Dimension: Width - m ]],Methods_Dimensions!H$19)</f>
        <v>1</v>
      </c>
      <c r="AX23" s="6" t="s">
        <v>439</v>
      </c>
      <c r="AY23" s="6" t="s">
        <v>388</v>
      </c>
    </row>
    <row r="24" spans="1:51" ht="34.799999999999997" x14ac:dyDescent="0.3">
      <c r="A24" s="26" t="s">
        <v>182</v>
      </c>
      <c r="B24" s="14" t="s">
        <v>437</v>
      </c>
      <c r="C24" s="14" t="s">
        <v>406</v>
      </c>
      <c r="D24" s="14" t="s">
        <v>19</v>
      </c>
      <c r="E24" s="14" t="s">
        <v>1271</v>
      </c>
      <c r="F24" s="14" t="s">
        <v>740</v>
      </c>
      <c r="G24" s="15" t="s">
        <v>159</v>
      </c>
      <c r="H24" s="16">
        <v>107</v>
      </c>
      <c r="I24" s="16">
        <v>44</v>
      </c>
      <c r="J24" s="36">
        <v>4708</v>
      </c>
      <c r="K24" s="16">
        <v>1</v>
      </c>
      <c r="L24" s="16" t="s">
        <v>389</v>
      </c>
      <c r="M24" s="16"/>
      <c r="N24" s="16">
        <v>1</v>
      </c>
      <c r="O24" s="16"/>
      <c r="P24" s="16">
        <v>1</v>
      </c>
      <c r="Q24" s="16"/>
      <c r="R24" s="16">
        <v>1</v>
      </c>
      <c r="S24" s="16"/>
      <c r="T24" s="16"/>
      <c r="U24" s="16"/>
      <c r="V24" s="16"/>
      <c r="W24" s="18"/>
      <c r="X24" s="16">
        <v>1</v>
      </c>
      <c r="Y24" s="16">
        <v>1</v>
      </c>
      <c r="Z24" s="16">
        <v>1</v>
      </c>
      <c r="AA24" s="16"/>
      <c r="AB24" s="18" t="s">
        <v>383</v>
      </c>
      <c r="AC24" s="18"/>
      <c r="AD24" s="16">
        <v>1</v>
      </c>
      <c r="AE24" s="18" t="s">
        <v>438</v>
      </c>
      <c r="AF24" s="16" t="s">
        <v>399</v>
      </c>
      <c r="AG24" s="18" t="s">
        <v>386</v>
      </c>
      <c r="AH24" s="16"/>
      <c r="AI24" s="16"/>
      <c r="AJ24" s="16">
        <f>SUM(Table4[[#This Row],[Soccer/U7 (Yes=1)]:[Ultimate Frisbee (Yes=1)]])</f>
        <v>4</v>
      </c>
      <c r="AK24" s="10"/>
      <c r="AL24" s="10">
        <f>COUNTIFS(Table4[[#This Row],[Rectangular Field Dimension: Width - m ]],Methods_Dimensions!H$8,Table4[[#This Row],[Rectangular Field Dimension: Length - m ]],Methods_Dimensions!J$8)</f>
        <v>1</v>
      </c>
      <c r="AM24" s="10">
        <f>COUNTIFS(Table4[[#This Row],[Rectangular Field Dimension: Length - m ]],Methods_Dimensions!J$9,Table4[[#This Row],[Rectangular Field Dimension: Width - m ]],Methods_Dimensions!H$9)</f>
        <v>1</v>
      </c>
      <c r="AN24" s="10">
        <f>COUNTIFS(Table4[[#This Row],[Rectangular Field Dimension: Length - m ]],Methods_Dimensions!J$10,Table4[[#This Row],[Rectangular Field Dimension: Width - m ]],Methods_Dimensions!H$10)</f>
        <v>1</v>
      </c>
      <c r="AO24" s="10">
        <f>COUNTIFS(Table4[[#This Row],[Rectangular Field Dimension: Length - m ]],Methods_Dimensions!J$11,Table4[[#This Row],[Rectangular Field Dimension: Width - m ]],Methods_Dimensions!H$11)</f>
        <v>1</v>
      </c>
      <c r="AP24" s="10">
        <f>COUNTIFS(Table4[[#This Row],[Rectangular Field Dimension: Length - m ]],Methods_Dimensions!J$12,Table4[[#This Row],[Rectangular Field Dimension: Width - m ]],Methods_Dimensions!H$12)</f>
        <v>0</v>
      </c>
      <c r="AQ24" s="10">
        <f>COUNTIFS(Table4[[#This Row],[Rectangular Field Dimension: Length - m ]],Methods_Dimensions!J$13,Table4[[#This Row],[Rectangular Field Dimension: Width - m ]],Methods_Dimensions!H$13)</f>
        <v>0</v>
      </c>
      <c r="AR24" s="10">
        <f>COUNTIFS(Table4[[#This Row],[Rectangular Field Dimension: Length - m ]],Methods_Dimensions!J$14,Table4[[#This Row],[Rectangular Field Dimension: Width - m ]],Methods_Dimensions!H$14)</f>
        <v>0</v>
      </c>
      <c r="AS2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4" s="10">
        <f>COUNTIFS(Table4[[#This Row],[Rectangular Field Dimension: Length - m ]],Methods_Dimensions!J$16,Table4[[#This Row],[Rectangular Field Dimension: Width - m ]],Methods_Dimensions!H$16)</f>
        <v>0</v>
      </c>
      <c r="AU24" s="10">
        <f>COUNTIFS(Table4[[#This Row],[Rectangular Field Dimension: Length - m ]],Methods_Dimensions!J$17,Table4[[#This Row],[Rectangular Field Dimension: Width - m ]],Methods_Dimensions!H$17)</f>
        <v>0</v>
      </c>
      <c r="AV24" s="10">
        <f>COUNTIFS(Table4[[#This Row],[Rectangular Field Dimension: Length - m ]],Methods_Dimensions!J$18,Table4[[#This Row],[Rectangular Field Dimension: Width - m ]],Methods_Dimensions!H$18)</f>
        <v>0</v>
      </c>
      <c r="AW24" s="10">
        <f>COUNTIFS(Table4[[#This Row],[Rectangular Field Dimension: Length - m ]],Methods_Dimensions!J$19,Table4[[#This Row],[Rectangular Field Dimension: Width - m ]],Methods_Dimensions!H$19)</f>
        <v>0</v>
      </c>
      <c r="AX24" s="6" t="s">
        <v>439</v>
      </c>
      <c r="AY24" s="6" t="s">
        <v>388</v>
      </c>
    </row>
    <row r="25" spans="1:51" ht="34.799999999999997" x14ac:dyDescent="0.3">
      <c r="A25" s="4" t="s">
        <v>183</v>
      </c>
      <c r="B25" s="5" t="s">
        <v>440</v>
      </c>
      <c r="C25" s="5" t="s">
        <v>441</v>
      </c>
      <c r="D25" s="5" t="s">
        <v>22</v>
      </c>
      <c r="E25" s="5" t="s">
        <v>1271</v>
      </c>
      <c r="F25" s="5" t="s">
        <v>740</v>
      </c>
      <c r="G25" s="6" t="s">
        <v>159</v>
      </c>
      <c r="H25" s="12">
        <v>118</v>
      </c>
      <c r="I25" s="12">
        <v>80</v>
      </c>
      <c r="J25" s="37">
        <v>9440</v>
      </c>
      <c r="K25" s="12">
        <v>1</v>
      </c>
      <c r="L25" s="12" t="s">
        <v>389</v>
      </c>
      <c r="M25" s="12"/>
      <c r="N25" s="12">
        <v>1</v>
      </c>
      <c r="O25" s="12"/>
      <c r="P25" s="12"/>
      <c r="Q25" s="12"/>
      <c r="R25" s="12"/>
      <c r="S25" s="12"/>
      <c r="T25" s="12"/>
      <c r="U25" s="12"/>
      <c r="V25" s="12"/>
      <c r="W25" s="17" t="s">
        <v>382</v>
      </c>
      <c r="X25" s="12"/>
      <c r="Y25" s="12">
        <v>1</v>
      </c>
      <c r="Z25" s="12">
        <v>1</v>
      </c>
      <c r="AA25" s="12"/>
      <c r="AB25" s="17" t="s">
        <v>442</v>
      </c>
      <c r="AC25" s="17">
        <v>56</v>
      </c>
      <c r="AD25" s="12">
        <v>1</v>
      </c>
      <c r="AE25" s="17" t="s">
        <v>443</v>
      </c>
      <c r="AF25" s="12" t="s">
        <v>444</v>
      </c>
      <c r="AG25" s="17" t="s">
        <v>386</v>
      </c>
      <c r="AH25" s="12">
        <v>18</v>
      </c>
      <c r="AI25" s="12" t="s">
        <v>445</v>
      </c>
      <c r="AJ25" s="12">
        <f>SUM(Table4[[#This Row],[Soccer/U7 (Yes=1)]:[Ultimate Frisbee (Yes=1)]])</f>
        <v>7</v>
      </c>
      <c r="AK25" s="10"/>
      <c r="AL25" s="10">
        <f>COUNTIFS(Table4[[#This Row],[Rectangular Field Dimension: Width - m ]],Methods_Dimensions!H$8,Table4[[#This Row],[Rectangular Field Dimension: Length - m ]],Methods_Dimensions!J$8)</f>
        <v>1</v>
      </c>
      <c r="AM25" s="10">
        <f>COUNTIFS(Table4[[#This Row],[Rectangular Field Dimension: Length - m ]],Methods_Dimensions!J$9,Table4[[#This Row],[Rectangular Field Dimension: Width - m ]],Methods_Dimensions!H$9)</f>
        <v>1</v>
      </c>
      <c r="AN25" s="10">
        <f>COUNTIFS(Table4[[#This Row],[Rectangular Field Dimension: Length - m ]],Methods_Dimensions!J$10,Table4[[#This Row],[Rectangular Field Dimension: Width - m ]],Methods_Dimensions!H$10)</f>
        <v>1</v>
      </c>
      <c r="AO25" s="10">
        <f>COUNTIFS(Table4[[#This Row],[Rectangular Field Dimension: Length - m ]],Methods_Dimensions!J$11,Table4[[#This Row],[Rectangular Field Dimension: Width - m ]],Methods_Dimensions!H$11)</f>
        <v>1</v>
      </c>
      <c r="AP25" s="10">
        <f>COUNTIFS(Table4[[#This Row],[Rectangular Field Dimension: Length - m ]],Methods_Dimensions!J$12,Table4[[#This Row],[Rectangular Field Dimension: Width - m ]],Methods_Dimensions!H$12)</f>
        <v>1</v>
      </c>
      <c r="AQ25" s="10">
        <f>COUNTIFS(Table4[[#This Row],[Rectangular Field Dimension: Length - m ]],Methods_Dimensions!J$13,Table4[[#This Row],[Rectangular Field Dimension: Width - m ]],Methods_Dimensions!H$13)</f>
        <v>0</v>
      </c>
      <c r="AR25" s="10">
        <f>COUNTIFS(Table4[[#This Row],[Rectangular Field Dimension: Length - m ]],Methods_Dimensions!J$14,Table4[[#This Row],[Rectangular Field Dimension: Width - m ]],Methods_Dimensions!H$14)</f>
        <v>0</v>
      </c>
      <c r="AS2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5" s="10">
        <f>COUNTIFS(Table4[[#This Row],[Rectangular Field Dimension: Length - m ]],Methods_Dimensions!J$16,Table4[[#This Row],[Rectangular Field Dimension: Width - m ]],Methods_Dimensions!H$16)</f>
        <v>0</v>
      </c>
      <c r="AU25" s="10">
        <f>COUNTIFS(Table4[[#This Row],[Rectangular Field Dimension: Length - m ]],Methods_Dimensions!J$17,Table4[[#This Row],[Rectangular Field Dimension: Width - m ]],Methods_Dimensions!H$17)</f>
        <v>1</v>
      </c>
      <c r="AV25" s="10">
        <f>COUNTIFS(Table4[[#This Row],[Rectangular Field Dimension: Length - m ]],Methods_Dimensions!J$18,Table4[[#This Row],[Rectangular Field Dimension: Width - m ]],Methods_Dimensions!H$18)</f>
        <v>0</v>
      </c>
      <c r="AW25" s="10">
        <f>COUNTIFS(Table4[[#This Row],[Rectangular Field Dimension: Length - m ]],Methods_Dimensions!J$19,Table4[[#This Row],[Rectangular Field Dimension: Width - m ]],Methods_Dimensions!H$19)</f>
        <v>1</v>
      </c>
      <c r="AX25" s="6" t="s">
        <v>446</v>
      </c>
      <c r="AY25" s="6" t="s">
        <v>388</v>
      </c>
    </row>
    <row r="26" spans="1:51" ht="34.799999999999997" x14ac:dyDescent="0.3">
      <c r="A26" s="26" t="s">
        <v>184</v>
      </c>
      <c r="B26" s="14" t="s">
        <v>447</v>
      </c>
      <c r="C26" s="14" t="s">
        <v>448</v>
      </c>
      <c r="D26" s="14" t="s">
        <v>185</v>
      </c>
      <c r="E26" s="14" t="s">
        <v>1272</v>
      </c>
      <c r="F26" s="14" t="s">
        <v>789</v>
      </c>
      <c r="G26" s="15" t="s">
        <v>159</v>
      </c>
      <c r="H26" s="16">
        <v>100</v>
      </c>
      <c r="I26" s="16">
        <v>47</v>
      </c>
      <c r="J26" s="36">
        <v>4700</v>
      </c>
      <c r="K26" s="16"/>
      <c r="L26" s="16" t="s">
        <v>397</v>
      </c>
      <c r="M26" s="16">
        <v>1</v>
      </c>
      <c r="N26" s="16">
        <v>1</v>
      </c>
      <c r="O26" s="16"/>
      <c r="P26" s="16"/>
      <c r="Q26" s="16"/>
      <c r="R26" s="16">
        <v>1</v>
      </c>
      <c r="S26" s="16"/>
      <c r="T26" s="16"/>
      <c r="U26" s="16"/>
      <c r="V26" s="16"/>
      <c r="W26" s="18"/>
      <c r="X26" s="16"/>
      <c r="Y26" s="16"/>
      <c r="Z26" s="16">
        <v>1</v>
      </c>
      <c r="AA26" s="16"/>
      <c r="AB26" s="18" t="s">
        <v>449</v>
      </c>
      <c r="AC26" s="18">
        <v>35</v>
      </c>
      <c r="AD26" s="16">
        <v>1</v>
      </c>
      <c r="AE26" s="18"/>
      <c r="AF26" s="16" t="s">
        <v>385</v>
      </c>
      <c r="AG26" s="18" t="s">
        <v>416</v>
      </c>
      <c r="AH26" s="16"/>
      <c r="AI26" s="16"/>
      <c r="AJ26" s="16">
        <f>SUM(Table4[[#This Row],[Soccer/U7 (Yes=1)]:[Ultimate Frisbee (Yes=1)]])</f>
        <v>5</v>
      </c>
      <c r="AK26" s="10"/>
      <c r="AL26" s="10">
        <f>COUNTIFS(Table4[[#This Row],[Rectangular Field Dimension: Width - m ]],Methods_Dimensions!H$8,Table4[[#This Row],[Rectangular Field Dimension: Length - m ]],Methods_Dimensions!J$8)</f>
        <v>1</v>
      </c>
      <c r="AM26" s="10">
        <f>COUNTIFS(Table4[[#This Row],[Rectangular Field Dimension: Length - m ]],Methods_Dimensions!J$9,Table4[[#This Row],[Rectangular Field Dimension: Width - m ]],Methods_Dimensions!H$9)</f>
        <v>1</v>
      </c>
      <c r="AN26" s="10">
        <f>COUNTIFS(Table4[[#This Row],[Rectangular Field Dimension: Length - m ]],Methods_Dimensions!J$10,Table4[[#This Row],[Rectangular Field Dimension: Width - m ]],Methods_Dimensions!H$10)</f>
        <v>1</v>
      </c>
      <c r="AO26" s="10">
        <f>COUNTIFS(Table4[[#This Row],[Rectangular Field Dimension: Length - m ]],Methods_Dimensions!J$11,Table4[[#This Row],[Rectangular Field Dimension: Width - m ]],Methods_Dimensions!H$11)</f>
        <v>1</v>
      </c>
      <c r="AP26" s="10">
        <f>COUNTIFS(Table4[[#This Row],[Rectangular Field Dimension: Length - m ]],Methods_Dimensions!J$12,Table4[[#This Row],[Rectangular Field Dimension: Width - m ]],Methods_Dimensions!H$12)</f>
        <v>1</v>
      </c>
      <c r="AQ26" s="10">
        <f>COUNTIFS(Table4[[#This Row],[Rectangular Field Dimension: Length - m ]],Methods_Dimensions!J$13,Table4[[#This Row],[Rectangular Field Dimension: Width - m ]],Methods_Dimensions!H$13)</f>
        <v>0</v>
      </c>
      <c r="AR26" s="10">
        <f>COUNTIFS(Table4[[#This Row],[Rectangular Field Dimension: Length - m ]],Methods_Dimensions!J$14,Table4[[#This Row],[Rectangular Field Dimension: Width - m ]],Methods_Dimensions!H$14)</f>
        <v>0</v>
      </c>
      <c r="AS2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6" s="10">
        <f>COUNTIFS(Table4[[#This Row],[Rectangular Field Dimension: Length - m ]],Methods_Dimensions!J$16,Table4[[#This Row],[Rectangular Field Dimension: Width - m ]],Methods_Dimensions!H$16)</f>
        <v>0</v>
      </c>
      <c r="AU26" s="10">
        <f>COUNTIFS(Table4[[#This Row],[Rectangular Field Dimension: Length - m ]],Methods_Dimensions!J$17,Table4[[#This Row],[Rectangular Field Dimension: Width - m ]],Methods_Dimensions!H$17)</f>
        <v>0</v>
      </c>
      <c r="AV26" s="10">
        <f>COUNTIFS(Table4[[#This Row],[Rectangular Field Dimension: Length - m ]],Methods_Dimensions!J$18,Table4[[#This Row],[Rectangular Field Dimension: Width - m ]],Methods_Dimensions!H$18)</f>
        <v>0</v>
      </c>
      <c r="AW26" s="10">
        <f>COUNTIFS(Table4[[#This Row],[Rectangular Field Dimension: Length - m ]],Methods_Dimensions!J$19,Table4[[#This Row],[Rectangular Field Dimension: Width - m ]],Methods_Dimensions!H$19)</f>
        <v>0</v>
      </c>
      <c r="AX26" s="6" t="s">
        <v>450</v>
      </c>
      <c r="AY26" s="6" t="s">
        <v>388</v>
      </c>
    </row>
    <row r="27" spans="1:51" ht="34.799999999999997" x14ac:dyDescent="0.3">
      <c r="A27" s="4" t="s">
        <v>1274</v>
      </c>
      <c r="B27" s="5" t="s">
        <v>451</v>
      </c>
      <c r="C27" s="5" t="s">
        <v>452</v>
      </c>
      <c r="D27" s="5" t="s">
        <v>25</v>
      </c>
      <c r="E27" s="5" t="s">
        <v>1272</v>
      </c>
      <c r="F27" s="5" t="s">
        <v>754</v>
      </c>
      <c r="G27" s="6" t="s">
        <v>159</v>
      </c>
      <c r="H27" s="12">
        <v>100</v>
      </c>
      <c r="I27" s="12">
        <v>70</v>
      </c>
      <c r="J27" s="37">
        <v>7000</v>
      </c>
      <c r="K27" s="12">
        <v>1</v>
      </c>
      <c r="L27" s="12" t="s">
        <v>389</v>
      </c>
      <c r="M27" s="12"/>
      <c r="N27" s="12">
        <v>1</v>
      </c>
      <c r="O27" s="12"/>
      <c r="P27" s="12">
        <v>1</v>
      </c>
      <c r="Q27" s="12"/>
      <c r="R27" s="12">
        <v>1</v>
      </c>
      <c r="S27" s="12"/>
      <c r="T27" s="12"/>
      <c r="U27" s="12"/>
      <c r="V27" s="12"/>
      <c r="W27" s="17"/>
      <c r="X27" s="12"/>
      <c r="Y27" s="12"/>
      <c r="Z27" s="12">
        <v>1</v>
      </c>
      <c r="AA27" s="12"/>
      <c r="AB27" s="17" t="s">
        <v>383</v>
      </c>
      <c r="AC27" s="17"/>
      <c r="AD27" s="12">
        <v>1</v>
      </c>
      <c r="AE27" s="17" t="s">
        <v>453</v>
      </c>
      <c r="AF27" s="12" t="s">
        <v>385</v>
      </c>
      <c r="AG27" s="17" t="s">
        <v>386</v>
      </c>
      <c r="AH27" s="12"/>
      <c r="AI27" s="12"/>
      <c r="AJ27" s="12">
        <f>SUM(Table4[[#This Row],[Soccer/U7 (Yes=1)]:[Ultimate Frisbee (Yes=1)]])</f>
        <v>5</v>
      </c>
      <c r="AK27" s="10"/>
      <c r="AL27" s="10">
        <f>COUNTIFS(Table4[[#This Row],[Rectangular Field Dimension: Width - m ]],Methods_Dimensions!H$8,Table4[[#This Row],[Rectangular Field Dimension: Length - m ]],Methods_Dimensions!J$8)</f>
        <v>1</v>
      </c>
      <c r="AM27" s="10">
        <f>COUNTIFS(Table4[[#This Row],[Rectangular Field Dimension: Length - m ]],Methods_Dimensions!J$9,Table4[[#This Row],[Rectangular Field Dimension: Width - m ]],Methods_Dimensions!H$9)</f>
        <v>1</v>
      </c>
      <c r="AN27" s="10">
        <f>COUNTIFS(Table4[[#This Row],[Rectangular Field Dimension: Length - m ]],Methods_Dimensions!J$10,Table4[[#This Row],[Rectangular Field Dimension: Width - m ]],Methods_Dimensions!H$10)</f>
        <v>1</v>
      </c>
      <c r="AO27" s="10">
        <f>COUNTIFS(Table4[[#This Row],[Rectangular Field Dimension: Length - m ]],Methods_Dimensions!J$11,Table4[[#This Row],[Rectangular Field Dimension: Width - m ]],Methods_Dimensions!H$11)</f>
        <v>1</v>
      </c>
      <c r="AP27" s="10">
        <f>COUNTIFS(Table4[[#This Row],[Rectangular Field Dimension: Length - m ]],Methods_Dimensions!J$12,Table4[[#This Row],[Rectangular Field Dimension: Width - m ]],Methods_Dimensions!H$12)</f>
        <v>1</v>
      </c>
      <c r="AQ27" s="10">
        <f>COUNTIFS(Table4[[#This Row],[Rectangular Field Dimension: Length - m ]],Methods_Dimensions!J$13,Table4[[#This Row],[Rectangular Field Dimension: Width - m ]],Methods_Dimensions!H$13)</f>
        <v>0</v>
      </c>
      <c r="AR27" s="10">
        <f>COUNTIFS(Table4[[#This Row],[Rectangular Field Dimension: Length - m ]],Methods_Dimensions!J$14,Table4[[#This Row],[Rectangular Field Dimension: Width - m ]],Methods_Dimensions!H$14)</f>
        <v>0</v>
      </c>
      <c r="AS2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7" s="10">
        <f>COUNTIFS(Table4[[#This Row],[Rectangular Field Dimension: Length - m ]],Methods_Dimensions!J$16,Table4[[#This Row],[Rectangular Field Dimension: Width - m ]],Methods_Dimensions!H$16)</f>
        <v>0</v>
      </c>
      <c r="AU27" s="10">
        <f>COUNTIFS(Table4[[#This Row],[Rectangular Field Dimension: Length - m ]],Methods_Dimensions!J$17,Table4[[#This Row],[Rectangular Field Dimension: Width - m ]],Methods_Dimensions!H$17)</f>
        <v>0</v>
      </c>
      <c r="AV27" s="10">
        <f>COUNTIFS(Table4[[#This Row],[Rectangular Field Dimension: Length - m ]],Methods_Dimensions!J$18,Table4[[#This Row],[Rectangular Field Dimension: Width - m ]],Methods_Dimensions!H$18)</f>
        <v>0</v>
      </c>
      <c r="AW27" s="10">
        <f>COUNTIFS(Table4[[#This Row],[Rectangular Field Dimension: Length - m ]],Methods_Dimensions!J$19,Table4[[#This Row],[Rectangular Field Dimension: Width - m ]],Methods_Dimensions!H$19)</f>
        <v>0</v>
      </c>
      <c r="AX27" s="6" t="s">
        <v>454</v>
      </c>
      <c r="AY27" s="6" t="s">
        <v>388</v>
      </c>
    </row>
    <row r="28" spans="1:51" ht="52.2" x14ac:dyDescent="0.3">
      <c r="A28" s="26" t="s">
        <v>186</v>
      </c>
      <c r="B28" s="14" t="s">
        <v>455</v>
      </c>
      <c r="C28" s="14" t="s">
        <v>427</v>
      </c>
      <c r="D28" s="14" t="s">
        <v>28</v>
      </c>
      <c r="E28" s="14" t="s">
        <v>1272</v>
      </c>
      <c r="F28" s="14" t="s">
        <v>789</v>
      </c>
      <c r="G28" s="15" t="s">
        <v>159</v>
      </c>
      <c r="H28" s="16">
        <v>140</v>
      </c>
      <c r="I28" s="16">
        <v>130</v>
      </c>
      <c r="J28" s="36">
        <v>18200</v>
      </c>
      <c r="K28" s="16">
        <v>1</v>
      </c>
      <c r="L28" s="16" t="s">
        <v>389</v>
      </c>
      <c r="M28" s="16"/>
      <c r="N28" s="16">
        <v>1</v>
      </c>
      <c r="O28" s="16"/>
      <c r="P28" s="16">
        <v>1</v>
      </c>
      <c r="Q28" s="16"/>
      <c r="R28" s="16">
        <v>1</v>
      </c>
      <c r="S28" s="16"/>
      <c r="T28" s="16"/>
      <c r="U28" s="16"/>
      <c r="V28" s="16"/>
      <c r="W28" s="18" t="s">
        <v>414</v>
      </c>
      <c r="X28" s="16"/>
      <c r="Y28" s="16"/>
      <c r="Z28" s="16"/>
      <c r="AA28" s="16"/>
      <c r="AB28" s="18" t="s">
        <v>383</v>
      </c>
      <c r="AC28" s="18"/>
      <c r="AD28" s="16">
        <v>1</v>
      </c>
      <c r="AE28" s="18"/>
      <c r="AF28" s="16" t="s">
        <v>399</v>
      </c>
      <c r="AG28" s="18" t="s">
        <v>416</v>
      </c>
      <c r="AH28" s="16"/>
      <c r="AI28" s="16"/>
      <c r="AJ28" s="16">
        <f>SUM(Table4[[#This Row],[Soccer/U7 (Yes=1)]:[Ultimate Frisbee (Yes=1)]])</f>
        <v>8</v>
      </c>
      <c r="AK28" s="10"/>
      <c r="AL28" s="10">
        <f>COUNTIFS(Table4[[#This Row],[Rectangular Field Dimension: Width - m ]],Methods_Dimensions!H$8,Table4[[#This Row],[Rectangular Field Dimension: Length - m ]],Methods_Dimensions!J$8)</f>
        <v>1</v>
      </c>
      <c r="AM28" s="10">
        <f>COUNTIFS(Table4[[#This Row],[Rectangular Field Dimension: Length - m ]],Methods_Dimensions!J$9,Table4[[#This Row],[Rectangular Field Dimension: Width - m ]],Methods_Dimensions!H$9)</f>
        <v>1</v>
      </c>
      <c r="AN28" s="10">
        <f>COUNTIFS(Table4[[#This Row],[Rectangular Field Dimension: Length - m ]],Methods_Dimensions!J$10,Table4[[#This Row],[Rectangular Field Dimension: Width - m ]],Methods_Dimensions!H$10)</f>
        <v>1</v>
      </c>
      <c r="AO28" s="10">
        <f>COUNTIFS(Table4[[#This Row],[Rectangular Field Dimension: Length - m ]],Methods_Dimensions!J$11,Table4[[#This Row],[Rectangular Field Dimension: Width - m ]],Methods_Dimensions!H$11)</f>
        <v>1</v>
      </c>
      <c r="AP28" s="10">
        <f>COUNTIFS(Table4[[#This Row],[Rectangular Field Dimension: Length - m ]],Methods_Dimensions!J$12,Table4[[#This Row],[Rectangular Field Dimension: Width - m ]],Methods_Dimensions!H$12)</f>
        <v>1</v>
      </c>
      <c r="AQ28" s="10">
        <f>COUNTIFS(Table4[[#This Row],[Rectangular Field Dimension: Length - m ]],Methods_Dimensions!J$13,Table4[[#This Row],[Rectangular Field Dimension: Width - m ]],Methods_Dimensions!H$13)</f>
        <v>1</v>
      </c>
      <c r="AR28" s="10">
        <f>COUNTIFS(Table4[[#This Row],[Rectangular Field Dimension: Length - m ]],Methods_Dimensions!J$14,Table4[[#This Row],[Rectangular Field Dimension: Width - m ]],Methods_Dimensions!H$14)</f>
        <v>0</v>
      </c>
      <c r="AS2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8" s="10">
        <f>COUNTIFS(Table4[[#This Row],[Rectangular Field Dimension: Length - m ]],Methods_Dimensions!J$16,Table4[[#This Row],[Rectangular Field Dimension: Width - m ]],Methods_Dimensions!H$16)</f>
        <v>0</v>
      </c>
      <c r="AU28" s="10">
        <f>COUNTIFS(Table4[[#This Row],[Rectangular Field Dimension: Length - m ]],Methods_Dimensions!J$17,Table4[[#This Row],[Rectangular Field Dimension: Width - m ]],Methods_Dimensions!H$17)</f>
        <v>1</v>
      </c>
      <c r="AV28" s="10">
        <f>COUNTIFS(Table4[[#This Row],[Rectangular Field Dimension: Length - m ]],Methods_Dimensions!J$18,Table4[[#This Row],[Rectangular Field Dimension: Width - m ]],Methods_Dimensions!H$18)</f>
        <v>0</v>
      </c>
      <c r="AW28" s="10">
        <f>COUNTIFS(Table4[[#This Row],[Rectangular Field Dimension: Length - m ]],Methods_Dimensions!J$19,Table4[[#This Row],[Rectangular Field Dimension: Width - m ]],Methods_Dimensions!H$19)</f>
        <v>1</v>
      </c>
      <c r="AX28" s="6" t="s">
        <v>456</v>
      </c>
      <c r="AY28" s="6" t="s">
        <v>388</v>
      </c>
    </row>
    <row r="29" spans="1:51" ht="34.799999999999997" x14ac:dyDescent="0.3">
      <c r="A29" s="4" t="s">
        <v>187</v>
      </c>
      <c r="B29" s="5" t="s">
        <v>457</v>
      </c>
      <c r="C29" s="5" t="s">
        <v>379</v>
      </c>
      <c r="D29" s="5" t="s">
        <v>30</v>
      </c>
      <c r="E29" s="5" t="s">
        <v>413</v>
      </c>
      <c r="F29" s="5" t="s">
        <v>789</v>
      </c>
      <c r="G29" s="6" t="s">
        <v>159</v>
      </c>
      <c r="H29" s="12">
        <v>66</v>
      </c>
      <c r="I29" s="12">
        <v>35</v>
      </c>
      <c r="J29" s="37">
        <v>2310</v>
      </c>
      <c r="K29" s="12"/>
      <c r="L29" s="12" t="s">
        <v>397</v>
      </c>
      <c r="M29" s="12">
        <v>1</v>
      </c>
      <c r="N29" s="12">
        <v>1</v>
      </c>
      <c r="O29" s="12">
        <v>1</v>
      </c>
      <c r="P29" s="12">
        <v>1</v>
      </c>
      <c r="Q29" s="12">
        <v>1</v>
      </c>
      <c r="R29" s="12">
        <v>1</v>
      </c>
      <c r="S29" s="12"/>
      <c r="T29" s="12"/>
      <c r="U29" s="12"/>
      <c r="V29" s="12"/>
      <c r="W29" s="17"/>
      <c r="X29" s="12">
        <v>1</v>
      </c>
      <c r="Y29" s="12"/>
      <c r="Z29" s="12">
        <v>1</v>
      </c>
      <c r="AA29" s="12"/>
      <c r="AB29" s="17" t="s">
        <v>383</v>
      </c>
      <c r="AC29" s="17"/>
      <c r="AD29" s="12">
        <v>1</v>
      </c>
      <c r="AE29" s="17" t="s">
        <v>458</v>
      </c>
      <c r="AF29" s="12" t="s">
        <v>385</v>
      </c>
      <c r="AG29" s="17" t="s">
        <v>416</v>
      </c>
      <c r="AH29" s="12">
        <v>18</v>
      </c>
      <c r="AI29" s="12">
        <v>6</v>
      </c>
      <c r="AJ29" s="12">
        <f>SUM(Table4[[#This Row],[Soccer/U7 (Yes=1)]:[Ultimate Frisbee (Yes=1)]])</f>
        <v>3</v>
      </c>
      <c r="AK29" s="10"/>
      <c r="AL29" s="10">
        <f>COUNTIFS(Table4[[#This Row],[Rectangular Field Dimension: Width - m ]],Methods_Dimensions!H$8,Table4[[#This Row],[Rectangular Field Dimension: Length - m ]],Methods_Dimensions!J$8)</f>
        <v>1</v>
      </c>
      <c r="AM29" s="10">
        <f>COUNTIFS(Table4[[#This Row],[Rectangular Field Dimension: Length - m ]],Methods_Dimensions!J$9,Table4[[#This Row],[Rectangular Field Dimension: Width - m ]],Methods_Dimensions!H$9)</f>
        <v>1</v>
      </c>
      <c r="AN29" s="10">
        <f>COUNTIFS(Table4[[#This Row],[Rectangular Field Dimension: Length - m ]],Methods_Dimensions!J$10,Table4[[#This Row],[Rectangular Field Dimension: Width - m ]],Methods_Dimensions!H$10)</f>
        <v>1</v>
      </c>
      <c r="AO29" s="10">
        <f>COUNTIFS(Table4[[#This Row],[Rectangular Field Dimension: Length - m ]],Methods_Dimensions!J$11,Table4[[#This Row],[Rectangular Field Dimension: Width - m ]],Methods_Dimensions!H$11)</f>
        <v>0</v>
      </c>
      <c r="AP29" s="10">
        <f>COUNTIFS(Table4[[#This Row],[Rectangular Field Dimension: Length - m ]],Methods_Dimensions!J$12,Table4[[#This Row],[Rectangular Field Dimension: Width - m ]],Methods_Dimensions!H$12)</f>
        <v>0</v>
      </c>
      <c r="AQ29" s="10">
        <f>COUNTIFS(Table4[[#This Row],[Rectangular Field Dimension: Length - m ]],Methods_Dimensions!J$13,Table4[[#This Row],[Rectangular Field Dimension: Width - m ]],Methods_Dimensions!H$13)</f>
        <v>0</v>
      </c>
      <c r="AR29" s="10">
        <f>COUNTIFS(Table4[[#This Row],[Rectangular Field Dimension: Length - m ]],Methods_Dimensions!J$14,Table4[[#This Row],[Rectangular Field Dimension: Width - m ]],Methods_Dimensions!H$14)</f>
        <v>0</v>
      </c>
      <c r="AS2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29" s="10">
        <f>COUNTIFS(Table4[[#This Row],[Rectangular Field Dimension: Length - m ]],Methods_Dimensions!J$16,Table4[[#This Row],[Rectangular Field Dimension: Width - m ]],Methods_Dimensions!H$16)</f>
        <v>0</v>
      </c>
      <c r="AU29" s="10">
        <f>COUNTIFS(Table4[[#This Row],[Rectangular Field Dimension: Length - m ]],Methods_Dimensions!J$17,Table4[[#This Row],[Rectangular Field Dimension: Width - m ]],Methods_Dimensions!H$17)</f>
        <v>0</v>
      </c>
      <c r="AV29" s="10">
        <f>COUNTIFS(Table4[[#This Row],[Rectangular Field Dimension: Length - m ]],Methods_Dimensions!J$18,Table4[[#This Row],[Rectangular Field Dimension: Width - m ]],Methods_Dimensions!H$18)</f>
        <v>0</v>
      </c>
      <c r="AW29" s="10">
        <f>COUNTIFS(Table4[[#This Row],[Rectangular Field Dimension: Length - m ]],Methods_Dimensions!J$19,Table4[[#This Row],[Rectangular Field Dimension: Width - m ]],Methods_Dimensions!H$19)</f>
        <v>0</v>
      </c>
      <c r="AX29" s="6" t="s">
        <v>459</v>
      </c>
      <c r="AY29" s="6" t="s">
        <v>388</v>
      </c>
    </row>
    <row r="30" spans="1:51" ht="34.799999999999997" x14ac:dyDescent="0.3">
      <c r="A30" s="26" t="s">
        <v>188</v>
      </c>
      <c r="B30" s="14" t="s">
        <v>457</v>
      </c>
      <c r="C30" s="14" t="s">
        <v>379</v>
      </c>
      <c r="D30" s="14" t="s">
        <v>30</v>
      </c>
      <c r="E30" s="14" t="s">
        <v>1272</v>
      </c>
      <c r="F30" s="14" t="s">
        <v>789</v>
      </c>
      <c r="G30" s="15" t="s">
        <v>159</v>
      </c>
      <c r="H30" s="16">
        <v>80</v>
      </c>
      <c r="I30" s="16">
        <v>50</v>
      </c>
      <c r="J30" s="36">
        <v>4000</v>
      </c>
      <c r="K30" s="16">
        <v>1</v>
      </c>
      <c r="L30" s="16" t="s">
        <v>397</v>
      </c>
      <c r="M30" s="16">
        <v>1</v>
      </c>
      <c r="N30" s="16">
        <v>1</v>
      </c>
      <c r="O30" s="16"/>
      <c r="P30" s="16">
        <v>1</v>
      </c>
      <c r="Q30" s="16">
        <v>1</v>
      </c>
      <c r="R30" s="16">
        <v>1</v>
      </c>
      <c r="S30" s="16"/>
      <c r="T30" s="16"/>
      <c r="U30" s="16"/>
      <c r="V30" s="16"/>
      <c r="W30" s="18"/>
      <c r="X30" s="16">
        <v>1</v>
      </c>
      <c r="Y30" s="16"/>
      <c r="Z30" s="16">
        <v>1</v>
      </c>
      <c r="AA30" s="16"/>
      <c r="AB30" s="18" t="s">
        <v>383</v>
      </c>
      <c r="AC30" s="18"/>
      <c r="AD30" s="16">
        <v>1</v>
      </c>
      <c r="AE30" s="18" t="s">
        <v>458</v>
      </c>
      <c r="AF30" s="16" t="s">
        <v>385</v>
      </c>
      <c r="AG30" s="18" t="s">
        <v>416</v>
      </c>
      <c r="AH30" s="16">
        <v>18</v>
      </c>
      <c r="AI30" s="16">
        <v>6</v>
      </c>
      <c r="AJ30" s="16">
        <f>SUM(Table4[[#This Row],[Soccer/U7 (Yes=1)]:[Ultimate Frisbee (Yes=1)]])</f>
        <v>4</v>
      </c>
      <c r="AK30" s="10"/>
      <c r="AL30" s="10">
        <f>COUNTIFS(Table4[[#This Row],[Rectangular Field Dimension: Width - m ]],Methods_Dimensions!H$8,Table4[[#This Row],[Rectangular Field Dimension: Length - m ]],Methods_Dimensions!J$8)</f>
        <v>1</v>
      </c>
      <c r="AM30" s="10">
        <f>COUNTIFS(Table4[[#This Row],[Rectangular Field Dimension: Length - m ]],Methods_Dimensions!J$9,Table4[[#This Row],[Rectangular Field Dimension: Width - m ]],Methods_Dimensions!H$9)</f>
        <v>1</v>
      </c>
      <c r="AN30" s="10">
        <f>COUNTIFS(Table4[[#This Row],[Rectangular Field Dimension: Length - m ]],Methods_Dimensions!J$10,Table4[[#This Row],[Rectangular Field Dimension: Width - m ]],Methods_Dimensions!H$10)</f>
        <v>1</v>
      </c>
      <c r="AO30" s="10">
        <f>COUNTIFS(Table4[[#This Row],[Rectangular Field Dimension: Length - m ]],Methods_Dimensions!J$11,Table4[[#This Row],[Rectangular Field Dimension: Width - m ]],Methods_Dimensions!H$11)</f>
        <v>1</v>
      </c>
      <c r="AP30" s="10">
        <f>COUNTIFS(Table4[[#This Row],[Rectangular Field Dimension: Length - m ]],Methods_Dimensions!J$12,Table4[[#This Row],[Rectangular Field Dimension: Width - m ]],Methods_Dimensions!H$12)</f>
        <v>0</v>
      </c>
      <c r="AQ30" s="10">
        <f>COUNTIFS(Table4[[#This Row],[Rectangular Field Dimension: Length - m ]],Methods_Dimensions!J$13,Table4[[#This Row],[Rectangular Field Dimension: Width - m ]],Methods_Dimensions!H$13)</f>
        <v>0</v>
      </c>
      <c r="AR30" s="10">
        <f>COUNTIFS(Table4[[#This Row],[Rectangular Field Dimension: Length - m ]],Methods_Dimensions!J$14,Table4[[#This Row],[Rectangular Field Dimension: Width - m ]],Methods_Dimensions!H$14)</f>
        <v>0</v>
      </c>
      <c r="AS3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0" s="10">
        <f>COUNTIFS(Table4[[#This Row],[Rectangular Field Dimension: Length - m ]],Methods_Dimensions!J$16,Table4[[#This Row],[Rectangular Field Dimension: Width - m ]],Methods_Dimensions!H$16)</f>
        <v>0</v>
      </c>
      <c r="AU30" s="10">
        <f>COUNTIFS(Table4[[#This Row],[Rectangular Field Dimension: Length - m ]],Methods_Dimensions!J$17,Table4[[#This Row],[Rectangular Field Dimension: Width - m ]],Methods_Dimensions!H$17)</f>
        <v>0</v>
      </c>
      <c r="AV30" s="10">
        <f>COUNTIFS(Table4[[#This Row],[Rectangular Field Dimension: Length - m ]],Methods_Dimensions!J$18,Table4[[#This Row],[Rectangular Field Dimension: Width - m ]],Methods_Dimensions!H$18)</f>
        <v>0</v>
      </c>
      <c r="AW30" s="10">
        <f>COUNTIFS(Table4[[#This Row],[Rectangular Field Dimension: Length - m ]],Methods_Dimensions!J$19,Table4[[#This Row],[Rectangular Field Dimension: Width - m ]],Methods_Dimensions!H$19)</f>
        <v>0</v>
      </c>
      <c r="AX30" s="6" t="s">
        <v>387</v>
      </c>
      <c r="AY30" s="6" t="s">
        <v>460</v>
      </c>
    </row>
    <row r="31" spans="1:51" ht="52.2" x14ac:dyDescent="0.3">
      <c r="A31" s="4" t="s">
        <v>189</v>
      </c>
      <c r="B31" s="5" t="s">
        <v>457</v>
      </c>
      <c r="C31" s="5" t="s">
        <v>379</v>
      </c>
      <c r="D31" s="5" t="s">
        <v>30</v>
      </c>
      <c r="E31" s="5" t="s">
        <v>1271</v>
      </c>
      <c r="F31" s="5" t="s">
        <v>740</v>
      </c>
      <c r="G31" s="6" t="s">
        <v>159</v>
      </c>
      <c r="H31" s="12">
        <v>106</v>
      </c>
      <c r="I31" s="12">
        <v>77</v>
      </c>
      <c r="J31" s="37">
        <v>8162</v>
      </c>
      <c r="K31" s="12"/>
      <c r="L31" s="12" t="s">
        <v>397</v>
      </c>
      <c r="M31" s="12">
        <v>1</v>
      </c>
      <c r="N31" s="12">
        <v>1</v>
      </c>
      <c r="O31" s="12"/>
      <c r="P31" s="12">
        <v>1</v>
      </c>
      <c r="Q31" s="12">
        <v>1</v>
      </c>
      <c r="R31" s="12">
        <v>1</v>
      </c>
      <c r="S31" s="12"/>
      <c r="T31" s="12"/>
      <c r="U31" s="12"/>
      <c r="V31" s="12"/>
      <c r="W31" s="17"/>
      <c r="X31" s="12">
        <v>1</v>
      </c>
      <c r="Y31" s="12"/>
      <c r="Z31" s="12">
        <v>1</v>
      </c>
      <c r="AA31" s="12"/>
      <c r="AB31" s="17" t="s">
        <v>383</v>
      </c>
      <c r="AC31" s="17"/>
      <c r="AD31" s="12">
        <v>1</v>
      </c>
      <c r="AE31" s="17" t="s">
        <v>458</v>
      </c>
      <c r="AF31" s="12" t="s">
        <v>385</v>
      </c>
      <c r="AG31" s="17" t="s">
        <v>386</v>
      </c>
      <c r="AH31" s="12">
        <v>30</v>
      </c>
      <c r="AI31" s="12">
        <v>6</v>
      </c>
      <c r="AJ31" s="12">
        <f>SUM(Table4[[#This Row],[Soccer/U7 (Yes=1)]:[Ultimate Frisbee (Yes=1)]])</f>
        <v>5</v>
      </c>
      <c r="AK31" s="10"/>
      <c r="AL31" s="10">
        <f>COUNTIFS(Table4[[#This Row],[Rectangular Field Dimension: Width - m ]],Methods_Dimensions!H$8,Table4[[#This Row],[Rectangular Field Dimension: Length - m ]],Methods_Dimensions!J$8)</f>
        <v>1</v>
      </c>
      <c r="AM31" s="10">
        <f>COUNTIFS(Table4[[#This Row],[Rectangular Field Dimension: Length - m ]],Methods_Dimensions!J$9,Table4[[#This Row],[Rectangular Field Dimension: Width - m ]],Methods_Dimensions!H$9)</f>
        <v>1</v>
      </c>
      <c r="AN31" s="10">
        <f>COUNTIFS(Table4[[#This Row],[Rectangular Field Dimension: Length - m ]],Methods_Dimensions!J$10,Table4[[#This Row],[Rectangular Field Dimension: Width - m ]],Methods_Dimensions!H$10)</f>
        <v>1</v>
      </c>
      <c r="AO31" s="10">
        <f>COUNTIFS(Table4[[#This Row],[Rectangular Field Dimension: Length - m ]],Methods_Dimensions!J$11,Table4[[#This Row],[Rectangular Field Dimension: Width - m ]],Methods_Dimensions!H$11)</f>
        <v>1</v>
      </c>
      <c r="AP31" s="10">
        <f>COUNTIFS(Table4[[#This Row],[Rectangular Field Dimension: Length - m ]],Methods_Dimensions!J$12,Table4[[#This Row],[Rectangular Field Dimension: Width - m ]],Methods_Dimensions!H$12)</f>
        <v>1</v>
      </c>
      <c r="AQ31" s="10">
        <f>COUNTIFS(Table4[[#This Row],[Rectangular Field Dimension: Length - m ]],Methods_Dimensions!J$13,Table4[[#This Row],[Rectangular Field Dimension: Width - m ]],Methods_Dimensions!H$13)</f>
        <v>0</v>
      </c>
      <c r="AR31" s="10">
        <f>COUNTIFS(Table4[[#This Row],[Rectangular Field Dimension: Length - m ]],Methods_Dimensions!J$14,Table4[[#This Row],[Rectangular Field Dimension: Width - m ]],Methods_Dimensions!H$14)</f>
        <v>0</v>
      </c>
      <c r="AS3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1" s="10">
        <f>COUNTIFS(Table4[[#This Row],[Rectangular Field Dimension: Length - m ]],Methods_Dimensions!J$16,Table4[[#This Row],[Rectangular Field Dimension: Width - m ]],Methods_Dimensions!H$16)</f>
        <v>0</v>
      </c>
      <c r="AU31" s="10">
        <f>COUNTIFS(Table4[[#This Row],[Rectangular Field Dimension: Length - m ]],Methods_Dimensions!J$17,Table4[[#This Row],[Rectangular Field Dimension: Width - m ]],Methods_Dimensions!H$17)</f>
        <v>0</v>
      </c>
      <c r="AV31" s="10">
        <f>COUNTIFS(Table4[[#This Row],[Rectangular Field Dimension: Length - m ]],Methods_Dimensions!J$18,Table4[[#This Row],[Rectangular Field Dimension: Width - m ]],Methods_Dimensions!H$18)</f>
        <v>0</v>
      </c>
      <c r="AW31" s="10">
        <f>COUNTIFS(Table4[[#This Row],[Rectangular Field Dimension: Length - m ]],Methods_Dimensions!J$19,Table4[[#This Row],[Rectangular Field Dimension: Width - m ]],Methods_Dimensions!H$19)</f>
        <v>0</v>
      </c>
      <c r="AX31" s="6" t="s">
        <v>461</v>
      </c>
      <c r="AY31" s="6" t="s">
        <v>388</v>
      </c>
    </row>
    <row r="32" spans="1:51" ht="34.799999999999997" x14ac:dyDescent="0.3">
      <c r="A32" s="26" t="s">
        <v>190</v>
      </c>
      <c r="B32" s="14" t="s">
        <v>462</v>
      </c>
      <c r="C32" s="14" t="s">
        <v>412</v>
      </c>
      <c r="D32" s="14" t="s">
        <v>463</v>
      </c>
      <c r="E32" s="14" t="s">
        <v>1272</v>
      </c>
      <c r="F32" s="14" t="s">
        <v>789</v>
      </c>
      <c r="G32" s="15" t="s">
        <v>159</v>
      </c>
      <c r="H32" s="16">
        <v>66</v>
      </c>
      <c r="I32" s="16">
        <v>67</v>
      </c>
      <c r="J32" s="36">
        <v>4422</v>
      </c>
      <c r="K32" s="16">
        <v>1</v>
      </c>
      <c r="L32" s="16" t="s">
        <v>389</v>
      </c>
      <c r="M32" s="16"/>
      <c r="N32" s="16">
        <v>1</v>
      </c>
      <c r="O32" s="16"/>
      <c r="P32" s="16">
        <v>1</v>
      </c>
      <c r="Q32" s="16"/>
      <c r="R32" s="16">
        <v>1</v>
      </c>
      <c r="S32" s="16"/>
      <c r="T32" s="16"/>
      <c r="U32" s="16"/>
      <c r="V32" s="16"/>
      <c r="W32" s="18"/>
      <c r="X32" s="16">
        <v>1</v>
      </c>
      <c r="Y32" s="16"/>
      <c r="Z32" s="16"/>
      <c r="AA32" s="16"/>
      <c r="AB32" s="18" t="s">
        <v>383</v>
      </c>
      <c r="AC32" s="18"/>
      <c r="AD32" s="16">
        <v>1</v>
      </c>
      <c r="AE32" s="18" t="s">
        <v>464</v>
      </c>
      <c r="AF32" s="16" t="s">
        <v>444</v>
      </c>
      <c r="AG32" s="18" t="s">
        <v>416</v>
      </c>
      <c r="AH32" s="16"/>
      <c r="AI32" s="16"/>
      <c r="AJ32" s="16">
        <f>SUM(Table4[[#This Row],[Soccer/U7 (Yes=1)]:[Ultimate Frisbee (Yes=1)]])</f>
        <v>4</v>
      </c>
      <c r="AK32" s="10"/>
      <c r="AL32" s="10">
        <f>COUNTIFS(Table4[[#This Row],[Rectangular Field Dimension: Width - m ]],Methods_Dimensions!H$8,Table4[[#This Row],[Rectangular Field Dimension: Length - m ]],Methods_Dimensions!J$8)</f>
        <v>1</v>
      </c>
      <c r="AM32" s="10">
        <f>COUNTIFS(Table4[[#This Row],[Rectangular Field Dimension: Length - m ]],Methods_Dimensions!J$9,Table4[[#This Row],[Rectangular Field Dimension: Width - m ]],Methods_Dimensions!H$9)</f>
        <v>1</v>
      </c>
      <c r="AN32" s="10">
        <f>COUNTIFS(Table4[[#This Row],[Rectangular Field Dimension: Length - m ]],Methods_Dimensions!J$10,Table4[[#This Row],[Rectangular Field Dimension: Width - m ]],Methods_Dimensions!H$10)</f>
        <v>1</v>
      </c>
      <c r="AO32" s="10">
        <f>COUNTIFS(Table4[[#This Row],[Rectangular Field Dimension: Length - m ]],Methods_Dimensions!J$11,Table4[[#This Row],[Rectangular Field Dimension: Width - m ]],Methods_Dimensions!H$11)</f>
        <v>1</v>
      </c>
      <c r="AP32" s="10">
        <f>COUNTIFS(Table4[[#This Row],[Rectangular Field Dimension: Length - m ]],Methods_Dimensions!J$12,Table4[[#This Row],[Rectangular Field Dimension: Width - m ]],Methods_Dimensions!H$12)</f>
        <v>0</v>
      </c>
      <c r="AQ32" s="10">
        <f>COUNTIFS(Table4[[#This Row],[Rectangular Field Dimension: Length - m ]],Methods_Dimensions!J$13,Table4[[#This Row],[Rectangular Field Dimension: Width - m ]],Methods_Dimensions!H$13)</f>
        <v>0</v>
      </c>
      <c r="AR32" s="10">
        <f>COUNTIFS(Table4[[#This Row],[Rectangular Field Dimension: Length - m ]],Methods_Dimensions!J$14,Table4[[#This Row],[Rectangular Field Dimension: Width - m ]],Methods_Dimensions!H$14)</f>
        <v>0</v>
      </c>
      <c r="AS3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2" s="10">
        <f>COUNTIFS(Table4[[#This Row],[Rectangular Field Dimension: Length - m ]],Methods_Dimensions!J$16,Table4[[#This Row],[Rectangular Field Dimension: Width - m ]],Methods_Dimensions!H$16)</f>
        <v>0</v>
      </c>
      <c r="AU32" s="10">
        <f>COUNTIFS(Table4[[#This Row],[Rectangular Field Dimension: Length - m ]],Methods_Dimensions!J$17,Table4[[#This Row],[Rectangular Field Dimension: Width - m ]],Methods_Dimensions!H$17)</f>
        <v>0</v>
      </c>
      <c r="AV32" s="10">
        <f>COUNTIFS(Table4[[#This Row],[Rectangular Field Dimension: Length - m ]],Methods_Dimensions!J$18,Table4[[#This Row],[Rectangular Field Dimension: Width - m ]],Methods_Dimensions!H$18)</f>
        <v>0</v>
      </c>
      <c r="AW32" s="10">
        <f>COUNTIFS(Table4[[#This Row],[Rectangular Field Dimension: Length - m ]],Methods_Dimensions!J$19,Table4[[#This Row],[Rectangular Field Dimension: Width - m ]],Methods_Dimensions!H$19)</f>
        <v>0</v>
      </c>
      <c r="AX32" s="6" t="s">
        <v>387</v>
      </c>
      <c r="AY32" s="6" t="s">
        <v>388</v>
      </c>
    </row>
    <row r="33" spans="1:51" ht="34.799999999999997" x14ac:dyDescent="0.3">
      <c r="A33" s="4" t="s">
        <v>191</v>
      </c>
      <c r="B33" s="5" t="s">
        <v>465</v>
      </c>
      <c r="C33" s="5" t="s">
        <v>466</v>
      </c>
      <c r="D33" s="5" t="s">
        <v>33</v>
      </c>
      <c r="E33" s="5" t="s">
        <v>1272</v>
      </c>
      <c r="F33" s="5" t="s">
        <v>789</v>
      </c>
      <c r="G33" s="6" t="s">
        <v>159</v>
      </c>
      <c r="H33" s="12">
        <v>83</v>
      </c>
      <c r="I33" s="12">
        <v>70</v>
      </c>
      <c r="J33" s="37">
        <v>5810</v>
      </c>
      <c r="K33" s="12">
        <v>1</v>
      </c>
      <c r="L33" s="12" t="s">
        <v>389</v>
      </c>
      <c r="M33" s="12"/>
      <c r="N33" s="12">
        <v>1</v>
      </c>
      <c r="O33" s="12"/>
      <c r="P33" s="12"/>
      <c r="Q33" s="12"/>
      <c r="R33" s="12">
        <v>1</v>
      </c>
      <c r="S33" s="12"/>
      <c r="T33" s="12"/>
      <c r="U33" s="12"/>
      <c r="V33" s="12"/>
      <c r="W33" s="17"/>
      <c r="X33" s="12"/>
      <c r="Y33" s="12"/>
      <c r="Z33" s="12"/>
      <c r="AA33" s="12"/>
      <c r="AB33" s="17" t="s">
        <v>383</v>
      </c>
      <c r="AC33" s="17"/>
      <c r="AD33" s="12">
        <v>1</v>
      </c>
      <c r="AE33" s="17" t="s">
        <v>458</v>
      </c>
      <c r="AF33" s="12" t="s">
        <v>444</v>
      </c>
      <c r="AG33" s="17" t="s">
        <v>416</v>
      </c>
      <c r="AH33" s="12"/>
      <c r="AI33" s="12"/>
      <c r="AJ33" s="12">
        <f>SUM(Table4[[#This Row],[Soccer/U7 (Yes=1)]:[Ultimate Frisbee (Yes=1)]])</f>
        <v>4</v>
      </c>
      <c r="AK33" s="10"/>
      <c r="AL33" s="10">
        <f>COUNTIFS(Table4[[#This Row],[Rectangular Field Dimension: Width - m ]],Methods_Dimensions!H$8,Table4[[#This Row],[Rectangular Field Dimension: Length - m ]],Methods_Dimensions!J$8)</f>
        <v>1</v>
      </c>
      <c r="AM33" s="10">
        <f>COUNTIFS(Table4[[#This Row],[Rectangular Field Dimension: Length - m ]],Methods_Dimensions!J$9,Table4[[#This Row],[Rectangular Field Dimension: Width - m ]],Methods_Dimensions!H$9)</f>
        <v>1</v>
      </c>
      <c r="AN33" s="10">
        <f>COUNTIFS(Table4[[#This Row],[Rectangular Field Dimension: Length - m ]],Methods_Dimensions!J$10,Table4[[#This Row],[Rectangular Field Dimension: Width - m ]],Methods_Dimensions!H$10)</f>
        <v>1</v>
      </c>
      <c r="AO33" s="10">
        <f>COUNTIFS(Table4[[#This Row],[Rectangular Field Dimension: Length - m ]],Methods_Dimensions!J$11,Table4[[#This Row],[Rectangular Field Dimension: Width - m ]],Methods_Dimensions!H$11)</f>
        <v>1</v>
      </c>
      <c r="AP33" s="10">
        <f>COUNTIFS(Table4[[#This Row],[Rectangular Field Dimension: Length - m ]],Methods_Dimensions!J$12,Table4[[#This Row],[Rectangular Field Dimension: Width - m ]],Methods_Dimensions!H$12)</f>
        <v>0</v>
      </c>
      <c r="AQ33" s="10">
        <f>COUNTIFS(Table4[[#This Row],[Rectangular Field Dimension: Length - m ]],Methods_Dimensions!J$13,Table4[[#This Row],[Rectangular Field Dimension: Width - m ]],Methods_Dimensions!H$13)</f>
        <v>0</v>
      </c>
      <c r="AR33" s="10">
        <f>COUNTIFS(Table4[[#This Row],[Rectangular Field Dimension: Length - m ]],Methods_Dimensions!J$14,Table4[[#This Row],[Rectangular Field Dimension: Width - m ]],Methods_Dimensions!H$14)</f>
        <v>0</v>
      </c>
      <c r="AS3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3" s="10">
        <f>COUNTIFS(Table4[[#This Row],[Rectangular Field Dimension: Length - m ]],Methods_Dimensions!J$16,Table4[[#This Row],[Rectangular Field Dimension: Width - m ]],Methods_Dimensions!H$16)</f>
        <v>0</v>
      </c>
      <c r="AU33" s="10">
        <f>COUNTIFS(Table4[[#This Row],[Rectangular Field Dimension: Length - m ]],Methods_Dimensions!J$17,Table4[[#This Row],[Rectangular Field Dimension: Width - m ]],Methods_Dimensions!H$17)</f>
        <v>0</v>
      </c>
      <c r="AV33" s="10">
        <f>COUNTIFS(Table4[[#This Row],[Rectangular Field Dimension: Length - m ]],Methods_Dimensions!J$18,Table4[[#This Row],[Rectangular Field Dimension: Width - m ]],Methods_Dimensions!H$18)</f>
        <v>0</v>
      </c>
      <c r="AW33" s="10">
        <f>COUNTIFS(Table4[[#This Row],[Rectangular Field Dimension: Length - m ]],Methods_Dimensions!J$19,Table4[[#This Row],[Rectangular Field Dimension: Width - m ]],Methods_Dimensions!H$19)</f>
        <v>0</v>
      </c>
      <c r="AX33" s="6" t="s">
        <v>467</v>
      </c>
      <c r="AY33" s="6" t="s">
        <v>388</v>
      </c>
    </row>
    <row r="34" spans="1:51" ht="34.799999999999997" x14ac:dyDescent="0.3">
      <c r="A34" s="26" t="s">
        <v>192</v>
      </c>
      <c r="B34" s="14" t="s">
        <v>465</v>
      </c>
      <c r="C34" s="14" t="s">
        <v>466</v>
      </c>
      <c r="D34" s="14" t="s">
        <v>33</v>
      </c>
      <c r="E34" s="14" t="s">
        <v>1272</v>
      </c>
      <c r="F34" s="14" t="s">
        <v>789</v>
      </c>
      <c r="G34" s="15" t="s">
        <v>159</v>
      </c>
      <c r="H34" s="16">
        <v>94</v>
      </c>
      <c r="I34" s="16">
        <v>57</v>
      </c>
      <c r="J34" s="36">
        <v>5358</v>
      </c>
      <c r="K34" s="16">
        <v>1</v>
      </c>
      <c r="L34" s="16" t="s">
        <v>389</v>
      </c>
      <c r="M34" s="16"/>
      <c r="N34" s="16">
        <v>1</v>
      </c>
      <c r="O34" s="16"/>
      <c r="P34" s="16"/>
      <c r="Q34" s="16"/>
      <c r="R34" s="16">
        <v>1</v>
      </c>
      <c r="S34" s="16"/>
      <c r="T34" s="16"/>
      <c r="U34" s="16"/>
      <c r="V34" s="16"/>
      <c r="W34" s="18"/>
      <c r="X34" s="16"/>
      <c r="Y34" s="16"/>
      <c r="Z34" s="16"/>
      <c r="AA34" s="16"/>
      <c r="AB34" s="18" t="s">
        <v>383</v>
      </c>
      <c r="AC34" s="18"/>
      <c r="AD34" s="16">
        <v>1</v>
      </c>
      <c r="AE34" s="18" t="s">
        <v>458</v>
      </c>
      <c r="AF34" s="16" t="s">
        <v>444</v>
      </c>
      <c r="AG34" s="18" t="s">
        <v>416</v>
      </c>
      <c r="AH34" s="16"/>
      <c r="AI34" s="16"/>
      <c r="AJ34" s="16">
        <f>SUM(Table4[[#This Row],[Soccer/U7 (Yes=1)]:[Ultimate Frisbee (Yes=1)]])</f>
        <v>5</v>
      </c>
      <c r="AK34" s="10"/>
      <c r="AL34" s="10">
        <f>COUNTIFS(Table4[[#This Row],[Rectangular Field Dimension: Width - m ]],Methods_Dimensions!H$8,Table4[[#This Row],[Rectangular Field Dimension: Length - m ]],Methods_Dimensions!J$8)</f>
        <v>1</v>
      </c>
      <c r="AM34" s="10">
        <f>COUNTIFS(Table4[[#This Row],[Rectangular Field Dimension: Length - m ]],Methods_Dimensions!J$9,Table4[[#This Row],[Rectangular Field Dimension: Width - m ]],Methods_Dimensions!H$9)</f>
        <v>1</v>
      </c>
      <c r="AN34" s="10">
        <f>COUNTIFS(Table4[[#This Row],[Rectangular Field Dimension: Length - m ]],Methods_Dimensions!J$10,Table4[[#This Row],[Rectangular Field Dimension: Width - m ]],Methods_Dimensions!H$10)</f>
        <v>1</v>
      </c>
      <c r="AO34" s="10">
        <f>COUNTIFS(Table4[[#This Row],[Rectangular Field Dimension: Length - m ]],Methods_Dimensions!J$11,Table4[[#This Row],[Rectangular Field Dimension: Width - m ]],Methods_Dimensions!H$11)</f>
        <v>1</v>
      </c>
      <c r="AP34" s="10">
        <f>COUNTIFS(Table4[[#This Row],[Rectangular Field Dimension: Length - m ]],Methods_Dimensions!J$12,Table4[[#This Row],[Rectangular Field Dimension: Width - m ]],Methods_Dimensions!H$12)</f>
        <v>1</v>
      </c>
      <c r="AQ34" s="10">
        <f>COUNTIFS(Table4[[#This Row],[Rectangular Field Dimension: Length - m ]],Methods_Dimensions!J$13,Table4[[#This Row],[Rectangular Field Dimension: Width - m ]],Methods_Dimensions!H$13)</f>
        <v>0</v>
      </c>
      <c r="AR34" s="10">
        <f>COUNTIFS(Table4[[#This Row],[Rectangular Field Dimension: Length - m ]],Methods_Dimensions!J$14,Table4[[#This Row],[Rectangular Field Dimension: Width - m ]],Methods_Dimensions!H$14)</f>
        <v>0</v>
      </c>
      <c r="AS3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4" s="10">
        <f>COUNTIFS(Table4[[#This Row],[Rectangular Field Dimension: Length - m ]],Methods_Dimensions!J$16,Table4[[#This Row],[Rectangular Field Dimension: Width - m ]],Methods_Dimensions!H$16)</f>
        <v>0</v>
      </c>
      <c r="AU34" s="10">
        <f>COUNTIFS(Table4[[#This Row],[Rectangular Field Dimension: Length - m ]],Methods_Dimensions!J$17,Table4[[#This Row],[Rectangular Field Dimension: Width - m ]],Methods_Dimensions!H$17)</f>
        <v>0</v>
      </c>
      <c r="AV34" s="10">
        <f>COUNTIFS(Table4[[#This Row],[Rectangular Field Dimension: Length - m ]],Methods_Dimensions!J$18,Table4[[#This Row],[Rectangular Field Dimension: Width - m ]],Methods_Dimensions!H$18)</f>
        <v>0</v>
      </c>
      <c r="AW34" s="10">
        <f>COUNTIFS(Table4[[#This Row],[Rectangular Field Dimension: Length - m ]],Methods_Dimensions!J$19,Table4[[#This Row],[Rectangular Field Dimension: Width - m ]],Methods_Dimensions!H$19)</f>
        <v>0</v>
      </c>
      <c r="AX34" s="6" t="s">
        <v>467</v>
      </c>
      <c r="AY34" s="6" t="s">
        <v>388</v>
      </c>
    </row>
    <row r="35" spans="1:51" ht="34.799999999999997" x14ac:dyDescent="0.3">
      <c r="A35" s="4" t="s">
        <v>193</v>
      </c>
      <c r="B35" s="5" t="s">
        <v>468</v>
      </c>
      <c r="C35" s="5" t="s">
        <v>469</v>
      </c>
      <c r="D35" s="5" t="s">
        <v>36</v>
      </c>
      <c r="E35" s="5" t="s">
        <v>1271</v>
      </c>
      <c r="F35" s="5" t="s">
        <v>740</v>
      </c>
      <c r="G35" s="6" t="s">
        <v>159</v>
      </c>
      <c r="H35" s="59"/>
      <c r="I35" s="59"/>
      <c r="J35" s="37"/>
      <c r="K35" s="12">
        <v>1</v>
      </c>
      <c r="L35" s="12" t="s">
        <v>381</v>
      </c>
      <c r="M35" s="12">
        <v>1</v>
      </c>
      <c r="N35" s="12"/>
      <c r="O35" s="12"/>
      <c r="P35" s="12">
        <v>1</v>
      </c>
      <c r="Q35" s="12">
        <v>1</v>
      </c>
      <c r="R35" s="12">
        <v>1</v>
      </c>
      <c r="S35" s="12">
        <v>1</v>
      </c>
      <c r="T35" s="12"/>
      <c r="U35" s="12"/>
      <c r="V35" s="12"/>
      <c r="W35" s="17"/>
      <c r="X35" s="12"/>
      <c r="Y35" s="12"/>
      <c r="Z35" s="12">
        <v>1</v>
      </c>
      <c r="AA35" s="12"/>
      <c r="AB35" s="17" t="s">
        <v>470</v>
      </c>
      <c r="AC35" s="17">
        <v>64</v>
      </c>
      <c r="AD35" s="12">
        <v>1</v>
      </c>
      <c r="AE35" s="17"/>
      <c r="AF35" s="12" t="s">
        <v>399</v>
      </c>
      <c r="AG35" s="17" t="s">
        <v>386</v>
      </c>
      <c r="AH35" s="12"/>
      <c r="AI35" s="12"/>
      <c r="AJ35" s="12">
        <f>SUM(Table4[[#This Row],[Soccer/U7 (Yes=1)]:[Ultimate Frisbee (Yes=1)]])</f>
        <v>0</v>
      </c>
      <c r="AK35" s="10"/>
      <c r="AL35" s="10">
        <f>COUNTIFS(Table4[[#This Row],[Rectangular Field Dimension: Width - m ]],Methods_Dimensions!H$8,Table4[[#This Row],[Rectangular Field Dimension: Length - m ]],Methods_Dimensions!J$8)</f>
        <v>0</v>
      </c>
      <c r="AM35" s="10">
        <f>COUNTIFS(Table4[[#This Row],[Rectangular Field Dimension: Length - m ]],Methods_Dimensions!J$9,Table4[[#This Row],[Rectangular Field Dimension: Width - m ]],Methods_Dimensions!H$9)</f>
        <v>0</v>
      </c>
      <c r="AN35" s="10">
        <f>COUNTIFS(Table4[[#This Row],[Rectangular Field Dimension: Length - m ]],Methods_Dimensions!J$10,Table4[[#This Row],[Rectangular Field Dimension: Width - m ]],Methods_Dimensions!H$10)</f>
        <v>0</v>
      </c>
      <c r="AO35" s="10">
        <f>COUNTIFS(Table4[[#This Row],[Rectangular Field Dimension: Length - m ]],Methods_Dimensions!J$11,Table4[[#This Row],[Rectangular Field Dimension: Width - m ]],Methods_Dimensions!H$11)</f>
        <v>0</v>
      </c>
      <c r="AP35" s="10">
        <f>COUNTIFS(Table4[[#This Row],[Rectangular Field Dimension: Length - m ]],Methods_Dimensions!J$12,Table4[[#This Row],[Rectangular Field Dimension: Width - m ]],Methods_Dimensions!H$12)</f>
        <v>0</v>
      </c>
      <c r="AQ35" s="10">
        <f>COUNTIFS(Table4[[#This Row],[Rectangular Field Dimension: Length - m ]],Methods_Dimensions!J$13,Table4[[#This Row],[Rectangular Field Dimension: Width - m ]],Methods_Dimensions!H$13)</f>
        <v>0</v>
      </c>
      <c r="AR35" s="10">
        <f>COUNTIFS(Table4[[#This Row],[Rectangular Field Dimension: Length - m ]],Methods_Dimensions!J$14,Table4[[#This Row],[Rectangular Field Dimension: Width - m ]],Methods_Dimensions!H$14)</f>
        <v>0</v>
      </c>
      <c r="AS3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5" s="10">
        <f>COUNTIFS(Table4[[#This Row],[Rectangular Field Dimension: Length - m ]],Methods_Dimensions!J$16,Table4[[#This Row],[Rectangular Field Dimension: Width - m ]],Methods_Dimensions!H$16)</f>
        <v>0</v>
      </c>
      <c r="AU35" s="10">
        <f>COUNTIFS(Table4[[#This Row],[Rectangular Field Dimension: Length - m ]],Methods_Dimensions!J$17,Table4[[#This Row],[Rectangular Field Dimension: Width - m ]],Methods_Dimensions!H$17)</f>
        <v>0</v>
      </c>
      <c r="AV35" s="10">
        <f>COUNTIFS(Table4[[#This Row],[Rectangular Field Dimension: Length - m ]],Methods_Dimensions!J$18,Table4[[#This Row],[Rectangular Field Dimension: Width - m ]],Methods_Dimensions!H$18)</f>
        <v>0</v>
      </c>
      <c r="AW35" s="10">
        <f>COUNTIFS(Table4[[#This Row],[Rectangular Field Dimension: Length - m ]],Methods_Dimensions!J$19,Table4[[#This Row],[Rectangular Field Dimension: Width - m ]],Methods_Dimensions!H$19)</f>
        <v>0</v>
      </c>
      <c r="AX35" s="6" t="s">
        <v>471</v>
      </c>
      <c r="AY35" s="6" t="s">
        <v>388</v>
      </c>
    </row>
    <row r="36" spans="1:51" ht="34.799999999999997" x14ac:dyDescent="0.3">
      <c r="A36" s="26" t="s">
        <v>194</v>
      </c>
      <c r="B36" s="14" t="s">
        <v>468</v>
      </c>
      <c r="C36" s="14" t="s">
        <v>469</v>
      </c>
      <c r="D36" s="14" t="s">
        <v>36</v>
      </c>
      <c r="E36" s="14" t="s">
        <v>1271</v>
      </c>
      <c r="F36" s="14" t="s">
        <v>740</v>
      </c>
      <c r="G36" s="15" t="s">
        <v>159</v>
      </c>
      <c r="H36" s="16">
        <v>104</v>
      </c>
      <c r="I36" s="16">
        <v>72</v>
      </c>
      <c r="J36" s="36">
        <v>7488</v>
      </c>
      <c r="K36" s="16">
        <v>1</v>
      </c>
      <c r="L36" s="16" t="s">
        <v>389</v>
      </c>
      <c r="M36" s="16"/>
      <c r="N36" s="16">
        <v>1</v>
      </c>
      <c r="O36" s="16"/>
      <c r="P36" s="16">
        <v>1</v>
      </c>
      <c r="Q36" s="16">
        <v>1</v>
      </c>
      <c r="R36" s="16">
        <v>1</v>
      </c>
      <c r="S36" s="16">
        <v>1</v>
      </c>
      <c r="T36" s="16"/>
      <c r="U36" s="16"/>
      <c r="V36" s="16"/>
      <c r="W36" s="18"/>
      <c r="X36" s="16"/>
      <c r="Y36" s="16"/>
      <c r="Z36" s="16">
        <v>1</v>
      </c>
      <c r="AA36" s="16" t="s">
        <v>472</v>
      </c>
      <c r="AB36" s="18" t="s">
        <v>470</v>
      </c>
      <c r="AC36" s="18">
        <v>64</v>
      </c>
      <c r="AD36" s="16">
        <v>1</v>
      </c>
      <c r="AE36" s="18"/>
      <c r="AF36" s="16" t="s">
        <v>399</v>
      </c>
      <c r="AG36" s="18" t="s">
        <v>386</v>
      </c>
      <c r="AH36" s="16"/>
      <c r="AI36" s="16"/>
      <c r="AJ36" s="16">
        <f>SUM(Table4[[#This Row],[Soccer/U7 (Yes=1)]:[Ultimate Frisbee (Yes=1)]])</f>
        <v>5</v>
      </c>
      <c r="AK36" s="10"/>
      <c r="AL36" s="10">
        <f>COUNTIFS(Table4[[#This Row],[Rectangular Field Dimension: Width - m ]],Methods_Dimensions!H$8,Table4[[#This Row],[Rectangular Field Dimension: Length - m ]],Methods_Dimensions!J$8)</f>
        <v>1</v>
      </c>
      <c r="AM36" s="10">
        <f>COUNTIFS(Table4[[#This Row],[Rectangular Field Dimension: Length - m ]],Methods_Dimensions!J$9,Table4[[#This Row],[Rectangular Field Dimension: Width - m ]],Methods_Dimensions!H$9)</f>
        <v>1</v>
      </c>
      <c r="AN36" s="10">
        <f>COUNTIFS(Table4[[#This Row],[Rectangular Field Dimension: Length - m ]],Methods_Dimensions!J$10,Table4[[#This Row],[Rectangular Field Dimension: Width - m ]],Methods_Dimensions!H$10)</f>
        <v>1</v>
      </c>
      <c r="AO36" s="10">
        <f>COUNTIFS(Table4[[#This Row],[Rectangular Field Dimension: Length - m ]],Methods_Dimensions!J$11,Table4[[#This Row],[Rectangular Field Dimension: Width - m ]],Methods_Dimensions!H$11)</f>
        <v>1</v>
      </c>
      <c r="AP36" s="10">
        <f>COUNTIFS(Table4[[#This Row],[Rectangular Field Dimension: Length - m ]],Methods_Dimensions!J$12,Table4[[#This Row],[Rectangular Field Dimension: Width - m ]],Methods_Dimensions!H$12)</f>
        <v>1</v>
      </c>
      <c r="AQ36" s="10">
        <f>COUNTIFS(Table4[[#This Row],[Rectangular Field Dimension: Length - m ]],Methods_Dimensions!J$13,Table4[[#This Row],[Rectangular Field Dimension: Width - m ]],Methods_Dimensions!H$13)</f>
        <v>0</v>
      </c>
      <c r="AR36" s="10">
        <f>COUNTIFS(Table4[[#This Row],[Rectangular Field Dimension: Length - m ]],Methods_Dimensions!J$14,Table4[[#This Row],[Rectangular Field Dimension: Width - m ]],Methods_Dimensions!H$14)</f>
        <v>0</v>
      </c>
      <c r="AS3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6" s="10">
        <f>COUNTIFS(Table4[[#This Row],[Rectangular Field Dimension: Length - m ]],Methods_Dimensions!J$16,Table4[[#This Row],[Rectangular Field Dimension: Width - m ]],Methods_Dimensions!H$16)</f>
        <v>0</v>
      </c>
      <c r="AU36" s="10">
        <f>COUNTIFS(Table4[[#This Row],[Rectangular Field Dimension: Length - m ]],Methods_Dimensions!J$17,Table4[[#This Row],[Rectangular Field Dimension: Width - m ]],Methods_Dimensions!H$17)</f>
        <v>0</v>
      </c>
      <c r="AV36" s="10">
        <f>COUNTIFS(Table4[[#This Row],[Rectangular Field Dimension: Length - m ]],Methods_Dimensions!J$18,Table4[[#This Row],[Rectangular Field Dimension: Width - m ]],Methods_Dimensions!H$18)</f>
        <v>0</v>
      </c>
      <c r="AW36" s="10">
        <f>COUNTIFS(Table4[[#This Row],[Rectangular Field Dimension: Length - m ]],Methods_Dimensions!J$19,Table4[[#This Row],[Rectangular Field Dimension: Width - m ]],Methods_Dimensions!H$19)</f>
        <v>0</v>
      </c>
      <c r="AX36" s="6" t="s">
        <v>387</v>
      </c>
      <c r="AY36" s="6" t="s">
        <v>388</v>
      </c>
    </row>
    <row r="37" spans="1:51" ht="34.799999999999997" x14ac:dyDescent="0.3">
      <c r="A37" s="4" t="s">
        <v>195</v>
      </c>
      <c r="B37" s="5" t="s">
        <v>468</v>
      </c>
      <c r="C37" s="5" t="s">
        <v>469</v>
      </c>
      <c r="D37" s="5" t="s">
        <v>36</v>
      </c>
      <c r="E37" s="5" t="s">
        <v>1271</v>
      </c>
      <c r="F37" s="5" t="s">
        <v>740</v>
      </c>
      <c r="G37" s="6" t="s">
        <v>159</v>
      </c>
      <c r="H37" s="12">
        <v>114</v>
      </c>
      <c r="I37" s="12">
        <v>72</v>
      </c>
      <c r="J37" s="37">
        <v>8208</v>
      </c>
      <c r="K37" s="12">
        <v>1</v>
      </c>
      <c r="L37" s="12" t="s">
        <v>389</v>
      </c>
      <c r="M37" s="12"/>
      <c r="N37" s="12">
        <v>1</v>
      </c>
      <c r="O37" s="12"/>
      <c r="P37" s="12">
        <v>1</v>
      </c>
      <c r="Q37" s="12">
        <v>1</v>
      </c>
      <c r="R37" s="12">
        <v>1</v>
      </c>
      <c r="S37" s="12">
        <v>1</v>
      </c>
      <c r="T37" s="12"/>
      <c r="U37" s="12"/>
      <c r="V37" s="12"/>
      <c r="W37" s="17"/>
      <c r="X37" s="12"/>
      <c r="Y37" s="12"/>
      <c r="Z37" s="12">
        <v>1</v>
      </c>
      <c r="AA37" s="12" t="s">
        <v>472</v>
      </c>
      <c r="AB37" s="17" t="s">
        <v>470</v>
      </c>
      <c r="AC37" s="17">
        <v>64</v>
      </c>
      <c r="AD37" s="12">
        <v>1</v>
      </c>
      <c r="AE37" s="17"/>
      <c r="AF37" s="12" t="s">
        <v>399</v>
      </c>
      <c r="AG37" s="17" t="s">
        <v>386</v>
      </c>
      <c r="AH37" s="12"/>
      <c r="AI37" s="12"/>
      <c r="AJ37" s="12">
        <f>SUM(Table4[[#This Row],[Soccer/U7 (Yes=1)]:[Ultimate Frisbee (Yes=1)]])</f>
        <v>6</v>
      </c>
      <c r="AK37" s="10"/>
      <c r="AL37" s="10">
        <f>COUNTIFS(Table4[[#This Row],[Rectangular Field Dimension: Width - m ]],Methods_Dimensions!H$8,Table4[[#This Row],[Rectangular Field Dimension: Length - m ]],Methods_Dimensions!J$8)</f>
        <v>1</v>
      </c>
      <c r="AM37" s="10">
        <f>COUNTIFS(Table4[[#This Row],[Rectangular Field Dimension: Length - m ]],Methods_Dimensions!J$9,Table4[[#This Row],[Rectangular Field Dimension: Width - m ]],Methods_Dimensions!H$9)</f>
        <v>1</v>
      </c>
      <c r="AN37" s="10">
        <f>COUNTIFS(Table4[[#This Row],[Rectangular Field Dimension: Length - m ]],Methods_Dimensions!J$10,Table4[[#This Row],[Rectangular Field Dimension: Width - m ]],Methods_Dimensions!H$10)</f>
        <v>1</v>
      </c>
      <c r="AO37" s="10">
        <f>COUNTIFS(Table4[[#This Row],[Rectangular Field Dimension: Length - m ]],Methods_Dimensions!J$11,Table4[[#This Row],[Rectangular Field Dimension: Width - m ]],Methods_Dimensions!H$11)</f>
        <v>1</v>
      </c>
      <c r="AP37" s="10">
        <f>COUNTIFS(Table4[[#This Row],[Rectangular Field Dimension: Length - m ]],Methods_Dimensions!J$12,Table4[[#This Row],[Rectangular Field Dimension: Width - m ]],Methods_Dimensions!H$12)</f>
        <v>1</v>
      </c>
      <c r="AQ37" s="10">
        <f>COUNTIFS(Table4[[#This Row],[Rectangular Field Dimension: Length - m ]],Methods_Dimensions!J$13,Table4[[#This Row],[Rectangular Field Dimension: Width - m ]],Methods_Dimensions!H$13)</f>
        <v>0</v>
      </c>
      <c r="AR37" s="10">
        <f>COUNTIFS(Table4[[#This Row],[Rectangular Field Dimension: Length - m ]],Methods_Dimensions!J$14,Table4[[#This Row],[Rectangular Field Dimension: Width - m ]],Methods_Dimensions!H$14)</f>
        <v>0</v>
      </c>
      <c r="AS3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7" s="10">
        <f>COUNTIFS(Table4[[#This Row],[Rectangular Field Dimension: Length - m ]],Methods_Dimensions!J$16,Table4[[#This Row],[Rectangular Field Dimension: Width - m ]],Methods_Dimensions!H$16)</f>
        <v>0</v>
      </c>
      <c r="AU37" s="10">
        <f>COUNTIFS(Table4[[#This Row],[Rectangular Field Dimension: Length - m ]],Methods_Dimensions!J$17,Table4[[#This Row],[Rectangular Field Dimension: Width - m ]],Methods_Dimensions!H$17)</f>
        <v>0</v>
      </c>
      <c r="AV37" s="10">
        <f>COUNTIFS(Table4[[#This Row],[Rectangular Field Dimension: Length - m ]],Methods_Dimensions!J$18,Table4[[#This Row],[Rectangular Field Dimension: Width - m ]],Methods_Dimensions!H$18)</f>
        <v>0</v>
      </c>
      <c r="AW37" s="10">
        <f>COUNTIFS(Table4[[#This Row],[Rectangular Field Dimension: Length - m ]],Methods_Dimensions!J$19,Table4[[#This Row],[Rectangular Field Dimension: Width - m ]],Methods_Dimensions!H$19)</f>
        <v>1</v>
      </c>
      <c r="AX37" s="6" t="s">
        <v>387</v>
      </c>
      <c r="AY37" s="6" t="s">
        <v>388</v>
      </c>
    </row>
    <row r="38" spans="1:51" ht="34.799999999999997" x14ac:dyDescent="0.3">
      <c r="A38" s="26" t="s">
        <v>196</v>
      </c>
      <c r="B38" s="14" t="s">
        <v>468</v>
      </c>
      <c r="C38" s="14" t="s">
        <v>469</v>
      </c>
      <c r="D38" s="14" t="s">
        <v>36</v>
      </c>
      <c r="E38" s="14" t="s">
        <v>1271</v>
      </c>
      <c r="F38" s="14" t="s">
        <v>740</v>
      </c>
      <c r="G38" s="15" t="s">
        <v>159</v>
      </c>
      <c r="H38" s="114"/>
      <c r="I38" s="114"/>
      <c r="J38" s="36"/>
      <c r="K38" s="16"/>
      <c r="L38" s="16" t="s">
        <v>389</v>
      </c>
      <c r="M38" s="16"/>
      <c r="N38" s="16">
        <v>1</v>
      </c>
      <c r="O38" s="16"/>
      <c r="P38" s="16">
        <v>1</v>
      </c>
      <c r="Q38" s="16">
        <v>1</v>
      </c>
      <c r="R38" s="16">
        <v>1</v>
      </c>
      <c r="S38" s="16">
        <v>1</v>
      </c>
      <c r="T38" s="16"/>
      <c r="U38" s="16"/>
      <c r="V38" s="16"/>
      <c r="W38" s="18" t="s">
        <v>382</v>
      </c>
      <c r="X38" s="16"/>
      <c r="Y38" s="16"/>
      <c r="Z38" s="16">
        <v>1</v>
      </c>
      <c r="AA38" s="16"/>
      <c r="AB38" s="18" t="s">
        <v>470</v>
      </c>
      <c r="AC38" s="18">
        <v>64</v>
      </c>
      <c r="AD38" s="16">
        <v>1</v>
      </c>
      <c r="AE38" s="18"/>
      <c r="AF38" s="16" t="s">
        <v>399</v>
      </c>
      <c r="AG38" s="18" t="s">
        <v>386</v>
      </c>
      <c r="AH38" s="16"/>
      <c r="AI38" s="16"/>
      <c r="AJ38" s="16">
        <f>SUM(Table4[[#This Row],[Soccer/U7 (Yes=1)]:[Ultimate Frisbee (Yes=1)]])</f>
        <v>0</v>
      </c>
      <c r="AK38" s="10"/>
      <c r="AL38" s="10">
        <f>COUNTIFS(Table4[[#This Row],[Rectangular Field Dimension: Width - m ]],Methods_Dimensions!H$8,Table4[[#This Row],[Rectangular Field Dimension: Length - m ]],Methods_Dimensions!J$8)</f>
        <v>0</v>
      </c>
      <c r="AM38" s="10">
        <f>COUNTIFS(Table4[[#This Row],[Rectangular Field Dimension: Length - m ]],Methods_Dimensions!J$9,Table4[[#This Row],[Rectangular Field Dimension: Width - m ]],Methods_Dimensions!H$9)</f>
        <v>0</v>
      </c>
      <c r="AN38" s="10">
        <f>COUNTIFS(Table4[[#This Row],[Rectangular Field Dimension: Length - m ]],Methods_Dimensions!J$10,Table4[[#This Row],[Rectangular Field Dimension: Width - m ]],Methods_Dimensions!H$10)</f>
        <v>0</v>
      </c>
      <c r="AO38" s="10">
        <f>COUNTIFS(Table4[[#This Row],[Rectangular Field Dimension: Length - m ]],Methods_Dimensions!J$11,Table4[[#This Row],[Rectangular Field Dimension: Width - m ]],Methods_Dimensions!H$11)</f>
        <v>0</v>
      </c>
      <c r="AP38" s="10">
        <f>COUNTIFS(Table4[[#This Row],[Rectangular Field Dimension: Length - m ]],Methods_Dimensions!J$12,Table4[[#This Row],[Rectangular Field Dimension: Width - m ]],Methods_Dimensions!H$12)</f>
        <v>0</v>
      </c>
      <c r="AQ38" s="10">
        <f>COUNTIFS(Table4[[#This Row],[Rectangular Field Dimension: Length - m ]],Methods_Dimensions!J$13,Table4[[#This Row],[Rectangular Field Dimension: Width - m ]],Methods_Dimensions!H$13)</f>
        <v>0</v>
      </c>
      <c r="AR38" s="10">
        <f>COUNTIFS(Table4[[#This Row],[Rectangular Field Dimension: Length - m ]],Methods_Dimensions!J$14,Table4[[#This Row],[Rectangular Field Dimension: Width - m ]],Methods_Dimensions!H$14)</f>
        <v>0</v>
      </c>
      <c r="AS3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8" s="10">
        <f>COUNTIFS(Table4[[#This Row],[Rectangular Field Dimension: Length - m ]],Methods_Dimensions!J$16,Table4[[#This Row],[Rectangular Field Dimension: Width - m ]],Methods_Dimensions!H$16)</f>
        <v>0</v>
      </c>
      <c r="AU38" s="10">
        <f>COUNTIFS(Table4[[#This Row],[Rectangular Field Dimension: Length - m ]],Methods_Dimensions!J$17,Table4[[#This Row],[Rectangular Field Dimension: Width - m ]],Methods_Dimensions!H$17)</f>
        <v>0</v>
      </c>
      <c r="AV38" s="10">
        <f>COUNTIFS(Table4[[#This Row],[Rectangular Field Dimension: Length - m ]],Methods_Dimensions!J$18,Table4[[#This Row],[Rectangular Field Dimension: Width - m ]],Methods_Dimensions!H$18)</f>
        <v>0</v>
      </c>
      <c r="AW38" s="10">
        <f>COUNTIFS(Table4[[#This Row],[Rectangular Field Dimension: Length - m ]],Methods_Dimensions!J$19,Table4[[#This Row],[Rectangular Field Dimension: Width - m ]],Methods_Dimensions!H$19)</f>
        <v>0</v>
      </c>
      <c r="AX38" s="6" t="s">
        <v>387</v>
      </c>
      <c r="AY38" s="6" t="s">
        <v>388</v>
      </c>
    </row>
    <row r="39" spans="1:51" ht="34.799999999999997" x14ac:dyDescent="0.3">
      <c r="A39" s="4" t="s">
        <v>197</v>
      </c>
      <c r="B39" s="5" t="s">
        <v>468</v>
      </c>
      <c r="C39" s="5" t="s">
        <v>469</v>
      </c>
      <c r="D39" s="5" t="s">
        <v>36</v>
      </c>
      <c r="E39" s="5" t="s">
        <v>1271</v>
      </c>
      <c r="F39" s="5" t="s">
        <v>740</v>
      </c>
      <c r="G39" s="6" t="s">
        <v>159</v>
      </c>
      <c r="H39" s="12">
        <v>130</v>
      </c>
      <c r="I39" s="12">
        <v>72</v>
      </c>
      <c r="J39" s="37">
        <v>9360</v>
      </c>
      <c r="K39" s="12">
        <v>1</v>
      </c>
      <c r="L39" s="12" t="s">
        <v>389</v>
      </c>
      <c r="M39" s="12"/>
      <c r="N39" s="12">
        <v>1</v>
      </c>
      <c r="O39" s="12"/>
      <c r="P39" s="12">
        <v>1</v>
      </c>
      <c r="Q39" s="12">
        <v>1</v>
      </c>
      <c r="R39" s="12">
        <v>1</v>
      </c>
      <c r="S39" s="12">
        <v>1</v>
      </c>
      <c r="T39" s="12"/>
      <c r="U39" s="12"/>
      <c r="V39" s="12"/>
      <c r="W39" s="17" t="s">
        <v>414</v>
      </c>
      <c r="X39" s="12"/>
      <c r="Y39" s="12"/>
      <c r="Z39" s="12">
        <v>1</v>
      </c>
      <c r="AA39" s="12" t="s">
        <v>472</v>
      </c>
      <c r="AB39" s="17" t="s">
        <v>470</v>
      </c>
      <c r="AC39" s="17">
        <v>64</v>
      </c>
      <c r="AD39" s="12">
        <v>1</v>
      </c>
      <c r="AE39" s="17"/>
      <c r="AF39" s="12" t="s">
        <v>399</v>
      </c>
      <c r="AG39" s="17" t="s">
        <v>386</v>
      </c>
      <c r="AH39" s="12"/>
      <c r="AI39" s="12"/>
      <c r="AJ39" s="12">
        <f>SUM(Table4[[#This Row],[Soccer/U7 (Yes=1)]:[Ultimate Frisbee (Yes=1)]])</f>
        <v>7</v>
      </c>
      <c r="AK39" s="10"/>
      <c r="AL39" s="10">
        <f>COUNTIFS(Table4[[#This Row],[Rectangular Field Dimension: Width - m ]],Methods_Dimensions!H$8,Table4[[#This Row],[Rectangular Field Dimension: Length - m ]],Methods_Dimensions!J$8)</f>
        <v>1</v>
      </c>
      <c r="AM39" s="10">
        <f>COUNTIFS(Table4[[#This Row],[Rectangular Field Dimension: Length - m ]],Methods_Dimensions!J$9,Table4[[#This Row],[Rectangular Field Dimension: Width - m ]],Methods_Dimensions!H$9)</f>
        <v>1</v>
      </c>
      <c r="AN39" s="10">
        <f>COUNTIFS(Table4[[#This Row],[Rectangular Field Dimension: Length - m ]],Methods_Dimensions!J$10,Table4[[#This Row],[Rectangular Field Dimension: Width - m ]],Methods_Dimensions!H$10)</f>
        <v>1</v>
      </c>
      <c r="AO39" s="10">
        <f>COUNTIFS(Table4[[#This Row],[Rectangular Field Dimension: Length - m ]],Methods_Dimensions!J$11,Table4[[#This Row],[Rectangular Field Dimension: Width - m ]],Methods_Dimensions!H$11)</f>
        <v>1</v>
      </c>
      <c r="AP39" s="10">
        <f>COUNTIFS(Table4[[#This Row],[Rectangular Field Dimension: Length - m ]],Methods_Dimensions!J$12,Table4[[#This Row],[Rectangular Field Dimension: Width - m ]],Methods_Dimensions!H$12)</f>
        <v>1</v>
      </c>
      <c r="AQ39" s="10">
        <f>COUNTIFS(Table4[[#This Row],[Rectangular Field Dimension: Length - m ]],Methods_Dimensions!J$13,Table4[[#This Row],[Rectangular Field Dimension: Width - m ]],Methods_Dimensions!H$13)</f>
        <v>0</v>
      </c>
      <c r="AR39" s="10">
        <f>COUNTIFS(Table4[[#This Row],[Rectangular Field Dimension: Length - m ]],Methods_Dimensions!J$14,Table4[[#This Row],[Rectangular Field Dimension: Width - m ]],Methods_Dimensions!H$14)</f>
        <v>0</v>
      </c>
      <c r="AS3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39" s="10">
        <f>COUNTIFS(Table4[[#This Row],[Rectangular Field Dimension: Length - m ]],Methods_Dimensions!J$16,Table4[[#This Row],[Rectangular Field Dimension: Width - m ]],Methods_Dimensions!H$16)</f>
        <v>0</v>
      </c>
      <c r="AU39" s="10">
        <f>COUNTIFS(Table4[[#This Row],[Rectangular Field Dimension: Length - m ]],Methods_Dimensions!J$17,Table4[[#This Row],[Rectangular Field Dimension: Width - m ]],Methods_Dimensions!H$17)</f>
        <v>1</v>
      </c>
      <c r="AV39" s="10">
        <f>COUNTIFS(Table4[[#This Row],[Rectangular Field Dimension: Length - m ]],Methods_Dimensions!J$18,Table4[[#This Row],[Rectangular Field Dimension: Width - m ]],Methods_Dimensions!H$18)</f>
        <v>0</v>
      </c>
      <c r="AW39" s="10">
        <f>COUNTIFS(Table4[[#This Row],[Rectangular Field Dimension: Length - m ]],Methods_Dimensions!J$19,Table4[[#This Row],[Rectangular Field Dimension: Width - m ]],Methods_Dimensions!H$19)</f>
        <v>1</v>
      </c>
      <c r="AX39" s="6" t="s">
        <v>387</v>
      </c>
      <c r="AY39" s="6" t="s">
        <v>388</v>
      </c>
    </row>
    <row r="40" spans="1:51" ht="34.799999999999997" x14ac:dyDescent="0.3">
      <c r="A40" s="26" t="s">
        <v>198</v>
      </c>
      <c r="B40" s="14" t="s">
        <v>1275</v>
      </c>
      <c r="C40" s="14" t="s">
        <v>394</v>
      </c>
      <c r="D40" s="14" t="s">
        <v>199</v>
      </c>
      <c r="E40" s="14" t="s">
        <v>789</v>
      </c>
      <c r="F40" s="14" t="s">
        <v>1273</v>
      </c>
      <c r="G40" s="15" t="s">
        <v>159</v>
      </c>
      <c r="H40" s="16">
        <v>97</v>
      </c>
      <c r="I40" s="16">
        <v>67</v>
      </c>
      <c r="J40" s="36">
        <v>6499</v>
      </c>
      <c r="K40" s="16"/>
      <c r="L40" s="16" t="s">
        <v>397</v>
      </c>
      <c r="M40" s="16">
        <v>1</v>
      </c>
      <c r="N40" s="16">
        <v>1</v>
      </c>
      <c r="O40" s="16"/>
      <c r="P40" s="16">
        <v>1</v>
      </c>
      <c r="Q40" s="16"/>
      <c r="R40" s="16">
        <v>1</v>
      </c>
      <c r="S40" s="16"/>
      <c r="T40" s="16"/>
      <c r="U40" s="16"/>
      <c r="V40" s="16"/>
      <c r="W40" s="18" t="s">
        <v>428</v>
      </c>
      <c r="X40" s="16"/>
      <c r="Y40" s="16"/>
      <c r="Z40" s="16">
        <v>1</v>
      </c>
      <c r="AA40" s="16"/>
      <c r="AB40" s="18" t="s">
        <v>383</v>
      </c>
      <c r="AC40" s="18"/>
      <c r="AD40" s="16">
        <v>1</v>
      </c>
      <c r="AE40" s="18" t="s">
        <v>1276</v>
      </c>
      <c r="AF40" s="16" t="s">
        <v>399</v>
      </c>
      <c r="AG40" s="18" t="s">
        <v>269</v>
      </c>
      <c r="AH40" s="16"/>
      <c r="AI40" s="16"/>
      <c r="AJ40" s="16">
        <f>SUM(Table4[[#This Row],[Soccer/U7 (Yes=1)]:[Ultimate Frisbee (Yes=1)]])</f>
        <v>5</v>
      </c>
      <c r="AK40" s="10"/>
      <c r="AL40" s="10">
        <f>COUNTIFS(Table4[[#This Row],[Rectangular Field Dimension: Width - m ]],Methods_Dimensions!H$8,Table4[[#This Row],[Rectangular Field Dimension: Length - m ]],Methods_Dimensions!J$8)</f>
        <v>1</v>
      </c>
      <c r="AM40" s="10">
        <f>COUNTIFS(Table4[[#This Row],[Rectangular Field Dimension: Length - m ]],Methods_Dimensions!J$9,Table4[[#This Row],[Rectangular Field Dimension: Width - m ]],Methods_Dimensions!H$9)</f>
        <v>1</v>
      </c>
      <c r="AN40" s="10">
        <f>COUNTIFS(Table4[[#This Row],[Rectangular Field Dimension: Length - m ]],Methods_Dimensions!J$10,Table4[[#This Row],[Rectangular Field Dimension: Width - m ]],Methods_Dimensions!H$10)</f>
        <v>1</v>
      </c>
      <c r="AO40" s="10">
        <f>COUNTIFS(Table4[[#This Row],[Rectangular Field Dimension: Length - m ]],Methods_Dimensions!J$11,Table4[[#This Row],[Rectangular Field Dimension: Width - m ]],Methods_Dimensions!H$11)</f>
        <v>1</v>
      </c>
      <c r="AP40" s="10">
        <f>COUNTIFS(Table4[[#This Row],[Rectangular Field Dimension: Length - m ]],Methods_Dimensions!J$12,Table4[[#This Row],[Rectangular Field Dimension: Width - m ]],Methods_Dimensions!H$12)</f>
        <v>1</v>
      </c>
      <c r="AQ40" s="10">
        <f>COUNTIFS(Table4[[#This Row],[Rectangular Field Dimension: Length - m ]],Methods_Dimensions!J$13,Table4[[#This Row],[Rectangular Field Dimension: Width - m ]],Methods_Dimensions!H$13)</f>
        <v>0</v>
      </c>
      <c r="AR40" s="10">
        <f>COUNTIFS(Table4[[#This Row],[Rectangular Field Dimension: Length - m ]],Methods_Dimensions!J$14,Table4[[#This Row],[Rectangular Field Dimension: Width - m ]],Methods_Dimensions!H$14)</f>
        <v>0</v>
      </c>
      <c r="AS4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0" s="10">
        <f>COUNTIFS(Table4[[#This Row],[Rectangular Field Dimension: Length - m ]],Methods_Dimensions!J$16,Table4[[#This Row],[Rectangular Field Dimension: Width - m ]],Methods_Dimensions!H$16)</f>
        <v>0</v>
      </c>
      <c r="AU40" s="10">
        <f>COUNTIFS(Table4[[#This Row],[Rectangular Field Dimension: Length - m ]],Methods_Dimensions!J$17,Table4[[#This Row],[Rectangular Field Dimension: Width - m ]],Methods_Dimensions!H$17)</f>
        <v>0</v>
      </c>
      <c r="AV40" s="10">
        <f>COUNTIFS(Table4[[#This Row],[Rectangular Field Dimension: Length - m ]],Methods_Dimensions!J$18,Table4[[#This Row],[Rectangular Field Dimension: Width - m ]],Methods_Dimensions!H$18)</f>
        <v>0</v>
      </c>
      <c r="AW40" s="10">
        <f>COUNTIFS(Table4[[#This Row],[Rectangular Field Dimension: Length - m ]],Methods_Dimensions!J$19,Table4[[#This Row],[Rectangular Field Dimension: Width - m ]],Methods_Dimensions!H$19)</f>
        <v>0</v>
      </c>
      <c r="AX40" s="6" t="s">
        <v>1277</v>
      </c>
      <c r="AY40" s="6" t="s">
        <v>388</v>
      </c>
    </row>
    <row r="41" spans="1:51" ht="52.2" x14ac:dyDescent="0.3">
      <c r="A41" s="4" t="s">
        <v>200</v>
      </c>
      <c r="B41" s="5" t="s">
        <v>473</v>
      </c>
      <c r="C41" s="5" t="s">
        <v>424</v>
      </c>
      <c r="D41" s="5" t="s">
        <v>41</v>
      </c>
      <c r="E41" s="5" t="s">
        <v>1272</v>
      </c>
      <c r="F41" s="5" t="s">
        <v>754</v>
      </c>
      <c r="G41" s="6" t="s">
        <v>159</v>
      </c>
      <c r="H41" s="12">
        <v>106</v>
      </c>
      <c r="I41" s="12">
        <v>68</v>
      </c>
      <c r="J41" s="37">
        <v>7208</v>
      </c>
      <c r="K41" s="12">
        <v>1</v>
      </c>
      <c r="L41" s="12" t="s">
        <v>389</v>
      </c>
      <c r="M41" s="12"/>
      <c r="N41" s="12">
        <v>1</v>
      </c>
      <c r="O41" s="12"/>
      <c r="P41" s="12">
        <v>1</v>
      </c>
      <c r="Q41" s="12"/>
      <c r="R41" s="12">
        <v>1</v>
      </c>
      <c r="S41" s="12"/>
      <c r="T41" s="12"/>
      <c r="U41" s="12"/>
      <c r="V41" s="12"/>
      <c r="W41" s="17" t="s">
        <v>414</v>
      </c>
      <c r="X41" s="12"/>
      <c r="Y41" s="12"/>
      <c r="Z41" s="12">
        <v>1</v>
      </c>
      <c r="AA41" s="12"/>
      <c r="AB41" s="17" t="s">
        <v>474</v>
      </c>
      <c r="AC41" s="17">
        <v>40</v>
      </c>
      <c r="AD41" s="12">
        <v>1</v>
      </c>
      <c r="AE41" s="17" t="s">
        <v>475</v>
      </c>
      <c r="AF41" s="12" t="s">
        <v>399</v>
      </c>
      <c r="AG41" s="17" t="s">
        <v>386</v>
      </c>
      <c r="AH41" s="12"/>
      <c r="AI41" s="12"/>
      <c r="AJ41" s="12">
        <f>SUM(Table4[[#This Row],[Soccer/U7 (Yes=1)]:[Ultimate Frisbee (Yes=1)]])</f>
        <v>5</v>
      </c>
      <c r="AK41" s="10"/>
      <c r="AL41" s="10">
        <f>COUNTIFS(Table4[[#This Row],[Rectangular Field Dimension: Width - m ]],Methods_Dimensions!H$8,Table4[[#This Row],[Rectangular Field Dimension: Length - m ]],Methods_Dimensions!J$8)</f>
        <v>1</v>
      </c>
      <c r="AM41" s="10">
        <f>COUNTIFS(Table4[[#This Row],[Rectangular Field Dimension: Length - m ]],Methods_Dimensions!J$9,Table4[[#This Row],[Rectangular Field Dimension: Width - m ]],Methods_Dimensions!H$9)</f>
        <v>1</v>
      </c>
      <c r="AN41" s="10">
        <f>COUNTIFS(Table4[[#This Row],[Rectangular Field Dimension: Length - m ]],Methods_Dimensions!J$10,Table4[[#This Row],[Rectangular Field Dimension: Width - m ]],Methods_Dimensions!H$10)</f>
        <v>1</v>
      </c>
      <c r="AO41" s="10">
        <f>COUNTIFS(Table4[[#This Row],[Rectangular Field Dimension: Length - m ]],Methods_Dimensions!J$11,Table4[[#This Row],[Rectangular Field Dimension: Width - m ]],Methods_Dimensions!H$11)</f>
        <v>1</v>
      </c>
      <c r="AP41" s="10">
        <f>COUNTIFS(Table4[[#This Row],[Rectangular Field Dimension: Length - m ]],Methods_Dimensions!J$12,Table4[[#This Row],[Rectangular Field Dimension: Width - m ]],Methods_Dimensions!H$12)</f>
        <v>1</v>
      </c>
      <c r="AQ41" s="10">
        <f>COUNTIFS(Table4[[#This Row],[Rectangular Field Dimension: Length - m ]],Methods_Dimensions!J$13,Table4[[#This Row],[Rectangular Field Dimension: Width - m ]],Methods_Dimensions!H$13)</f>
        <v>0</v>
      </c>
      <c r="AR41" s="10">
        <f>COUNTIFS(Table4[[#This Row],[Rectangular Field Dimension: Length - m ]],Methods_Dimensions!J$14,Table4[[#This Row],[Rectangular Field Dimension: Width - m ]],Methods_Dimensions!H$14)</f>
        <v>0</v>
      </c>
      <c r="AS4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1" s="10">
        <f>COUNTIFS(Table4[[#This Row],[Rectangular Field Dimension: Length - m ]],Methods_Dimensions!J$16,Table4[[#This Row],[Rectangular Field Dimension: Width - m ]],Methods_Dimensions!H$16)</f>
        <v>0</v>
      </c>
      <c r="AU41" s="10">
        <f>COUNTIFS(Table4[[#This Row],[Rectangular Field Dimension: Length - m ]],Methods_Dimensions!J$17,Table4[[#This Row],[Rectangular Field Dimension: Width - m ]],Methods_Dimensions!H$17)</f>
        <v>0</v>
      </c>
      <c r="AV41" s="10">
        <f>COUNTIFS(Table4[[#This Row],[Rectangular Field Dimension: Length - m ]],Methods_Dimensions!J$18,Table4[[#This Row],[Rectangular Field Dimension: Width - m ]],Methods_Dimensions!H$18)</f>
        <v>0</v>
      </c>
      <c r="AW41" s="10">
        <f>COUNTIFS(Table4[[#This Row],[Rectangular Field Dimension: Length - m ]],Methods_Dimensions!J$19,Table4[[#This Row],[Rectangular Field Dimension: Width - m ]],Methods_Dimensions!H$19)</f>
        <v>0</v>
      </c>
      <c r="AX41" s="6" t="s">
        <v>476</v>
      </c>
      <c r="AY41" s="6" t="s">
        <v>388</v>
      </c>
    </row>
    <row r="42" spans="1:51" ht="52.2" x14ac:dyDescent="0.3">
      <c r="A42" s="26" t="s">
        <v>201</v>
      </c>
      <c r="B42" s="14" t="s">
        <v>473</v>
      </c>
      <c r="C42" s="14" t="s">
        <v>424</v>
      </c>
      <c r="D42" s="14" t="s">
        <v>41</v>
      </c>
      <c r="E42" s="14" t="s">
        <v>1272</v>
      </c>
      <c r="F42" s="14" t="s">
        <v>754</v>
      </c>
      <c r="G42" s="15" t="s">
        <v>159</v>
      </c>
      <c r="H42" s="114"/>
      <c r="I42" s="114"/>
      <c r="J42" s="36"/>
      <c r="K42" s="16">
        <v>1</v>
      </c>
      <c r="L42" s="16" t="s">
        <v>381</v>
      </c>
      <c r="M42" s="16">
        <v>1</v>
      </c>
      <c r="N42" s="16"/>
      <c r="O42" s="16"/>
      <c r="P42" s="16">
        <v>1</v>
      </c>
      <c r="Q42" s="16"/>
      <c r="R42" s="16">
        <v>1</v>
      </c>
      <c r="S42" s="16"/>
      <c r="T42" s="16"/>
      <c r="U42" s="16"/>
      <c r="V42" s="16"/>
      <c r="W42" s="18"/>
      <c r="X42" s="16"/>
      <c r="Y42" s="16"/>
      <c r="Z42" s="16">
        <v>1</v>
      </c>
      <c r="AA42" s="16"/>
      <c r="AB42" s="18" t="s">
        <v>474</v>
      </c>
      <c r="AC42" s="18">
        <v>40</v>
      </c>
      <c r="AD42" s="16">
        <v>1</v>
      </c>
      <c r="AE42" s="18" t="s">
        <v>475</v>
      </c>
      <c r="AF42" s="16" t="s">
        <v>399</v>
      </c>
      <c r="AG42" s="18" t="s">
        <v>386</v>
      </c>
      <c r="AH42" s="16"/>
      <c r="AI42" s="16"/>
      <c r="AJ42" s="16">
        <f>SUM(Table4[[#This Row],[Soccer/U7 (Yes=1)]:[Ultimate Frisbee (Yes=1)]])</f>
        <v>0</v>
      </c>
      <c r="AK42" s="10"/>
      <c r="AL42" s="10">
        <f>COUNTIFS(Table4[[#This Row],[Rectangular Field Dimension: Width - m ]],Methods_Dimensions!H$8,Table4[[#This Row],[Rectangular Field Dimension: Length - m ]],Methods_Dimensions!J$8)</f>
        <v>0</v>
      </c>
      <c r="AM42" s="10">
        <f>COUNTIFS(Table4[[#This Row],[Rectangular Field Dimension: Length - m ]],Methods_Dimensions!J$9,Table4[[#This Row],[Rectangular Field Dimension: Width - m ]],Methods_Dimensions!H$9)</f>
        <v>0</v>
      </c>
      <c r="AN42" s="10">
        <f>COUNTIFS(Table4[[#This Row],[Rectangular Field Dimension: Length - m ]],Methods_Dimensions!J$10,Table4[[#This Row],[Rectangular Field Dimension: Width - m ]],Methods_Dimensions!H$10)</f>
        <v>0</v>
      </c>
      <c r="AO42" s="10">
        <f>COUNTIFS(Table4[[#This Row],[Rectangular Field Dimension: Length - m ]],Methods_Dimensions!J$11,Table4[[#This Row],[Rectangular Field Dimension: Width - m ]],Methods_Dimensions!H$11)</f>
        <v>0</v>
      </c>
      <c r="AP42" s="10">
        <f>COUNTIFS(Table4[[#This Row],[Rectangular Field Dimension: Length - m ]],Methods_Dimensions!J$12,Table4[[#This Row],[Rectangular Field Dimension: Width - m ]],Methods_Dimensions!H$12)</f>
        <v>0</v>
      </c>
      <c r="AQ42" s="10">
        <f>COUNTIFS(Table4[[#This Row],[Rectangular Field Dimension: Length - m ]],Methods_Dimensions!J$13,Table4[[#This Row],[Rectangular Field Dimension: Width - m ]],Methods_Dimensions!H$13)</f>
        <v>0</v>
      </c>
      <c r="AR42" s="10">
        <f>COUNTIFS(Table4[[#This Row],[Rectangular Field Dimension: Length - m ]],Methods_Dimensions!J$14,Table4[[#This Row],[Rectangular Field Dimension: Width - m ]],Methods_Dimensions!H$14)</f>
        <v>0</v>
      </c>
      <c r="AS4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2" s="10">
        <f>COUNTIFS(Table4[[#This Row],[Rectangular Field Dimension: Length - m ]],Methods_Dimensions!J$16,Table4[[#This Row],[Rectangular Field Dimension: Width - m ]],Methods_Dimensions!H$16)</f>
        <v>0</v>
      </c>
      <c r="AU42" s="10">
        <f>COUNTIFS(Table4[[#This Row],[Rectangular Field Dimension: Length - m ]],Methods_Dimensions!J$17,Table4[[#This Row],[Rectangular Field Dimension: Width - m ]],Methods_Dimensions!H$17)</f>
        <v>0</v>
      </c>
      <c r="AV42" s="10">
        <f>COUNTIFS(Table4[[#This Row],[Rectangular Field Dimension: Length - m ]],Methods_Dimensions!J$18,Table4[[#This Row],[Rectangular Field Dimension: Width - m ]],Methods_Dimensions!H$18)</f>
        <v>0</v>
      </c>
      <c r="AW42" s="10">
        <f>COUNTIFS(Table4[[#This Row],[Rectangular Field Dimension: Length - m ]],Methods_Dimensions!J$19,Table4[[#This Row],[Rectangular Field Dimension: Width - m ]],Methods_Dimensions!H$19)</f>
        <v>0</v>
      </c>
      <c r="AX42" s="6" t="s">
        <v>387</v>
      </c>
      <c r="AY42" s="6" t="s">
        <v>388</v>
      </c>
    </row>
    <row r="43" spans="1:51" ht="52.2" x14ac:dyDescent="0.3">
      <c r="A43" s="26" t="s">
        <v>202</v>
      </c>
      <c r="B43" s="14" t="s">
        <v>473</v>
      </c>
      <c r="C43" s="14" t="s">
        <v>424</v>
      </c>
      <c r="D43" s="14" t="s">
        <v>41</v>
      </c>
      <c r="E43" s="14" t="s">
        <v>1272</v>
      </c>
      <c r="F43" s="14" t="s">
        <v>754</v>
      </c>
      <c r="G43" s="15" t="s">
        <v>159</v>
      </c>
      <c r="H43" s="114"/>
      <c r="I43" s="114"/>
      <c r="J43" s="36"/>
      <c r="K43" s="16"/>
      <c r="L43" s="16" t="s">
        <v>397</v>
      </c>
      <c r="M43" s="16"/>
      <c r="N43" s="16"/>
      <c r="O43" s="16"/>
      <c r="P43" s="16">
        <v>1</v>
      </c>
      <c r="Q43" s="16"/>
      <c r="R43" s="16">
        <v>1</v>
      </c>
      <c r="S43" s="16"/>
      <c r="T43" s="16"/>
      <c r="U43" s="16"/>
      <c r="V43" s="16"/>
      <c r="W43" s="12" t="s">
        <v>414</v>
      </c>
      <c r="X43" s="16"/>
      <c r="Y43" s="16"/>
      <c r="Z43" s="16"/>
      <c r="AA43" s="16"/>
      <c r="AB43" s="18" t="s">
        <v>474</v>
      </c>
      <c r="AC43" s="18">
        <v>40</v>
      </c>
      <c r="AD43" s="16">
        <v>1</v>
      </c>
      <c r="AE43" s="18" t="s">
        <v>475</v>
      </c>
      <c r="AF43" s="16" t="s">
        <v>399</v>
      </c>
      <c r="AG43" s="17" t="s">
        <v>386</v>
      </c>
      <c r="AH43" s="16"/>
      <c r="AI43" s="16"/>
      <c r="AJ43" s="16">
        <f>SUM(Table4[[#This Row],[Soccer/U7 (Yes=1)]:[Ultimate Frisbee (Yes=1)]])</f>
        <v>0</v>
      </c>
      <c r="AK43" s="10"/>
      <c r="AL43" s="10">
        <f>COUNTIFS(Table4[[#This Row],[Rectangular Field Dimension: Width - m ]],Methods_Dimensions!H$8,Table4[[#This Row],[Rectangular Field Dimension: Length - m ]],Methods_Dimensions!J$8)</f>
        <v>0</v>
      </c>
      <c r="AM43" s="10">
        <f>COUNTIFS(Table4[[#This Row],[Rectangular Field Dimension: Length - m ]],Methods_Dimensions!J$9,Table4[[#This Row],[Rectangular Field Dimension: Width - m ]],Methods_Dimensions!H$9)</f>
        <v>0</v>
      </c>
      <c r="AN43" s="10">
        <f>COUNTIFS(Table4[[#This Row],[Rectangular Field Dimension: Length - m ]],Methods_Dimensions!J$10,Table4[[#This Row],[Rectangular Field Dimension: Width - m ]],Methods_Dimensions!H$10)</f>
        <v>0</v>
      </c>
      <c r="AO43" s="10">
        <f>COUNTIFS(Table4[[#This Row],[Rectangular Field Dimension: Length - m ]],Methods_Dimensions!J$11,Table4[[#This Row],[Rectangular Field Dimension: Width - m ]],Methods_Dimensions!H$11)</f>
        <v>0</v>
      </c>
      <c r="AP43" s="10">
        <f>COUNTIFS(Table4[[#This Row],[Rectangular Field Dimension: Length - m ]],Methods_Dimensions!J$12,Table4[[#This Row],[Rectangular Field Dimension: Width - m ]],Methods_Dimensions!H$12)</f>
        <v>0</v>
      </c>
      <c r="AQ43" s="10">
        <f>COUNTIFS(Table4[[#This Row],[Rectangular Field Dimension: Length - m ]],Methods_Dimensions!J$13,Table4[[#This Row],[Rectangular Field Dimension: Width - m ]],Methods_Dimensions!H$13)</f>
        <v>0</v>
      </c>
      <c r="AR43" s="10">
        <f>COUNTIFS(Table4[[#This Row],[Rectangular Field Dimension: Length - m ]],Methods_Dimensions!J$14,Table4[[#This Row],[Rectangular Field Dimension: Width - m ]],Methods_Dimensions!H$14)</f>
        <v>0</v>
      </c>
      <c r="AS4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3" s="10">
        <f>COUNTIFS(Table4[[#This Row],[Rectangular Field Dimension: Length - m ]],Methods_Dimensions!J$16,Table4[[#This Row],[Rectangular Field Dimension: Width - m ]],Methods_Dimensions!H$16)</f>
        <v>0</v>
      </c>
      <c r="AU43" s="10">
        <f>COUNTIFS(Table4[[#This Row],[Rectangular Field Dimension: Length - m ]],Methods_Dimensions!J$17,Table4[[#This Row],[Rectangular Field Dimension: Width - m ]],Methods_Dimensions!H$17)</f>
        <v>0</v>
      </c>
      <c r="AV43" s="10">
        <f>COUNTIFS(Table4[[#This Row],[Rectangular Field Dimension: Length - m ]],Methods_Dimensions!J$18,Table4[[#This Row],[Rectangular Field Dimension: Width - m ]],Methods_Dimensions!H$18)</f>
        <v>0</v>
      </c>
      <c r="AW43" s="10">
        <f>COUNTIFS(Table4[[#This Row],[Rectangular Field Dimension: Length - m ]],Methods_Dimensions!J$19,Table4[[#This Row],[Rectangular Field Dimension: Width - m ]],Methods_Dimensions!H$19)</f>
        <v>0</v>
      </c>
      <c r="AX43" s="6" t="s">
        <v>477</v>
      </c>
      <c r="AY43" s="6"/>
    </row>
    <row r="44" spans="1:51" ht="52.2" x14ac:dyDescent="0.3">
      <c r="A44" s="26" t="s">
        <v>203</v>
      </c>
      <c r="B44" s="14" t="s">
        <v>473</v>
      </c>
      <c r="C44" s="14" t="s">
        <v>424</v>
      </c>
      <c r="D44" s="14" t="s">
        <v>41</v>
      </c>
      <c r="E44" s="14" t="s">
        <v>1271</v>
      </c>
      <c r="F44" s="14" t="s">
        <v>740</v>
      </c>
      <c r="G44" s="15" t="s">
        <v>159</v>
      </c>
      <c r="H44" s="16">
        <v>105</v>
      </c>
      <c r="I44" s="16">
        <v>68</v>
      </c>
      <c r="J44" s="36">
        <v>7140</v>
      </c>
      <c r="K44" s="16">
        <v>1</v>
      </c>
      <c r="L44" s="16" t="s">
        <v>389</v>
      </c>
      <c r="M44" s="16"/>
      <c r="N44" s="16">
        <v>1</v>
      </c>
      <c r="O44" s="16"/>
      <c r="P44" s="16">
        <v>1</v>
      </c>
      <c r="Q44" s="16"/>
      <c r="R44" s="16">
        <v>1</v>
      </c>
      <c r="S44" s="16"/>
      <c r="T44" s="16"/>
      <c r="U44" s="16"/>
      <c r="V44" s="16"/>
      <c r="W44" s="18" t="s">
        <v>382</v>
      </c>
      <c r="X44" s="16"/>
      <c r="Y44" s="16"/>
      <c r="Z44" s="16">
        <v>1</v>
      </c>
      <c r="AA44" s="16"/>
      <c r="AB44" s="18" t="s">
        <v>474</v>
      </c>
      <c r="AC44" s="18">
        <v>40</v>
      </c>
      <c r="AD44" s="16">
        <v>1</v>
      </c>
      <c r="AE44" s="18" t="s">
        <v>475</v>
      </c>
      <c r="AF44" s="16" t="s">
        <v>399</v>
      </c>
      <c r="AG44" s="18" t="s">
        <v>386</v>
      </c>
      <c r="AH44" s="16"/>
      <c r="AI44" s="16"/>
      <c r="AJ44" s="16">
        <f>SUM(Table4[[#This Row],[Soccer/U7 (Yes=1)]:[Ultimate Frisbee (Yes=1)]])</f>
        <v>5</v>
      </c>
      <c r="AK44" s="10"/>
      <c r="AL44" s="10">
        <v>1</v>
      </c>
      <c r="AM44" s="10">
        <v>1</v>
      </c>
      <c r="AN44" s="10">
        <f>COUNTIFS(Table4[[#This Row],[Rectangular Field Dimension: Length - m ]],Methods_Dimensions!J$10,Table4[[#This Row],[Rectangular Field Dimension: Width - m ]],Methods_Dimensions!H$10)</f>
        <v>1</v>
      </c>
      <c r="AO44" s="10">
        <f>COUNTIFS(Table4[[#This Row],[Rectangular Field Dimension: Length - m ]],Methods_Dimensions!J$11,Table4[[#This Row],[Rectangular Field Dimension: Width - m ]],Methods_Dimensions!H$11)</f>
        <v>1</v>
      </c>
      <c r="AP44" s="10">
        <f>COUNTIFS(Table4[[#This Row],[Rectangular Field Dimension: Length - m ]],Methods_Dimensions!J$12,Table4[[#This Row],[Rectangular Field Dimension: Width - m ]],Methods_Dimensions!H$12)</f>
        <v>1</v>
      </c>
      <c r="AQ44" s="10">
        <f>COUNTIFS(Table4[[#This Row],[Rectangular Field Dimension: Length - m ]],Methods_Dimensions!J$13,Table4[[#This Row],[Rectangular Field Dimension: Width - m ]],Methods_Dimensions!H$13)</f>
        <v>0</v>
      </c>
      <c r="AR44" s="10">
        <f>COUNTIFS(Table4[[#This Row],[Rectangular Field Dimension: Length - m ]],Methods_Dimensions!J$14,Table4[[#This Row],[Rectangular Field Dimension: Width - m ]],Methods_Dimensions!H$14)</f>
        <v>0</v>
      </c>
      <c r="AS4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4" s="10">
        <f>COUNTIFS(Table4[[#This Row],[Rectangular Field Dimension: Length - m ]],Methods_Dimensions!J$16,Table4[[#This Row],[Rectangular Field Dimension: Width - m ]],Methods_Dimensions!H$16)</f>
        <v>0</v>
      </c>
      <c r="AU44" s="10">
        <f>COUNTIFS(Table4[[#This Row],[Rectangular Field Dimension: Length - m ]],Methods_Dimensions!J$17,Table4[[#This Row],[Rectangular Field Dimension: Width - m ]],Methods_Dimensions!H$17)</f>
        <v>0</v>
      </c>
      <c r="AV44" s="10">
        <f>COUNTIFS(Table4[[#This Row],[Rectangular Field Dimension: Length - m ]],Methods_Dimensions!J$18,Table4[[#This Row],[Rectangular Field Dimension: Width - m ]],Methods_Dimensions!H$18)</f>
        <v>0</v>
      </c>
      <c r="AW44" s="10">
        <f>COUNTIFS(Table4[[#This Row],[Rectangular Field Dimension: Length - m ]],Methods_Dimensions!J$19,Table4[[#This Row],[Rectangular Field Dimension: Width - m ]],Methods_Dimensions!H$19)</f>
        <v>0</v>
      </c>
      <c r="AX44" s="6" t="s">
        <v>478</v>
      </c>
      <c r="AY44" s="6" t="s">
        <v>388</v>
      </c>
    </row>
    <row r="45" spans="1:51" ht="34.799999999999997" x14ac:dyDescent="0.3">
      <c r="A45" s="4" t="s">
        <v>204</v>
      </c>
      <c r="B45" s="5" t="s">
        <v>479</v>
      </c>
      <c r="C45" s="5" t="s">
        <v>412</v>
      </c>
      <c r="D45" s="5" t="s">
        <v>205</v>
      </c>
      <c r="E45" s="5" t="s">
        <v>1272</v>
      </c>
      <c r="F45" s="5" t="s">
        <v>789</v>
      </c>
      <c r="G45" s="6" t="s">
        <v>159</v>
      </c>
      <c r="H45" s="12">
        <v>78</v>
      </c>
      <c r="I45" s="12">
        <v>63</v>
      </c>
      <c r="J45" s="37">
        <v>4914</v>
      </c>
      <c r="K45" s="12">
        <v>1</v>
      </c>
      <c r="L45" s="12" t="s">
        <v>389</v>
      </c>
      <c r="M45" s="12"/>
      <c r="N45" s="12">
        <v>1</v>
      </c>
      <c r="O45" s="12"/>
      <c r="P45" s="12"/>
      <c r="Q45" s="12"/>
      <c r="R45" s="12"/>
      <c r="S45" s="12"/>
      <c r="T45" s="12"/>
      <c r="U45" s="12"/>
      <c r="V45" s="12"/>
      <c r="W45" s="17"/>
      <c r="X45" s="12"/>
      <c r="Y45" s="12"/>
      <c r="Z45" s="12"/>
      <c r="AA45" s="12"/>
      <c r="AB45" s="17" t="s">
        <v>383</v>
      </c>
      <c r="AC45" s="17"/>
      <c r="AD45" s="12">
        <v>1</v>
      </c>
      <c r="AE45" s="17" t="s">
        <v>443</v>
      </c>
      <c r="AF45" s="12" t="s">
        <v>444</v>
      </c>
      <c r="AG45" s="17" t="s">
        <v>416</v>
      </c>
      <c r="AH45" s="12"/>
      <c r="AI45" s="12"/>
      <c r="AJ45" s="12">
        <f>SUM(Table4[[#This Row],[Soccer/U7 (Yes=1)]:[Ultimate Frisbee (Yes=1)]])</f>
        <v>4</v>
      </c>
      <c r="AK45" s="10"/>
      <c r="AL45" s="10">
        <v>1</v>
      </c>
      <c r="AM45" s="10">
        <v>1</v>
      </c>
      <c r="AN45" s="10">
        <f>COUNTIFS(Table4[[#This Row],[Rectangular Field Dimension: Length - m ]],Methods_Dimensions!J$10,Table4[[#This Row],[Rectangular Field Dimension: Width - m ]],Methods_Dimensions!H$10)</f>
        <v>1</v>
      </c>
      <c r="AO45" s="10">
        <f>COUNTIFS(Table4[[#This Row],[Rectangular Field Dimension: Length - m ]],Methods_Dimensions!J$11,Table4[[#This Row],[Rectangular Field Dimension: Width - m ]],Methods_Dimensions!H$11)</f>
        <v>1</v>
      </c>
      <c r="AP45" s="10">
        <f>COUNTIFS(Table4[[#This Row],[Rectangular Field Dimension: Length - m ]],Methods_Dimensions!J$12,Table4[[#This Row],[Rectangular Field Dimension: Width - m ]],Methods_Dimensions!H$12)</f>
        <v>0</v>
      </c>
      <c r="AQ45" s="10">
        <f>COUNTIFS(Table4[[#This Row],[Rectangular Field Dimension: Length - m ]],Methods_Dimensions!J$13,Table4[[#This Row],[Rectangular Field Dimension: Width - m ]],Methods_Dimensions!H$13)</f>
        <v>0</v>
      </c>
      <c r="AR45" s="10">
        <f>COUNTIFS(Table4[[#This Row],[Rectangular Field Dimension: Length - m ]],Methods_Dimensions!J$14,Table4[[#This Row],[Rectangular Field Dimension: Width - m ]],Methods_Dimensions!H$14)</f>
        <v>0</v>
      </c>
      <c r="AS4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5" s="10">
        <f>COUNTIFS(Table4[[#This Row],[Rectangular Field Dimension: Length - m ]],Methods_Dimensions!J$16,Table4[[#This Row],[Rectangular Field Dimension: Width - m ]],Methods_Dimensions!H$16)</f>
        <v>0</v>
      </c>
      <c r="AU45" s="10">
        <f>COUNTIFS(Table4[[#This Row],[Rectangular Field Dimension: Length - m ]],Methods_Dimensions!J$17,Table4[[#This Row],[Rectangular Field Dimension: Width - m ]],Methods_Dimensions!H$17)</f>
        <v>0</v>
      </c>
      <c r="AV45" s="10">
        <f>COUNTIFS(Table4[[#This Row],[Rectangular Field Dimension: Length - m ]],Methods_Dimensions!J$18,Table4[[#This Row],[Rectangular Field Dimension: Width - m ]],Methods_Dimensions!H$18)</f>
        <v>0</v>
      </c>
      <c r="AW45" s="10">
        <f>COUNTIFS(Table4[[#This Row],[Rectangular Field Dimension: Length - m ]],Methods_Dimensions!J$19,Table4[[#This Row],[Rectangular Field Dimension: Width - m ]],Methods_Dimensions!H$19)</f>
        <v>0</v>
      </c>
      <c r="AX45" s="6" t="s">
        <v>480</v>
      </c>
      <c r="AY45" s="6" t="s">
        <v>388</v>
      </c>
    </row>
    <row r="46" spans="1:51" ht="52.2" x14ac:dyDescent="0.3">
      <c r="A46" s="26" t="s">
        <v>206</v>
      </c>
      <c r="B46" s="14" t="s">
        <v>481</v>
      </c>
      <c r="C46" s="14" t="s">
        <v>482</v>
      </c>
      <c r="D46" s="14" t="s">
        <v>48</v>
      </c>
      <c r="E46" s="14" t="s">
        <v>1271</v>
      </c>
      <c r="F46" s="14" t="s">
        <v>789</v>
      </c>
      <c r="G46" s="15" t="s">
        <v>159</v>
      </c>
      <c r="H46" s="16">
        <v>69</v>
      </c>
      <c r="I46" s="16">
        <v>61</v>
      </c>
      <c r="J46" s="36">
        <v>4209</v>
      </c>
      <c r="K46" s="16">
        <v>1</v>
      </c>
      <c r="L46" s="16" t="s">
        <v>389</v>
      </c>
      <c r="M46" s="16"/>
      <c r="N46" s="16">
        <v>1</v>
      </c>
      <c r="O46" s="16"/>
      <c r="P46" s="16">
        <v>1</v>
      </c>
      <c r="Q46" s="16"/>
      <c r="R46" s="16">
        <v>1</v>
      </c>
      <c r="S46" s="16">
        <v>1</v>
      </c>
      <c r="T46" s="16"/>
      <c r="U46" s="16"/>
      <c r="V46" s="16"/>
      <c r="W46" s="18"/>
      <c r="X46" s="16"/>
      <c r="Y46" s="16"/>
      <c r="Z46" s="16">
        <v>1</v>
      </c>
      <c r="AA46" s="16"/>
      <c r="AB46" s="18" t="s">
        <v>383</v>
      </c>
      <c r="AC46" s="18"/>
      <c r="AD46" s="16">
        <v>1</v>
      </c>
      <c r="AE46" s="18" t="s">
        <v>483</v>
      </c>
      <c r="AF46" s="16" t="s">
        <v>385</v>
      </c>
      <c r="AG46" s="18" t="s">
        <v>416</v>
      </c>
      <c r="AH46" s="16">
        <v>40</v>
      </c>
      <c r="AI46" s="16">
        <v>6</v>
      </c>
      <c r="AJ46" s="16">
        <f>SUM(Table4[[#This Row],[Soccer/U7 (Yes=1)]:[Ultimate Frisbee (Yes=1)]])</f>
        <v>4</v>
      </c>
      <c r="AK46" s="10"/>
      <c r="AL46" s="10">
        <v>1</v>
      </c>
      <c r="AM46" s="10">
        <v>1</v>
      </c>
      <c r="AN46" s="10">
        <f>COUNTIFS(Table4[[#This Row],[Rectangular Field Dimension: Length - m ]],Methods_Dimensions!J$10,Table4[[#This Row],[Rectangular Field Dimension: Width - m ]],Methods_Dimensions!H$10)</f>
        <v>1</v>
      </c>
      <c r="AO46" s="10">
        <f>COUNTIFS(Table4[[#This Row],[Rectangular Field Dimension: Length - m ]],Methods_Dimensions!J$11,Table4[[#This Row],[Rectangular Field Dimension: Width - m ]],Methods_Dimensions!H$11)</f>
        <v>1</v>
      </c>
      <c r="AP46" s="10">
        <f>COUNTIFS(Table4[[#This Row],[Rectangular Field Dimension: Length - m ]],Methods_Dimensions!J$12,Table4[[#This Row],[Rectangular Field Dimension: Width - m ]],Methods_Dimensions!H$12)</f>
        <v>0</v>
      </c>
      <c r="AQ46" s="10">
        <f>COUNTIFS(Table4[[#This Row],[Rectangular Field Dimension: Length - m ]],Methods_Dimensions!J$13,Table4[[#This Row],[Rectangular Field Dimension: Width - m ]],Methods_Dimensions!H$13)</f>
        <v>0</v>
      </c>
      <c r="AR46" s="10">
        <f>COUNTIFS(Table4[[#This Row],[Rectangular Field Dimension: Length - m ]],Methods_Dimensions!J$14,Table4[[#This Row],[Rectangular Field Dimension: Width - m ]],Methods_Dimensions!H$14)</f>
        <v>0</v>
      </c>
      <c r="AS4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6" s="10">
        <f>COUNTIFS(Table4[[#This Row],[Rectangular Field Dimension: Length - m ]],Methods_Dimensions!J$16,Table4[[#This Row],[Rectangular Field Dimension: Width - m ]],Methods_Dimensions!H$16)</f>
        <v>0</v>
      </c>
      <c r="AU46" s="10">
        <f>COUNTIFS(Table4[[#This Row],[Rectangular Field Dimension: Length - m ]],Methods_Dimensions!J$17,Table4[[#This Row],[Rectangular Field Dimension: Width - m ]],Methods_Dimensions!H$17)</f>
        <v>0</v>
      </c>
      <c r="AV46" s="10">
        <f>COUNTIFS(Table4[[#This Row],[Rectangular Field Dimension: Length - m ]],Methods_Dimensions!J$18,Table4[[#This Row],[Rectangular Field Dimension: Width - m ]],Methods_Dimensions!H$18)</f>
        <v>0</v>
      </c>
      <c r="AW46" s="10">
        <f>COUNTIFS(Table4[[#This Row],[Rectangular Field Dimension: Length - m ]],Methods_Dimensions!J$19,Table4[[#This Row],[Rectangular Field Dimension: Width - m ]],Methods_Dimensions!H$19)</f>
        <v>0</v>
      </c>
      <c r="AX46" s="6" t="s">
        <v>484</v>
      </c>
      <c r="AY46" s="6" t="s">
        <v>388</v>
      </c>
    </row>
    <row r="47" spans="1:51" ht="69.599999999999994" x14ac:dyDescent="0.3">
      <c r="A47" s="4" t="s">
        <v>485</v>
      </c>
      <c r="B47" s="5" t="s">
        <v>486</v>
      </c>
      <c r="C47" s="5" t="s">
        <v>379</v>
      </c>
      <c r="D47" s="5" t="s">
        <v>207</v>
      </c>
      <c r="E47" s="5" t="s">
        <v>395</v>
      </c>
      <c r="F47" s="5" t="s">
        <v>396</v>
      </c>
      <c r="G47" s="6" t="s">
        <v>159</v>
      </c>
      <c r="H47" s="12">
        <v>105</v>
      </c>
      <c r="I47" s="12">
        <v>66</v>
      </c>
      <c r="J47" s="37">
        <v>6930</v>
      </c>
      <c r="K47" s="12"/>
      <c r="L47" s="12" t="s">
        <v>397</v>
      </c>
      <c r="M47" s="12">
        <v>1</v>
      </c>
      <c r="N47" s="12">
        <v>1</v>
      </c>
      <c r="O47" s="12">
        <v>1</v>
      </c>
      <c r="P47" s="12">
        <v>1</v>
      </c>
      <c r="Q47" s="12">
        <v>1</v>
      </c>
      <c r="R47" s="12">
        <v>1</v>
      </c>
      <c r="S47" s="12"/>
      <c r="T47" s="12">
        <v>1</v>
      </c>
      <c r="U47" s="12"/>
      <c r="V47" s="12">
        <v>1</v>
      </c>
      <c r="W47" s="17" t="s">
        <v>428</v>
      </c>
      <c r="X47" s="12"/>
      <c r="Y47" s="12"/>
      <c r="Z47" s="12"/>
      <c r="AA47" s="12"/>
      <c r="AB47" s="17" t="s">
        <v>487</v>
      </c>
      <c r="AC47" s="17">
        <v>74</v>
      </c>
      <c r="AD47" s="12">
        <v>1</v>
      </c>
      <c r="AE47" s="17" t="s">
        <v>488</v>
      </c>
      <c r="AF47" s="12" t="s">
        <v>385</v>
      </c>
      <c r="AG47" s="17" t="s">
        <v>400</v>
      </c>
      <c r="AH47" s="12" t="s">
        <v>489</v>
      </c>
      <c r="AI47" s="12" t="s">
        <v>490</v>
      </c>
      <c r="AJ47" s="12">
        <f>SUM(Table4[[#This Row],[Soccer/U7 (Yes=1)]:[Ultimate Frisbee (Yes=1)]])</f>
        <v>5</v>
      </c>
      <c r="AK47" s="10"/>
      <c r="AL47" s="10">
        <v>1</v>
      </c>
      <c r="AM47" s="10">
        <v>1</v>
      </c>
      <c r="AN47" s="10">
        <f>COUNTIFS(Table4[[#This Row],[Rectangular Field Dimension: Length - m ]],Methods_Dimensions!J$10,Table4[[#This Row],[Rectangular Field Dimension: Width - m ]],Methods_Dimensions!H$10)</f>
        <v>1</v>
      </c>
      <c r="AO47" s="10">
        <f>COUNTIFS(Table4[[#This Row],[Rectangular Field Dimension: Length - m ]],Methods_Dimensions!J$11,Table4[[#This Row],[Rectangular Field Dimension: Width - m ]],Methods_Dimensions!H$11)</f>
        <v>1</v>
      </c>
      <c r="AP47" s="10">
        <f>COUNTIFS(Table4[[#This Row],[Rectangular Field Dimension: Length - m ]],Methods_Dimensions!J$12,Table4[[#This Row],[Rectangular Field Dimension: Width - m ]],Methods_Dimensions!H$12)</f>
        <v>1</v>
      </c>
      <c r="AQ47" s="10">
        <f>COUNTIFS(Table4[[#This Row],[Rectangular Field Dimension: Length - m ]],Methods_Dimensions!J$13,Table4[[#This Row],[Rectangular Field Dimension: Width - m ]],Methods_Dimensions!H$13)</f>
        <v>0</v>
      </c>
      <c r="AR47" s="10">
        <f>COUNTIFS(Table4[[#This Row],[Rectangular Field Dimension: Length - m ]],Methods_Dimensions!J$14,Table4[[#This Row],[Rectangular Field Dimension: Width - m ]],Methods_Dimensions!H$14)</f>
        <v>0</v>
      </c>
      <c r="AS4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7" s="10">
        <f>COUNTIFS(Table4[[#This Row],[Rectangular Field Dimension: Length - m ]],Methods_Dimensions!J$16,Table4[[#This Row],[Rectangular Field Dimension: Width - m ]],Methods_Dimensions!H$16)</f>
        <v>0</v>
      </c>
      <c r="AU47" s="10">
        <f>COUNTIFS(Table4[[#This Row],[Rectangular Field Dimension: Length - m ]],Methods_Dimensions!J$17,Table4[[#This Row],[Rectangular Field Dimension: Width - m ]],Methods_Dimensions!H$17)</f>
        <v>0</v>
      </c>
      <c r="AV47" s="10">
        <f>COUNTIFS(Table4[[#This Row],[Rectangular Field Dimension: Length - m ]],Methods_Dimensions!J$18,Table4[[#This Row],[Rectangular Field Dimension: Width - m ]],Methods_Dimensions!H$18)</f>
        <v>0</v>
      </c>
      <c r="AW47" s="10">
        <f>COUNTIFS(Table4[[#This Row],[Rectangular Field Dimension: Length - m ]],Methods_Dimensions!J$19,Table4[[#This Row],[Rectangular Field Dimension: Width - m ]],Methods_Dimensions!H$19)</f>
        <v>0</v>
      </c>
      <c r="AX47" s="6" t="s">
        <v>491</v>
      </c>
      <c r="AY47" s="6" t="s">
        <v>388</v>
      </c>
    </row>
    <row r="48" spans="1:51" ht="69.599999999999994" x14ac:dyDescent="0.3">
      <c r="A48" s="26" t="s">
        <v>492</v>
      </c>
      <c r="B48" s="14" t="s">
        <v>486</v>
      </c>
      <c r="C48" s="14" t="s">
        <v>379</v>
      </c>
      <c r="D48" s="14" t="s">
        <v>207</v>
      </c>
      <c r="E48" s="14" t="s">
        <v>395</v>
      </c>
      <c r="F48" s="14" t="s">
        <v>396</v>
      </c>
      <c r="G48" s="15" t="s">
        <v>159</v>
      </c>
      <c r="H48" s="16">
        <v>105</v>
      </c>
      <c r="I48" s="16">
        <v>66</v>
      </c>
      <c r="J48" s="36">
        <v>6930</v>
      </c>
      <c r="K48" s="16"/>
      <c r="L48" s="16" t="s">
        <v>397</v>
      </c>
      <c r="M48" s="16">
        <v>1</v>
      </c>
      <c r="N48" s="16">
        <v>1</v>
      </c>
      <c r="O48" s="16">
        <v>1</v>
      </c>
      <c r="P48" s="16">
        <v>1</v>
      </c>
      <c r="Q48" s="16">
        <v>1</v>
      </c>
      <c r="R48" s="16">
        <v>1</v>
      </c>
      <c r="S48" s="16"/>
      <c r="T48" s="16">
        <v>1</v>
      </c>
      <c r="U48" s="16"/>
      <c r="V48" s="16">
        <v>1</v>
      </c>
      <c r="W48" s="18" t="s">
        <v>428</v>
      </c>
      <c r="X48" s="16"/>
      <c r="Y48" s="16"/>
      <c r="Z48" s="16"/>
      <c r="AA48" s="16"/>
      <c r="AB48" s="18" t="s">
        <v>487</v>
      </c>
      <c r="AC48" s="18">
        <v>74</v>
      </c>
      <c r="AD48" s="16">
        <v>1</v>
      </c>
      <c r="AE48" s="18" t="s">
        <v>488</v>
      </c>
      <c r="AF48" s="16" t="s">
        <v>385</v>
      </c>
      <c r="AG48" s="18" t="s">
        <v>400</v>
      </c>
      <c r="AH48" s="16" t="s">
        <v>489</v>
      </c>
      <c r="AI48" s="16" t="s">
        <v>490</v>
      </c>
      <c r="AJ48" s="16">
        <f>SUM(Table4[[#This Row],[Soccer/U7 (Yes=1)]:[Ultimate Frisbee (Yes=1)]])</f>
        <v>5</v>
      </c>
      <c r="AK48" s="10"/>
      <c r="AL48" s="10">
        <v>1</v>
      </c>
      <c r="AM48" s="10">
        <v>1</v>
      </c>
      <c r="AN48" s="10">
        <f>COUNTIFS(Table4[[#This Row],[Rectangular Field Dimension: Length - m ]],Methods_Dimensions!J$10,Table4[[#This Row],[Rectangular Field Dimension: Width - m ]],Methods_Dimensions!H$10)</f>
        <v>1</v>
      </c>
      <c r="AO48" s="10">
        <f>COUNTIFS(Table4[[#This Row],[Rectangular Field Dimension: Length - m ]],Methods_Dimensions!J$11,Table4[[#This Row],[Rectangular Field Dimension: Width - m ]],Methods_Dimensions!H$11)</f>
        <v>1</v>
      </c>
      <c r="AP48" s="10">
        <f>COUNTIFS(Table4[[#This Row],[Rectangular Field Dimension: Length - m ]],Methods_Dimensions!J$12,Table4[[#This Row],[Rectangular Field Dimension: Width - m ]],Methods_Dimensions!H$12)</f>
        <v>1</v>
      </c>
      <c r="AQ48" s="10">
        <f>COUNTIFS(Table4[[#This Row],[Rectangular Field Dimension: Length - m ]],Methods_Dimensions!J$13,Table4[[#This Row],[Rectangular Field Dimension: Width - m ]],Methods_Dimensions!H$13)</f>
        <v>0</v>
      </c>
      <c r="AR48" s="10">
        <f>COUNTIFS(Table4[[#This Row],[Rectangular Field Dimension: Length - m ]],Methods_Dimensions!J$14,Table4[[#This Row],[Rectangular Field Dimension: Width - m ]],Methods_Dimensions!H$14)</f>
        <v>0</v>
      </c>
      <c r="AS4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8" s="10">
        <f>COUNTIFS(Table4[[#This Row],[Rectangular Field Dimension: Length - m ]],Methods_Dimensions!J$16,Table4[[#This Row],[Rectangular Field Dimension: Width - m ]],Methods_Dimensions!H$16)</f>
        <v>0</v>
      </c>
      <c r="AU48" s="10">
        <f>COUNTIFS(Table4[[#This Row],[Rectangular Field Dimension: Length - m ]],Methods_Dimensions!J$17,Table4[[#This Row],[Rectangular Field Dimension: Width - m ]],Methods_Dimensions!H$17)</f>
        <v>0</v>
      </c>
      <c r="AV48" s="10">
        <f>COUNTIFS(Table4[[#This Row],[Rectangular Field Dimension: Length - m ]],Methods_Dimensions!J$18,Table4[[#This Row],[Rectangular Field Dimension: Width - m ]],Methods_Dimensions!H$18)</f>
        <v>0</v>
      </c>
      <c r="AW48" s="10">
        <f>COUNTIFS(Table4[[#This Row],[Rectangular Field Dimension: Length - m ]],Methods_Dimensions!J$19,Table4[[#This Row],[Rectangular Field Dimension: Width - m ]],Methods_Dimensions!H$19)</f>
        <v>0</v>
      </c>
      <c r="AX48" s="6" t="s">
        <v>491</v>
      </c>
      <c r="AY48" s="6" t="s">
        <v>388</v>
      </c>
    </row>
    <row r="49" spans="1:51" ht="87" x14ac:dyDescent="0.3">
      <c r="A49" s="26" t="s">
        <v>208</v>
      </c>
      <c r="B49" s="14" t="s">
        <v>493</v>
      </c>
      <c r="C49" s="14" t="s">
        <v>424</v>
      </c>
      <c r="D49" s="14" t="s">
        <v>209</v>
      </c>
      <c r="E49" s="14" t="s">
        <v>395</v>
      </c>
      <c r="F49" s="14" t="s">
        <v>396</v>
      </c>
      <c r="G49" s="15" t="s">
        <v>159</v>
      </c>
      <c r="H49" s="16">
        <v>110</v>
      </c>
      <c r="I49" s="16">
        <v>70</v>
      </c>
      <c r="J49" s="36">
        <v>7700</v>
      </c>
      <c r="K49" s="16"/>
      <c r="L49" s="16" t="s">
        <v>397</v>
      </c>
      <c r="M49" s="16">
        <v>1</v>
      </c>
      <c r="N49" s="16">
        <v>1</v>
      </c>
      <c r="O49" s="16">
        <v>1</v>
      </c>
      <c r="P49" s="16">
        <v>1</v>
      </c>
      <c r="Q49" s="16"/>
      <c r="R49" s="16">
        <v>1</v>
      </c>
      <c r="S49" s="16"/>
      <c r="T49" s="16">
        <v>1</v>
      </c>
      <c r="U49" s="16"/>
      <c r="V49" s="16">
        <v>1</v>
      </c>
      <c r="W49" s="18"/>
      <c r="X49" s="16"/>
      <c r="Y49" s="16"/>
      <c r="Z49" s="16">
        <v>1</v>
      </c>
      <c r="AA49" s="16"/>
      <c r="AB49" s="18" t="s">
        <v>494</v>
      </c>
      <c r="AC49" s="18">
        <v>13</v>
      </c>
      <c r="AD49" s="16"/>
      <c r="AE49" s="18" t="s">
        <v>495</v>
      </c>
      <c r="AF49" s="16" t="s">
        <v>444</v>
      </c>
      <c r="AG49" s="18" t="s">
        <v>400</v>
      </c>
      <c r="AH49" s="16">
        <v>388</v>
      </c>
      <c r="AI49" s="16" t="s">
        <v>496</v>
      </c>
      <c r="AJ49" s="16">
        <f>SUM(Table4[[#This Row],[Soccer/U7 (Yes=1)]:[Ultimate Frisbee (Yes=1)]])</f>
        <v>6</v>
      </c>
      <c r="AK49" s="10"/>
      <c r="AL49" s="10">
        <v>1</v>
      </c>
      <c r="AM49" s="10">
        <v>1</v>
      </c>
      <c r="AN49" s="10">
        <f>COUNTIFS(Table4[[#This Row],[Rectangular Field Dimension: Length - m ]],Methods_Dimensions!J$10,Table4[[#This Row],[Rectangular Field Dimension: Width - m ]],Methods_Dimensions!H$10)</f>
        <v>1</v>
      </c>
      <c r="AO49" s="10">
        <f>COUNTIFS(Table4[[#This Row],[Rectangular Field Dimension: Length - m ]],Methods_Dimensions!J$11,Table4[[#This Row],[Rectangular Field Dimension: Width - m ]],Methods_Dimensions!H$11)</f>
        <v>1</v>
      </c>
      <c r="AP49" s="10">
        <f>COUNTIFS(Table4[[#This Row],[Rectangular Field Dimension: Length - m ]],Methods_Dimensions!J$12,Table4[[#This Row],[Rectangular Field Dimension: Width - m ]],Methods_Dimensions!H$12)</f>
        <v>1</v>
      </c>
      <c r="AQ49" s="10">
        <f>COUNTIFS(Table4[[#This Row],[Rectangular Field Dimension: Length - m ]],Methods_Dimensions!J$13,Table4[[#This Row],[Rectangular Field Dimension: Width - m ]],Methods_Dimensions!H$13)</f>
        <v>0</v>
      </c>
      <c r="AR49" s="10">
        <f>COUNTIFS(Table4[[#This Row],[Rectangular Field Dimension: Length - m ]],Methods_Dimensions!J$14,Table4[[#This Row],[Rectangular Field Dimension: Width - m ]],Methods_Dimensions!H$14)</f>
        <v>0</v>
      </c>
      <c r="AS4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49" s="10">
        <f>COUNTIFS(Table4[[#This Row],[Rectangular Field Dimension: Length - m ]],Methods_Dimensions!J$16,Table4[[#This Row],[Rectangular Field Dimension: Width - m ]],Methods_Dimensions!H$16)</f>
        <v>0</v>
      </c>
      <c r="AU49" s="10">
        <f>COUNTIFS(Table4[[#This Row],[Rectangular Field Dimension: Length - m ]],Methods_Dimensions!J$17,Table4[[#This Row],[Rectangular Field Dimension: Width - m ]],Methods_Dimensions!H$17)</f>
        <v>0</v>
      </c>
      <c r="AV49" s="10">
        <f>COUNTIFS(Table4[[#This Row],[Rectangular Field Dimension: Length - m ]],Methods_Dimensions!J$18,Table4[[#This Row],[Rectangular Field Dimension: Width - m ]],Methods_Dimensions!H$18)</f>
        <v>0</v>
      </c>
      <c r="AW49" s="10">
        <f>COUNTIFS(Table4[[#This Row],[Rectangular Field Dimension: Length - m ]],Methods_Dimensions!J$19,Table4[[#This Row],[Rectangular Field Dimension: Width - m ]],Methods_Dimensions!H$19)</f>
        <v>1</v>
      </c>
      <c r="AX49" s="6" t="s">
        <v>497</v>
      </c>
      <c r="AY49" s="6" t="s">
        <v>388</v>
      </c>
    </row>
    <row r="50" spans="1:51" ht="34.799999999999997" x14ac:dyDescent="0.3">
      <c r="A50" s="4" t="s">
        <v>210</v>
      </c>
      <c r="B50" s="5" t="s">
        <v>498</v>
      </c>
      <c r="C50" s="5" t="s">
        <v>412</v>
      </c>
      <c r="D50" s="5" t="s">
        <v>50</v>
      </c>
      <c r="E50" s="5" t="s">
        <v>1272</v>
      </c>
      <c r="F50" s="5" t="s">
        <v>789</v>
      </c>
      <c r="G50" s="6" t="s">
        <v>159</v>
      </c>
      <c r="H50" s="12">
        <v>48</v>
      </c>
      <c r="I50" s="12">
        <v>46</v>
      </c>
      <c r="J50" s="37">
        <v>2208</v>
      </c>
      <c r="K50" s="12">
        <v>1</v>
      </c>
      <c r="L50" s="12" t="s">
        <v>389</v>
      </c>
      <c r="M50" s="12"/>
      <c r="N50" s="12">
        <v>1</v>
      </c>
      <c r="O50" s="12"/>
      <c r="P50" s="12">
        <v>1</v>
      </c>
      <c r="Q50" s="12"/>
      <c r="R50" s="12"/>
      <c r="S50" s="12"/>
      <c r="T50" s="12"/>
      <c r="U50" s="12"/>
      <c r="V50" s="12"/>
      <c r="W50" s="17"/>
      <c r="X50" s="12">
        <v>1</v>
      </c>
      <c r="Y50" s="12"/>
      <c r="Z50" s="12">
        <v>1</v>
      </c>
      <c r="AA50" s="12"/>
      <c r="AB50" s="17" t="s">
        <v>383</v>
      </c>
      <c r="AC50" s="17"/>
      <c r="AD50" s="12">
        <v>1</v>
      </c>
      <c r="AE50" s="17" t="s">
        <v>499</v>
      </c>
      <c r="AF50" s="12" t="s">
        <v>385</v>
      </c>
      <c r="AG50" s="17" t="s">
        <v>416</v>
      </c>
      <c r="AH50" s="12">
        <v>69.599999999999994</v>
      </c>
      <c r="AI50" s="12" t="s">
        <v>500</v>
      </c>
      <c r="AJ50" s="12">
        <f>SUM(Table4[[#This Row],[Soccer/U7 (Yes=1)]:[Ultimate Frisbee (Yes=1)]])</f>
        <v>3</v>
      </c>
      <c r="AK50" s="10"/>
      <c r="AL50" s="10">
        <v>1</v>
      </c>
      <c r="AM50" s="10">
        <v>1</v>
      </c>
      <c r="AN50" s="10">
        <f>COUNTIFS(Table4[[#This Row],[Rectangular Field Dimension: Length - m ]],Methods_Dimensions!J$10,Table4[[#This Row],[Rectangular Field Dimension: Width - m ]],Methods_Dimensions!H$10)</f>
        <v>1</v>
      </c>
      <c r="AO50" s="10">
        <f>COUNTIFS(Table4[[#This Row],[Rectangular Field Dimension: Length - m ]],Methods_Dimensions!J$11,Table4[[#This Row],[Rectangular Field Dimension: Width - m ]],Methods_Dimensions!H$11)</f>
        <v>0</v>
      </c>
      <c r="AP50" s="10">
        <f>COUNTIFS(Table4[[#This Row],[Rectangular Field Dimension: Length - m ]],Methods_Dimensions!J$12,Table4[[#This Row],[Rectangular Field Dimension: Width - m ]],Methods_Dimensions!H$12)</f>
        <v>0</v>
      </c>
      <c r="AQ50" s="10">
        <f>COUNTIFS(Table4[[#This Row],[Rectangular Field Dimension: Length - m ]],Methods_Dimensions!J$13,Table4[[#This Row],[Rectangular Field Dimension: Width - m ]],Methods_Dimensions!H$13)</f>
        <v>0</v>
      </c>
      <c r="AR50" s="10">
        <f>COUNTIFS(Table4[[#This Row],[Rectangular Field Dimension: Length - m ]],Methods_Dimensions!J$14,Table4[[#This Row],[Rectangular Field Dimension: Width - m ]],Methods_Dimensions!H$14)</f>
        <v>0</v>
      </c>
      <c r="AS5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0" s="10">
        <f>COUNTIFS(Table4[[#This Row],[Rectangular Field Dimension: Length - m ]],Methods_Dimensions!J$16,Table4[[#This Row],[Rectangular Field Dimension: Width - m ]],Methods_Dimensions!H$16)</f>
        <v>0</v>
      </c>
      <c r="AU50" s="10">
        <f>COUNTIFS(Table4[[#This Row],[Rectangular Field Dimension: Length - m ]],Methods_Dimensions!J$17,Table4[[#This Row],[Rectangular Field Dimension: Width - m ]],Methods_Dimensions!H$17)</f>
        <v>0</v>
      </c>
      <c r="AV50" s="10">
        <f>COUNTIFS(Table4[[#This Row],[Rectangular Field Dimension: Length - m ]],Methods_Dimensions!J$18,Table4[[#This Row],[Rectangular Field Dimension: Width - m ]],Methods_Dimensions!H$18)</f>
        <v>0</v>
      </c>
      <c r="AW50" s="10">
        <f>COUNTIFS(Table4[[#This Row],[Rectangular Field Dimension: Length - m ]],Methods_Dimensions!J$19,Table4[[#This Row],[Rectangular Field Dimension: Width - m ]],Methods_Dimensions!H$19)</f>
        <v>0</v>
      </c>
      <c r="AX50" s="6" t="s">
        <v>387</v>
      </c>
      <c r="AY50" s="6" t="s">
        <v>388</v>
      </c>
    </row>
    <row r="51" spans="1:51" ht="69.599999999999994" x14ac:dyDescent="0.3">
      <c r="A51" s="26" t="s">
        <v>211</v>
      </c>
      <c r="B51" s="14" t="s">
        <v>501</v>
      </c>
      <c r="C51" s="14" t="s">
        <v>502</v>
      </c>
      <c r="D51" s="14" t="s">
        <v>212</v>
      </c>
      <c r="E51" s="14" t="s">
        <v>1272</v>
      </c>
      <c r="F51" s="14" t="s">
        <v>789</v>
      </c>
      <c r="G51" s="15" t="s">
        <v>159</v>
      </c>
      <c r="H51" s="16">
        <v>80</v>
      </c>
      <c r="I51" s="16">
        <v>50</v>
      </c>
      <c r="J51" s="36">
        <v>4000</v>
      </c>
      <c r="K51" s="16"/>
      <c r="L51" s="16" t="s">
        <v>397</v>
      </c>
      <c r="M51" s="16">
        <v>1</v>
      </c>
      <c r="N51" s="16">
        <v>1</v>
      </c>
      <c r="O51" s="16"/>
      <c r="P51" s="16">
        <v>1</v>
      </c>
      <c r="Q51" s="16"/>
      <c r="R51" s="16">
        <v>1</v>
      </c>
      <c r="S51" s="16"/>
      <c r="T51" s="16"/>
      <c r="U51" s="16"/>
      <c r="V51" s="16"/>
      <c r="W51" s="18" t="s">
        <v>382</v>
      </c>
      <c r="X51" s="16">
        <v>1</v>
      </c>
      <c r="Y51" s="16"/>
      <c r="Z51" s="16"/>
      <c r="AA51" s="16"/>
      <c r="AB51" s="18" t="s">
        <v>383</v>
      </c>
      <c r="AC51" s="18"/>
      <c r="AD51" s="16">
        <v>1</v>
      </c>
      <c r="AE51" s="18" t="s">
        <v>503</v>
      </c>
      <c r="AF51" s="16" t="s">
        <v>399</v>
      </c>
      <c r="AG51" s="18" t="s">
        <v>416</v>
      </c>
      <c r="AH51" s="16"/>
      <c r="AI51" s="16"/>
      <c r="AJ51" s="16">
        <f>SUM(Table4[[#This Row],[Soccer/U7 (Yes=1)]:[Ultimate Frisbee (Yes=1)]])</f>
        <v>4</v>
      </c>
      <c r="AK51" s="10"/>
      <c r="AL51" s="10">
        <v>1</v>
      </c>
      <c r="AM51" s="10">
        <v>1</v>
      </c>
      <c r="AN51" s="10">
        <f>COUNTIFS(Table4[[#This Row],[Rectangular Field Dimension: Length - m ]],Methods_Dimensions!J$10,Table4[[#This Row],[Rectangular Field Dimension: Width - m ]],Methods_Dimensions!H$10)</f>
        <v>1</v>
      </c>
      <c r="AO51" s="10">
        <f>COUNTIFS(Table4[[#This Row],[Rectangular Field Dimension: Length - m ]],Methods_Dimensions!J$11,Table4[[#This Row],[Rectangular Field Dimension: Width - m ]],Methods_Dimensions!H$11)</f>
        <v>1</v>
      </c>
      <c r="AP51" s="10">
        <f>COUNTIFS(Table4[[#This Row],[Rectangular Field Dimension: Length - m ]],Methods_Dimensions!J$12,Table4[[#This Row],[Rectangular Field Dimension: Width - m ]],Methods_Dimensions!H$12)</f>
        <v>0</v>
      </c>
      <c r="AQ51" s="10">
        <f>COUNTIFS(Table4[[#This Row],[Rectangular Field Dimension: Length - m ]],Methods_Dimensions!J$13,Table4[[#This Row],[Rectangular Field Dimension: Width - m ]],Methods_Dimensions!H$13)</f>
        <v>0</v>
      </c>
      <c r="AR51" s="10">
        <f>COUNTIFS(Table4[[#This Row],[Rectangular Field Dimension: Length - m ]],Methods_Dimensions!J$14,Table4[[#This Row],[Rectangular Field Dimension: Width - m ]],Methods_Dimensions!H$14)</f>
        <v>0</v>
      </c>
      <c r="AS5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1" s="10">
        <f>COUNTIFS(Table4[[#This Row],[Rectangular Field Dimension: Length - m ]],Methods_Dimensions!J$16,Table4[[#This Row],[Rectangular Field Dimension: Width - m ]],Methods_Dimensions!H$16)</f>
        <v>0</v>
      </c>
      <c r="AU51" s="10">
        <f>COUNTIFS(Table4[[#This Row],[Rectangular Field Dimension: Length - m ]],Methods_Dimensions!J$17,Table4[[#This Row],[Rectangular Field Dimension: Width - m ]],Methods_Dimensions!H$17)</f>
        <v>0</v>
      </c>
      <c r="AV51" s="10">
        <f>COUNTIFS(Table4[[#This Row],[Rectangular Field Dimension: Length - m ]],Methods_Dimensions!J$18,Table4[[#This Row],[Rectangular Field Dimension: Width - m ]],Methods_Dimensions!H$18)</f>
        <v>0</v>
      </c>
      <c r="AW51" s="10">
        <f>COUNTIFS(Table4[[#This Row],[Rectangular Field Dimension: Length - m ]],Methods_Dimensions!J$19,Table4[[#This Row],[Rectangular Field Dimension: Width - m ]],Methods_Dimensions!H$19)</f>
        <v>0</v>
      </c>
      <c r="AX51" s="6" t="s">
        <v>504</v>
      </c>
      <c r="AY51" s="6" t="s">
        <v>388</v>
      </c>
    </row>
    <row r="52" spans="1:51" ht="34.799999999999997" x14ac:dyDescent="0.3">
      <c r="A52" s="4" t="s">
        <v>213</v>
      </c>
      <c r="B52" s="5" t="s">
        <v>505</v>
      </c>
      <c r="C52" s="5" t="s">
        <v>502</v>
      </c>
      <c r="D52" s="5" t="s">
        <v>53</v>
      </c>
      <c r="E52" s="5" t="s">
        <v>1271</v>
      </c>
      <c r="F52" s="5" t="s">
        <v>746</v>
      </c>
      <c r="G52" s="6" t="s">
        <v>159</v>
      </c>
      <c r="H52" s="12">
        <v>122</v>
      </c>
      <c r="I52" s="12">
        <v>59</v>
      </c>
      <c r="J52" s="37">
        <v>7198</v>
      </c>
      <c r="K52" s="12">
        <v>1</v>
      </c>
      <c r="L52" s="12" t="s">
        <v>389</v>
      </c>
      <c r="M52" s="12"/>
      <c r="N52" s="12">
        <v>1</v>
      </c>
      <c r="O52" s="12"/>
      <c r="P52" s="12"/>
      <c r="Q52" s="12"/>
      <c r="R52" s="12">
        <v>1</v>
      </c>
      <c r="S52" s="12"/>
      <c r="T52" s="12"/>
      <c r="U52" s="12"/>
      <c r="V52" s="12"/>
      <c r="W52" s="17"/>
      <c r="X52" s="12"/>
      <c r="Y52" s="12"/>
      <c r="Z52" s="12">
        <v>1</v>
      </c>
      <c r="AA52" s="12"/>
      <c r="AB52" s="17" t="s">
        <v>383</v>
      </c>
      <c r="AC52" s="17"/>
      <c r="AD52" s="12">
        <v>1</v>
      </c>
      <c r="AE52" s="17" t="s">
        <v>506</v>
      </c>
      <c r="AF52" s="12" t="s">
        <v>399</v>
      </c>
      <c r="AG52" s="17" t="s">
        <v>507</v>
      </c>
      <c r="AH52" s="12">
        <v>24</v>
      </c>
      <c r="AI52" s="12">
        <v>6</v>
      </c>
      <c r="AJ52" s="12">
        <f>SUM(Table4[[#This Row],[Soccer/U7 (Yes=1)]:[Ultimate Frisbee (Yes=1)]])</f>
        <v>6</v>
      </c>
      <c r="AK52" s="10"/>
      <c r="AL52" s="10">
        <v>1</v>
      </c>
      <c r="AM52" s="10">
        <v>1</v>
      </c>
      <c r="AN52" s="10">
        <f>COUNTIFS(Table4[[#This Row],[Rectangular Field Dimension: Length - m ]],Methods_Dimensions!J$10,Table4[[#This Row],[Rectangular Field Dimension: Width - m ]],Methods_Dimensions!H$10)</f>
        <v>1</v>
      </c>
      <c r="AO52" s="10">
        <f>COUNTIFS(Table4[[#This Row],[Rectangular Field Dimension: Length - m ]],Methods_Dimensions!J$11,Table4[[#This Row],[Rectangular Field Dimension: Width - m ]],Methods_Dimensions!H$11)</f>
        <v>1</v>
      </c>
      <c r="AP52" s="10">
        <f>COUNTIFS(Table4[[#This Row],[Rectangular Field Dimension: Length - m ]],Methods_Dimensions!J$12,Table4[[#This Row],[Rectangular Field Dimension: Width - m ]],Methods_Dimensions!H$12)</f>
        <v>1</v>
      </c>
      <c r="AQ52" s="10">
        <f>COUNTIFS(Table4[[#This Row],[Rectangular Field Dimension: Length - m ]],Methods_Dimensions!J$13,Table4[[#This Row],[Rectangular Field Dimension: Width - m ]],Methods_Dimensions!H$13)</f>
        <v>0</v>
      </c>
      <c r="AR52" s="10">
        <f>COUNTIFS(Table4[[#This Row],[Rectangular Field Dimension: Length - m ]],Methods_Dimensions!J$14,Table4[[#This Row],[Rectangular Field Dimension: Width - m ]],Methods_Dimensions!H$14)</f>
        <v>0</v>
      </c>
      <c r="AS5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2" s="10">
        <f>COUNTIFS(Table4[[#This Row],[Rectangular Field Dimension: Length - m ]],Methods_Dimensions!J$16,Table4[[#This Row],[Rectangular Field Dimension: Width - m ]],Methods_Dimensions!H$16)</f>
        <v>0</v>
      </c>
      <c r="AU52" s="10">
        <f>COUNTIFS(Table4[[#This Row],[Rectangular Field Dimension: Length - m ]],Methods_Dimensions!J$17,Table4[[#This Row],[Rectangular Field Dimension: Width - m ]],Methods_Dimensions!H$17)</f>
        <v>0</v>
      </c>
      <c r="AV52" s="10">
        <f>COUNTIFS(Table4[[#This Row],[Rectangular Field Dimension: Length - m ]],Methods_Dimensions!J$18,Table4[[#This Row],[Rectangular Field Dimension: Width - m ]],Methods_Dimensions!H$18)</f>
        <v>0</v>
      </c>
      <c r="AW52" s="10">
        <f>COUNTIFS(Table4[[#This Row],[Rectangular Field Dimension: Length - m ]],Methods_Dimensions!J$19,Table4[[#This Row],[Rectangular Field Dimension: Width - m ]],Methods_Dimensions!H$19)</f>
        <v>1</v>
      </c>
      <c r="AX52" s="6" t="s">
        <v>387</v>
      </c>
      <c r="AY52" s="6" t="s">
        <v>388</v>
      </c>
    </row>
    <row r="53" spans="1:51" ht="34.799999999999997" x14ac:dyDescent="0.3">
      <c r="A53" s="26" t="s">
        <v>214</v>
      </c>
      <c r="B53" s="14" t="s">
        <v>508</v>
      </c>
      <c r="C53" s="14" t="s">
        <v>427</v>
      </c>
      <c r="D53" s="14" t="s">
        <v>215</v>
      </c>
      <c r="E53" s="14" t="s">
        <v>1272</v>
      </c>
      <c r="F53" s="14" t="s">
        <v>789</v>
      </c>
      <c r="G53" s="15" t="s">
        <v>159</v>
      </c>
      <c r="H53" s="16">
        <v>101</v>
      </c>
      <c r="I53" s="16">
        <v>63</v>
      </c>
      <c r="J53" s="36">
        <v>6363</v>
      </c>
      <c r="K53" s="16"/>
      <c r="L53" s="16" t="s">
        <v>397</v>
      </c>
      <c r="M53" s="16">
        <v>1</v>
      </c>
      <c r="N53" s="16">
        <v>1</v>
      </c>
      <c r="O53" s="16"/>
      <c r="P53" s="16"/>
      <c r="Q53" s="16"/>
      <c r="R53" s="16"/>
      <c r="S53" s="16"/>
      <c r="T53" s="16"/>
      <c r="U53" s="16"/>
      <c r="V53" s="16"/>
      <c r="W53" s="18" t="s">
        <v>509</v>
      </c>
      <c r="X53" s="16"/>
      <c r="Y53" s="16"/>
      <c r="Z53" s="16"/>
      <c r="AA53" s="16"/>
      <c r="AB53" s="18" t="s">
        <v>383</v>
      </c>
      <c r="AC53" s="18"/>
      <c r="AD53" s="16">
        <v>1</v>
      </c>
      <c r="AE53" s="18" t="s">
        <v>443</v>
      </c>
      <c r="AF53" s="16" t="s">
        <v>399</v>
      </c>
      <c r="AG53" s="18" t="s">
        <v>416</v>
      </c>
      <c r="AH53" s="16"/>
      <c r="AI53" s="16"/>
      <c r="AJ53" s="16">
        <f>SUM(Table4[[#This Row],[Soccer/U7 (Yes=1)]:[Ultimate Frisbee (Yes=1)]])</f>
        <v>5</v>
      </c>
      <c r="AK53" s="10"/>
      <c r="AL53" s="10">
        <v>1</v>
      </c>
      <c r="AM53" s="10">
        <v>1</v>
      </c>
      <c r="AN53" s="10">
        <f>COUNTIFS(Table4[[#This Row],[Rectangular Field Dimension: Length - m ]],Methods_Dimensions!J$10,Table4[[#This Row],[Rectangular Field Dimension: Width - m ]],Methods_Dimensions!H$10)</f>
        <v>1</v>
      </c>
      <c r="AO53" s="10">
        <f>COUNTIFS(Table4[[#This Row],[Rectangular Field Dimension: Length - m ]],Methods_Dimensions!J$11,Table4[[#This Row],[Rectangular Field Dimension: Width - m ]],Methods_Dimensions!H$11)</f>
        <v>1</v>
      </c>
      <c r="AP53" s="10">
        <f>COUNTIFS(Table4[[#This Row],[Rectangular Field Dimension: Length - m ]],Methods_Dimensions!J$12,Table4[[#This Row],[Rectangular Field Dimension: Width - m ]],Methods_Dimensions!H$12)</f>
        <v>1</v>
      </c>
      <c r="AQ53" s="10">
        <f>COUNTIFS(Table4[[#This Row],[Rectangular Field Dimension: Length - m ]],Methods_Dimensions!J$13,Table4[[#This Row],[Rectangular Field Dimension: Width - m ]],Methods_Dimensions!H$13)</f>
        <v>0</v>
      </c>
      <c r="AR53" s="10">
        <f>COUNTIFS(Table4[[#This Row],[Rectangular Field Dimension: Length - m ]],Methods_Dimensions!J$14,Table4[[#This Row],[Rectangular Field Dimension: Width - m ]],Methods_Dimensions!H$14)</f>
        <v>0</v>
      </c>
      <c r="AS5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3" s="10">
        <f>COUNTIFS(Table4[[#This Row],[Rectangular Field Dimension: Length - m ]],Methods_Dimensions!J$16,Table4[[#This Row],[Rectangular Field Dimension: Width - m ]],Methods_Dimensions!H$16)</f>
        <v>0</v>
      </c>
      <c r="AU53" s="10">
        <f>COUNTIFS(Table4[[#This Row],[Rectangular Field Dimension: Length - m ]],Methods_Dimensions!J$17,Table4[[#This Row],[Rectangular Field Dimension: Width - m ]],Methods_Dimensions!H$17)</f>
        <v>0</v>
      </c>
      <c r="AV53" s="10">
        <f>COUNTIFS(Table4[[#This Row],[Rectangular Field Dimension: Length - m ]],Methods_Dimensions!J$18,Table4[[#This Row],[Rectangular Field Dimension: Width - m ]],Methods_Dimensions!H$18)</f>
        <v>0</v>
      </c>
      <c r="AW53" s="10">
        <f>COUNTIFS(Table4[[#This Row],[Rectangular Field Dimension: Length - m ]],Methods_Dimensions!J$19,Table4[[#This Row],[Rectangular Field Dimension: Width - m ]],Methods_Dimensions!H$19)</f>
        <v>0</v>
      </c>
      <c r="AX53" s="6" t="s">
        <v>510</v>
      </c>
      <c r="AY53" s="6" t="s">
        <v>388</v>
      </c>
    </row>
    <row r="54" spans="1:51" ht="34.799999999999997" x14ac:dyDescent="0.3">
      <c r="A54" s="4" t="s">
        <v>216</v>
      </c>
      <c r="B54" s="5" t="s">
        <v>511</v>
      </c>
      <c r="C54" s="5" t="s">
        <v>512</v>
      </c>
      <c r="D54" s="5" t="s">
        <v>217</v>
      </c>
      <c r="E54" s="5" t="s">
        <v>789</v>
      </c>
      <c r="F54" s="5" t="s">
        <v>789</v>
      </c>
      <c r="G54" s="6" t="s">
        <v>159</v>
      </c>
      <c r="H54" s="12">
        <v>115</v>
      </c>
      <c r="I54" s="12">
        <v>79</v>
      </c>
      <c r="J54" s="37">
        <v>9085</v>
      </c>
      <c r="K54" s="12"/>
      <c r="L54" s="12" t="s">
        <v>397</v>
      </c>
      <c r="M54" s="12">
        <v>1</v>
      </c>
      <c r="N54" s="12">
        <v>1</v>
      </c>
      <c r="O54" s="12"/>
      <c r="P54" s="12"/>
      <c r="Q54" s="12"/>
      <c r="R54" s="12">
        <v>1</v>
      </c>
      <c r="S54" s="12"/>
      <c r="T54" s="12"/>
      <c r="U54" s="12"/>
      <c r="V54" s="12"/>
      <c r="W54" s="17"/>
      <c r="X54" s="12"/>
      <c r="Y54" s="12"/>
      <c r="Z54" s="12"/>
      <c r="AA54" s="12"/>
      <c r="AB54" s="17" t="s">
        <v>383</v>
      </c>
      <c r="AC54" s="17"/>
      <c r="AD54" s="12">
        <v>1</v>
      </c>
      <c r="AE54" s="17" t="s">
        <v>513</v>
      </c>
      <c r="AF54" s="12" t="s">
        <v>444</v>
      </c>
      <c r="AG54" s="17" t="s">
        <v>416</v>
      </c>
      <c r="AH54" s="12"/>
      <c r="AI54" s="12"/>
      <c r="AJ54" s="12">
        <f>SUM(Table4[[#This Row],[Soccer/U7 (Yes=1)]:[Ultimate Frisbee (Yes=1)]])</f>
        <v>6</v>
      </c>
      <c r="AK54" s="10"/>
      <c r="AL54" s="10">
        <v>1</v>
      </c>
      <c r="AM54" s="10">
        <v>1</v>
      </c>
      <c r="AN54" s="10">
        <f>COUNTIFS(Table4[[#This Row],[Rectangular Field Dimension: Length - m ]],Methods_Dimensions!J$10,Table4[[#This Row],[Rectangular Field Dimension: Width - m ]],Methods_Dimensions!H$10)</f>
        <v>1</v>
      </c>
      <c r="AO54" s="10">
        <f>COUNTIFS(Table4[[#This Row],[Rectangular Field Dimension: Length - m ]],Methods_Dimensions!J$11,Table4[[#This Row],[Rectangular Field Dimension: Width - m ]],Methods_Dimensions!H$11)</f>
        <v>1</v>
      </c>
      <c r="AP54" s="10">
        <f>COUNTIFS(Table4[[#This Row],[Rectangular Field Dimension: Length - m ]],Methods_Dimensions!J$12,Table4[[#This Row],[Rectangular Field Dimension: Width - m ]],Methods_Dimensions!H$12)</f>
        <v>1</v>
      </c>
      <c r="AQ54" s="10">
        <f>COUNTIFS(Table4[[#This Row],[Rectangular Field Dimension: Length - m ]],Methods_Dimensions!J$13,Table4[[#This Row],[Rectangular Field Dimension: Width - m ]],Methods_Dimensions!H$13)</f>
        <v>0</v>
      </c>
      <c r="AR54" s="10">
        <f>COUNTIFS(Table4[[#This Row],[Rectangular Field Dimension: Length - m ]],Methods_Dimensions!J$14,Table4[[#This Row],[Rectangular Field Dimension: Width - m ]],Methods_Dimensions!H$14)</f>
        <v>0</v>
      </c>
      <c r="AS5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4" s="10">
        <f>COUNTIFS(Table4[[#This Row],[Rectangular Field Dimension: Length - m ]],Methods_Dimensions!J$16,Table4[[#This Row],[Rectangular Field Dimension: Width - m ]],Methods_Dimensions!H$16)</f>
        <v>0</v>
      </c>
      <c r="AU54" s="10">
        <f>COUNTIFS(Table4[[#This Row],[Rectangular Field Dimension: Length - m ]],Methods_Dimensions!J$17,Table4[[#This Row],[Rectangular Field Dimension: Width - m ]],Methods_Dimensions!H$17)</f>
        <v>0</v>
      </c>
      <c r="AV54" s="10">
        <f>COUNTIFS(Table4[[#This Row],[Rectangular Field Dimension: Length - m ]],Methods_Dimensions!J$18,Table4[[#This Row],[Rectangular Field Dimension: Width - m ]],Methods_Dimensions!H$18)</f>
        <v>0</v>
      </c>
      <c r="AW54" s="10">
        <f>COUNTIFS(Table4[[#This Row],[Rectangular Field Dimension: Length - m ]],Methods_Dimensions!J$19,Table4[[#This Row],[Rectangular Field Dimension: Width - m ]],Methods_Dimensions!H$19)</f>
        <v>1</v>
      </c>
      <c r="AX54" s="6" t="s">
        <v>387</v>
      </c>
      <c r="AY54" s="6" t="s">
        <v>388</v>
      </c>
    </row>
    <row r="55" spans="1:51" ht="34.799999999999997" x14ac:dyDescent="0.3">
      <c r="A55" s="26" t="s">
        <v>218</v>
      </c>
      <c r="B55" s="14" t="s">
        <v>514</v>
      </c>
      <c r="C55" s="14" t="s">
        <v>418</v>
      </c>
      <c r="D55" s="14" t="s">
        <v>55</v>
      </c>
      <c r="E55" s="14" t="s">
        <v>1272</v>
      </c>
      <c r="F55" s="14" t="s">
        <v>789</v>
      </c>
      <c r="G55" s="15" t="s">
        <v>159</v>
      </c>
      <c r="H55" s="16">
        <v>137</v>
      </c>
      <c r="I55" s="16">
        <v>57</v>
      </c>
      <c r="J55" s="36">
        <v>7809</v>
      </c>
      <c r="K55" s="16">
        <v>1</v>
      </c>
      <c r="L55" s="16" t="s">
        <v>389</v>
      </c>
      <c r="M55" s="16"/>
      <c r="N55" s="16">
        <v>1</v>
      </c>
      <c r="O55" s="16"/>
      <c r="P55" s="16">
        <v>1</v>
      </c>
      <c r="Q55" s="16">
        <v>1</v>
      </c>
      <c r="R55" s="16"/>
      <c r="S55" s="16"/>
      <c r="T55" s="16"/>
      <c r="U55" s="16"/>
      <c r="V55" s="16"/>
      <c r="W55" s="18"/>
      <c r="X55" s="16">
        <v>1</v>
      </c>
      <c r="Y55" s="16"/>
      <c r="Z55" s="16"/>
      <c r="AA55" s="16"/>
      <c r="AB55" s="18" t="s">
        <v>383</v>
      </c>
      <c r="AC55" s="18"/>
      <c r="AD55" s="16">
        <v>1</v>
      </c>
      <c r="AE55" s="18" t="s">
        <v>443</v>
      </c>
      <c r="AF55" s="16" t="s">
        <v>385</v>
      </c>
      <c r="AG55" s="18" t="s">
        <v>416</v>
      </c>
      <c r="AH55" s="16"/>
      <c r="AI55" s="16"/>
      <c r="AJ55" s="16">
        <f>SUM(Table4[[#This Row],[Soccer/U7 (Yes=1)]:[Ultimate Frisbee (Yes=1)]])</f>
        <v>6</v>
      </c>
      <c r="AK55" s="10"/>
      <c r="AL55" s="10">
        <v>1</v>
      </c>
      <c r="AM55" s="10">
        <v>1</v>
      </c>
      <c r="AN55" s="10">
        <f>COUNTIFS(Table4[[#This Row],[Rectangular Field Dimension: Length - m ]],Methods_Dimensions!J$10,Table4[[#This Row],[Rectangular Field Dimension: Width - m ]],Methods_Dimensions!H$10)</f>
        <v>1</v>
      </c>
      <c r="AO55" s="10">
        <f>COUNTIFS(Table4[[#This Row],[Rectangular Field Dimension: Length - m ]],Methods_Dimensions!J$11,Table4[[#This Row],[Rectangular Field Dimension: Width - m ]],Methods_Dimensions!H$11)</f>
        <v>1</v>
      </c>
      <c r="AP55" s="10">
        <f>COUNTIFS(Table4[[#This Row],[Rectangular Field Dimension: Length - m ]],Methods_Dimensions!J$12,Table4[[#This Row],[Rectangular Field Dimension: Width - m ]],Methods_Dimensions!H$12)</f>
        <v>1</v>
      </c>
      <c r="AQ55" s="10">
        <f>COUNTIFS(Table4[[#This Row],[Rectangular Field Dimension: Length - m ]],Methods_Dimensions!J$13,Table4[[#This Row],[Rectangular Field Dimension: Width - m ]],Methods_Dimensions!H$13)</f>
        <v>0</v>
      </c>
      <c r="AR55" s="10">
        <f>COUNTIFS(Table4[[#This Row],[Rectangular Field Dimension: Length - m ]],Methods_Dimensions!J$14,Table4[[#This Row],[Rectangular Field Dimension: Width - m ]],Methods_Dimensions!H$14)</f>
        <v>0</v>
      </c>
      <c r="AS5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5" s="10">
        <f>COUNTIFS(Table4[[#This Row],[Rectangular Field Dimension: Length - m ]],Methods_Dimensions!J$16,Table4[[#This Row],[Rectangular Field Dimension: Width - m ]],Methods_Dimensions!H$16)</f>
        <v>0</v>
      </c>
      <c r="AU55" s="10">
        <f>COUNTIFS(Table4[[#This Row],[Rectangular Field Dimension: Length - m ]],Methods_Dimensions!J$17,Table4[[#This Row],[Rectangular Field Dimension: Width - m ]],Methods_Dimensions!H$17)</f>
        <v>0</v>
      </c>
      <c r="AV55" s="10">
        <f>COUNTIFS(Table4[[#This Row],[Rectangular Field Dimension: Length - m ]],Methods_Dimensions!J$18,Table4[[#This Row],[Rectangular Field Dimension: Width - m ]],Methods_Dimensions!H$18)</f>
        <v>0</v>
      </c>
      <c r="AW55" s="10">
        <f>COUNTIFS(Table4[[#This Row],[Rectangular Field Dimension: Length - m ]],Methods_Dimensions!J$19,Table4[[#This Row],[Rectangular Field Dimension: Width - m ]],Methods_Dimensions!H$19)</f>
        <v>1</v>
      </c>
      <c r="AX55" s="6" t="s">
        <v>515</v>
      </c>
      <c r="AY55" s="6" t="s">
        <v>388</v>
      </c>
    </row>
    <row r="56" spans="1:51" ht="34.799999999999997" x14ac:dyDescent="0.3">
      <c r="A56" s="4" t="s">
        <v>219</v>
      </c>
      <c r="B56" s="5" t="s">
        <v>514</v>
      </c>
      <c r="C56" s="5" t="s">
        <v>418</v>
      </c>
      <c r="D56" s="5" t="s">
        <v>55</v>
      </c>
      <c r="E56" s="5" t="s">
        <v>1272</v>
      </c>
      <c r="F56" s="5" t="s">
        <v>789</v>
      </c>
      <c r="G56" s="6" t="s">
        <v>159</v>
      </c>
      <c r="H56" s="12">
        <v>70</v>
      </c>
      <c r="I56" s="12">
        <v>93</v>
      </c>
      <c r="J56" s="37">
        <v>6510</v>
      </c>
      <c r="K56" s="12">
        <v>1</v>
      </c>
      <c r="L56" s="12" t="s">
        <v>389</v>
      </c>
      <c r="M56" s="12"/>
      <c r="N56" s="12">
        <v>1</v>
      </c>
      <c r="O56" s="12"/>
      <c r="P56" s="12">
        <v>1</v>
      </c>
      <c r="Q56" s="12">
        <v>1</v>
      </c>
      <c r="R56" s="12"/>
      <c r="S56" s="12"/>
      <c r="T56" s="12"/>
      <c r="U56" s="12"/>
      <c r="V56" s="12"/>
      <c r="W56" s="17"/>
      <c r="X56" s="12">
        <v>1</v>
      </c>
      <c r="Y56" s="12"/>
      <c r="Z56" s="12"/>
      <c r="AA56" s="12"/>
      <c r="AB56" s="17" t="s">
        <v>383</v>
      </c>
      <c r="AC56" s="17"/>
      <c r="AD56" s="12">
        <v>1</v>
      </c>
      <c r="AE56" s="17" t="s">
        <v>443</v>
      </c>
      <c r="AF56" s="12" t="s">
        <v>385</v>
      </c>
      <c r="AG56" s="17" t="s">
        <v>416</v>
      </c>
      <c r="AH56" s="12"/>
      <c r="AI56" s="12"/>
      <c r="AJ56" s="12">
        <f>SUM(Table4[[#This Row],[Soccer/U7 (Yes=1)]:[Ultimate Frisbee (Yes=1)]])</f>
        <v>4</v>
      </c>
      <c r="AK56" s="10"/>
      <c r="AL56" s="10">
        <v>1</v>
      </c>
      <c r="AM56" s="10">
        <v>1</v>
      </c>
      <c r="AN56" s="10">
        <f>COUNTIFS(Table4[[#This Row],[Rectangular Field Dimension: Length - m ]],Methods_Dimensions!J$10,Table4[[#This Row],[Rectangular Field Dimension: Width - m ]],Methods_Dimensions!H$10)</f>
        <v>1</v>
      </c>
      <c r="AO56" s="10">
        <f>COUNTIFS(Table4[[#This Row],[Rectangular Field Dimension: Length - m ]],Methods_Dimensions!J$11,Table4[[#This Row],[Rectangular Field Dimension: Width - m ]],Methods_Dimensions!H$11)</f>
        <v>1</v>
      </c>
      <c r="AP56" s="10">
        <f>COUNTIFS(Table4[[#This Row],[Rectangular Field Dimension: Length - m ]],Methods_Dimensions!J$12,Table4[[#This Row],[Rectangular Field Dimension: Width - m ]],Methods_Dimensions!H$12)</f>
        <v>0</v>
      </c>
      <c r="AQ56" s="10">
        <f>COUNTIFS(Table4[[#This Row],[Rectangular Field Dimension: Length - m ]],Methods_Dimensions!J$13,Table4[[#This Row],[Rectangular Field Dimension: Width - m ]],Methods_Dimensions!H$13)</f>
        <v>0</v>
      </c>
      <c r="AR56" s="10">
        <f>COUNTIFS(Table4[[#This Row],[Rectangular Field Dimension: Length - m ]],Methods_Dimensions!J$14,Table4[[#This Row],[Rectangular Field Dimension: Width - m ]],Methods_Dimensions!H$14)</f>
        <v>0</v>
      </c>
      <c r="AS5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6" s="10">
        <f>COUNTIFS(Table4[[#This Row],[Rectangular Field Dimension: Length - m ]],Methods_Dimensions!J$16,Table4[[#This Row],[Rectangular Field Dimension: Width - m ]],Methods_Dimensions!H$16)</f>
        <v>0</v>
      </c>
      <c r="AU56" s="10">
        <f>COUNTIFS(Table4[[#This Row],[Rectangular Field Dimension: Length - m ]],Methods_Dimensions!J$17,Table4[[#This Row],[Rectangular Field Dimension: Width - m ]],Methods_Dimensions!H$17)</f>
        <v>0</v>
      </c>
      <c r="AV56" s="10">
        <f>COUNTIFS(Table4[[#This Row],[Rectangular Field Dimension: Length - m ]],Methods_Dimensions!J$18,Table4[[#This Row],[Rectangular Field Dimension: Width - m ]],Methods_Dimensions!H$18)</f>
        <v>0</v>
      </c>
      <c r="AW56" s="10">
        <f>COUNTIFS(Table4[[#This Row],[Rectangular Field Dimension: Length - m ]],Methods_Dimensions!J$19,Table4[[#This Row],[Rectangular Field Dimension: Width - m ]],Methods_Dimensions!H$19)</f>
        <v>0</v>
      </c>
      <c r="AX56" s="6" t="s">
        <v>515</v>
      </c>
      <c r="AY56" s="6" t="s">
        <v>388</v>
      </c>
    </row>
    <row r="57" spans="1:51" ht="34.799999999999997" x14ac:dyDescent="0.3">
      <c r="A57" s="26" t="s">
        <v>220</v>
      </c>
      <c r="B57" s="14" t="s">
        <v>514</v>
      </c>
      <c r="C57" s="14" t="s">
        <v>418</v>
      </c>
      <c r="D57" s="14" t="s">
        <v>55</v>
      </c>
      <c r="E57" s="14" t="s">
        <v>1272</v>
      </c>
      <c r="F57" s="14" t="s">
        <v>789</v>
      </c>
      <c r="G57" s="15" t="s">
        <v>159</v>
      </c>
      <c r="H57" s="16">
        <v>157</v>
      </c>
      <c r="I57" s="16">
        <v>82</v>
      </c>
      <c r="J57" s="36">
        <v>12874</v>
      </c>
      <c r="K57" s="16">
        <v>1</v>
      </c>
      <c r="L57" s="16" t="s">
        <v>389</v>
      </c>
      <c r="M57" s="16"/>
      <c r="N57" s="16">
        <v>1</v>
      </c>
      <c r="O57" s="16"/>
      <c r="P57" s="16">
        <v>1</v>
      </c>
      <c r="Q57" s="16">
        <v>1</v>
      </c>
      <c r="R57" s="16"/>
      <c r="S57" s="16"/>
      <c r="T57" s="16"/>
      <c r="U57" s="16"/>
      <c r="V57" s="16"/>
      <c r="W57" s="18"/>
      <c r="X57" s="16">
        <v>1</v>
      </c>
      <c r="Y57" s="16"/>
      <c r="Z57" s="16"/>
      <c r="AA57" s="16"/>
      <c r="AB57" s="18" t="s">
        <v>383</v>
      </c>
      <c r="AC57" s="18"/>
      <c r="AD57" s="16">
        <v>1</v>
      </c>
      <c r="AE57" s="18" t="s">
        <v>443</v>
      </c>
      <c r="AF57" s="16" t="s">
        <v>385</v>
      </c>
      <c r="AG57" s="18" t="s">
        <v>416</v>
      </c>
      <c r="AH57" s="16"/>
      <c r="AI57" s="16"/>
      <c r="AJ57" s="16">
        <f>SUM(Table4[[#This Row],[Soccer/U7 (Yes=1)]:[Ultimate Frisbee (Yes=1)]])</f>
        <v>9</v>
      </c>
      <c r="AK57" s="10"/>
      <c r="AL57" s="10">
        <v>1</v>
      </c>
      <c r="AM57" s="10">
        <v>1</v>
      </c>
      <c r="AN57" s="10">
        <f>COUNTIFS(Table4[[#This Row],[Rectangular Field Dimension: Length - m ]],Methods_Dimensions!J$10,Table4[[#This Row],[Rectangular Field Dimension: Width - m ]],Methods_Dimensions!H$10)</f>
        <v>1</v>
      </c>
      <c r="AO57" s="10">
        <f>COUNTIFS(Table4[[#This Row],[Rectangular Field Dimension: Length - m ]],Methods_Dimensions!J$11,Table4[[#This Row],[Rectangular Field Dimension: Width - m ]],Methods_Dimensions!H$11)</f>
        <v>1</v>
      </c>
      <c r="AP57" s="10">
        <f>COUNTIFS(Table4[[#This Row],[Rectangular Field Dimension: Length - m ]],Methods_Dimensions!J$12,Table4[[#This Row],[Rectangular Field Dimension: Width - m ]],Methods_Dimensions!H$12)</f>
        <v>1</v>
      </c>
      <c r="AQ57" s="10">
        <f>COUNTIFS(Table4[[#This Row],[Rectangular Field Dimension: Length - m ]],Methods_Dimensions!J$13,Table4[[#This Row],[Rectangular Field Dimension: Width - m ]],Methods_Dimensions!H$13)</f>
        <v>0</v>
      </c>
      <c r="AR57" s="10">
        <f>COUNTIFS(Table4[[#This Row],[Rectangular Field Dimension: Length - m ]],Methods_Dimensions!J$14,Table4[[#This Row],[Rectangular Field Dimension: Width - m ]],Methods_Dimensions!H$14)</f>
        <v>1</v>
      </c>
      <c r="AS5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7" s="10">
        <f>COUNTIFS(Table4[[#This Row],[Rectangular Field Dimension: Length - m ]],Methods_Dimensions!J$16,Table4[[#This Row],[Rectangular Field Dimension: Width - m ]],Methods_Dimensions!H$16)</f>
        <v>0</v>
      </c>
      <c r="AU57" s="10">
        <f>COUNTIFS(Table4[[#This Row],[Rectangular Field Dimension: Length - m ]],Methods_Dimensions!J$17,Table4[[#This Row],[Rectangular Field Dimension: Width - m ]],Methods_Dimensions!H$17)</f>
        <v>1</v>
      </c>
      <c r="AV57" s="10">
        <f>COUNTIFS(Table4[[#This Row],[Rectangular Field Dimension: Length - m ]],Methods_Dimensions!J$18,Table4[[#This Row],[Rectangular Field Dimension: Width - m ]],Methods_Dimensions!H$18)</f>
        <v>1</v>
      </c>
      <c r="AW57" s="10">
        <f>COUNTIFS(Table4[[#This Row],[Rectangular Field Dimension: Length - m ]],Methods_Dimensions!J$19,Table4[[#This Row],[Rectangular Field Dimension: Width - m ]],Methods_Dimensions!H$19)</f>
        <v>1</v>
      </c>
      <c r="AX57" s="6" t="s">
        <v>387</v>
      </c>
      <c r="AY57" s="6" t="s">
        <v>388</v>
      </c>
    </row>
    <row r="58" spans="1:51" ht="52.2" x14ac:dyDescent="0.3">
      <c r="A58" s="4" t="s">
        <v>221</v>
      </c>
      <c r="B58" s="5" t="s">
        <v>516</v>
      </c>
      <c r="C58" s="5" t="s">
        <v>448</v>
      </c>
      <c r="D58" s="5" t="s">
        <v>222</v>
      </c>
      <c r="E58" s="5" t="s">
        <v>789</v>
      </c>
      <c r="F58" s="5" t="s">
        <v>1273</v>
      </c>
      <c r="G58" s="6" t="s">
        <v>159</v>
      </c>
      <c r="H58" s="12">
        <v>88</v>
      </c>
      <c r="I58" s="12">
        <v>62</v>
      </c>
      <c r="J58" s="37">
        <v>5456</v>
      </c>
      <c r="K58" s="12"/>
      <c r="L58" s="12" t="s">
        <v>397</v>
      </c>
      <c r="M58" s="12">
        <v>1</v>
      </c>
      <c r="N58" s="12">
        <v>1</v>
      </c>
      <c r="O58" s="12"/>
      <c r="P58" s="12">
        <v>1</v>
      </c>
      <c r="Q58" s="12"/>
      <c r="R58" s="12"/>
      <c r="S58" s="12">
        <v>1</v>
      </c>
      <c r="T58" s="12"/>
      <c r="U58" s="12"/>
      <c r="V58" s="12"/>
      <c r="W58" s="17" t="s">
        <v>414</v>
      </c>
      <c r="X58" s="12">
        <v>1</v>
      </c>
      <c r="Y58" s="12"/>
      <c r="Z58" s="12"/>
      <c r="AA58" s="12"/>
      <c r="AB58" s="17" t="s">
        <v>383</v>
      </c>
      <c r="AC58" s="17"/>
      <c r="AD58" s="12">
        <v>1</v>
      </c>
      <c r="AE58" s="17" t="s">
        <v>517</v>
      </c>
      <c r="AF58" s="12" t="s">
        <v>399</v>
      </c>
      <c r="AG58" s="17" t="s">
        <v>269</v>
      </c>
      <c r="AH58" s="12"/>
      <c r="AI58" s="12"/>
      <c r="AJ58" s="12">
        <f>SUM(Table4[[#This Row],[Soccer/U7 (Yes=1)]:[Ultimate Frisbee (Yes=1)]])</f>
        <v>4</v>
      </c>
      <c r="AK58" s="10"/>
      <c r="AL58" s="10">
        <v>1</v>
      </c>
      <c r="AM58" s="10">
        <v>1</v>
      </c>
      <c r="AN58" s="10">
        <f>COUNTIFS(Table4[[#This Row],[Rectangular Field Dimension: Length - m ]],Methods_Dimensions!J$10,Table4[[#This Row],[Rectangular Field Dimension: Width - m ]],Methods_Dimensions!H$10)</f>
        <v>1</v>
      </c>
      <c r="AO58" s="10">
        <f>COUNTIFS(Table4[[#This Row],[Rectangular Field Dimension: Length - m ]],Methods_Dimensions!J$11,Table4[[#This Row],[Rectangular Field Dimension: Width - m ]],Methods_Dimensions!H$11)</f>
        <v>1</v>
      </c>
      <c r="AP58" s="10">
        <f>COUNTIFS(Table4[[#This Row],[Rectangular Field Dimension: Length - m ]],Methods_Dimensions!J$12,Table4[[#This Row],[Rectangular Field Dimension: Width - m ]],Methods_Dimensions!H$12)</f>
        <v>0</v>
      </c>
      <c r="AQ58" s="10">
        <f>COUNTIFS(Table4[[#This Row],[Rectangular Field Dimension: Length - m ]],Methods_Dimensions!J$13,Table4[[#This Row],[Rectangular Field Dimension: Width - m ]],Methods_Dimensions!H$13)</f>
        <v>0</v>
      </c>
      <c r="AR58" s="10">
        <f>COUNTIFS(Table4[[#This Row],[Rectangular Field Dimension: Length - m ]],Methods_Dimensions!J$14,Table4[[#This Row],[Rectangular Field Dimension: Width - m ]],Methods_Dimensions!H$14)</f>
        <v>0</v>
      </c>
      <c r="AS5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8" s="10">
        <f>COUNTIFS(Table4[[#This Row],[Rectangular Field Dimension: Length - m ]],Methods_Dimensions!J$16,Table4[[#This Row],[Rectangular Field Dimension: Width - m ]],Methods_Dimensions!H$16)</f>
        <v>0</v>
      </c>
      <c r="AU58" s="10">
        <f>COUNTIFS(Table4[[#This Row],[Rectangular Field Dimension: Length - m ]],Methods_Dimensions!J$17,Table4[[#This Row],[Rectangular Field Dimension: Width - m ]],Methods_Dimensions!H$17)</f>
        <v>0</v>
      </c>
      <c r="AV58" s="10">
        <f>COUNTIFS(Table4[[#This Row],[Rectangular Field Dimension: Length - m ]],Methods_Dimensions!J$18,Table4[[#This Row],[Rectangular Field Dimension: Width - m ]],Methods_Dimensions!H$18)</f>
        <v>0</v>
      </c>
      <c r="AW58" s="10">
        <f>COUNTIFS(Table4[[#This Row],[Rectangular Field Dimension: Length - m ]],Methods_Dimensions!J$19,Table4[[#This Row],[Rectangular Field Dimension: Width - m ]],Methods_Dimensions!H$19)</f>
        <v>0</v>
      </c>
      <c r="AX58" s="6" t="s">
        <v>518</v>
      </c>
      <c r="AY58" s="6" t="s">
        <v>388</v>
      </c>
    </row>
    <row r="59" spans="1:51" ht="87" x14ac:dyDescent="0.3">
      <c r="A59" s="4" t="s">
        <v>223</v>
      </c>
      <c r="B59" s="5" t="s">
        <v>519</v>
      </c>
      <c r="C59" s="5" t="s">
        <v>434</v>
      </c>
      <c r="D59" s="5" t="s">
        <v>520</v>
      </c>
      <c r="E59" s="5" t="s">
        <v>1271</v>
      </c>
      <c r="F59" s="5" t="s">
        <v>740</v>
      </c>
      <c r="G59" s="6" t="s">
        <v>159</v>
      </c>
      <c r="H59" s="12">
        <v>55</v>
      </c>
      <c r="I59" s="12">
        <v>47</v>
      </c>
      <c r="J59" s="37">
        <v>2585</v>
      </c>
      <c r="K59" s="12">
        <v>1</v>
      </c>
      <c r="L59" s="12" t="s">
        <v>381</v>
      </c>
      <c r="M59" s="12">
        <v>1</v>
      </c>
      <c r="N59" s="12"/>
      <c r="O59" s="12"/>
      <c r="P59" s="12">
        <v>1</v>
      </c>
      <c r="Q59" s="12">
        <v>1</v>
      </c>
      <c r="R59" s="12">
        <v>1</v>
      </c>
      <c r="S59" s="12"/>
      <c r="T59" s="12"/>
      <c r="U59" s="12"/>
      <c r="V59" s="12"/>
      <c r="W59" s="17" t="s">
        <v>382</v>
      </c>
      <c r="X59" s="12"/>
      <c r="Y59" s="12"/>
      <c r="Z59" s="12">
        <v>1</v>
      </c>
      <c r="AA59" s="12"/>
      <c r="AB59" s="17" t="s">
        <v>521</v>
      </c>
      <c r="AC59" s="17"/>
      <c r="AD59" s="12">
        <v>1</v>
      </c>
      <c r="AE59" s="17"/>
      <c r="AF59" s="12" t="s">
        <v>399</v>
      </c>
      <c r="AG59" s="17" t="s">
        <v>386</v>
      </c>
      <c r="AH59" s="12"/>
      <c r="AI59" s="12"/>
      <c r="AJ59" s="12">
        <f>SUM(Table4[[#This Row],[Soccer/U7 (Yes=1)]:[Ultimate Frisbee (Yes=1)]])</f>
        <v>3</v>
      </c>
      <c r="AK59" s="10"/>
      <c r="AL59" s="10">
        <v>1</v>
      </c>
      <c r="AM59" s="10">
        <v>1</v>
      </c>
      <c r="AN59" s="10">
        <f>COUNTIFS(Table4[[#This Row],[Rectangular Field Dimension: Length - m ]],Methods_Dimensions!J$10,Table4[[#This Row],[Rectangular Field Dimension: Width - m ]],Methods_Dimensions!H$10)</f>
        <v>1</v>
      </c>
      <c r="AO59" s="10">
        <f>COUNTIFS(Table4[[#This Row],[Rectangular Field Dimension: Length - m ]],Methods_Dimensions!J$11,Table4[[#This Row],[Rectangular Field Dimension: Width - m ]],Methods_Dimensions!H$11)</f>
        <v>0</v>
      </c>
      <c r="AP59" s="10">
        <f>COUNTIFS(Table4[[#This Row],[Rectangular Field Dimension: Length - m ]],Methods_Dimensions!J$12,Table4[[#This Row],[Rectangular Field Dimension: Width - m ]],Methods_Dimensions!H$12)</f>
        <v>0</v>
      </c>
      <c r="AQ59" s="10">
        <f>COUNTIFS(Table4[[#This Row],[Rectangular Field Dimension: Length - m ]],Methods_Dimensions!J$13,Table4[[#This Row],[Rectangular Field Dimension: Width - m ]],Methods_Dimensions!H$13)</f>
        <v>0</v>
      </c>
      <c r="AR59" s="10">
        <f>COUNTIFS(Table4[[#This Row],[Rectangular Field Dimension: Length - m ]],Methods_Dimensions!J$14,Table4[[#This Row],[Rectangular Field Dimension: Width - m ]],Methods_Dimensions!H$14)</f>
        <v>0</v>
      </c>
      <c r="AS5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59" s="10">
        <f>COUNTIFS(Table4[[#This Row],[Rectangular Field Dimension: Length - m ]],Methods_Dimensions!J$16,Table4[[#This Row],[Rectangular Field Dimension: Width - m ]],Methods_Dimensions!H$16)</f>
        <v>0</v>
      </c>
      <c r="AU59" s="10">
        <f>COUNTIFS(Table4[[#This Row],[Rectangular Field Dimension: Length - m ]],Methods_Dimensions!J$17,Table4[[#This Row],[Rectangular Field Dimension: Width - m ]],Methods_Dimensions!H$17)</f>
        <v>0</v>
      </c>
      <c r="AV59" s="10">
        <f>COUNTIFS(Table4[[#This Row],[Rectangular Field Dimension: Length - m ]],Methods_Dimensions!J$18,Table4[[#This Row],[Rectangular Field Dimension: Width - m ]],Methods_Dimensions!H$18)</f>
        <v>0</v>
      </c>
      <c r="AW59" s="10">
        <f>COUNTIFS(Table4[[#This Row],[Rectangular Field Dimension: Length - m ]],Methods_Dimensions!J$19,Table4[[#This Row],[Rectangular Field Dimension: Width - m ]],Methods_Dimensions!H$19)</f>
        <v>0</v>
      </c>
      <c r="AX59" s="6" t="s">
        <v>522</v>
      </c>
      <c r="AY59" s="6" t="s">
        <v>388</v>
      </c>
    </row>
    <row r="60" spans="1:51" ht="104.4" x14ac:dyDescent="0.3">
      <c r="A60" s="4" t="s">
        <v>224</v>
      </c>
      <c r="B60" s="5" t="s">
        <v>519</v>
      </c>
      <c r="C60" s="5" t="s">
        <v>434</v>
      </c>
      <c r="D60" s="5" t="s">
        <v>520</v>
      </c>
      <c r="E60" s="5" t="s">
        <v>395</v>
      </c>
      <c r="F60" s="5" t="s">
        <v>396</v>
      </c>
      <c r="G60" s="6" t="s">
        <v>159</v>
      </c>
      <c r="H60" s="12">
        <v>59</v>
      </c>
      <c r="I60" s="12">
        <v>40</v>
      </c>
      <c r="J60" s="37">
        <v>2360</v>
      </c>
      <c r="K60" s="12">
        <v>1</v>
      </c>
      <c r="L60" s="12" t="s">
        <v>397</v>
      </c>
      <c r="M60" s="12">
        <v>1</v>
      </c>
      <c r="N60" s="12">
        <v>1</v>
      </c>
      <c r="O60" s="12"/>
      <c r="P60" s="12">
        <v>1</v>
      </c>
      <c r="Q60" s="12">
        <v>1</v>
      </c>
      <c r="R60" s="12">
        <v>1</v>
      </c>
      <c r="S60" s="12"/>
      <c r="T60" s="12"/>
      <c r="U60" s="12"/>
      <c r="V60" s="12"/>
      <c r="W60" s="17" t="s">
        <v>414</v>
      </c>
      <c r="X60" s="12"/>
      <c r="Y60" s="12"/>
      <c r="Z60" s="12">
        <v>1</v>
      </c>
      <c r="AA60" s="12"/>
      <c r="AB60" s="17" t="s">
        <v>521</v>
      </c>
      <c r="AC60" s="17"/>
      <c r="AD60" s="12">
        <v>1</v>
      </c>
      <c r="AE60" s="17"/>
      <c r="AF60" s="12" t="s">
        <v>399</v>
      </c>
      <c r="AG60" s="17" t="s">
        <v>400</v>
      </c>
      <c r="AH60" s="12"/>
      <c r="AI60" s="12"/>
      <c r="AJ60" s="12">
        <f>SUM(Table4[[#This Row],[Soccer/U7 (Yes=1)]:[Ultimate Frisbee (Yes=1)]])</f>
        <v>3</v>
      </c>
      <c r="AK60" s="10"/>
      <c r="AL60" s="10">
        <v>1</v>
      </c>
      <c r="AM60" s="10">
        <v>1</v>
      </c>
      <c r="AN60" s="10">
        <f>COUNTIFS(Table4[[#This Row],[Rectangular Field Dimension: Length - m ]],Methods_Dimensions!J$10,Table4[[#This Row],[Rectangular Field Dimension: Width - m ]],Methods_Dimensions!H$10)</f>
        <v>1</v>
      </c>
      <c r="AO60" s="10">
        <f>COUNTIFS(Table4[[#This Row],[Rectangular Field Dimension: Length - m ]],Methods_Dimensions!J$11,Table4[[#This Row],[Rectangular Field Dimension: Width - m ]],Methods_Dimensions!H$11)</f>
        <v>0</v>
      </c>
      <c r="AP60" s="10">
        <f>COUNTIFS(Table4[[#This Row],[Rectangular Field Dimension: Length - m ]],Methods_Dimensions!J$12,Table4[[#This Row],[Rectangular Field Dimension: Width - m ]],Methods_Dimensions!H$12)</f>
        <v>0</v>
      </c>
      <c r="AQ60" s="10">
        <f>COUNTIFS(Table4[[#This Row],[Rectangular Field Dimension: Length - m ]],Methods_Dimensions!J$13,Table4[[#This Row],[Rectangular Field Dimension: Width - m ]],Methods_Dimensions!H$13)</f>
        <v>0</v>
      </c>
      <c r="AR60" s="10">
        <f>COUNTIFS(Table4[[#This Row],[Rectangular Field Dimension: Length - m ]],Methods_Dimensions!J$14,Table4[[#This Row],[Rectangular Field Dimension: Width - m ]],Methods_Dimensions!H$14)</f>
        <v>0</v>
      </c>
      <c r="AS6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0" s="10">
        <f>COUNTIFS(Table4[[#This Row],[Rectangular Field Dimension: Length - m ]],Methods_Dimensions!J$16,Table4[[#This Row],[Rectangular Field Dimension: Width - m ]],Methods_Dimensions!H$16)</f>
        <v>0</v>
      </c>
      <c r="AU60" s="10">
        <f>COUNTIFS(Table4[[#This Row],[Rectangular Field Dimension: Length - m ]],Methods_Dimensions!J$17,Table4[[#This Row],[Rectangular Field Dimension: Width - m ]],Methods_Dimensions!H$17)</f>
        <v>0</v>
      </c>
      <c r="AV60" s="10">
        <f>COUNTIFS(Table4[[#This Row],[Rectangular Field Dimension: Length - m ]],Methods_Dimensions!J$18,Table4[[#This Row],[Rectangular Field Dimension: Width - m ]],Methods_Dimensions!H$18)</f>
        <v>0</v>
      </c>
      <c r="AW60" s="10">
        <f>COUNTIFS(Table4[[#This Row],[Rectangular Field Dimension: Length - m ]],Methods_Dimensions!J$19,Table4[[#This Row],[Rectangular Field Dimension: Width - m ]],Methods_Dimensions!H$19)</f>
        <v>0</v>
      </c>
      <c r="AX60" s="6" t="s">
        <v>523</v>
      </c>
      <c r="AY60" s="6" t="s">
        <v>388</v>
      </c>
    </row>
    <row r="61" spans="1:51" ht="87" x14ac:dyDescent="0.3">
      <c r="A61" s="26" t="s">
        <v>225</v>
      </c>
      <c r="B61" s="14" t="s">
        <v>519</v>
      </c>
      <c r="C61" s="14" t="s">
        <v>434</v>
      </c>
      <c r="D61" s="14" t="s">
        <v>226</v>
      </c>
      <c r="E61" s="14" t="s">
        <v>1271</v>
      </c>
      <c r="F61" s="14" t="s">
        <v>746</v>
      </c>
      <c r="G61" s="15" t="s">
        <v>159</v>
      </c>
      <c r="H61" s="16">
        <v>90</v>
      </c>
      <c r="I61" s="16">
        <v>55</v>
      </c>
      <c r="J61" s="36">
        <v>4950</v>
      </c>
      <c r="K61" s="16">
        <v>1</v>
      </c>
      <c r="L61" s="16" t="s">
        <v>389</v>
      </c>
      <c r="M61" s="16"/>
      <c r="N61" s="16">
        <v>1</v>
      </c>
      <c r="O61" s="16"/>
      <c r="P61" s="16">
        <v>1</v>
      </c>
      <c r="Q61" s="16">
        <v>1</v>
      </c>
      <c r="R61" s="16">
        <v>1</v>
      </c>
      <c r="S61" s="16"/>
      <c r="T61" s="16"/>
      <c r="U61" s="16"/>
      <c r="V61" s="16"/>
      <c r="W61" s="18" t="s">
        <v>382</v>
      </c>
      <c r="X61" s="16"/>
      <c r="Y61" s="16"/>
      <c r="Z61" s="16">
        <v>1</v>
      </c>
      <c r="AA61" s="16"/>
      <c r="AB61" s="18" t="s">
        <v>521</v>
      </c>
      <c r="AC61" s="18"/>
      <c r="AD61" s="16">
        <v>1</v>
      </c>
      <c r="AE61" s="18"/>
      <c r="AF61" s="16" t="s">
        <v>399</v>
      </c>
      <c r="AG61" s="18" t="s">
        <v>507</v>
      </c>
      <c r="AH61" s="16"/>
      <c r="AI61" s="16"/>
      <c r="AJ61" s="16">
        <f>SUM(Table4[[#This Row],[Soccer/U7 (Yes=1)]:[Ultimate Frisbee (Yes=1)]])</f>
        <v>5</v>
      </c>
      <c r="AK61" s="10"/>
      <c r="AL61" s="10">
        <v>1</v>
      </c>
      <c r="AM61" s="10">
        <v>1</v>
      </c>
      <c r="AN61" s="10">
        <f>COUNTIFS(Table4[[#This Row],[Rectangular Field Dimension: Length - m ]],Methods_Dimensions!J$10,Table4[[#This Row],[Rectangular Field Dimension: Width - m ]],Methods_Dimensions!H$10)</f>
        <v>1</v>
      </c>
      <c r="AO61" s="10">
        <f>COUNTIFS(Table4[[#This Row],[Rectangular Field Dimension: Length - m ]],Methods_Dimensions!J$11,Table4[[#This Row],[Rectangular Field Dimension: Width - m ]],Methods_Dimensions!H$11)</f>
        <v>1</v>
      </c>
      <c r="AP61" s="10">
        <f>COUNTIFS(Table4[[#This Row],[Rectangular Field Dimension: Length - m ]],Methods_Dimensions!J$12,Table4[[#This Row],[Rectangular Field Dimension: Width - m ]],Methods_Dimensions!H$12)</f>
        <v>1</v>
      </c>
      <c r="AQ61" s="10">
        <f>COUNTIFS(Table4[[#This Row],[Rectangular Field Dimension: Length - m ]],Methods_Dimensions!J$13,Table4[[#This Row],[Rectangular Field Dimension: Width - m ]],Methods_Dimensions!H$13)</f>
        <v>0</v>
      </c>
      <c r="AR61" s="10">
        <f>COUNTIFS(Table4[[#This Row],[Rectangular Field Dimension: Length - m ]],Methods_Dimensions!J$14,Table4[[#This Row],[Rectangular Field Dimension: Width - m ]],Methods_Dimensions!H$14)</f>
        <v>0</v>
      </c>
      <c r="AS6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1" s="10">
        <f>COUNTIFS(Table4[[#This Row],[Rectangular Field Dimension: Length - m ]],Methods_Dimensions!J$16,Table4[[#This Row],[Rectangular Field Dimension: Width - m ]],Methods_Dimensions!H$16)</f>
        <v>0</v>
      </c>
      <c r="AU61" s="10">
        <f>COUNTIFS(Table4[[#This Row],[Rectangular Field Dimension: Length - m ]],Methods_Dimensions!J$17,Table4[[#This Row],[Rectangular Field Dimension: Width - m ]],Methods_Dimensions!H$17)</f>
        <v>0</v>
      </c>
      <c r="AV61" s="10">
        <f>COUNTIFS(Table4[[#This Row],[Rectangular Field Dimension: Length - m ]],Methods_Dimensions!J$18,Table4[[#This Row],[Rectangular Field Dimension: Width - m ]],Methods_Dimensions!H$18)</f>
        <v>0</v>
      </c>
      <c r="AW61" s="10">
        <f>COUNTIFS(Table4[[#This Row],[Rectangular Field Dimension: Length - m ]],Methods_Dimensions!J$19,Table4[[#This Row],[Rectangular Field Dimension: Width - m ]],Methods_Dimensions!H$19)</f>
        <v>0</v>
      </c>
      <c r="AX61" s="6" t="s">
        <v>522</v>
      </c>
      <c r="AY61" s="6" t="s">
        <v>388</v>
      </c>
    </row>
    <row r="62" spans="1:51" ht="87" x14ac:dyDescent="0.3">
      <c r="A62" s="26" t="s">
        <v>227</v>
      </c>
      <c r="B62" s="14" t="s">
        <v>519</v>
      </c>
      <c r="C62" s="14" t="s">
        <v>434</v>
      </c>
      <c r="D62" s="14" t="s">
        <v>226</v>
      </c>
      <c r="E62" s="14" t="s">
        <v>1271</v>
      </c>
      <c r="F62" s="14" t="s">
        <v>746</v>
      </c>
      <c r="G62" s="15" t="s">
        <v>159</v>
      </c>
      <c r="H62" s="16">
        <v>130</v>
      </c>
      <c r="I62" s="16">
        <v>55</v>
      </c>
      <c r="J62" s="36">
        <v>7150</v>
      </c>
      <c r="K62" s="16">
        <v>1</v>
      </c>
      <c r="L62" s="16" t="s">
        <v>389</v>
      </c>
      <c r="M62" s="16"/>
      <c r="N62" s="16">
        <v>1</v>
      </c>
      <c r="O62" s="16"/>
      <c r="P62" s="16">
        <v>1</v>
      </c>
      <c r="Q62" s="16">
        <v>1</v>
      </c>
      <c r="R62" s="16">
        <v>1</v>
      </c>
      <c r="S62" s="16"/>
      <c r="T62" s="16"/>
      <c r="U62" s="16"/>
      <c r="V62" s="16"/>
      <c r="W62" s="18" t="s">
        <v>382</v>
      </c>
      <c r="X62" s="16"/>
      <c r="Y62" s="16"/>
      <c r="Z62" s="16">
        <v>1</v>
      </c>
      <c r="AA62" s="16"/>
      <c r="AB62" s="18" t="s">
        <v>521</v>
      </c>
      <c r="AC62" s="18"/>
      <c r="AD62" s="16">
        <v>1</v>
      </c>
      <c r="AE62" s="18"/>
      <c r="AF62" s="16" t="s">
        <v>399</v>
      </c>
      <c r="AG62" s="18" t="s">
        <v>507</v>
      </c>
      <c r="AH62" s="16"/>
      <c r="AI62" s="16"/>
      <c r="AJ62" s="16">
        <f>SUM(Table4[[#This Row],[Soccer/U7 (Yes=1)]:[Ultimate Frisbee (Yes=1)]])</f>
        <v>6</v>
      </c>
      <c r="AK62" s="10"/>
      <c r="AL62" s="10">
        <v>1</v>
      </c>
      <c r="AM62" s="10">
        <v>1</v>
      </c>
      <c r="AN62" s="10">
        <f>COUNTIFS(Table4[[#This Row],[Rectangular Field Dimension: Length - m ]],Methods_Dimensions!J$10,Table4[[#This Row],[Rectangular Field Dimension: Width - m ]],Methods_Dimensions!H$10)</f>
        <v>1</v>
      </c>
      <c r="AO62" s="10">
        <f>COUNTIFS(Table4[[#This Row],[Rectangular Field Dimension: Length - m ]],Methods_Dimensions!J$11,Table4[[#This Row],[Rectangular Field Dimension: Width - m ]],Methods_Dimensions!H$11)</f>
        <v>1</v>
      </c>
      <c r="AP62" s="10">
        <f>COUNTIFS(Table4[[#This Row],[Rectangular Field Dimension: Length - m ]],Methods_Dimensions!J$12,Table4[[#This Row],[Rectangular Field Dimension: Width - m ]],Methods_Dimensions!H$12)</f>
        <v>1</v>
      </c>
      <c r="AQ62" s="10">
        <f>COUNTIFS(Table4[[#This Row],[Rectangular Field Dimension: Length - m ]],Methods_Dimensions!J$13,Table4[[#This Row],[Rectangular Field Dimension: Width - m ]],Methods_Dimensions!H$13)</f>
        <v>0</v>
      </c>
      <c r="AR62" s="10">
        <f>COUNTIFS(Table4[[#This Row],[Rectangular Field Dimension: Length - m ]],Methods_Dimensions!J$14,Table4[[#This Row],[Rectangular Field Dimension: Width - m ]],Methods_Dimensions!H$14)</f>
        <v>0</v>
      </c>
      <c r="AS6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2" s="10">
        <f>COUNTIFS(Table4[[#This Row],[Rectangular Field Dimension: Length - m ]],Methods_Dimensions!J$16,Table4[[#This Row],[Rectangular Field Dimension: Width - m ]],Methods_Dimensions!H$16)</f>
        <v>0</v>
      </c>
      <c r="AU62" s="10">
        <f>COUNTIFS(Table4[[#This Row],[Rectangular Field Dimension: Length - m ]],Methods_Dimensions!J$17,Table4[[#This Row],[Rectangular Field Dimension: Width - m ]],Methods_Dimensions!H$17)</f>
        <v>0</v>
      </c>
      <c r="AV62" s="10">
        <f>COUNTIFS(Table4[[#This Row],[Rectangular Field Dimension: Length - m ]],Methods_Dimensions!J$18,Table4[[#This Row],[Rectangular Field Dimension: Width - m ]],Methods_Dimensions!H$18)</f>
        <v>0</v>
      </c>
      <c r="AW62" s="10">
        <f>COUNTIFS(Table4[[#This Row],[Rectangular Field Dimension: Length - m ]],Methods_Dimensions!J$19,Table4[[#This Row],[Rectangular Field Dimension: Width - m ]],Methods_Dimensions!H$19)</f>
        <v>1</v>
      </c>
      <c r="AX62" s="6" t="s">
        <v>522</v>
      </c>
      <c r="AY62" s="6" t="s">
        <v>388</v>
      </c>
    </row>
    <row r="63" spans="1:51" ht="34.799999999999997" x14ac:dyDescent="0.3">
      <c r="A63" s="4" t="s">
        <v>228</v>
      </c>
      <c r="B63" s="5" t="s">
        <v>524</v>
      </c>
      <c r="C63" s="5" t="s">
        <v>525</v>
      </c>
      <c r="D63" s="5" t="s">
        <v>68</v>
      </c>
      <c r="E63" s="5" t="s">
        <v>1271</v>
      </c>
      <c r="F63" s="5" t="s">
        <v>740</v>
      </c>
      <c r="G63" s="6" t="s">
        <v>159</v>
      </c>
      <c r="H63" s="12">
        <v>73</v>
      </c>
      <c r="I63" s="12">
        <v>133</v>
      </c>
      <c r="J63" s="37">
        <v>9709</v>
      </c>
      <c r="K63" s="12"/>
      <c r="L63" s="12" t="s">
        <v>397</v>
      </c>
      <c r="M63" s="12">
        <v>1</v>
      </c>
      <c r="N63" s="12">
        <v>1</v>
      </c>
      <c r="O63" s="12"/>
      <c r="P63" s="12"/>
      <c r="Q63" s="12"/>
      <c r="R63" s="12"/>
      <c r="S63" s="12"/>
      <c r="T63" s="12"/>
      <c r="U63" s="12"/>
      <c r="V63" s="12"/>
      <c r="W63" s="17"/>
      <c r="X63" s="12"/>
      <c r="Y63" s="12"/>
      <c r="Z63" s="12">
        <v>1</v>
      </c>
      <c r="AA63" s="12"/>
      <c r="AB63" s="17" t="s">
        <v>383</v>
      </c>
      <c r="AC63" s="17" t="s">
        <v>383</v>
      </c>
      <c r="AD63" s="12">
        <v>1</v>
      </c>
      <c r="AE63" s="17" t="s">
        <v>526</v>
      </c>
      <c r="AF63" s="12" t="s">
        <v>399</v>
      </c>
      <c r="AG63" s="17" t="s">
        <v>386</v>
      </c>
      <c r="AH63" s="12"/>
      <c r="AI63" s="12"/>
      <c r="AJ63" s="12">
        <f>SUM(Table4[[#This Row],[Soccer/U7 (Yes=1)]:[Ultimate Frisbee (Yes=1)]])</f>
        <v>4</v>
      </c>
      <c r="AK63" s="10"/>
      <c r="AL63" s="10">
        <v>1</v>
      </c>
      <c r="AM63" s="10">
        <v>1</v>
      </c>
      <c r="AN63" s="10">
        <f>COUNTIFS(Table4[[#This Row],[Rectangular Field Dimension: Length - m ]],Methods_Dimensions!J$10,Table4[[#This Row],[Rectangular Field Dimension: Width - m ]],Methods_Dimensions!H$10)</f>
        <v>1</v>
      </c>
      <c r="AO63" s="10">
        <f>COUNTIFS(Table4[[#This Row],[Rectangular Field Dimension: Length - m ]],Methods_Dimensions!J$11,Table4[[#This Row],[Rectangular Field Dimension: Width - m ]],Methods_Dimensions!H$11)</f>
        <v>1</v>
      </c>
      <c r="AP63" s="10">
        <f>COUNTIFS(Table4[[#This Row],[Rectangular Field Dimension: Length - m ]],Methods_Dimensions!J$12,Table4[[#This Row],[Rectangular Field Dimension: Width - m ]],Methods_Dimensions!H$12)</f>
        <v>0</v>
      </c>
      <c r="AQ63" s="10">
        <f>COUNTIFS(Table4[[#This Row],[Rectangular Field Dimension: Length - m ]],Methods_Dimensions!J$13,Table4[[#This Row],[Rectangular Field Dimension: Width - m ]],Methods_Dimensions!H$13)</f>
        <v>0</v>
      </c>
      <c r="AR63" s="10">
        <f>COUNTIFS(Table4[[#This Row],[Rectangular Field Dimension: Length - m ]],Methods_Dimensions!J$14,Table4[[#This Row],[Rectangular Field Dimension: Width - m ]],Methods_Dimensions!H$14)</f>
        <v>0</v>
      </c>
      <c r="AS6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3" s="10">
        <f>COUNTIFS(Table4[[#This Row],[Rectangular Field Dimension: Length - m ]],Methods_Dimensions!J$16,Table4[[#This Row],[Rectangular Field Dimension: Width - m ]],Methods_Dimensions!H$16)</f>
        <v>0</v>
      </c>
      <c r="AU63" s="10">
        <f>COUNTIFS(Table4[[#This Row],[Rectangular Field Dimension: Length - m ]],Methods_Dimensions!J$17,Table4[[#This Row],[Rectangular Field Dimension: Width - m ]],Methods_Dimensions!H$17)</f>
        <v>0</v>
      </c>
      <c r="AV63" s="10">
        <f>COUNTIFS(Table4[[#This Row],[Rectangular Field Dimension: Length - m ]],Methods_Dimensions!J$18,Table4[[#This Row],[Rectangular Field Dimension: Width - m ]],Methods_Dimensions!H$18)</f>
        <v>0</v>
      </c>
      <c r="AW63" s="10">
        <f>COUNTIFS(Table4[[#This Row],[Rectangular Field Dimension: Length - m ]],Methods_Dimensions!J$19,Table4[[#This Row],[Rectangular Field Dimension: Width - m ]],Methods_Dimensions!H$19)</f>
        <v>0</v>
      </c>
      <c r="AX63" s="6" t="s">
        <v>387</v>
      </c>
      <c r="AY63" s="6" t="s">
        <v>388</v>
      </c>
    </row>
    <row r="64" spans="1:51" ht="34.799999999999997" x14ac:dyDescent="0.3">
      <c r="A64" s="26" t="s">
        <v>229</v>
      </c>
      <c r="B64" s="14" t="s">
        <v>527</v>
      </c>
      <c r="C64" s="14" t="s">
        <v>525</v>
      </c>
      <c r="D64" s="14" t="s">
        <v>528</v>
      </c>
      <c r="E64" s="14" t="s">
        <v>789</v>
      </c>
      <c r="F64" s="14" t="s">
        <v>789</v>
      </c>
      <c r="G64" s="15" t="s">
        <v>159</v>
      </c>
      <c r="H64" s="16">
        <v>161</v>
      </c>
      <c r="I64" s="16">
        <v>75</v>
      </c>
      <c r="J64" s="36">
        <v>12075</v>
      </c>
      <c r="K64" s="16"/>
      <c r="L64" s="16" t="s">
        <v>397</v>
      </c>
      <c r="M64" s="16">
        <v>1</v>
      </c>
      <c r="N64" s="16">
        <v>1</v>
      </c>
      <c r="O64" s="16"/>
      <c r="P64" s="16">
        <v>1</v>
      </c>
      <c r="Q64" s="16"/>
      <c r="R64" s="16">
        <v>1</v>
      </c>
      <c r="S64" s="16"/>
      <c r="T64" s="16"/>
      <c r="U64" s="16"/>
      <c r="V64" s="16"/>
      <c r="W64" s="18"/>
      <c r="X64" s="16"/>
      <c r="Y64" s="16"/>
      <c r="Z64" s="16"/>
      <c r="AA64" s="16"/>
      <c r="AB64" s="18" t="s">
        <v>529</v>
      </c>
      <c r="AC64" s="18">
        <v>216</v>
      </c>
      <c r="AD64" s="16">
        <v>1</v>
      </c>
      <c r="AE64" s="18"/>
      <c r="AF64" s="16" t="s">
        <v>399</v>
      </c>
      <c r="AG64" s="18" t="s">
        <v>416</v>
      </c>
      <c r="AH64" s="16"/>
      <c r="AI64" s="16"/>
      <c r="AJ64" s="16">
        <f>SUM(Table4[[#This Row],[Soccer/U7 (Yes=1)]:[Ultimate Frisbee (Yes=1)]])</f>
        <v>8</v>
      </c>
      <c r="AK64" s="10"/>
      <c r="AL64" s="10">
        <v>1</v>
      </c>
      <c r="AM64" s="10">
        <v>1</v>
      </c>
      <c r="AN64" s="10">
        <f>COUNTIFS(Table4[[#This Row],[Rectangular Field Dimension: Length - m ]],Methods_Dimensions!J$10,Table4[[#This Row],[Rectangular Field Dimension: Width - m ]],Methods_Dimensions!H$10)</f>
        <v>1</v>
      </c>
      <c r="AO64" s="10">
        <f>COUNTIFS(Table4[[#This Row],[Rectangular Field Dimension: Length - m ]],Methods_Dimensions!J$11,Table4[[#This Row],[Rectangular Field Dimension: Width - m ]],Methods_Dimensions!H$11)</f>
        <v>1</v>
      </c>
      <c r="AP64" s="10">
        <f>COUNTIFS(Table4[[#This Row],[Rectangular Field Dimension: Length - m ]],Methods_Dimensions!J$12,Table4[[#This Row],[Rectangular Field Dimension: Width - m ]],Methods_Dimensions!H$12)</f>
        <v>1</v>
      </c>
      <c r="AQ64" s="10">
        <f>COUNTIFS(Table4[[#This Row],[Rectangular Field Dimension: Length - m ]],Methods_Dimensions!J$13,Table4[[#This Row],[Rectangular Field Dimension: Width - m ]],Methods_Dimensions!H$13)</f>
        <v>0</v>
      </c>
      <c r="AR64" s="10">
        <f>COUNTIFS(Table4[[#This Row],[Rectangular Field Dimension: Length - m ]],Methods_Dimensions!J$14,Table4[[#This Row],[Rectangular Field Dimension: Width - m ]],Methods_Dimensions!H$14)</f>
        <v>1</v>
      </c>
      <c r="AS6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4" s="10">
        <f>COUNTIFS(Table4[[#This Row],[Rectangular Field Dimension: Length - m ]],Methods_Dimensions!J$16,Table4[[#This Row],[Rectangular Field Dimension: Width - m ]],Methods_Dimensions!H$16)</f>
        <v>0</v>
      </c>
      <c r="AU64" s="10">
        <f>COUNTIFS(Table4[[#This Row],[Rectangular Field Dimension: Length - m ]],Methods_Dimensions!J$17,Table4[[#This Row],[Rectangular Field Dimension: Width - m ]],Methods_Dimensions!H$17)</f>
        <v>1</v>
      </c>
      <c r="AV64" s="10">
        <f>COUNTIFS(Table4[[#This Row],[Rectangular Field Dimension: Length - m ]],Methods_Dimensions!J$18,Table4[[#This Row],[Rectangular Field Dimension: Width - m ]],Methods_Dimensions!H$18)</f>
        <v>0</v>
      </c>
      <c r="AW64" s="10">
        <f>COUNTIFS(Table4[[#This Row],[Rectangular Field Dimension: Length - m ]],Methods_Dimensions!J$19,Table4[[#This Row],[Rectangular Field Dimension: Width - m ]],Methods_Dimensions!H$19)</f>
        <v>1</v>
      </c>
      <c r="AX64" s="6" t="s">
        <v>530</v>
      </c>
      <c r="AY64" s="6" t="s">
        <v>388</v>
      </c>
    </row>
    <row r="65" spans="1:51" ht="34.799999999999997" x14ac:dyDescent="0.3">
      <c r="A65" s="4" t="s">
        <v>531</v>
      </c>
      <c r="B65" s="5" t="s">
        <v>524</v>
      </c>
      <c r="C65" s="5" t="s">
        <v>525</v>
      </c>
      <c r="D65" s="5" t="s">
        <v>68</v>
      </c>
      <c r="E65" s="5" t="s">
        <v>395</v>
      </c>
      <c r="F65" s="5" t="s">
        <v>396</v>
      </c>
      <c r="G65" s="6" t="s">
        <v>159</v>
      </c>
      <c r="H65" s="12">
        <v>122</v>
      </c>
      <c r="I65" s="12">
        <v>71</v>
      </c>
      <c r="J65" s="37">
        <v>8662</v>
      </c>
      <c r="K65" s="12"/>
      <c r="L65" s="12" t="s">
        <v>397</v>
      </c>
      <c r="M65" s="12">
        <v>1</v>
      </c>
      <c r="N65" s="12">
        <v>1</v>
      </c>
      <c r="O65" s="12">
        <v>1</v>
      </c>
      <c r="P65" s="12"/>
      <c r="Q65" s="12"/>
      <c r="R65" s="12"/>
      <c r="S65" s="12"/>
      <c r="T65" s="12">
        <v>1</v>
      </c>
      <c r="U65" s="12"/>
      <c r="V65" s="12">
        <v>1</v>
      </c>
      <c r="W65" s="17"/>
      <c r="X65" s="12"/>
      <c r="Y65" s="12"/>
      <c r="Z65" s="12"/>
      <c r="AA65" s="12"/>
      <c r="AB65" s="17" t="s">
        <v>529</v>
      </c>
      <c r="AC65" s="17">
        <v>216</v>
      </c>
      <c r="AD65" s="12">
        <v>1</v>
      </c>
      <c r="AE65" s="17" t="s">
        <v>532</v>
      </c>
      <c r="AF65" s="12" t="s">
        <v>399</v>
      </c>
      <c r="AG65" s="17" t="s">
        <v>400</v>
      </c>
      <c r="AH65" s="12"/>
      <c r="AI65" s="12"/>
      <c r="AJ65" s="12">
        <f>SUM(Table4[[#This Row],[Soccer/U7 (Yes=1)]:[Ultimate Frisbee (Yes=1)]])</f>
        <v>7</v>
      </c>
      <c r="AK65" s="10"/>
      <c r="AL65" s="10">
        <v>1</v>
      </c>
      <c r="AM65" s="10">
        <v>1</v>
      </c>
      <c r="AN65" s="10">
        <f>COUNTIFS(Table4[[#This Row],[Rectangular Field Dimension: Length - m ]],Methods_Dimensions!J$10,Table4[[#This Row],[Rectangular Field Dimension: Width - m ]],Methods_Dimensions!H$10)</f>
        <v>1</v>
      </c>
      <c r="AO65" s="10">
        <f>COUNTIFS(Table4[[#This Row],[Rectangular Field Dimension: Length - m ]],Methods_Dimensions!J$11,Table4[[#This Row],[Rectangular Field Dimension: Width - m ]],Methods_Dimensions!H$11)</f>
        <v>1</v>
      </c>
      <c r="AP65" s="10">
        <f>COUNTIFS(Table4[[#This Row],[Rectangular Field Dimension: Length - m ]],Methods_Dimensions!J$12,Table4[[#This Row],[Rectangular Field Dimension: Width - m ]],Methods_Dimensions!H$12)</f>
        <v>1</v>
      </c>
      <c r="AQ65" s="10">
        <f>COUNTIFS(Table4[[#This Row],[Rectangular Field Dimension: Length - m ]],Methods_Dimensions!J$13,Table4[[#This Row],[Rectangular Field Dimension: Width - m ]],Methods_Dimensions!H$13)</f>
        <v>0</v>
      </c>
      <c r="AR65" s="10">
        <f>COUNTIFS(Table4[[#This Row],[Rectangular Field Dimension: Length - m ]],Methods_Dimensions!J$14,Table4[[#This Row],[Rectangular Field Dimension: Width - m ]],Methods_Dimensions!H$14)</f>
        <v>0</v>
      </c>
      <c r="AS6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5" s="10">
        <f>COUNTIFS(Table4[[#This Row],[Rectangular Field Dimension: Length - m ]],Methods_Dimensions!J$16,Table4[[#This Row],[Rectangular Field Dimension: Width - m ]],Methods_Dimensions!H$16)</f>
        <v>0</v>
      </c>
      <c r="AU65" s="10">
        <f>COUNTIFS(Table4[[#This Row],[Rectangular Field Dimension: Length - m ]],Methods_Dimensions!J$17,Table4[[#This Row],[Rectangular Field Dimension: Width - m ]],Methods_Dimensions!H$17)</f>
        <v>1</v>
      </c>
      <c r="AV65" s="10">
        <f>COUNTIFS(Table4[[#This Row],[Rectangular Field Dimension: Length - m ]],Methods_Dimensions!J$18,Table4[[#This Row],[Rectangular Field Dimension: Width - m ]],Methods_Dimensions!H$18)</f>
        <v>0</v>
      </c>
      <c r="AW65" s="10">
        <f>COUNTIFS(Table4[[#This Row],[Rectangular Field Dimension: Length - m ]],Methods_Dimensions!J$19,Table4[[#This Row],[Rectangular Field Dimension: Width - m ]],Methods_Dimensions!H$19)</f>
        <v>1</v>
      </c>
      <c r="AX65" s="6" t="s">
        <v>533</v>
      </c>
      <c r="AY65" s="6" t="s">
        <v>388</v>
      </c>
    </row>
    <row r="66" spans="1:51" ht="34.799999999999997" x14ac:dyDescent="0.3">
      <c r="A66" s="45" t="s">
        <v>230</v>
      </c>
      <c r="B66" s="14" t="s">
        <v>534</v>
      </c>
      <c r="C66" s="14" t="s">
        <v>427</v>
      </c>
      <c r="D66" s="14" t="s">
        <v>70</v>
      </c>
      <c r="E66" s="14" t="s">
        <v>413</v>
      </c>
      <c r="F66" s="14" t="s">
        <v>789</v>
      </c>
      <c r="G66" s="15" t="s">
        <v>159</v>
      </c>
      <c r="H66" s="16">
        <v>79</v>
      </c>
      <c r="I66" s="16">
        <v>50</v>
      </c>
      <c r="J66" s="36">
        <v>3950</v>
      </c>
      <c r="K66" s="16">
        <v>1</v>
      </c>
      <c r="L66" s="16" t="s">
        <v>389</v>
      </c>
      <c r="M66" s="16"/>
      <c r="N66" s="16">
        <v>1</v>
      </c>
      <c r="O66" s="16">
        <v>1</v>
      </c>
      <c r="P66" s="16">
        <v>1</v>
      </c>
      <c r="Q66" s="16"/>
      <c r="R66" s="16">
        <v>1</v>
      </c>
      <c r="S66" s="16"/>
      <c r="T66" s="16"/>
      <c r="U66" s="16"/>
      <c r="V66" s="16"/>
      <c r="W66" s="18"/>
      <c r="X66" s="16"/>
      <c r="Y66" s="16"/>
      <c r="Z66" s="16"/>
      <c r="AA66" s="16"/>
      <c r="AB66" s="18" t="s">
        <v>535</v>
      </c>
      <c r="AC66" s="18">
        <v>148</v>
      </c>
      <c r="AD66" s="16">
        <v>1</v>
      </c>
      <c r="AE66" s="18" t="s">
        <v>536</v>
      </c>
      <c r="AF66" s="16" t="s">
        <v>399</v>
      </c>
      <c r="AG66" s="18" t="s">
        <v>416</v>
      </c>
      <c r="AH66" s="16"/>
      <c r="AI66" s="16"/>
      <c r="AJ66" s="16">
        <f>SUM(Table4[[#This Row],[Soccer/U7 (Yes=1)]:[Ultimate Frisbee (Yes=1)]])</f>
        <v>4</v>
      </c>
      <c r="AK66" s="10"/>
      <c r="AL66" s="10">
        <v>1</v>
      </c>
      <c r="AM66" s="10">
        <v>1</v>
      </c>
      <c r="AN66" s="10">
        <f>COUNTIFS(Table4[[#This Row],[Rectangular Field Dimension: Length - m ]],Methods_Dimensions!J$10,Table4[[#This Row],[Rectangular Field Dimension: Width - m ]],Methods_Dimensions!H$10)</f>
        <v>1</v>
      </c>
      <c r="AO66" s="10">
        <f>COUNTIFS(Table4[[#This Row],[Rectangular Field Dimension: Length - m ]],Methods_Dimensions!J$11,Table4[[#This Row],[Rectangular Field Dimension: Width - m ]],Methods_Dimensions!H$11)</f>
        <v>1</v>
      </c>
      <c r="AP66" s="10">
        <f>COUNTIFS(Table4[[#This Row],[Rectangular Field Dimension: Length - m ]],Methods_Dimensions!J$12,Table4[[#This Row],[Rectangular Field Dimension: Width - m ]],Methods_Dimensions!H$12)</f>
        <v>0</v>
      </c>
      <c r="AQ66" s="10">
        <f>COUNTIFS(Table4[[#This Row],[Rectangular Field Dimension: Length - m ]],Methods_Dimensions!J$13,Table4[[#This Row],[Rectangular Field Dimension: Width - m ]],Methods_Dimensions!H$13)</f>
        <v>0</v>
      </c>
      <c r="AR66" s="10">
        <f>COUNTIFS(Table4[[#This Row],[Rectangular Field Dimension: Length - m ]],Methods_Dimensions!J$14,Table4[[#This Row],[Rectangular Field Dimension: Width - m ]],Methods_Dimensions!H$14)</f>
        <v>0</v>
      </c>
      <c r="AS6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6" s="10">
        <f>COUNTIFS(Table4[[#This Row],[Rectangular Field Dimension: Length - m ]],Methods_Dimensions!J$16,Table4[[#This Row],[Rectangular Field Dimension: Width - m ]],Methods_Dimensions!H$16)</f>
        <v>0</v>
      </c>
      <c r="AU66" s="10">
        <f>COUNTIFS(Table4[[#This Row],[Rectangular Field Dimension: Length - m ]],Methods_Dimensions!J$17,Table4[[#This Row],[Rectangular Field Dimension: Width - m ]],Methods_Dimensions!H$17)</f>
        <v>0</v>
      </c>
      <c r="AV66" s="10">
        <f>COUNTIFS(Table4[[#This Row],[Rectangular Field Dimension: Length - m ]],Methods_Dimensions!J$18,Table4[[#This Row],[Rectangular Field Dimension: Width - m ]],Methods_Dimensions!H$18)</f>
        <v>0</v>
      </c>
      <c r="AW66" s="10">
        <f>COUNTIFS(Table4[[#This Row],[Rectangular Field Dimension: Length - m ]],Methods_Dimensions!J$19,Table4[[#This Row],[Rectangular Field Dimension: Width - m ]],Methods_Dimensions!H$19)</f>
        <v>0</v>
      </c>
      <c r="AX66" s="6" t="s">
        <v>387</v>
      </c>
      <c r="AY66" s="6" t="s">
        <v>388</v>
      </c>
    </row>
    <row r="67" spans="1:51" ht="34.799999999999997" x14ac:dyDescent="0.3">
      <c r="A67" s="4" t="s">
        <v>231</v>
      </c>
      <c r="B67" s="5" t="s">
        <v>534</v>
      </c>
      <c r="C67" s="5" t="s">
        <v>427</v>
      </c>
      <c r="D67" s="5" t="s">
        <v>70</v>
      </c>
      <c r="E67" s="5" t="s">
        <v>1271</v>
      </c>
      <c r="F67" s="5" t="s">
        <v>740</v>
      </c>
      <c r="G67" s="6" t="s">
        <v>159</v>
      </c>
      <c r="H67" s="12">
        <v>104</v>
      </c>
      <c r="I67" s="12">
        <v>70</v>
      </c>
      <c r="J67" s="37">
        <v>7280</v>
      </c>
      <c r="K67" s="12"/>
      <c r="L67" s="12" t="s">
        <v>397</v>
      </c>
      <c r="M67" s="12">
        <v>1</v>
      </c>
      <c r="N67" s="12">
        <v>1</v>
      </c>
      <c r="O67" s="12"/>
      <c r="P67" s="12">
        <v>1</v>
      </c>
      <c r="Q67" s="12"/>
      <c r="R67" s="12">
        <v>1</v>
      </c>
      <c r="S67" s="12"/>
      <c r="T67" s="12"/>
      <c r="U67" s="12">
        <v>1</v>
      </c>
      <c r="V67" s="12"/>
      <c r="W67" s="17" t="s">
        <v>537</v>
      </c>
      <c r="X67" s="12"/>
      <c r="Y67" s="12"/>
      <c r="Z67" s="12">
        <v>1</v>
      </c>
      <c r="AA67" s="12"/>
      <c r="AB67" s="17" t="s">
        <v>535</v>
      </c>
      <c r="AC67" s="17">
        <v>150</v>
      </c>
      <c r="AD67" s="12">
        <v>1</v>
      </c>
      <c r="AE67" s="17"/>
      <c r="AF67" s="12" t="s">
        <v>399</v>
      </c>
      <c r="AG67" s="17" t="s">
        <v>386</v>
      </c>
      <c r="AH67" s="12"/>
      <c r="AI67" s="12"/>
      <c r="AJ67" s="12">
        <f>SUM(Table4[[#This Row],[Soccer/U7 (Yes=1)]:[Ultimate Frisbee (Yes=1)]])</f>
        <v>5</v>
      </c>
      <c r="AK67" s="10"/>
      <c r="AL67" s="10">
        <v>1</v>
      </c>
      <c r="AM67" s="10">
        <v>1</v>
      </c>
      <c r="AN67" s="10">
        <f>COUNTIFS(Table4[[#This Row],[Rectangular Field Dimension: Length - m ]],Methods_Dimensions!J$10,Table4[[#This Row],[Rectangular Field Dimension: Width - m ]],Methods_Dimensions!H$10)</f>
        <v>1</v>
      </c>
      <c r="AO67" s="10">
        <f>COUNTIFS(Table4[[#This Row],[Rectangular Field Dimension: Length - m ]],Methods_Dimensions!J$11,Table4[[#This Row],[Rectangular Field Dimension: Width - m ]],Methods_Dimensions!H$11)</f>
        <v>1</v>
      </c>
      <c r="AP67" s="10">
        <f>COUNTIFS(Table4[[#This Row],[Rectangular Field Dimension: Length - m ]],Methods_Dimensions!J$12,Table4[[#This Row],[Rectangular Field Dimension: Width - m ]],Methods_Dimensions!H$12)</f>
        <v>1</v>
      </c>
      <c r="AQ67" s="10">
        <f>COUNTIFS(Table4[[#This Row],[Rectangular Field Dimension: Length - m ]],Methods_Dimensions!J$13,Table4[[#This Row],[Rectangular Field Dimension: Width - m ]],Methods_Dimensions!H$13)</f>
        <v>0</v>
      </c>
      <c r="AR67" s="10">
        <f>COUNTIFS(Table4[[#This Row],[Rectangular Field Dimension: Length - m ]],Methods_Dimensions!J$14,Table4[[#This Row],[Rectangular Field Dimension: Width - m ]],Methods_Dimensions!H$14)</f>
        <v>0</v>
      </c>
      <c r="AS6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7" s="10">
        <f>COUNTIFS(Table4[[#This Row],[Rectangular Field Dimension: Length - m ]],Methods_Dimensions!J$16,Table4[[#This Row],[Rectangular Field Dimension: Width - m ]],Methods_Dimensions!H$16)</f>
        <v>0</v>
      </c>
      <c r="AU67" s="10">
        <f>COUNTIFS(Table4[[#This Row],[Rectangular Field Dimension: Length - m ]],Methods_Dimensions!J$17,Table4[[#This Row],[Rectangular Field Dimension: Width - m ]],Methods_Dimensions!H$17)</f>
        <v>0</v>
      </c>
      <c r="AV67" s="10">
        <f>COUNTIFS(Table4[[#This Row],[Rectangular Field Dimension: Length - m ]],Methods_Dimensions!J$18,Table4[[#This Row],[Rectangular Field Dimension: Width - m ]],Methods_Dimensions!H$18)</f>
        <v>0</v>
      </c>
      <c r="AW67" s="10">
        <f>COUNTIFS(Table4[[#This Row],[Rectangular Field Dimension: Length - m ]],Methods_Dimensions!J$19,Table4[[#This Row],[Rectangular Field Dimension: Width - m ]],Methods_Dimensions!H$19)</f>
        <v>0</v>
      </c>
      <c r="AX67" s="6" t="s">
        <v>387</v>
      </c>
      <c r="AY67" s="6" t="s">
        <v>388</v>
      </c>
    </row>
    <row r="68" spans="1:51" ht="34.799999999999997" x14ac:dyDescent="0.3">
      <c r="A68" s="26" t="s">
        <v>232</v>
      </c>
      <c r="B68" s="14" t="s">
        <v>534</v>
      </c>
      <c r="C68" s="14" t="s">
        <v>427</v>
      </c>
      <c r="D68" s="14" t="s">
        <v>70</v>
      </c>
      <c r="E68" s="14" t="s">
        <v>1272</v>
      </c>
      <c r="F68" s="14" t="s">
        <v>789</v>
      </c>
      <c r="G68" s="15" t="s">
        <v>159</v>
      </c>
      <c r="H68" s="16">
        <v>88</v>
      </c>
      <c r="I68" s="16">
        <v>72</v>
      </c>
      <c r="J68" s="36">
        <v>6336</v>
      </c>
      <c r="K68" s="16">
        <v>1</v>
      </c>
      <c r="L68" s="16" t="s">
        <v>389</v>
      </c>
      <c r="M68" s="16"/>
      <c r="N68" s="16">
        <v>1</v>
      </c>
      <c r="O68" s="16"/>
      <c r="P68" s="16">
        <v>1</v>
      </c>
      <c r="Q68" s="16"/>
      <c r="R68" s="16">
        <v>1</v>
      </c>
      <c r="S68" s="16"/>
      <c r="T68" s="16"/>
      <c r="U68" s="16"/>
      <c r="V68" s="16"/>
      <c r="W68" s="18"/>
      <c r="X68" s="16"/>
      <c r="Y68" s="16"/>
      <c r="Z68" s="16">
        <v>1</v>
      </c>
      <c r="AA68" s="16"/>
      <c r="AB68" s="18" t="s">
        <v>535</v>
      </c>
      <c r="AC68" s="18">
        <v>151</v>
      </c>
      <c r="AD68" s="16">
        <v>1</v>
      </c>
      <c r="AE68" s="18"/>
      <c r="AF68" s="16" t="s">
        <v>399</v>
      </c>
      <c r="AG68" s="18" t="s">
        <v>416</v>
      </c>
      <c r="AH68" s="16"/>
      <c r="AI68" s="16"/>
      <c r="AJ68" s="16">
        <f>SUM(Table4[[#This Row],[Soccer/U7 (Yes=1)]:[Ultimate Frisbee (Yes=1)]])</f>
        <v>4</v>
      </c>
      <c r="AK68" s="10"/>
      <c r="AL68" s="10">
        <v>1</v>
      </c>
      <c r="AM68" s="10">
        <v>1</v>
      </c>
      <c r="AN68" s="10">
        <f>COUNTIFS(Table4[[#This Row],[Rectangular Field Dimension: Length - m ]],Methods_Dimensions!J$10,Table4[[#This Row],[Rectangular Field Dimension: Width - m ]],Methods_Dimensions!H$10)</f>
        <v>1</v>
      </c>
      <c r="AO68" s="10">
        <f>COUNTIFS(Table4[[#This Row],[Rectangular Field Dimension: Length - m ]],Methods_Dimensions!J$11,Table4[[#This Row],[Rectangular Field Dimension: Width - m ]],Methods_Dimensions!H$11)</f>
        <v>1</v>
      </c>
      <c r="AP68" s="10">
        <f>COUNTIFS(Table4[[#This Row],[Rectangular Field Dimension: Length - m ]],Methods_Dimensions!J$12,Table4[[#This Row],[Rectangular Field Dimension: Width - m ]],Methods_Dimensions!H$12)</f>
        <v>0</v>
      </c>
      <c r="AQ68" s="10">
        <f>COUNTIFS(Table4[[#This Row],[Rectangular Field Dimension: Length - m ]],Methods_Dimensions!J$13,Table4[[#This Row],[Rectangular Field Dimension: Width - m ]],Methods_Dimensions!H$13)</f>
        <v>0</v>
      </c>
      <c r="AR68" s="10">
        <f>COUNTIFS(Table4[[#This Row],[Rectangular Field Dimension: Length - m ]],Methods_Dimensions!J$14,Table4[[#This Row],[Rectangular Field Dimension: Width - m ]],Methods_Dimensions!H$14)</f>
        <v>0</v>
      </c>
      <c r="AS6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8" s="10">
        <f>COUNTIFS(Table4[[#This Row],[Rectangular Field Dimension: Length - m ]],Methods_Dimensions!J$16,Table4[[#This Row],[Rectangular Field Dimension: Width - m ]],Methods_Dimensions!H$16)</f>
        <v>0</v>
      </c>
      <c r="AU68" s="10">
        <f>COUNTIFS(Table4[[#This Row],[Rectangular Field Dimension: Length - m ]],Methods_Dimensions!J$17,Table4[[#This Row],[Rectangular Field Dimension: Width - m ]],Methods_Dimensions!H$17)</f>
        <v>0</v>
      </c>
      <c r="AV68" s="10">
        <f>COUNTIFS(Table4[[#This Row],[Rectangular Field Dimension: Length - m ]],Methods_Dimensions!J$18,Table4[[#This Row],[Rectangular Field Dimension: Width - m ]],Methods_Dimensions!H$18)</f>
        <v>0</v>
      </c>
      <c r="AW68" s="10">
        <f>COUNTIFS(Table4[[#This Row],[Rectangular Field Dimension: Length - m ]],Methods_Dimensions!J$19,Table4[[#This Row],[Rectangular Field Dimension: Width - m ]],Methods_Dimensions!H$19)</f>
        <v>0</v>
      </c>
      <c r="AX68" s="6" t="s">
        <v>538</v>
      </c>
      <c r="AY68" s="6" t="s">
        <v>388</v>
      </c>
    </row>
    <row r="69" spans="1:51" ht="34.799999999999997" x14ac:dyDescent="0.3">
      <c r="A69" s="4" t="s">
        <v>233</v>
      </c>
      <c r="B69" s="5" t="s">
        <v>870</v>
      </c>
      <c r="C69" s="5" t="s">
        <v>452</v>
      </c>
      <c r="D69" s="5" t="s">
        <v>77</v>
      </c>
      <c r="E69" s="5" t="s">
        <v>1272</v>
      </c>
      <c r="F69" s="5" t="s">
        <v>1273</v>
      </c>
      <c r="G69" s="6" t="s">
        <v>159</v>
      </c>
      <c r="H69" s="12">
        <v>75</v>
      </c>
      <c r="I69" s="12">
        <v>50</v>
      </c>
      <c r="J69" s="37">
        <v>3750</v>
      </c>
      <c r="K69" s="12">
        <v>1</v>
      </c>
      <c r="L69" s="12" t="s">
        <v>397</v>
      </c>
      <c r="M69" s="12">
        <v>1</v>
      </c>
      <c r="N69" s="12">
        <v>1</v>
      </c>
      <c r="O69" s="12"/>
      <c r="P69" s="12">
        <v>1</v>
      </c>
      <c r="Q69" s="12"/>
      <c r="R69" s="12">
        <v>1</v>
      </c>
      <c r="S69" s="12"/>
      <c r="T69" s="12"/>
      <c r="U69" s="12"/>
      <c r="V69" s="12"/>
      <c r="W69" s="17" t="s">
        <v>382</v>
      </c>
      <c r="X69" s="12">
        <v>1</v>
      </c>
      <c r="Y69" s="12"/>
      <c r="Z69" s="12"/>
      <c r="AA69" s="12"/>
      <c r="AB69" s="17" t="s">
        <v>383</v>
      </c>
      <c r="AC69" s="17"/>
      <c r="AD69" s="12">
        <v>1</v>
      </c>
      <c r="AE69" s="17" t="s">
        <v>1278</v>
      </c>
      <c r="AF69" s="12" t="s">
        <v>399</v>
      </c>
      <c r="AG69" s="17" t="s">
        <v>269</v>
      </c>
      <c r="AH69" s="12"/>
      <c r="AI69" s="12"/>
      <c r="AJ69" s="12">
        <f>SUM(Table4[[#This Row],[Soccer/U7 (Yes=1)]:[Ultimate Frisbee (Yes=1)]])</f>
        <v>4</v>
      </c>
      <c r="AK69" s="10"/>
      <c r="AL69" s="10">
        <v>1</v>
      </c>
      <c r="AM69" s="10">
        <v>1</v>
      </c>
      <c r="AN69" s="10">
        <f>COUNTIFS(Table4[[#This Row],[Rectangular Field Dimension: Length - m ]],Methods_Dimensions!J$10,Table4[[#This Row],[Rectangular Field Dimension: Width - m ]],Methods_Dimensions!H$10)</f>
        <v>1</v>
      </c>
      <c r="AO69" s="10">
        <f>COUNTIFS(Table4[[#This Row],[Rectangular Field Dimension: Length - m ]],Methods_Dimensions!J$11,Table4[[#This Row],[Rectangular Field Dimension: Width - m ]],Methods_Dimensions!H$11)</f>
        <v>1</v>
      </c>
      <c r="AP69" s="10">
        <f>COUNTIFS(Table4[[#This Row],[Rectangular Field Dimension: Length - m ]],Methods_Dimensions!J$12,Table4[[#This Row],[Rectangular Field Dimension: Width - m ]],Methods_Dimensions!H$12)</f>
        <v>0</v>
      </c>
      <c r="AQ69" s="10">
        <f>COUNTIFS(Table4[[#This Row],[Rectangular Field Dimension: Length - m ]],Methods_Dimensions!J$13,Table4[[#This Row],[Rectangular Field Dimension: Width - m ]],Methods_Dimensions!H$13)</f>
        <v>0</v>
      </c>
      <c r="AR69" s="10">
        <f>COUNTIFS(Table4[[#This Row],[Rectangular Field Dimension: Length - m ]],Methods_Dimensions!J$14,Table4[[#This Row],[Rectangular Field Dimension: Width - m ]],Methods_Dimensions!H$14)</f>
        <v>0</v>
      </c>
      <c r="AS6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69" s="10">
        <f>COUNTIFS(Table4[[#This Row],[Rectangular Field Dimension: Length - m ]],Methods_Dimensions!J$16,Table4[[#This Row],[Rectangular Field Dimension: Width - m ]],Methods_Dimensions!H$16)</f>
        <v>0</v>
      </c>
      <c r="AU69" s="10">
        <f>COUNTIFS(Table4[[#This Row],[Rectangular Field Dimension: Length - m ]],Methods_Dimensions!J$17,Table4[[#This Row],[Rectangular Field Dimension: Width - m ]],Methods_Dimensions!H$17)</f>
        <v>0</v>
      </c>
      <c r="AV69" s="10">
        <f>COUNTIFS(Table4[[#This Row],[Rectangular Field Dimension: Length - m ]],Methods_Dimensions!J$18,Table4[[#This Row],[Rectangular Field Dimension: Width - m ]],Methods_Dimensions!H$18)</f>
        <v>0</v>
      </c>
      <c r="AW69" s="10">
        <f>COUNTIFS(Table4[[#This Row],[Rectangular Field Dimension: Length - m ]],Methods_Dimensions!J$19,Table4[[#This Row],[Rectangular Field Dimension: Width - m ]],Methods_Dimensions!H$19)</f>
        <v>0</v>
      </c>
      <c r="AX69" s="6" t="s">
        <v>1279</v>
      </c>
      <c r="AY69" s="6" t="s">
        <v>388</v>
      </c>
    </row>
    <row r="70" spans="1:51" ht="34.799999999999997" x14ac:dyDescent="0.3">
      <c r="A70" s="26" t="s">
        <v>234</v>
      </c>
      <c r="B70" s="14" t="s">
        <v>539</v>
      </c>
      <c r="C70" s="14" t="s">
        <v>427</v>
      </c>
      <c r="D70" s="14" t="s">
        <v>235</v>
      </c>
      <c r="E70" s="14" t="s">
        <v>1272</v>
      </c>
      <c r="F70" s="14" t="s">
        <v>789</v>
      </c>
      <c r="G70" s="15" t="s">
        <v>159</v>
      </c>
      <c r="H70" s="16">
        <v>91</v>
      </c>
      <c r="I70" s="16">
        <v>44</v>
      </c>
      <c r="J70" s="36">
        <v>4004</v>
      </c>
      <c r="K70" s="16"/>
      <c r="L70" s="16" t="s">
        <v>397</v>
      </c>
      <c r="M70" s="16">
        <v>1</v>
      </c>
      <c r="N70" s="16">
        <v>1</v>
      </c>
      <c r="O70" s="16"/>
      <c r="P70" s="16">
        <v>1</v>
      </c>
      <c r="Q70" s="16"/>
      <c r="R70" s="16"/>
      <c r="S70" s="16"/>
      <c r="T70" s="16"/>
      <c r="U70" s="16"/>
      <c r="V70" s="16"/>
      <c r="W70" s="18" t="s">
        <v>414</v>
      </c>
      <c r="X70" s="16">
        <v>1</v>
      </c>
      <c r="Y70" s="16"/>
      <c r="Z70" s="16"/>
      <c r="AA70" s="16"/>
      <c r="AB70" s="18" t="s">
        <v>383</v>
      </c>
      <c r="AC70" s="18"/>
      <c r="AD70" s="16">
        <v>1</v>
      </c>
      <c r="AE70" s="18"/>
      <c r="AF70" s="16" t="s">
        <v>399</v>
      </c>
      <c r="AG70" s="18" t="s">
        <v>416</v>
      </c>
      <c r="AH70" s="16"/>
      <c r="AI70" s="16"/>
      <c r="AJ70" s="16">
        <f>SUM(Table4[[#This Row],[Soccer/U7 (Yes=1)]:[Ultimate Frisbee (Yes=1)]])</f>
        <v>4</v>
      </c>
      <c r="AK70" s="10"/>
      <c r="AL70" s="10">
        <v>1</v>
      </c>
      <c r="AM70" s="10">
        <v>1</v>
      </c>
      <c r="AN70" s="10">
        <f>COUNTIFS(Table4[[#This Row],[Rectangular Field Dimension: Length - m ]],Methods_Dimensions!J$10,Table4[[#This Row],[Rectangular Field Dimension: Width - m ]],Methods_Dimensions!H$10)</f>
        <v>1</v>
      </c>
      <c r="AO70" s="10">
        <f>COUNTIFS(Table4[[#This Row],[Rectangular Field Dimension: Length - m ]],Methods_Dimensions!J$11,Table4[[#This Row],[Rectangular Field Dimension: Width - m ]],Methods_Dimensions!H$11)</f>
        <v>1</v>
      </c>
      <c r="AP70" s="10">
        <f>COUNTIFS(Table4[[#This Row],[Rectangular Field Dimension: Length - m ]],Methods_Dimensions!J$12,Table4[[#This Row],[Rectangular Field Dimension: Width - m ]],Methods_Dimensions!H$12)</f>
        <v>0</v>
      </c>
      <c r="AQ70" s="10">
        <f>COUNTIFS(Table4[[#This Row],[Rectangular Field Dimension: Length - m ]],Methods_Dimensions!J$13,Table4[[#This Row],[Rectangular Field Dimension: Width - m ]],Methods_Dimensions!H$13)</f>
        <v>0</v>
      </c>
      <c r="AR70" s="10">
        <f>COUNTIFS(Table4[[#This Row],[Rectangular Field Dimension: Length - m ]],Methods_Dimensions!J$14,Table4[[#This Row],[Rectangular Field Dimension: Width - m ]],Methods_Dimensions!H$14)</f>
        <v>0</v>
      </c>
      <c r="AS7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0" s="10">
        <f>COUNTIFS(Table4[[#This Row],[Rectangular Field Dimension: Length - m ]],Methods_Dimensions!J$16,Table4[[#This Row],[Rectangular Field Dimension: Width - m ]],Methods_Dimensions!H$16)</f>
        <v>0</v>
      </c>
      <c r="AU70" s="10">
        <f>COUNTIFS(Table4[[#This Row],[Rectangular Field Dimension: Length - m ]],Methods_Dimensions!J$17,Table4[[#This Row],[Rectangular Field Dimension: Width - m ]],Methods_Dimensions!H$17)</f>
        <v>0</v>
      </c>
      <c r="AV70" s="10">
        <f>COUNTIFS(Table4[[#This Row],[Rectangular Field Dimension: Length - m ]],Methods_Dimensions!J$18,Table4[[#This Row],[Rectangular Field Dimension: Width - m ]],Methods_Dimensions!H$18)</f>
        <v>0</v>
      </c>
      <c r="AW70" s="10">
        <f>COUNTIFS(Table4[[#This Row],[Rectangular Field Dimension: Length - m ]],Methods_Dimensions!J$19,Table4[[#This Row],[Rectangular Field Dimension: Width - m ]],Methods_Dimensions!H$19)</f>
        <v>0</v>
      </c>
      <c r="AX70" s="6" t="s">
        <v>540</v>
      </c>
      <c r="AY70" s="6" t="s">
        <v>388</v>
      </c>
    </row>
    <row r="71" spans="1:51" ht="34.799999999999997" x14ac:dyDescent="0.3">
      <c r="A71" s="4" t="s">
        <v>236</v>
      </c>
      <c r="B71" s="5" t="s">
        <v>541</v>
      </c>
      <c r="C71" s="5" t="s">
        <v>427</v>
      </c>
      <c r="D71" s="5" t="s">
        <v>79</v>
      </c>
      <c r="E71" s="5" t="s">
        <v>1271</v>
      </c>
      <c r="F71" s="5" t="s">
        <v>740</v>
      </c>
      <c r="G71" s="6" t="s">
        <v>159</v>
      </c>
      <c r="H71" s="12">
        <v>78</v>
      </c>
      <c r="I71" s="12">
        <v>54</v>
      </c>
      <c r="J71" s="37">
        <v>4212</v>
      </c>
      <c r="K71" s="12">
        <v>1</v>
      </c>
      <c r="L71" s="12" t="s">
        <v>397</v>
      </c>
      <c r="M71" s="12">
        <v>1</v>
      </c>
      <c r="N71" s="12">
        <v>1</v>
      </c>
      <c r="O71" s="12"/>
      <c r="P71" s="12">
        <v>1</v>
      </c>
      <c r="Q71" s="12"/>
      <c r="R71" s="12">
        <v>1</v>
      </c>
      <c r="S71" s="12"/>
      <c r="T71" s="12"/>
      <c r="U71" s="12"/>
      <c r="V71" s="12"/>
      <c r="W71" s="17"/>
      <c r="X71" s="12"/>
      <c r="Y71" s="12"/>
      <c r="Z71" s="12">
        <v>1</v>
      </c>
      <c r="AA71" s="12"/>
      <c r="AB71" s="17" t="s">
        <v>535</v>
      </c>
      <c r="AC71" s="17">
        <v>64</v>
      </c>
      <c r="AD71" s="12">
        <v>1</v>
      </c>
      <c r="AE71" s="17"/>
      <c r="AF71" s="12" t="s">
        <v>408</v>
      </c>
      <c r="AG71" s="17" t="s">
        <v>386</v>
      </c>
      <c r="AH71" s="12"/>
      <c r="AI71" s="12"/>
      <c r="AJ71" s="12">
        <f>SUM(Table4[[#This Row],[Soccer/U7 (Yes=1)]:[Ultimate Frisbee (Yes=1)]])</f>
        <v>4</v>
      </c>
      <c r="AK71" s="10"/>
      <c r="AL71" s="10">
        <v>1</v>
      </c>
      <c r="AM71" s="10">
        <v>1</v>
      </c>
      <c r="AN71" s="10">
        <f>COUNTIFS(Table4[[#This Row],[Rectangular Field Dimension: Length - m ]],Methods_Dimensions!J$10,Table4[[#This Row],[Rectangular Field Dimension: Width - m ]],Methods_Dimensions!H$10)</f>
        <v>1</v>
      </c>
      <c r="AO71" s="10">
        <f>COUNTIFS(Table4[[#This Row],[Rectangular Field Dimension: Length - m ]],Methods_Dimensions!J$11,Table4[[#This Row],[Rectangular Field Dimension: Width - m ]],Methods_Dimensions!H$11)</f>
        <v>1</v>
      </c>
      <c r="AP71" s="10">
        <f>COUNTIFS(Table4[[#This Row],[Rectangular Field Dimension: Length - m ]],Methods_Dimensions!J$12,Table4[[#This Row],[Rectangular Field Dimension: Width - m ]],Methods_Dimensions!H$12)</f>
        <v>0</v>
      </c>
      <c r="AQ71" s="10">
        <f>COUNTIFS(Table4[[#This Row],[Rectangular Field Dimension: Length - m ]],Methods_Dimensions!J$13,Table4[[#This Row],[Rectangular Field Dimension: Width - m ]],Methods_Dimensions!H$13)</f>
        <v>0</v>
      </c>
      <c r="AR71" s="10">
        <f>COUNTIFS(Table4[[#This Row],[Rectangular Field Dimension: Length - m ]],Methods_Dimensions!J$14,Table4[[#This Row],[Rectangular Field Dimension: Width - m ]],Methods_Dimensions!H$14)</f>
        <v>0</v>
      </c>
      <c r="AS7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1" s="10">
        <f>COUNTIFS(Table4[[#This Row],[Rectangular Field Dimension: Length - m ]],Methods_Dimensions!J$16,Table4[[#This Row],[Rectangular Field Dimension: Width - m ]],Methods_Dimensions!H$16)</f>
        <v>0</v>
      </c>
      <c r="AU71" s="10">
        <f>COUNTIFS(Table4[[#This Row],[Rectangular Field Dimension: Length - m ]],Methods_Dimensions!J$17,Table4[[#This Row],[Rectangular Field Dimension: Width - m ]],Methods_Dimensions!H$17)</f>
        <v>0</v>
      </c>
      <c r="AV71" s="10">
        <f>COUNTIFS(Table4[[#This Row],[Rectangular Field Dimension: Length - m ]],Methods_Dimensions!J$18,Table4[[#This Row],[Rectangular Field Dimension: Width - m ]],Methods_Dimensions!H$18)</f>
        <v>0</v>
      </c>
      <c r="AW71" s="10">
        <f>COUNTIFS(Table4[[#This Row],[Rectangular Field Dimension: Length - m ]],Methods_Dimensions!J$19,Table4[[#This Row],[Rectangular Field Dimension: Width - m ]],Methods_Dimensions!H$19)</f>
        <v>0</v>
      </c>
      <c r="AX71" s="6" t="s">
        <v>542</v>
      </c>
      <c r="AY71" s="6" t="s">
        <v>388</v>
      </c>
    </row>
    <row r="72" spans="1:51" ht="34.799999999999997" x14ac:dyDescent="0.3">
      <c r="A72" s="26" t="s">
        <v>237</v>
      </c>
      <c r="B72" s="14" t="s">
        <v>541</v>
      </c>
      <c r="C72" s="14" t="s">
        <v>427</v>
      </c>
      <c r="D72" s="14" t="s">
        <v>79</v>
      </c>
      <c r="E72" s="14" t="s">
        <v>1271</v>
      </c>
      <c r="F72" s="14" t="s">
        <v>740</v>
      </c>
      <c r="G72" s="15" t="s">
        <v>159</v>
      </c>
      <c r="H72" s="16">
        <v>73</v>
      </c>
      <c r="I72" s="16">
        <v>70</v>
      </c>
      <c r="J72" s="36">
        <v>5110</v>
      </c>
      <c r="K72" s="16">
        <v>1</v>
      </c>
      <c r="L72" s="16" t="s">
        <v>397</v>
      </c>
      <c r="M72" s="16">
        <v>1</v>
      </c>
      <c r="N72" s="16">
        <v>1</v>
      </c>
      <c r="O72" s="16"/>
      <c r="P72" s="16">
        <v>1</v>
      </c>
      <c r="Q72" s="16"/>
      <c r="R72" s="16">
        <v>1</v>
      </c>
      <c r="S72" s="16"/>
      <c r="T72" s="16"/>
      <c r="U72" s="16"/>
      <c r="V72" s="16"/>
      <c r="W72" s="18"/>
      <c r="X72" s="16"/>
      <c r="Y72" s="16"/>
      <c r="Z72" s="16">
        <v>1</v>
      </c>
      <c r="AA72" s="16"/>
      <c r="AB72" s="18" t="s">
        <v>535</v>
      </c>
      <c r="AC72" s="18">
        <v>64</v>
      </c>
      <c r="AD72" s="16">
        <v>1</v>
      </c>
      <c r="AE72" s="18"/>
      <c r="AF72" s="16" t="s">
        <v>444</v>
      </c>
      <c r="AG72" s="18" t="s">
        <v>386</v>
      </c>
      <c r="AH72" s="16"/>
      <c r="AI72" s="16"/>
      <c r="AJ72" s="16">
        <f>SUM(Table4[[#This Row],[Soccer/U7 (Yes=1)]:[Ultimate Frisbee (Yes=1)]])</f>
        <v>4</v>
      </c>
      <c r="AK72" s="10"/>
      <c r="AL72" s="10">
        <v>1</v>
      </c>
      <c r="AM72" s="10">
        <v>1</v>
      </c>
      <c r="AN72" s="10">
        <f>COUNTIFS(Table4[[#This Row],[Rectangular Field Dimension: Length - m ]],Methods_Dimensions!J$10,Table4[[#This Row],[Rectangular Field Dimension: Width - m ]],Methods_Dimensions!H$10)</f>
        <v>1</v>
      </c>
      <c r="AO72" s="10">
        <f>COUNTIFS(Table4[[#This Row],[Rectangular Field Dimension: Length - m ]],Methods_Dimensions!J$11,Table4[[#This Row],[Rectangular Field Dimension: Width - m ]],Methods_Dimensions!H$11)</f>
        <v>1</v>
      </c>
      <c r="AP72" s="10">
        <f>COUNTIFS(Table4[[#This Row],[Rectangular Field Dimension: Length - m ]],Methods_Dimensions!J$12,Table4[[#This Row],[Rectangular Field Dimension: Width - m ]],Methods_Dimensions!H$12)</f>
        <v>0</v>
      </c>
      <c r="AQ72" s="10">
        <f>COUNTIFS(Table4[[#This Row],[Rectangular Field Dimension: Length - m ]],Methods_Dimensions!J$13,Table4[[#This Row],[Rectangular Field Dimension: Width - m ]],Methods_Dimensions!H$13)</f>
        <v>0</v>
      </c>
      <c r="AR72" s="10">
        <f>COUNTIFS(Table4[[#This Row],[Rectangular Field Dimension: Length - m ]],Methods_Dimensions!J$14,Table4[[#This Row],[Rectangular Field Dimension: Width - m ]],Methods_Dimensions!H$14)</f>
        <v>0</v>
      </c>
      <c r="AS7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2" s="10">
        <f>COUNTIFS(Table4[[#This Row],[Rectangular Field Dimension: Length - m ]],Methods_Dimensions!J$16,Table4[[#This Row],[Rectangular Field Dimension: Width - m ]],Methods_Dimensions!H$16)</f>
        <v>0</v>
      </c>
      <c r="AU72" s="10">
        <f>COUNTIFS(Table4[[#This Row],[Rectangular Field Dimension: Length - m ]],Methods_Dimensions!J$17,Table4[[#This Row],[Rectangular Field Dimension: Width - m ]],Methods_Dimensions!H$17)</f>
        <v>0</v>
      </c>
      <c r="AV72" s="10">
        <f>COUNTIFS(Table4[[#This Row],[Rectangular Field Dimension: Length - m ]],Methods_Dimensions!J$18,Table4[[#This Row],[Rectangular Field Dimension: Width - m ]],Methods_Dimensions!H$18)</f>
        <v>0</v>
      </c>
      <c r="AW72" s="10">
        <f>COUNTIFS(Table4[[#This Row],[Rectangular Field Dimension: Length - m ]],Methods_Dimensions!J$19,Table4[[#This Row],[Rectangular Field Dimension: Width - m ]],Methods_Dimensions!H$19)</f>
        <v>0</v>
      </c>
      <c r="AX72" s="6" t="s">
        <v>542</v>
      </c>
      <c r="AY72" s="6" t="s">
        <v>388</v>
      </c>
    </row>
    <row r="73" spans="1:51" ht="52.2" x14ac:dyDescent="0.3">
      <c r="A73" s="4" t="s">
        <v>238</v>
      </c>
      <c r="B73" s="5" t="s">
        <v>543</v>
      </c>
      <c r="C73" s="5" t="s">
        <v>406</v>
      </c>
      <c r="D73" s="5" t="s">
        <v>239</v>
      </c>
      <c r="E73" s="5" t="s">
        <v>413</v>
      </c>
      <c r="F73" s="5" t="s">
        <v>789</v>
      </c>
      <c r="G73" s="6" t="s">
        <v>159</v>
      </c>
      <c r="H73" s="12">
        <v>78</v>
      </c>
      <c r="I73" s="12">
        <v>53</v>
      </c>
      <c r="J73" s="37">
        <v>4134</v>
      </c>
      <c r="K73" s="12">
        <v>1</v>
      </c>
      <c r="L73" s="12" t="s">
        <v>397</v>
      </c>
      <c r="M73" s="12">
        <v>1</v>
      </c>
      <c r="N73" s="12"/>
      <c r="O73" s="12">
        <v>1</v>
      </c>
      <c r="P73" s="12"/>
      <c r="Q73" s="12"/>
      <c r="R73" s="12"/>
      <c r="S73" s="12"/>
      <c r="T73" s="12"/>
      <c r="U73" s="12"/>
      <c r="V73" s="12"/>
      <c r="W73" s="17"/>
      <c r="X73" s="12"/>
      <c r="Y73" s="12"/>
      <c r="Z73" s="12">
        <v>1</v>
      </c>
      <c r="AA73" s="12"/>
      <c r="AB73" s="17" t="s">
        <v>383</v>
      </c>
      <c r="AC73" s="17"/>
      <c r="AD73" s="12"/>
      <c r="AE73" s="17" t="s">
        <v>544</v>
      </c>
      <c r="AF73" s="12" t="s">
        <v>408</v>
      </c>
      <c r="AG73" s="17" t="s">
        <v>416</v>
      </c>
      <c r="AH73" s="12" t="s">
        <v>489</v>
      </c>
      <c r="AI73" s="12">
        <v>4</v>
      </c>
      <c r="AJ73" s="12">
        <f>SUM(Table4[[#This Row],[Soccer/U7 (Yes=1)]:[Ultimate Frisbee (Yes=1)]])</f>
        <v>4</v>
      </c>
      <c r="AK73" s="10"/>
      <c r="AL73" s="10">
        <v>1</v>
      </c>
      <c r="AM73" s="10">
        <v>1</v>
      </c>
      <c r="AN73" s="10">
        <f>COUNTIFS(Table4[[#This Row],[Rectangular Field Dimension: Length - m ]],Methods_Dimensions!J$10,Table4[[#This Row],[Rectangular Field Dimension: Width - m ]],Methods_Dimensions!H$10)</f>
        <v>1</v>
      </c>
      <c r="AO73" s="10">
        <f>COUNTIFS(Table4[[#This Row],[Rectangular Field Dimension: Length - m ]],Methods_Dimensions!J$11,Table4[[#This Row],[Rectangular Field Dimension: Width - m ]],Methods_Dimensions!H$11)</f>
        <v>1</v>
      </c>
      <c r="AP73" s="10">
        <f>COUNTIFS(Table4[[#This Row],[Rectangular Field Dimension: Length - m ]],Methods_Dimensions!J$12,Table4[[#This Row],[Rectangular Field Dimension: Width - m ]],Methods_Dimensions!H$12)</f>
        <v>0</v>
      </c>
      <c r="AQ73" s="10">
        <f>COUNTIFS(Table4[[#This Row],[Rectangular Field Dimension: Length - m ]],Methods_Dimensions!J$13,Table4[[#This Row],[Rectangular Field Dimension: Width - m ]],Methods_Dimensions!H$13)</f>
        <v>0</v>
      </c>
      <c r="AR73" s="10">
        <f>COUNTIFS(Table4[[#This Row],[Rectangular Field Dimension: Length - m ]],Methods_Dimensions!J$14,Table4[[#This Row],[Rectangular Field Dimension: Width - m ]],Methods_Dimensions!H$14)</f>
        <v>0</v>
      </c>
      <c r="AS7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3" s="10">
        <f>COUNTIFS(Table4[[#This Row],[Rectangular Field Dimension: Length - m ]],Methods_Dimensions!J$16,Table4[[#This Row],[Rectangular Field Dimension: Width - m ]],Methods_Dimensions!H$16)</f>
        <v>0</v>
      </c>
      <c r="AU73" s="10">
        <f>COUNTIFS(Table4[[#This Row],[Rectangular Field Dimension: Length - m ]],Methods_Dimensions!J$17,Table4[[#This Row],[Rectangular Field Dimension: Width - m ]],Methods_Dimensions!H$17)</f>
        <v>0</v>
      </c>
      <c r="AV73" s="10">
        <f>COUNTIFS(Table4[[#This Row],[Rectangular Field Dimension: Length - m ]],Methods_Dimensions!J$18,Table4[[#This Row],[Rectangular Field Dimension: Width - m ]],Methods_Dimensions!H$18)</f>
        <v>0</v>
      </c>
      <c r="AW73" s="10">
        <f>COUNTIFS(Table4[[#This Row],[Rectangular Field Dimension: Length - m ]],Methods_Dimensions!J$19,Table4[[#This Row],[Rectangular Field Dimension: Width - m ]],Methods_Dimensions!H$19)</f>
        <v>0</v>
      </c>
      <c r="AX73" s="6" t="s">
        <v>545</v>
      </c>
      <c r="AY73" s="6" t="s">
        <v>546</v>
      </c>
    </row>
    <row r="74" spans="1:51" ht="52.2" x14ac:dyDescent="0.3">
      <c r="A74" s="26" t="s">
        <v>240</v>
      </c>
      <c r="B74" s="14" t="s">
        <v>543</v>
      </c>
      <c r="C74" s="14" t="s">
        <v>406</v>
      </c>
      <c r="D74" s="14" t="s">
        <v>239</v>
      </c>
      <c r="E74" s="14" t="s">
        <v>413</v>
      </c>
      <c r="F74" s="14" t="s">
        <v>789</v>
      </c>
      <c r="G74" s="15" t="s">
        <v>159</v>
      </c>
      <c r="H74" s="16">
        <v>91</v>
      </c>
      <c r="I74" s="16">
        <v>56</v>
      </c>
      <c r="J74" s="36">
        <v>5096</v>
      </c>
      <c r="K74" s="16">
        <v>1</v>
      </c>
      <c r="L74" s="16" t="s">
        <v>397</v>
      </c>
      <c r="M74" s="16">
        <v>1</v>
      </c>
      <c r="N74" s="16">
        <v>1</v>
      </c>
      <c r="O74" s="16">
        <v>1</v>
      </c>
      <c r="P74" s="16"/>
      <c r="Q74" s="16"/>
      <c r="R74" s="16"/>
      <c r="S74" s="16"/>
      <c r="T74" s="16"/>
      <c r="U74" s="16"/>
      <c r="V74" s="16"/>
      <c r="W74" s="18"/>
      <c r="X74" s="16"/>
      <c r="Y74" s="16"/>
      <c r="Z74" s="16">
        <v>1</v>
      </c>
      <c r="AA74" s="16"/>
      <c r="AB74" s="18" t="s">
        <v>383</v>
      </c>
      <c r="AC74" s="18"/>
      <c r="AD74" s="16"/>
      <c r="AE74" s="18" t="s">
        <v>544</v>
      </c>
      <c r="AF74" s="16" t="s">
        <v>408</v>
      </c>
      <c r="AG74" s="18" t="s">
        <v>416</v>
      </c>
      <c r="AH74" s="16" t="s">
        <v>489</v>
      </c>
      <c r="AI74" s="16">
        <v>4</v>
      </c>
      <c r="AJ74" s="16">
        <f>SUM(Table4[[#This Row],[Soccer/U7 (Yes=1)]:[Ultimate Frisbee (Yes=1)]])</f>
        <v>5</v>
      </c>
      <c r="AK74" s="10"/>
      <c r="AL74" s="10">
        <v>1</v>
      </c>
      <c r="AM74" s="10">
        <v>1</v>
      </c>
      <c r="AN74" s="10">
        <f>COUNTIFS(Table4[[#This Row],[Rectangular Field Dimension: Length - m ]],Methods_Dimensions!J$10,Table4[[#This Row],[Rectangular Field Dimension: Width - m ]],Methods_Dimensions!H$10)</f>
        <v>1</v>
      </c>
      <c r="AO74" s="10">
        <f>COUNTIFS(Table4[[#This Row],[Rectangular Field Dimension: Length - m ]],Methods_Dimensions!J$11,Table4[[#This Row],[Rectangular Field Dimension: Width - m ]],Methods_Dimensions!H$11)</f>
        <v>1</v>
      </c>
      <c r="AP74" s="10">
        <f>COUNTIFS(Table4[[#This Row],[Rectangular Field Dimension: Length - m ]],Methods_Dimensions!J$12,Table4[[#This Row],[Rectangular Field Dimension: Width - m ]],Methods_Dimensions!H$12)</f>
        <v>1</v>
      </c>
      <c r="AQ74" s="10">
        <f>COUNTIFS(Table4[[#This Row],[Rectangular Field Dimension: Length - m ]],Methods_Dimensions!J$13,Table4[[#This Row],[Rectangular Field Dimension: Width - m ]],Methods_Dimensions!H$13)</f>
        <v>0</v>
      </c>
      <c r="AR74" s="10">
        <f>COUNTIFS(Table4[[#This Row],[Rectangular Field Dimension: Length - m ]],Methods_Dimensions!J$14,Table4[[#This Row],[Rectangular Field Dimension: Width - m ]],Methods_Dimensions!H$14)</f>
        <v>0</v>
      </c>
      <c r="AS7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4" s="10">
        <f>COUNTIFS(Table4[[#This Row],[Rectangular Field Dimension: Length - m ]],Methods_Dimensions!J$16,Table4[[#This Row],[Rectangular Field Dimension: Width - m ]],Methods_Dimensions!H$16)</f>
        <v>0</v>
      </c>
      <c r="AU74" s="10">
        <f>COUNTIFS(Table4[[#This Row],[Rectangular Field Dimension: Length - m ]],Methods_Dimensions!J$17,Table4[[#This Row],[Rectangular Field Dimension: Width - m ]],Methods_Dimensions!H$17)</f>
        <v>0</v>
      </c>
      <c r="AV74" s="10">
        <f>COUNTIFS(Table4[[#This Row],[Rectangular Field Dimension: Length - m ]],Methods_Dimensions!J$18,Table4[[#This Row],[Rectangular Field Dimension: Width - m ]],Methods_Dimensions!H$18)</f>
        <v>0</v>
      </c>
      <c r="AW74" s="10">
        <f>COUNTIFS(Table4[[#This Row],[Rectangular Field Dimension: Length - m ]],Methods_Dimensions!J$19,Table4[[#This Row],[Rectangular Field Dimension: Width - m ]],Methods_Dimensions!H$19)</f>
        <v>0</v>
      </c>
      <c r="AX74" s="6" t="s">
        <v>547</v>
      </c>
      <c r="AY74" s="6" t="s">
        <v>388</v>
      </c>
    </row>
    <row r="75" spans="1:51" ht="34.799999999999997" x14ac:dyDescent="0.3">
      <c r="A75" s="4" t="s">
        <v>241</v>
      </c>
      <c r="B75" s="5" t="s">
        <v>548</v>
      </c>
      <c r="C75" s="5" t="s">
        <v>549</v>
      </c>
      <c r="D75" s="5" t="s">
        <v>84</v>
      </c>
      <c r="E75" s="5" t="s">
        <v>1271</v>
      </c>
      <c r="F75" s="5" t="s">
        <v>740</v>
      </c>
      <c r="G75" s="6" t="s">
        <v>159</v>
      </c>
      <c r="H75" s="12">
        <v>120</v>
      </c>
      <c r="I75" s="12">
        <v>103</v>
      </c>
      <c r="J75" s="37">
        <v>12360</v>
      </c>
      <c r="K75" s="12">
        <v>1</v>
      </c>
      <c r="L75" s="12" t="s">
        <v>397</v>
      </c>
      <c r="M75" s="12">
        <v>1</v>
      </c>
      <c r="N75" s="12">
        <v>1</v>
      </c>
      <c r="O75" s="12"/>
      <c r="P75" s="12"/>
      <c r="Q75" s="12"/>
      <c r="R75" s="12"/>
      <c r="S75" s="12"/>
      <c r="T75" s="12"/>
      <c r="U75" s="12"/>
      <c r="V75" s="12"/>
      <c r="W75" s="17"/>
      <c r="X75" s="12"/>
      <c r="Y75" s="12"/>
      <c r="Z75" s="12">
        <v>1</v>
      </c>
      <c r="AA75" s="12"/>
      <c r="AB75" s="17" t="s">
        <v>535</v>
      </c>
      <c r="AC75" s="17">
        <v>50</v>
      </c>
      <c r="AD75" s="12"/>
      <c r="AE75" s="17" t="s">
        <v>550</v>
      </c>
      <c r="AF75" s="12" t="s">
        <v>408</v>
      </c>
      <c r="AG75" s="17" t="s">
        <v>386</v>
      </c>
      <c r="AH75" s="12"/>
      <c r="AI75" s="12"/>
      <c r="AJ75" s="12">
        <f>SUM(Table4[[#This Row],[Soccer/U7 (Yes=1)]:[Ultimate Frisbee (Yes=1)]])</f>
        <v>7</v>
      </c>
      <c r="AK75" s="10"/>
      <c r="AL75" s="10">
        <v>1</v>
      </c>
      <c r="AM75" s="10">
        <v>1</v>
      </c>
      <c r="AN75" s="10">
        <f>COUNTIFS(Table4[[#This Row],[Rectangular Field Dimension: Length - m ]],Methods_Dimensions!J$10,Table4[[#This Row],[Rectangular Field Dimension: Width - m ]],Methods_Dimensions!H$10)</f>
        <v>1</v>
      </c>
      <c r="AO75" s="10">
        <f>COUNTIFS(Table4[[#This Row],[Rectangular Field Dimension: Length - m ]],Methods_Dimensions!J$11,Table4[[#This Row],[Rectangular Field Dimension: Width - m ]],Methods_Dimensions!H$11)</f>
        <v>1</v>
      </c>
      <c r="AP75" s="10">
        <f>COUNTIFS(Table4[[#This Row],[Rectangular Field Dimension: Length - m ]],Methods_Dimensions!J$12,Table4[[#This Row],[Rectangular Field Dimension: Width - m ]],Methods_Dimensions!H$12)</f>
        <v>1</v>
      </c>
      <c r="AQ75" s="10">
        <f>COUNTIFS(Table4[[#This Row],[Rectangular Field Dimension: Length - m ]],Methods_Dimensions!J$13,Table4[[#This Row],[Rectangular Field Dimension: Width - m ]],Methods_Dimensions!H$13)</f>
        <v>0</v>
      </c>
      <c r="AR75" s="10">
        <f>COUNTIFS(Table4[[#This Row],[Rectangular Field Dimension: Length - m ]],Methods_Dimensions!J$14,Table4[[#This Row],[Rectangular Field Dimension: Width - m ]],Methods_Dimensions!H$14)</f>
        <v>0</v>
      </c>
      <c r="AS7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5" s="10">
        <f>COUNTIFS(Table4[[#This Row],[Rectangular Field Dimension: Length - m ]],Methods_Dimensions!J$16,Table4[[#This Row],[Rectangular Field Dimension: Width - m ]],Methods_Dimensions!H$16)</f>
        <v>0</v>
      </c>
      <c r="AU75" s="10">
        <f>COUNTIFS(Table4[[#This Row],[Rectangular Field Dimension: Length - m ]],Methods_Dimensions!J$17,Table4[[#This Row],[Rectangular Field Dimension: Width - m ]],Methods_Dimensions!H$17)</f>
        <v>1</v>
      </c>
      <c r="AV75" s="10">
        <f>COUNTIFS(Table4[[#This Row],[Rectangular Field Dimension: Length - m ]],Methods_Dimensions!J$18,Table4[[#This Row],[Rectangular Field Dimension: Width - m ]],Methods_Dimensions!H$18)</f>
        <v>0</v>
      </c>
      <c r="AW75" s="10">
        <f>COUNTIFS(Table4[[#This Row],[Rectangular Field Dimension: Length - m ]],Methods_Dimensions!J$19,Table4[[#This Row],[Rectangular Field Dimension: Width - m ]],Methods_Dimensions!H$19)</f>
        <v>1</v>
      </c>
      <c r="AX75" s="6" t="s">
        <v>551</v>
      </c>
      <c r="AY75" s="6" t="s">
        <v>552</v>
      </c>
    </row>
    <row r="76" spans="1:51" ht="34.799999999999997" x14ac:dyDescent="0.3">
      <c r="A76" s="26" t="s">
        <v>242</v>
      </c>
      <c r="B76" s="14" t="s">
        <v>553</v>
      </c>
      <c r="C76" s="14" t="s">
        <v>441</v>
      </c>
      <c r="D76" s="14" t="s">
        <v>87</v>
      </c>
      <c r="E76" s="14" t="s">
        <v>1272</v>
      </c>
      <c r="F76" s="14" t="s">
        <v>754</v>
      </c>
      <c r="G76" s="15" t="s">
        <v>159</v>
      </c>
      <c r="H76" s="16">
        <v>78</v>
      </c>
      <c r="I76" s="16">
        <v>50</v>
      </c>
      <c r="J76" s="36">
        <v>3900</v>
      </c>
      <c r="K76" s="16">
        <v>1</v>
      </c>
      <c r="L76" s="16" t="s">
        <v>397</v>
      </c>
      <c r="M76" s="16">
        <v>1</v>
      </c>
      <c r="N76" s="16">
        <v>1</v>
      </c>
      <c r="O76" s="16"/>
      <c r="P76" s="16"/>
      <c r="Q76" s="16"/>
      <c r="R76" s="16">
        <v>1</v>
      </c>
      <c r="S76" s="16"/>
      <c r="T76" s="16"/>
      <c r="U76" s="16"/>
      <c r="V76" s="16"/>
      <c r="W76" s="18"/>
      <c r="X76" s="16"/>
      <c r="Y76" s="16"/>
      <c r="Z76" s="16">
        <v>1</v>
      </c>
      <c r="AA76" s="16"/>
      <c r="AB76" s="18" t="s">
        <v>470</v>
      </c>
      <c r="AC76" s="18">
        <v>242</v>
      </c>
      <c r="AD76" s="16">
        <v>1</v>
      </c>
      <c r="AE76" s="18" t="s">
        <v>554</v>
      </c>
      <c r="AF76" s="16" t="s">
        <v>444</v>
      </c>
      <c r="AG76" s="18" t="s">
        <v>386</v>
      </c>
      <c r="AH76" s="16"/>
      <c r="AI76" s="16"/>
      <c r="AJ76" s="16">
        <f>SUM(Table4[[#This Row],[Soccer/U7 (Yes=1)]:[Ultimate Frisbee (Yes=1)]])</f>
        <v>4</v>
      </c>
      <c r="AK76" s="10"/>
      <c r="AL76" s="10">
        <v>1</v>
      </c>
      <c r="AM76" s="10">
        <v>1</v>
      </c>
      <c r="AN76" s="10">
        <f>COUNTIFS(Table4[[#This Row],[Rectangular Field Dimension: Length - m ]],Methods_Dimensions!J$10,Table4[[#This Row],[Rectangular Field Dimension: Width - m ]],Methods_Dimensions!H$10)</f>
        <v>1</v>
      </c>
      <c r="AO76" s="10">
        <f>COUNTIFS(Table4[[#This Row],[Rectangular Field Dimension: Length - m ]],Methods_Dimensions!J$11,Table4[[#This Row],[Rectangular Field Dimension: Width - m ]],Methods_Dimensions!H$11)</f>
        <v>1</v>
      </c>
      <c r="AP76" s="10">
        <f>COUNTIFS(Table4[[#This Row],[Rectangular Field Dimension: Length - m ]],Methods_Dimensions!J$12,Table4[[#This Row],[Rectangular Field Dimension: Width - m ]],Methods_Dimensions!H$12)</f>
        <v>0</v>
      </c>
      <c r="AQ76" s="10">
        <f>COUNTIFS(Table4[[#This Row],[Rectangular Field Dimension: Length - m ]],Methods_Dimensions!J$13,Table4[[#This Row],[Rectangular Field Dimension: Width - m ]],Methods_Dimensions!H$13)</f>
        <v>0</v>
      </c>
      <c r="AR76" s="10">
        <f>COUNTIFS(Table4[[#This Row],[Rectangular Field Dimension: Length - m ]],Methods_Dimensions!J$14,Table4[[#This Row],[Rectangular Field Dimension: Width - m ]],Methods_Dimensions!H$14)</f>
        <v>0</v>
      </c>
      <c r="AS7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6" s="10">
        <f>COUNTIFS(Table4[[#This Row],[Rectangular Field Dimension: Length - m ]],Methods_Dimensions!J$16,Table4[[#This Row],[Rectangular Field Dimension: Width - m ]],Methods_Dimensions!H$16)</f>
        <v>0</v>
      </c>
      <c r="AU76" s="10">
        <f>COUNTIFS(Table4[[#This Row],[Rectangular Field Dimension: Length - m ]],Methods_Dimensions!J$17,Table4[[#This Row],[Rectangular Field Dimension: Width - m ]],Methods_Dimensions!H$17)</f>
        <v>0</v>
      </c>
      <c r="AV76" s="10">
        <f>COUNTIFS(Table4[[#This Row],[Rectangular Field Dimension: Length - m ]],Methods_Dimensions!J$18,Table4[[#This Row],[Rectangular Field Dimension: Width - m ]],Methods_Dimensions!H$18)</f>
        <v>0</v>
      </c>
      <c r="AW76" s="10">
        <f>COUNTIFS(Table4[[#This Row],[Rectangular Field Dimension: Length - m ]],Methods_Dimensions!J$19,Table4[[#This Row],[Rectangular Field Dimension: Width - m ]],Methods_Dimensions!H$19)</f>
        <v>0</v>
      </c>
      <c r="AX76" s="6" t="s">
        <v>387</v>
      </c>
      <c r="AY76" s="6" t="s">
        <v>388</v>
      </c>
    </row>
    <row r="77" spans="1:51" ht="34.799999999999997" x14ac:dyDescent="0.3">
      <c r="A77" s="4" t="s">
        <v>243</v>
      </c>
      <c r="B77" s="5" t="s">
        <v>553</v>
      </c>
      <c r="C77" s="5" t="s">
        <v>441</v>
      </c>
      <c r="D77" s="5" t="s">
        <v>87</v>
      </c>
      <c r="E77" s="5" t="s">
        <v>1271</v>
      </c>
      <c r="F77" s="5" t="s">
        <v>754</v>
      </c>
      <c r="G77" s="6" t="s">
        <v>159</v>
      </c>
      <c r="H77" s="12">
        <v>50</v>
      </c>
      <c r="I77" s="12">
        <v>40</v>
      </c>
      <c r="J77" s="37">
        <v>2000</v>
      </c>
      <c r="K77" s="12">
        <v>1</v>
      </c>
      <c r="L77" s="12" t="s">
        <v>397</v>
      </c>
      <c r="M77" s="12">
        <v>1</v>
      </c>
      <c r="N77" s="12">
        <v>1</v>
      </c>
      <c r="O77" s="12"/>
      <c r="P77" s="12"/>
      <c r="Q77" s="12"/>
      <c r="R77" s="12">
        <v>1</v>
      </c>
      <c r="S77" s="12"/>
      <c r="T77" s="12"/>
      <c r="U77" s="12"/>
      <c r="V77" s="12"/>
      <c r="W77" s="17"/>
      <c r="X77" s="12"/>
      <c r="Y77" s="12"/>
      <c r="Z77" s="12">
        <v>1</v>
      </c>
      <c r="AA77" s="12"/>
      <c r="AB77" s="17" t="s">
        <v>470</v>
      </c>
      <c r="AC77" s="17">
        <v>242</v>
      </c>
      <c r="AD77" s="12">
        <v>1</v>
      </c>
      <c r="AE77" s="17" t="s">
        <v>554</v>
      </c>
      <c r="AF77" s="12" t="s">
        <v>385</v>
      </c>
      <c r="AG77" s="17" t="s">
        <v>386</v>
      </c>
      <c r="AH77" s="12"/>
      <c r="AI77" s="12"/>
      <c r="AJ77" s="12">
        <f>SUM(Table4[[#This Row],[Soccer/U7 (Yes=1)]:[Ultimate Frisbee (Yes=1)]])</f>
        <v>3</v>
      </c>
      <c r="AK77" s="10"/>
      <c r="AL77" s="10">
        <v>1</v>
      </c>
      <c r="AM77" s="10">
        <v>1</v>
      </c>
      <c r="AN77" s="10">
        <f>COUNTIFS(Table4[[#This Row],[Rectangular Field Dimension: Length - m ]],Methods_Dimensions!J$10,Table4[[#This Row],[Rectangular Field Dimension: Width - m ]],Methods_Dimensions!H$10)</f>
        <v>1</v>
      </c>
      <c r="AO77" s="10">
        <f>COUNTIFS(Table4[[#This Row],[Rectangular Field Dimension: Length - m ]],Methods_Dimensions!J$11,Table4[[#This Row],[Rectangular Field Dimension: Width - m ]],Methods_Dimensions!H$11)</f>
        <v>0</v>
      </c>
      <c r="AP77" s="10">
        <f>COUNTIFS(Table4[[#This Row],[Rectangular Field Dimension: Length - m ]],Methods_Dimensions!J$12,Table4[[#This Row],[Rectangular Field Dimension: Width - m ]],Methods_Dimensions!H$12)</f>
        <v>0</v>
      </c>
      <c r="AQ77" s="10">
        <f>COUNTIFS(Table4[[#This Row],[Rectangular Field Dimension: Length - m ]],Methods_Dimensions!J$13,Table4[[#This Row],[Rectangular Field Dimension: Width - m ]],Methods_Dimensions!H$13)</f>
        <v>0</v>
      </c>
      <c r="AR77" s="10">
        <f>COUNTIFS(Table4[[#This Row],[Rectangular Field Dimension: Length - m ]],Methods_Dimensions!J$14,Table4[[#This Row],[Rectangular Field Dimension: Width - m ]],Methods_Dimensions!H$14)</f>
        <v>0</v>
      </c>
      <c r="AS7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7" s="10">
        <f>COUNTIFS(Table4[[#This Row],[Rectangular Field Dimension: Length - m ]],Methods_Dimensions!J$16,Table4[[#This Row],[Rectangular Field Dimension: Width - m ]],Methods_Dimensions!H$16)</f>
        <v>0</v>
      </c>
      <c r="AU77" s="10">
        <f>COUNTIFS(Table4[[#This Row],[Rectangular Field Dimension: Length - m ]],Methods_Dimensions!J$17,Table4[[#This Row],[Rectangular Field Dimension: Width - m ]],Methods_Dimensions!H$17)</f>
        <v>0</v>
      </c>
      <c r="AV77" s="10">
        <f>COUNTIFS(Table4[[#This Row],[Rectangular Field Dimension: Length - m ]],Methods_Dimensions!J$18,Table4[[#This Row],[Rectangular Field Dimension: Width - m ]],Methods_Dimensions!H$18)</f>
        <v>0</v>
      </c>
      <c r="AW77" s="10">
        <f>COUNTIFS(Table4[[#This Row],[Rectangular Field Dimension: Length - m ]],Methods_Dimensions!J$19,Table4[[#This Row],[Rectangular Field Dimension: Width - m ]],Methods_Dimensions!H$19)</f>
        <v>0</v>
      </c>
      <c r="AX77" s="6" t="s">
        <v>555</v>
      </c>
      <c r="AY77" s="6" t="s">
        <v>388</v>
      </c>
    </row>
    <row r="78" spans="1:51" ht="34.799999999999997" x14ac:dyDescent="0.3">
      <c r="A78" s="26" t="s">
        <v>244</v>
      </c>
      <c r="B78" s="14" t="s">
        <v>553</v>
      </c>
      <c r="C78" s="14" t="s">
        <v>441</v>
      </c>
      <c r="D78" s="14" t="s">
        <v>87</v>
      </c>
      <c r="E78" s="14" t="s">
        <v>413</v>
      </c>
      <c r="F78" s="14" t="s">
        <v>789</v>
      </c>
      <c r="G78" s="15" t="s">
        <v>159</v>
      </c>
      <c r="H78" s="16">
        <v>109</v>
      </c>
      <c r="I78" s="16">
        <v>70</v>
      </c>
      <c r="J78" s="36">
        <v>7630</v>
      </c>
      <c r="K78" s="16">
        <v>1</v>
      </c>
      <c r="L78" s="16" t="s">
        <v>397</v>
      </c>
      <c r="M78" s="16">
        <v>1</v>
      </c>
      <c r="N78" s="16">
        <v>1</v>
      </c>
      <c r="O78" s="16">
        <v>1</v>
      </c>
      <c r="P78" s="16"/>
      <c r="Q78" s="16"/>
      <c r="R78" s="16">
        <v>1</v>
      </c>
      <c r="S78" s="16"/>
      <c r="T78" s="16"/>
      <c r="U78" s="16"/>
      <c r="V78" s="16"/>
      <c r="W78" s="18" t="s">
        <v>537</v>
      </c>
      <c r="X78" s="16"/>
      <c r="Y78" s="16"/>
      <c r="Z78" s="16"/>
      <c r="AA78" s="16"/>
      <c r="AB78" s="18" t="s">
        <v>470</v>
      </c>
      <c r="AC78" s="18">
        <v>242</v>
      </c>
      <c r="AD78" s="16">
        <v>1</v>
      </c>
      <c r="AE78" s="18" t="s">
        <v>554</v>
      </c>
      <c r="AF78" s="16" t="s">
        <v>444</v>
      </c>
      <c r="AG78" s="18" t="s">
        <v>416</v>
      </c>
      <c r="AH78" s="16"/>
      <c r="AI78" s="16"/>
      <c r="AJ78" s="16">
        <f>SUM(Table4[[#This Row],[Soccer/U7 (Yes=1)]:[Ultimate Frisbee (Yes=1)]])</f>
        <v>6</v>
      </c>
      <c r="AK78" s="10"/>
      <c r="AL78" s="10">
        <v>1</v>
      </c>
      <c r="AM78" s="10">
        <v>1</v>
      </c>
      <c r="AN78" s="10">
        <f>COUNTIFS(Table4[[#This Row],[Rectangular Field Dimension: Length - m ]],Methods_Dimensions!J$10,Table4[[#This Row],[Rectangular Field Dimension: Width - m ]],Methods_Dimensions!H$10)</f>
        <v>1</v>
      </c>
      <c r="AO78" s="10">
        <f>COUNTIFS(Table4[[#This Row],[Rectangular Field Dimension: Length - m ]],Methods_Dimensions!J$11,Table4[[#This Row],[Rectangular Field Dimension: Width - m ]],Methods_Dimensions!H$11)</f>
        <v>1</v>
      </c>
      <c r="AP78" s="10">
        <f>COUNTIFS(Table4[[#This Row],[Rectangular Field Dimension: Length - m ]],Methods_Dimensions!J$12,Table4[[#This Row],[Rectangular Field Dimension: Width - m ]],Methods_Dimensions!H$12)</f>
        <v>1</v>
      </c>
      <c r="AQ78" s="10">
        <f>COUNTIFS(Table4[[#This Row],[Rectangular Field Dimension: Length - m ]],Methods_Dimensions!J$13,Table4[[#This Row],[Rectangular Field Dimension: Width - m ]],Methods_Dimensions!H$13)</f>
        <v>0</v>
      </c>
      <c r="AR78" s="10">
        <f>COUNTIFS(Table4[[#This Row],[Rectangular Field Dimension: Length - m ]],Methods_Dimensions!J$14,Table4[[#This Row],[Rectangular Field Dimension: Width - m ]],Methods_Dimensions!H$14)</f>
        <v>0</v>
      </c>
      <c r="AS7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8" s="10">
        <f>COUNTIFS(Table4[[#This Row],[Rectangular Field Dimension: Length - m ]],Methods_Dimensions!J$16,Table4[[#This Row],[Rectangular Field Dimension: Width - m ]],Methods_Dimensions!H$16)</f>
        <v>0</v>
      </c>
      <c r="AU78" s="10">
        <f>COUNTIFS(Table4[[#This Row],[Rectangular Field Dimension: Length - m ]],Methods_Dimensions!J$17,Table4[[#This Row],[Rectangular Field Dimension: Width - m ]],Methods_Dimensions!H$17)</f>
        <v>0</v>
      </c>
      <c r="AV78" s="10">
        <f>COUNTIFS(Table4[[#This Row],[Rectangular Field Dimension: Length - m ]],Methods_Dimensions!J$18,Table4[[#This Row],[Rectangular Field Dimension: Width - m ]],Methods_Dimensions!H$18)</f>
        <v>0</v>
      </c>
      <c r="AW78" s="10">
        <f>COUNTIFS(Table4[[#This Row],[Rectangular Field Dimension: Length - m ]],Methods_Dimensions!J$19,Table4[[#This Row],[Rectangular Field Dimension: Width - m ]],Methods_Dimensions!H$19)</f>
        <v>1</v>
      </c>
      <c r="AX78" s="6" t="s">
        <v>556</v>
      </c>
      <c r="AY78" s="6" t="s">
        <v>388</v>
      </c>
    </row>
    <row r="79" spans="1:51" ht="34.799999999999997" x14ac:dyDescent="0.3">
      <c r="A79" s="4" t="s">
        <v>245</v>
      </c>
      <c r="B79" s="5" t="s">
        <v>553</v>
      </c>
      <c r="C79" s="5" t="s">
        <v>441</v>
      </c>
      <c r="D79" s="5" t="s">
        <v>87</v>
      </c>
      <c r="E79" s="5" t="s">
        <v>1271</v>
      </c>
      <c r="F79" s="5" t="s">
        <v>740</v>
      </c>
      <c r="G79" s="6" t="s">
        <v>159</v>
      </c>
      <c r="H79" s="12">
        <v>100</v>
      </c>
      <c r="I79" s="12">
        <v>65</v>
      </c>
      <c r="J79" s="37">
        <v>6500</v>
      </c>
      <c r="K79" s="12"/>
      <c r="L79" s="12" t="s">
        <v>397</v>
      </c>
      <c r="M79" s="12">
        <v>1</v>
      </c>
      <c r="N79" s="12">
        <v>1</v>
      </c>
      <c r="O79" s="12">
        <v>1</v>
      </c>
      <c r="P79" s="12"/>
      <c r="Q79" s="12"/>
      <c r="R79" s="12">
        <v>1</v>
      </c>
      <c r="S79" s="12"/>
      <c r="T79" s="12"/>
      <c r="U79" s="12"/>
      <c r="V79" s="12"/>
      <c r="W79" s="17"/>
      <c r="X79" s="12"/>
      <c r="Y79" s="12"/>
      <c r="Z79" s="12">
        <v>1</v>
      </c>
      <c r="AA79" s="12"/>
      <c r="AB79" s="17" t="s">
        <v>470</v>
      </c>
      <c r="AC79" s="17">
        <v>242</v>
      </c>
      <c r="AD79" s="12">
        <v>1</v>
      </c>
      <c r="AE79" s="17" t="s">
        <v>557</v>
      </c>
      <c r="AF79" s="12" t="s">
        <v>385</v>
      </c>
      <c r="AG79" s="17" t="s">
        <v>386</v>
      </c>
      <c r="AH79" s="12"/>
      <c r="AI79" s="12"/>
      <c r="AJ79" s="12">
        <f>SUM(Table4[[#This Row],[Soccer/U7 (Yes=1)]:[Ultimate Frisbee (Yes=1)]])</f>
        <v>5</v>
      </c>
      <c r="AK79" s="10"/>
      <c r="AL79" s="10">
        <v>1</v>
      </c>
      <c r="AM79" s="10">
        <v>1</v>
      </c>
      <c r="AN79" s="10">
        <f>COUNTIFS(Table4[[#This Row],[Rectangular Field Dimension: Length - m ]],Methods_Dimensions!J$10,Table4[[#This Row],[Rectangular Field Dimension: Width - m ]],Methods_Dimensions!H$10)</f>
        <v>1</v>
      </c>
      <c r="AO79" s="10">
        <f>COUNTIFS(Table4[[#This Row],[Rectangular Field Dimension: Length - m ]],Methods_Dimensions!J$11,Table4[[#This Row],[Rectangular Field Dimension: Width - m ]],Methods_Dimensions!H$11)</f>
        <v>1</v>
      </c>
      <c r="AP79" s="10">
        <f>COUNTIFS(Table4[[#This Row],[Rectangular Field Dimension: Length - m ]],Methods_Dimensions!J$12,Table4[[#This Row],[Rectangular Field Dimension: Width - m ]],Methods_Dimensions!H$12)</f>
        <v>1</v>
      </c>
      <c r="AQ79" s="10">
        <f>COUNTIFS(Table4[[#This Row],[Rectangular Field Dimension: Length - m ]],Methods_Dimensions!J$13,Table4[[#This Row],[Rectangular Field Dimension: Width - m ]],Methods_Dimensions!H$13)</f>
        <v>0</v>
      </c>
      <c r="AR79" s="10">
        <f>COUNTIFS(Table4[[#This Row],[Rectangular Field Dimension: Length - m ]],Methods_Dimensions!J$14,Table4[[#This Row],[Rectangular Field Dimension: Width - m ]],Methods_Dimensions!H$14)</f>
        <v>0</v>
      </c>
      <c r="AS7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79" s="10">
        <f>COUNTIFS(Table4[[#This Row],[Rectangular Field Dimension: Length - m ]],Methods_Dimensions!J$16,Table4[[#This Row],[Rectangular Field Dimension: Width - m ]],Methods_Dimensions!H$16)</f>
        <v>0</v>
      </c>
      <c r="AU79" s="10">
        <f>COUNTIFS(Table4[[#This Row],[Rectangular Field Dimension: Length - m ]],Methods_Dimensions!J$17,Table4[[#This Row],[Rectangular Field Dimension: Width - m ]],Methods_Dimensions!H$17)</f>
        <v>0</v>
      </c>
      <c r="AV79" s="10">
        <f>COUNTIFS(Table4[[#This Row],[Rectangular Field Dimension: Length - m ]],Methods_Dimensions!J$18,Table4[[#This Row],[Rectangular Field Dimension: Width - m ]],Methods_Dimensions!H$18)</f>
        <v>0</v>
      </c>
      <c r="AW79" s="10">
        <f>COUNTIFS(Table4[[#This Row],[Rectangular Field Dimension: Length - m ]],Methods_Dimensions!J$19,Table4[[#This Row],[Rectangular Field Dimension: Width - m ]],Methods_Dimensions!H$19)</f>
        <v>0</v>
      </c>
      <c r="AX79" s="6" t="s">
        <v>387</v>
      </c>
      <c r="AY79" s="6" t="s">
        <v>388</v>
      </c>
    </row>
    <row r="80" spans="1:51" ht="52.2" x14ac:dyDescent="0.3">
      <c r="A80" s="26" t="s">
        <v>1280</v>
      </c>
      <c r="B80" s="14" t="s">
        <v>553</v>
      </c>
      <c r="C80" s="14" t="s">
        <v>441</v>
      </c>
      <c r="D80" s="14" t="s">
        <v>87</v>
      </c>
      <c r="E80" s="14" t="s">
        <v>789</v>
      </c>
      <c r="F80" s="14" t="s">
        <v>1273</v>
      </c>
      <c r="G80" s="15" t="s">
        <v>159</v>
      </c>
      <c r="H80" s="114"/>
      <c r="I80" s="114"/>
      <c r="J80" s="36"/>
      <c r="K80" s="16"/>
      <c r="L80" s="16" t="s">
        <v>397</v>
      </c>
      <c r="M80" s="16">
        <v>1</v>
      </c>
      <c r="N80" s="16">
        <v>1</v>
      </c>
      <c r="O80" s="16"/>
      <c r="P80" s="16"/>
      <c r="Q80" s="16"/>
      <c r="R80" s="16">
        <v>1</v>
      </c>
      <c r="S80" s="16"/>
      <c r="T80" s="16">
        <v>1</v>
      </c>
      <c r="U80" s="16"/>
      <c r="V80" s="16"/>
      <c r="W80" s="18"/>
      <c r="X80" s="16"/>
      <c r="Y80" s="16"/>
      <c r="Z80" s="16"/>
      <c r="AA80" s="16"/>
      <c r="AB80" s="18" t="s">
        <v>470</v>
      </c>
      <c r="AC80" s="18">
        <v>242</v>
      </c>
      <c r="AD80" s="16">
        <v>1</v>
      </c>
      <c r="AE80" s="18" t="s">
        <v>554</v>
      </c>
      <c r="AF80" s="16" t="s">
        <v>408</v>
      </c>
      <c r="AG80" s="18" t="s">
        <v>269</v>
      </c>
      <c r="AH80" s="16"/>
      <c r="AI80" s="16"/>
      <c r="AJ80" s="16">
        <f>SUM(Table4[[#This Row],[Soccer/U7 (Yes=1)]:[Ultimate Frisbee (Yes=1)]])</f>
        <v>0</v>
      </c>
      <c r="AK80" s="10"/>
      <c r="AL80" s="10">
        <v>0</v>
      </c>
      <c r="AM80" s="10">
        <v>0</v>
      </c>
      <c r="AN80" s="10">
        <f>COUNTIFS(Table4[[#This Row],[Rectangular Field Dimension: Length - m ]],Methods_Dimensions!J$10,Table4[[#This Row],[Rectangular Field Dimension: Width - m ]],Methods_Dimensions!H$10)</f>
        <v>0</v>
      </c>
      <c r="AO80" s="10">
        <f>COUNTIFS(Table4[[#This Row],[Rectangular Field Dimension: Length - m ]],Methods_Dimensions!J$11,Table4[[#This Row],[Rectangular Field Dimension: Width - m ]],Methods_Dimensions!H$11)</f>
        <v>0</v>
      </c>
      <c r="AP80" s="10">
        <f>COUNTIFS(Table4[[#This Row],[Rectangular Field Dimension: Length - m ]],Methods_Dimensions!J$12,Table4[[#This Row],[Rectangular Field Dimension: Width - m ]],Methods_Dimensions!H$12)</f>
        <v>0</v>
      </c>
      <c r="AQ80" s="10">
        <f>COUNTIFS(Table4[[#This Row],[Rectangular Field Dimension: Length - m ]],Methods_Dimensions!J$13,Table4[[#This Row],[Rectangular Field Dimension: Width - m ]],Methods_Dimensions!H$13)</f>
        <v>0</v>
      </c>
      <c r="AR80" s="10">
        <f>COUNTIFS(Table4[[#This Row],[Rectangular Field Dimension: Length - m ]],Methods_Dimensions!J$14,Table4[[#This Row],[Rectangular Field Dimension: Width - m ]],Methods_Dimensions!H$14)</f>
        <v>0</v>
      </c>
      <c r="AS8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0" s="10">
        <f>COUNTIFS(Table4[[#This Row],[Rectangular Field Dimension: Length - m ]],Methods_Dimensions!J$16,Table4[[#This Row],[Rectangular Field Dimension: Width - m ]],Methods_Dimensions!H$16)</f>
        <v>0</v>
      </c>
      <c r="AU80" s="10">
        <f>COUNTIFS(Table4[[#This Row],[Rectangular Field Dimension: Length - m ]],Methods_Dimensions!J$17,Table4[[#This Row],[Rectangular Field Dimension: Width - m ]],Methods_Dimensions!H$17)</f>
        <v>0</v>
      </c>
      <c r="AV80" s="10">
        <f>COUNTIFS(Table4[[#This Row],[Rectangular Field Dimension: Length - m ]],Methods_Dimensions!J$18,Table4[[#This Row],[Rectangular Field Dimension: Width - m ]],Methods_Dimensions!H$18)</f>
        <v>0</v>
      </c>
      <c r="AW80" s="10">
        <f>COUNTIFS(Table4[[#This Row],[Rectangular Field Dimension: Length - m ]],Methods_Dimensions!J$19,Table4[[#This Row],[Rectangular Field Dimension: Width - m ]],Methods_Dimensions!H$19)</f>
        <v>0</v>
      </c>
      <c r="AX80" s="6" t="s">
        <v>558</v>
      </c>
      <c r="AY80" s="6" t="s">
        <v>559</v>
      </c>
    </row>
    <row r="81" spans="1:51" ht="34.799999999999997" x14ac:dyDescent="0.3">
      <c r="A81" s="4" t="s">
        <v>246</v>
      </c>
      <c r="B81" s="5" t="s">
        <v>560</v>
      </c>
      <c r="C81" s="5" t="s">
        <v>427</v>
      </c>
      <c r="D81" s="5" t="s">
        <v>247</v>
      </c>
      <c r="E81" s="5" t="s">
        <v>1271</v>
      </c>
      <c r="F81" s="5" t="s">
        <v>740</v>
      </c>
      <c r="G81" s="6" t="s">
        <v>159</v>
      </c>
      <c r="H81" s="12">
        <v>110</v>
      </c>
      <c r="I81" s="12">
        <v>71</v>
      </c>
      <c r="J81" s="37">
        <v>7810</v>
      </c>
      <c r="K81" s="12"/>
      <c r="L81" s="12" t="s">
        <v>397</v>
      </c>
      <c r="M81" s="12">
        <v>1</v>
      </c>
      <c r="N81" s="12">
        <v>1</v>
      </c>
      <c r="O81" s="12"/>
      <c r="P81" s="12"/>
      <c r="Q81" s="12"/>
      <c r="R81" s="12"/>
      <c r="S81" s="12"/>
      <c r="T81" s="12"/>
      <c r="U81" s="12"/>
      <c r="V81" s="12"/>
      <c r="W81" s="17" t="s">
        <v>382</v>
      </c>
      <c r="X81" s="12"/>
      <c r="Y81" s="12"/>
      <c r="Z81" s="12">
        <v>1</v>
      </c>
      <c r="AA81" s="12"/>
      <c r="AB81" s="17" t="s">
        <v>383</v>
      </c>
      <c r="AC81" s="17"/>
      <c r="AD81" s="12">
        <v>1</v>
      </c>
      <c r="AE81" s="17"/>
      <c r="AF81" s="12" t="s">
        <v>399</v>
      </c>
      <c r="AG81" s="17" t="s">
        <v>386</v>
      </c>
      <c r="AH81" s="12"/>
      <c r="AI81" s="12"/>
      <c r="AJ81" s="12">
        <f>SUM(Table4[[#This Row],[Soccer/U7 (Yes=1)]:[Ultimate Frisbee (Yes=1)]])</f>
        <v>6</v>
      </c>
      <c r="AK81" s="10"/>
      <c r="AL81" s="10">
        <v>1</v>
      </c>
      <c r="AM81" s="10">
        <v>1</v>
      </c>
      <c r="AN81" s="10">
        <f>COUNTIFS(Table4[[#This Row],[Rectangular Field Dimension: Length - m ]],Methods_Dimensions!J$10,Table4[[#This Row],[Rectangular Field Dimension: Width - m ]],Methods_Dimensions!H$10)</f>
        <v>1</v>
      </c>
      <c r="AO81" s="10">
        <f>COUNTIFS(Table4[[#This Row],[Rectangular Field Dimension: Length - m ]],Methods_Dimensions!J$11,Table4[[#This Row],[Rectangular Field Dimension: Width - m ]],Methods_Dimensions!H$11)</f>
        <v>1</v>
      </c>
      <c r="AP81" s="10">
        <f>COUNTIFS(Table4[[#This Row],[Rectangular Field Dimension: Length - m ]],Methods_Dimensions!J$12,Table4[[#This Row],[Rectangular Field Dimension: Width - m ]],Methods_Dimensions!H$12)</f>
        <v>1</v>
      </c>
      <c r="AQ81" s="10">
        <f>COUNTIFS(Table4[[#This Row],[Rectangular Field Dimension: Length - m ]],Methods_Dimensions!J$13,Table4[[#This Row],[Rectangular Field Dimension: Width - m ]],Methods_Dimensions!H$13)</f>
        <v>0</v>
      </c>
      <c r="AR81" s="10">
        <f>COUNTIFS(Table4[[#This Row],[Rectangular Field Dimension: Length - m ]],Methods_Dimensions!J$14,Table4[[#This Row],[Rectangular Field Dimension: Width - m ]],Methods_Dimensions!H$14)</f>
        <v>0</v>
      </c>
      <c r="AS8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1" s="10">
        <f>COUNTIFS(Table4[[#This Row],[Rectangular Field Dimension: Length - m ]],Methods_Dimensions!J$16,Table4[[#This Row],[Rectangular Field Dimension: Width - m ]],Methods_Dimensions!H$16)</f>
        <v>0</v>
      </c>
      <c r="AU81" s="10">
        <f>COUNTIFS(Table4[[#This Row],[Rectangular Field Dimension: Length - m ]],Methods_Dimensions!J$17,Table4[[#This Row],[Rectangular Field Dimension: Width - m ]],Methods_Dimensions!H$17)</f>
        <v>0</v>
      </c>
      <c r="AV81" s="10">
        <f>COUNTIFS(Table4[[#This Row],[Rectangular Field Dimension: Length - m ]],Methods_Dimensions!J$18,Table4[[#This Row],[Rectangular Field Dimension: Width - m ]],Methods_Dimensions!H$18)</f>
        <v>0</v>
      </c>
      <c r="AW81" s="10">
        <f>COUNTIFS(Table4[[#This Row],[Rectangular Field Dimension: Length - m ]],Methods_Dimensions!J$19,Table4[[#This Row],[Rectangular Field Dimension: Width - m ]],Methods_Dimensions!H$19)</f>
        <v>1</v>
      </c>
      <c r="AX81" s="6" t="s">
        <v>387</v>
      </c>
      <c r="AY81" s="6" t="s">
        <v>388</v>
      </c>
    </row>
    <row r="82" spans="1:51" ht="34.799999999999997" x14ac:dyDescent="0.3">
      <c r="A82" s="4" t="s">
        <v>561</v>
      </c>
      <c r="B82" s="5" t="s">
        <v>562</v>
      </c>
      <c r="C82" s="5" t="s">
        <v>525</v>
      </c>
      <c r="D82" s="5" t="s">
        <v>89</v>
      </c>
      <c r="E82" s="5" t="s">
        <v>413</v>
      </c>
      <c r="F82" s="5" t="s">
        <v>789</v>
      </c>
      <c r="G82" s="6" t="s">
        <v>159</v>
      </c>
      <c r="H82" s="12">
        <v>88</v>
      </c>
      <c r="I82" s="12">
        <v>30</v>
      </c>
      <c r="J82" s="37">
        <v>2640</v>
      </c>
      <c r="K82" s="12"/>
      <c r="L82" s="12" t="s">
        <v>397</v>
      </c>
      <c r="M82" s="12">
        <v>1</v>
      </c>
      <c r="N82" s="12">
        <v>1</v>
      </c>
      <c r="O82" s="12">
        <v>1</v>
      </c>
      <c r="P82" s="12">
        <v>1</v>
      </c>
      <c r="Q82" s="12"/>
      <c r="R82" s="12">
        <v>1</v>
      </c>
      <c r="S82" s="12"/>
      <c r="T82" s="12"/>
      <c r="U82" s="12"/>
      <c r="V82" s="12"/>
      <c r="W82" s="17"/>
      <c r="X82" s="12"/>
      <c r="Y82" s="12"/>
      <c r="Z82" s="12"/>
      <c r="AA82" s="12"/>
      <c r="AB82" s="17" t="s">
        <v>563</v>
      </c>
      <c r="AC82" s="17">
        <v>216</v>
      </c>
      <c r="AD82" s="12">
        <v>1</v>
      </c>
      <c r="AE82" s="17" t="s">
        <v>564</v>
      </c>
      <c r="AF82" s="12" t="s">
        <v>399</v>
      </c>
      <c r="AG82" s="17" t="s">
        <v>416</v>
      </c>
      <c r="AH82" s="12"/>
      <c r="AI82" s="12"/>
      <c r="AJ82" s="12">
        <f>SUM(Table4[[#This Row],[Soccer/U7 (Yes=1)]:[Ultimate Frisbee (Yes=1)]])</f>
        <v>3</v>
      </c>
      <c r="AK82" s="10"/>
      <c r="AL82" s="10">
        <v>1</v>
      </c>
      <c r="AM82" s="10">
        <v>1</v>
      </c>
      <c r="AN82" s="10">
        <f>COUNTIFS(Table4[[#This Row],[Rectangular Field Dimension: Length - m ]],Methods_Dimensions!J$10,Table4[[#This Row],[Rectangular Field Dimension: Width - m ]],Methods_Dimensions!H$10)</f>
        <v>1</v>
      </c>
      <c r="AO82" s="10">
        <f>COUNTIFS(Table4[[#This Row],[Rectangular Field Dimension: Length - m ]],Methods_Dimensions!J$11,Table4[[#This Row],[Rectangular Field Dimension: Width - m ]],Methods_Dimensions!H$11)</f>
        <v>0</v>
      </c>
      <c r="AP82" s="10">
        <f>COUNTIFS(Table4[[#This Row],[Rectangular Field Dimension: Length - m ]],Methods_Dimensions!J$12,Table4[[#This Row],[Rectangular Field Dimension: Width - m ]],Methods_Dimensions!H$12)</f>
        <v>0</v>
      </c>
      <c r="AQ82" s="10">
        <f>COUNTIFS(Table4[[#This Row],[Rectangular Field Dimension: Length - m ]],Methods_Dimensions!J$13,Table4[[#This Row],[Rectangular Field Dimension: Width - m ]],Methods_Dimensions!H$13)</f>
        <v>0</v>
      </c>
      <c r="AR82" s="10">
        <f>COUNTIFS(Table4[[#This Row],[Rectangular Field Dimension: Length - m ]],Methods_Dimensions!J$14,Table4[[#This Row],[Rectangular Field Dimension: Width - m ]],Methods_Dimensions!H$14)</f>
        <v>0</v>
      </c>
      <c r="AS8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2" s="10">
        <f>COUNTIFS(Table4[[#This Row],[Rectangular Field Dimension: Length - m ]],Methods_Dimensions!J$16,Table4[[#This Row],[Rectangular Field Dimension: Width - m ]],Methods_Dimensions!H$16)</f>
        <v>0</v>
      </c>
      <c r="AU82" s="10">
        <f>COUNTIFS(Table4[[#This Row],[Rectangular Field Dimension: Length - m ]],Methods_Dimensions!J$17,Table4[[#This Row],[Rectangular Field Dimension: Width - m ]],Methods_Dimensions!H$17)</f>
        <v>0</v>
      </c>
      <c r="AV82" s="10">
        <f>COUNTIFS(Table4[[#This Row],[Rectangular Field Dimension: Length - m ]],Methods_Dimensions!J$18,Table4[[#This Row],[Rectangular Field Dimension: Width - m ]],Methods_Dimensions!H$18)</f>
        <v>0</v>
      </c>
      <c r="AW82" s="10">
        <f>COUNTIFS(Table4[[#This Row],[Rectangular Field Dimension: Length - m ]],Methods_Dimensions!J$19,Table4[[#This Row],[Rectangular Field Dimension: Width - m ]],Methods_Dimensions!H$19)</f>
        <v>0</v>
      </c>
      <c r="AX82" s="6" t="s">
        <v>387</v>
      </c>
      <c r="AY82" s="6" t="s">
        <v>388</v>
      </c>
    </row>
    <row r="83" spans="1:51" ht="34.799999999999997" x14ac:dyDescent="0.3">
      <c r="A83" s="26" t="s">
        <v>248</v>
      </c>
      <c r="B83" s="14" t="s">
        <v>562</v>
      </c>
      <c r="C83" s="14" t="s">
        <v>525</v>
      </c>
      <c r="D83" s="14" t="s">
        <v>89</v>
      </c>
      <c r="E83" s="14" t="s">
        <v>1271</v>
      </c>
      <c r="F83" s="14" t="s">
        <v>740</v>
      </c>
      <c r="G83" s="15" t="s">
        <v>159</v>
      </c>
      <c r="H83" s="16">
        <v>90</v>
      </c>
      <c r="I83" s="16">
        <v>50</v>
      </c>
      <c r="J83" s="36">
        <v>4500</v>
      </c>
      <c r="K83" s="16">
        <v>1</v>
      </c>
      <c r="L83" s="16" t="s">
        <v>389</v>
      </c>
      <c r="M83" s="16"/>
      <c r="N83" s="16">
        <v>1</v>
      </c>
      <c r="O83" s="16"/>
      <c r="P83" s="16">
        <v>1</v>
      </c>
      <c r="Q83" s="16"/>
      <c r="R83" s="16">
        <v>1</v>
      </c>
      <c r="S83" s="16"/>
      <c r="T83" s="16"/>
      <c r="U83" s="16"/>
      <c r="V83" s="16"/>
      <c r="W83" s="18"/>
      <c r="X83" s="16"/>
      <c r="Y83" s="16"/>
      <c r="Z83" s="16">
        <v>1</v>
      </c>
      <c r="AA83" s="16"/>
      <c r="AB83" s="18" t="s">
        <v>563</v>
      </c>
      <c r="AC83" s="18">
        <v>216</v>
      </c>
      <c r="AD83" s="16">
        <v>1</v>
      </c>
      <c r="AE83" s="18" t="s">
        <v>565</v>
      </c>
      <c r="AF83" s="16" t="s">
        <v>399</v>
      </c>
      <c r="AG83" s="18" t="s">
        <v>386</v>
      </c>
      <c r="AH83" s="16"/>
      <c r="AI83" s="16"/>
      <c r="AJ83" s="16">
        <f>SUM(Table4[[#This Row],[Soccer/U7 (Yes=1)]:[Ultimate Frisbee (Yes=1)]])</f>
        <v>5</v>
      </c>
      <c r="AK83" s="10"/>
      <c r="AL83" s="10">
        <v>1</v>
      </c>
      <c r="AM83" s="10">
        <v>1</v>
      </c>
      <c r="AN83" s="10">
        <f>COUNTIFS(Table4[[#This Row],[Rectangular Field Dimension: Length - m ]],Methods_Dimensions!J$10,Table4[[#This Row],[Rectangular Field Dimension: Width - m ]],Methods_Dimensions!H$10)</f>
        <v>1</v>
      </c>
      <c r="AO83" s="10">
        <f>COUNTIFS(Table4[[#This Row],[Rectangular Field Dimension: Length - m ]],Methods_Dimensions!J$11,Table4[[#This Row],[Rectangular Field Dimension: Width - m ]],Methods_Dimensions!H$11)</f>
        <v>1</v>
      </c>
      <c r="AP83" s="10">
        <f>COUNTIFS(Table4[[#This Row],[Rectangular Field Dimension: Length - m ]],Methods_Dimensions!J$12,Table4[[#This Row],[Rectangular Field Dimension: Width - m ]],Methods_Dimensions!H$12)</f>
        <v>1</v>
      </c>
      <c r="AQ83" s="10">
        <f>COUNTIFS(Table4[[#This Row],[Rectangular Field Dimension: Length - m ]],Methods_Dimensions!J$13,Table4[[#This Row],[Rectangular Field Dimension: Width - m ]],Methods_Dimensions!H$13)</f>
        <v>0</v>
      </c>
      <c r="AR83" s="10">
        <f>COUNTIFS(Table4[[#This Row],[Rectangular Field Dimension: Length - m ]],Methods_Dimensions!J$14,Table4[[#This Row],[Rectangular Field Dimension: Width - m ]],Methods_Dimensions!H$14)</f>
        <v>0</v>
      </c>
      <c r="AS8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3" s="10">
        <f>COUNTIFS(Table4[[#This Row],[Rectangular Field Dimension: Length - m ]],Methods_Dimensions!J$16,Table4[[#This Row],[Rectangular Field Dimension: Width - m ]],Methods_Dimensions!H$16)</f>
        <v>0</v>
      </c>
      <c r="AU83" s="10">
        <f>COUNTIFS(Table4[[#This Row],[Rectangular Field Dimension: Length - m ]],Methods_Dimensions!J$17,Table4[[#This Row],[Rectangular Field Dimension: Width - m ]],Methods_Dimensions!H$17)</f>
        <v>0</v>
      </c>
      <c r="AV83" s="10">
        <f>COUNTIFS(Table4[[#This Row],[Rectangular Field Dimension: Length - m ]],Methods_Dimensions!J$18,Table4[[#This Row],[Rectangular Field Dimension: Width - m ]],Methods_Dimensions!H$18)</f>
        <v>0</v>
      </c>
      <c r="AW83" s="10">
        <f>COUNTIFS(Table4[[#This Row],[Rectangular Field Dimension: Length - m ]],Methods_Dimensions!J$19,Table4[[#This Row],[Rectangular Field Dimension: Width - m ]],Methods_Dimensions!H$19)</f>
        <v>0</v>
      </c>
      <c r="AX83" s="6" t="s">
        <v>533</v>
      </c>
      <c r="AY83" s="6" t="s">
        <v>388</v>
      </c>
    </row>
    <row r="84" spans="1:51" ht="52.2" x14ac:dyDescent="0.3">
      <c r="A84" s="26" t="s">
        <v>249</v>
      </c>
      <c r="B84" s="14" t="s">
        <v>566</v>
      </c>
      <c r="C84" s="14" t="s">
        <v>567</v>
      </c>
      <c r="D84" s="14" t="s">
        <v>250</v>
      </c>
      <c r="E84" s="14" t="s">
        <v>1271</v>
      </c>
      <c r="F84" s="14" t="s">
        <v>789</v>
      </c>
      <c r="G84" s="15" t="s">
        <v>159</v>
      </c>
      <c r="H84" s="16">
        <v>60</v>
      </c>
      <c r="I84" s="16">
        <v>36</v>
      </c>
      <c r="J84" s="36">
        <v>2160</v>
      </c>
      <c r="K84" s="16"/>
      <c r="L84" s="16" t="s">
        <v>397</v>
      </c>
      <c r="M84" s="16">
        <v>1</v>
      </c>
      <c r="N84" s="16">
        <v>1</v>
      </c>
      <c r="O84" s="16"/>
      <c r="P84" s="16">
        <v>1</v>
      </c>
      <c r="Q84" s="16"/>
      <c r="R84" s="16">
        <v>1</v>
      </c>
      <c r="S84" s="16"/>
      <c r="T84" s="16"/>
      <c r="U84" s="16"/>
      <c r="V84" s="16"/>
      <c r="W84" s="18"/>
      <c r="X84" s="16">
        <v>1</v>
      </c>
      <c r="Y84" s="16"/>
      <c r="Z84" s="16">
        <v>1</v>
      </c>
      <c r="AA84" s="16"/>
      <c r="AB84" s="18" t="s">
        <v>383</v>
      </c>
      <c r="AC84" s="18"/>
      <c r="AD84" s="16">
        <v>1</v>
      </c>
      <c r="AE84" s="18" t="s">
        <v>568</v>
      </c>
      <c r="AF84" s="16" t="s">
        <v>385</v>
      </c>
      <c r="AG84" s="18" t="s">
        <v>416</v>
      </c>
      <c r="AH84" s="16"/>
      <c r="AI84" s="16"/>
      <c r="AJ84" s="16">
        <f>SUM(Table4[[#This Row],[Soccer/U7 (Yes=1)]:[Ultimate Frisbee (Yes=1)]])</f>
        <v>3</v>
      </c>
      <c r="AK84" s="10"/>
      <c r="AL84" s="10">
        <v>1</v>
      </c>
      <c r="AM84" s="10">
        <v>1</v>
      </c>
      <c r="AN84" s="10">
        <f>COUNTIFS(Table4[[#This Row],[Rectangular Field Dimension: Length - m ]],Methods_Dimensions!J$10,Table4[[#This Row],[Rectangular Field Dimension: Width - m ]],Methods_Dimensions!H$10)</f>
        <v>1</v>
      </c>
      <c r="AO84" s="10">
        <f>COUNTIFS(Table4[[#This Row],[Rectangular Field Dimension: Length - m ]],Methods_Dimensions!J$11,Table4[[#This Row],[Rectangular Field Dimension: Width - m ]],Methods_Dimensions!H$11)</f>
        <v>0</v>
      </c>
      <c r="AP84" s="10">
        <f>COUNTIFS(Table4[[#This Row],[Rectangular Field Dimension: Length - m ]],Methods_Dimensions!J$12,Table4[[#This Row],[Rectangular Field Dimension: Width - m ]],Methods_Dimensions!H$12)</f>
        <v>0</v>
      </c>
      <c r="AQ84" s="10">
        <f>COUNTIFS(Table4[[#This Row],[Rectangular Field Dimension: Length - m ]],Methods_Dimensions!J$13,Table4[[#This Row],[Rectangular Field Dimension: Width - m ]],Methods_Dimensions!H$13)</f>
        <v>0</v>
      </c>
      <c r="AR84" s="10">
        <f>COUNTIFS(Table4[[#This Row],[Rectangular Field Dimension: Length - m ]],Methods_Dimensions!J$14,Table4[[#This Row],[Rectangular Field Dimension: Width - m ]],Methods_Dimensions!H$14)</f>
        <v>0</v>
      </c>
      <c r="AS8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4" s="10">
        <f>COUNTIFS(Table4[[#This Row],[Rectangular Field Dimension: Length - m ]],Methods_Dimensions!J$16,Table4[[#This Row],[Rectangular Field Dimension: Width - m ]],Methods_Dimensions!H$16)</f>
        <v>0</v>
      </c>
      <c r="AU84" s="10">
        <f>COUNTIFS(Table4[[#This Row],[Rectangular Field Dimension: Length - m ]],Methods_Dimensions!J$17,Table4[[#This Row],[Rectangular Field Dimension: Width - m ]],Methods_Dimensions!H$17)</f>
        <v>0</v>
      </c>
      <c r="AV84" s="10">
        <f>COUNTIFS(Table4[[#This Row],[Rectangular Field Dimension: Length - m ]],Methods_Dimensions!J$18,Table4[[#This Row],[Rectangular Field Dimension: Width - m ]],Methods_Dimensions!H$18)</f>
        <v>0</v>
      </c>
      <c r="AW84" s="10">
        <f>COUNTIFS(Table4[[#This Row],[Rectangular Field Dimension: Length - m ]],Methods_Dimensions!J$19,Table4[[#This Row],[Rectangular Field Dimension: Width - m ]],Methods_Dimensions!H$19)</f>
        <v>0</v>
      </c>
      <c r="AX84" s="6" t="s">
        <v>569</v>
      </c>
      <c r="AY84" s="6" t="s">
        <v>388</v>
      </c>
    </row>
    <row r="85" spans="1:51" ht="34.799999999999997" x14ac:dyDescent="0.3">
      <c r="A85" s="4" t="s">
        <v>251</v>
      </c>
      <c r="B85" s="5" t="s">
        <v>570</v>
      </c>
      <c r="C85" s="5" t="s">
        <v>469</v>
      </c>
      <c r="D85" s="5" t="s">
        <v>252</v>
      </c>
      <c r="E85" s="5" t="s">
        <v>1271</v>
      </c>
      <c r="F85" s="5" t="s">
        <v>754</v>
      </c>
      <c r="G85" s="6" t="s">
        <v>159</v>
      </c>
      <c r="H85" s="12">
        <v>64</v>
      </c>
      <c r="I85" s="12">
        <v>60</v>
      </c>
      <c r="J85" s="37">
        <v>3840</v>
      </c>
      <c r="K85" s="12">
        <v>1</v>
      </c>
      <c r="L85" s="12" t="s">
        <v>389</v>
      </c>
      <c r="M85" s="12"/>
      <c r="N85" s="12">
        <v>1</v>
      </c>
      <c r="O85" s="12"/>
      <c r="P85" s="12">
        <v>1</v>
      </c>
      <c r="Q85" s="12"/>
      <c r="R85" s="12">
        <v>1</v>
      </c>
      <c r="S85" s="12"/>
      <c r="T85" s="12"/>
      <c r="U85" s="12"/>
      <c r="V85" s="12"/>
      <c r="W85" s="17"/>
      <c r="X85" s="12">
        <v>1</v>
      </c>
      <c r="Y85" s="12"/>
      <c r="Z85" s="12">
        <v>1</v>
      </c>
      <c r="AA85" s="12"/>
      <c r="AB85" s="17" t="s">
        <v>383</v>
      </c>
      <c r="AC85" s="17"/>
      <c r="AD85" s="12">
        <v>1</v>
      </c>
      <c r="AE85" s="17" t="s">
        <v>443</v>
      </c>
      <c r="AF85" s="12" t="s">
        <v>399</v>
      </c>
      <c r="AG85" s="17" t="s">
        <v>386</v>
      </c>
      <c r="AH85" s="12"/>
      <c r="AI85" s="12"/>
      <c r="AJ85" s="12">
        <f>SUM(Table4[[#This Row],[Soccer/U7 (Yes=1)]:[Ultimate Frisbee (Yes=1)]])</f>
        <v>4</v>
      </c>
      <c r="AK85" s="10"/>
      <c r="AL85" s="10">
        <v>1</v>
      </c>
      <c r="AM85" s="10">
        <v>1</v>
      </c>
      <c r="AN85" s="10">
        <f>COUNTIFS(Table4[[#This Row],[Rectangular Field Dimension: Length - m ]],Methods_Dimensions!J$10,Table4[[#This Row],[Rectangular Field Dimension: Width - m ]],Methods_Dimensions!H$10)</f>
        <v>1</v>
      </c>
      <c r="AO85" s="10">
        <f>COUNTIFS(Table4[[#This Row],[Rectangular Field Dimension: Length - m ]],Methods_Dimensions!J$11,Table4[[#This Row],[Rectangular Field Dimension: Width - m ]],Methods_Dimensions!H$11)</f>
        <v>1</v>
      </c>
      <c r="AP85" s="10">
        <f>COUNTIFS(Table4[[#This Row],[Rectangular Field Dimension: Length - m ]],Methods_Dimensions!J$12,Table4[[#This Row],[Rectangular Field Dimension: Width - m ]],Methods_Dimensions!H$12)</f>
        <v>0</v>
      </c>
      <c r="AQ85" s="10">
        <f>COUNTIFS(Table4[[#This Row],[Rectangular Field Dimension: Length - m ]],Methods_Dimensions!J$13,Table4[[#This Row],[Rectangular Field Dimension: Width - m ]],Methods_Dimensions!H$13)</f>
        <v>0</v>
      </c>
      <c r="AR85" s="10">
        <f>COUNTIFS(Table4[[#This Row],[Rectangular Field Dimension: Length - m ]],Methods_Dimensions!J$14,Table4[[#This Row],[Rectangular Field Dimension: Width - m ]],Methods_Dimensions!H$14)</f>
        <v>0</v>
      </c>
      <c r="AS8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5" s="10">
        <f>COUNTIFS(Table4[[#This Row],[Rectangular Field Dimension: Length - m ]],Methods_Dimensions!J$16,Table4[[#This Row],[Rectangular Field Dimension: Width - m ]],Methods_Dimensions!H$16)</f>
        <v>0</v>
      </c>
      <c r="AU85" s="10">
        <f>COUNTIFS(Table4[[#This Row],[Rectangular Field Dimension: Length - m ]],Methods_Dimensions!J$17,Table4[[#This Row],[Rectangular Field Dimension: Width - m ]],Methods_Dimensions!H$17)</f>
        <v>0</v>
      </c>
      <c r="AV85" s="10">
        <f>COUNTIFS(Table4[[#This Row],[Rectangular Field Dimension: Length - m ]],Methods_Dimensions!J$18,Table4[[#This Row],[Rectangular Field Dimension: Width - m ]],Methods_Dimensions!H$18)</f>
        <v>0</v>
      </c>
      <c r="AW85" s="10">
        <f>COUNTIFS(Table4[[#This Row],[Rectangular Field Dimension: Length - m ]],Methods_Dimensions!J$19,Table4[[#This Row],[Rectangular Field Dimension: Width - m ]],Methods_Dimensions!H$19)</f>
        <v>0</v>
      </c>
      <c r="AX85" s="6" t="s">
        <v>387</v>
      </c>
      <c r="AY85" s="6" t="s">
        <v>388</v>
      </c>
    </row>
    <row r="86" spans="1:51" ht="34.799999999999997" x14ac:dyDescent="0.3">
      <c r="A86" s="26" t="s">
        <v>253</v>
      </c>
      <c r="B86" s="14" t="s">
        <v>571</v>
      </c>
      <c r="C86" s="14" t="s">
        <v>502</v>
      </c>
      <c r="D86" s="14" t="s">
        <v>254</v>
      </c>
      <c r="E86" s="14" t="s">
        <v>1272</v>
      </c>
      <c r="F86" s="14" t="s">
        <v>789</v>
      </c>
      <c r="G86" s="15" t="s">
        <v>159</v>
      </c>
      <c r="H86" s="16">
        <v>78</v>
      </c>
      <c r="I86" s="16">
        <v>52</v>
      </c>
      <c r="J86" s="36">
        <v>4056</v>
      </c>
      <c r="K86" s="16">
        <v>1</v>
      </c>
      <c r="L86" s="16" t="s">
        <v>397</v>
      </c>
      <c r="M86" s="16">
        <v>1</v>
      </c>
      <c r="N86" s="16">
        <v>1</v>
      </c>
      <c r="O86" s="16"/>
      <c r="P86" s="16"/>
      <c r="Q86" s="16"/>
      <c r="R86" s="16"/>
      <c r="S86" s="16"/>
      <c r="T86" s="16"/>
      <c r="U86" s="16"/>
      <c r="V86" s="16"/>
      <c r="W86" s="18" t="s">
        <v>509</v>
      </c>
      <c r="X86" s="16"/>
      <c r="Y86" s="16"/>
      <c r="Z86" s="16"/>
      <c r="AA86" s="16"/>
      <c r="AB86" s="18" t="s">
        <v>383</v>
      </c>
      <c r="AC86" s="18"/>
      <c r="AD86" s="16">
        <v>1</v>
      </c>
      <c r="AE86" s="18"/>
      <c r="AF86" s="16" t="s">
        <v>399</v>
      </c>
      <c r="AG86" s="18" t="s">
        <v>416</v>
      </c>
      <c r="AH86" s="16"/>
      <c r="AI86" s="16"/>
      <c r="AJ86" s="16">
        <f>SUM(Table4[[#This Row],[Soccer/U7 (Yes=1)]:[Ultimate Frisbee (Yes=1)]])</f>
        <v>4</v>
      </c>
      <c r="AK86" s="10"/>
      <c r="AL86" s="10">
        <v>1</v>
      </c>
      <c r="AM86" s="10">
        <v>1</v>
      </c>
      <c r="AN86" s="10">
        <f>COUNTIFS(Table4[[#This Row],[Rectangular Field Dimension: Length - m ]],Methods_Dimensions!J$10,Table4[[#This Row],[Rectangular Field Dimension: Width - m ]],Methods_Dimensions!H$10)</f>
        <v>1</v>
      </c>
      <c r="AO86" s="10">
        <f>COUNTIFS(Table4[[#This Row],[Rectangular Field Dimension: Length - m ]],Methods_Dimensions!J$11,Table4[[#This Row],[Rectangular Field Dimension: Width - m ]],Methods_Dimensions!H$11)</f>
        <v>1</v>
      </c>
      <c r="AP86" s="10">
        <f>COUNTIFS(Table4[[#This Row],[Rectangular Field Dimension: Length - m ]],Methods_Dimensions!J$12,Table4[[#This Row],[Rectangular Field Dimension: Width - m ]],Methods_Dimensions!H$12)</f>
        <v>0</v>
      </c>
      <c r="AQ86" s="10">
        <f>COUNTIFS(Table4[[#This Row],[Rectangular Field Dimension: Length - m ]],Methods_Dimensions!J$13,Table4[[#This Row],[Rectangular Field Dimension: Width - m ]],Methods_Dimensions!H$13)</f>
        <v>0</v>
      </c>
      <c r="AR86" s="10">
        <f>COUNTIFS(Table4[[#This Row],[Rectangular Field Dimension: Length - m ]],Methods_Dimensions!J$14,Table4[[#This Row],[Rectangular Field Dimension: Width - m ]],Methods_Dimensions!H$14)</f>
        <v>0</v>
      </c>
      <c r="AS8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6" s="10">
        <f>COUNTIFS(Table4[[#This Row],[Rectangular Field Dimension: Length - m ]],Methods_Dimensions!J$16,Table4[[#This Row],[Rectangular Field Dimension: Width - m ]],Methods_Dimensions!H$16)</f>
        <v>0</v>
      </c>
      <c r="AU86" s="10">
        <f>COUNTIFS(Table4[[#This Row],[Rectangular Field Dimension: Length - m ]],Methods_Dimensions!J$17,Table4[[#This Row],[Rectangular Field Dimension: Width - m ]],Methods_Dimensions!H$17)</f>
        <v>0</v>
      </c>
      <c r="AV86" s="10">
        <f>COUNTIFS(Table4[[#This Row],[Rectangular Field Dimension: Length - m ]],Methods_Dimensions!J$18,Table4[[#This Row],[Rectangular Field Dimension: Width - m ]],Methods_Dimensions!H$18)</f>
        <v>0</v>
      </c>
      <c r="AW86" s="10">
        <f>COUNTIFS(Table4[[#This Row],[Rectangular Field Dimension: Length - m ]],Methods_Dimensions!J$19,Table4[[#This Row],[Rectangular Field Dimension: Width - m ]],Methods_Dimensions!H$19)</f>
        <v>0</v>
      </c>
      <c r="AX86" s="6" t="s">
        <v>572</v>
      </c>
      <c r="AY86" s="6" t="s">
        <v>388</v>
      </c>
    </row>
    <row r="87" spans="1:51" ht="34.799999999999997" x14ac:dyDescent="0.3">
      <c r="A87" s="4" t="s">
        <v>573</v>
      </c>
      <c r="B87" s="5" t="s">
        <v>574</v>
      </c>
      <c r="C87" s="5" t="s">
        <v>512</v>
      </c>
      <c r="D87" s="5" t="s">
        <v>97</v>
      </c>
      <c r="E87" s="5" t="s">
        <v>395</v>
      </c>
      <c r="F87" s="5" t="s">
        <v>396</v>
      </c>
      <c r="G87" s="6" t="s">
        <v>159</v>
      </c>
      <c r="H87" s="12">
        <v>110</v>
      </c>
      <c r="I87" s="12">
        <v>70</v>
      </c>
      <c r="J87" s="37">
        <v>7700</v>
      </c>
      <c r="K87" s="12"/>
      <c r="L87" s="12" t="s">
        <v>397</v>
      </c>
      <c r="M87" s="12">
        <v>1</v>
      </c>
      <c r="N87" s="12">
        <v>1</v>
      </c>
      <c r="O87" s="12">
        <v>1</v>
      </c>
      <c r="P87" s="12">
        <v>1</v>
      </c>
      <c r="Q87" s="12">
        <v>1</v>
      </c>
      <c r="R87" s="12">
        <v>1</v>
      </c>
      <c r="S87" s="12">
        <v>1</v>
      </c>
      <c r="T87" s="12">
        <v>1</v>
      </c>
      <c r="U87" s="12"/>
      <c r="V87" s="12">
        <v>1</v>
      </c>
      <c r="W87" s="17" t="s">
        <v>575</v>
      </c>
      <c r="X87" s="12"/>
      <c r="Y87" s="12"/>
      <c r="Z87" s="12"/>
      <c r="AA87" s="12"/>
      <c r="AB87" s="17" t="s">
        <v>535</v>
      </c>
      <c r="AC87" s="17">
        <v>36</v>
      </c>
      <c r="AD87" s="12">
        <v>1</v>
      </c>
      <c r="AE87" s="17" t="s">
        <v>576</v>
      </c>
      <c r="AF87" s="12" t="s">
        <v>399</v>
      </c>
      <c r="AG87" s="17" t="s">
        <v>400</v>
      </c>
      <c r="AH87" s="12">
        <v>45</v>
      </c>
      <c r="AI87" s="12">
        <v>7.5</v>
      </c>
      <c r="AJ87" s="12">
        <f>SUM(Table4[[#This Row],[Soccer/U7 (Yes=1)]:[Ultimate Frisbee (Yes=1)]])</f>
        <v>6</v>
      </c>
      <c r="AK87" s="10"/>
      <c r="AL87" s="10">
        <v>1</v>
      </c>
      <c r="AM87" s="10">
        <v>1</v>
      </c>
      <c r="AN87" s="10">
        <f>COUNTIFS(Table4[[#This Row],[Rectangular Field Dimension: Length - m ]],Methods_Dimensions!J$10,Table4[[#This Row],[Rectangular Field Dimension: Width - m ]],Methods_Dimensions!H$10)</f>
        <v>1</v>
      </c>
      <c r="AO87" s="10">
        <f>COUNTIFS(Table4[[#This Row],[Rectangular Field Dimension: Length - m ]],Methods_Dimensions!J$11,Table4[[#This Row],[Rectangular Field Dimension: Width - m ]],Methods_Dimensions!H$11)</f>
        <v>1</v>
      </c>
      <c r="AP87" s="10">
        <f>COUNTIFS(Table4[[#This Row],[Rectangular Field Dimension: Length - m ]],Methods_Dimensions!J$12,Table4[[#This Row],[Rectangular Field Dimension: Width - m ]],Methods_Dimensions!H$12)</f>
        <v>1</v>
      </c>
      <c r="AQ87" s="10">
        <f>COUNTIFS(Table4[[#This Row],[Rectangular Field Dimension: Length - m ]],Methods_Dimensions!J$13,Table4[[#This Row],[Rectangular Field Dimension: Width - m ]],Methods_Dimensions!H$13)</f>
        <v>0</v>
      </c>
      <c r="AR87" s="10">
        <f>COUNTIFS(Table4[[#This Row],[Rectangular Field Dimension: Length - m ]],Methods_Dimensions!J$14,Table4[[#This Row],[Rectangular Field Dimension: Width - m ]],Methods_Dimensions!H$14)</f>
        <v>0</v>
      </c>
      <c r="AS8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7" s="10">
        <f>COUNTIFS(Table4[[#This Row],[Rectangular Field Dimension: Length - m ]],Methods_Dimensions!J$16,Table4[[#This Row],[Rectangular Field Dimension: Width - m ]],Methods_Dimensions!H$16)</f>
        <v>0</v>
      </c>
      <c r="AU87" s="10">
        <f>COUNTIFS(Table4[[#This Row],[Rectangular Field Dimension: Length - m ]],Methods_Dimensions!J$17,Table4[[#This Row],[Rectangular Field Dimension: Width - m ]],Methods_Dimensions!H$17)</f>
        <v>0</v>
      </c>
      <c r="AV87" s="10">
        <f>COUNTIFS(Table4[[#This Row],[Rectangular Field Dimension: Length - m ]],Methods_Dimensions!J$18,Table4[[#This Row],[Rectangular Field Dimension: Width - m ]],Methods_Dimensions!H$18)</f>
        <v>0</v>
      </c>
      <c r="AW87" s="10">
        <f>COUNTIFS(Table4[[#This Row],[Rectangular Field Dimension: Length - m ]],Methods_Dimensions!J$19,Table4[[#This Row],[Rectangular Field Dimension: Width - m ]],Methods_Dimensions!H$19)</f>
        <v>1</v>
      </c>
      <c r="AX87" s="6" t="s">
        <v>577</v>
      </c>
      <c r="AY87" s="6" t="s">
        <v>388</v>
      </c>
    </row>
    <row r="88" spans="1:51" ht="34.799999999999997" x14ac:dyDescent="0.3">
      <c r="A88" s="26" t="s">
        <v>255</v>
      </c>
      <c r="B88" s="14" t="s">
        <v>574</v>
      </c>
      <c r="C88" s="14" t="s">
        <v>512</v>
      </c>
      <c r="D88" s="14" t="s">
        <v>97</v>
      </c>
      <c r="E88" s="14" t="s">
        <v>1271</v>
      </c>
      <c r="F88" s="14" t="s">
        <v>740</v>
      </c>
      <c r="G88" s="15" t="s">
        <v>159</v>
      </c>
      <c r="H88" s="16">
        <v>122</v>
      </c>
      <c r="I88" s="16">
        <v>55</v>
      </c>
      <c r="J88" s="36">
        <v>6710</v>
      </c>
      <c r="K88" s="16">
        <v>1</v>
      </c>
      <c r="L88" s="16" t="s">
        <v>389</v>
      </c>
      <c r="M88" s="16"/>
      <c r="N88" s="16">
        <v>1</v>
      </c>
      <c r="O88" s="16"/>
      <c r="P88" s="16">
        <v>1</v>
      </c>
      <c r="Q88" s="16">
        <v>1</v>
      </c>
      <c r="R88" s="16">
        <v>1</v>
      </c>
      <c r="S88" s="16">
        <v>1</v>
      </c>
      <c r="T88" s="16"/>
      <c r="U88" s="16"/>
      <c r="V88" s="16"/>
      <c r="W88" s="18"/>
      <c r="X88" s="16"/>
      <c r="Y88" s="16"/>
      <c r="Z88" s="16">
        <v>1</v>
      </c>
      <c r="AA88" s="16"/>
      <c r="AB88" s="18" t="s">
        <v>535</v>
      </c>
      <c r="AC88" s="18">
        <v>36</v>
      </c>
      <c r="AD88" s="16">
        <v>1</v>
      </c>
      <c r="AE88" s="18" t="s">
        <v>576</v>
      </c>
      <c r="AF88" s="16" t="s">
        <v>385</v>
      </c>
      <c r="AG88" s="18" t="s">
        <v>386</v>
      </c>
      <c r="AH88" s="16"/>
      <c r="AI88" s="16"/>
      <c r="AJ88" s="16">
        <f>SUM(Table4[[#This Row],[Soccer/U7 (Yes=1)]:[Ultimate Frisbee (Yes=1)]])</f>
        <v>6</v>
      </c>
      <c r="AK88" s="10"/>
      <c r="AL88" s="10">
        <v>1</v>
      </c>
      <c r="AM88" s="10">
        <v>1</v>
      </c>
      <c r="AN88" s="10">
        <f>COUNTIFS(Table4[[#This Row],[Rectangular Field Dimension: Length - m ]],Methods_Dimensions!J$10,Table4[[#This Row],[Rectangular Field Dimension: Width - m ]],Methods_Dimensions!H$10)</f>
        <v>1</v>
      </c>
      <c r="AO88" s="10">
        <f>COUNTIFS(Table4[[#This Row],[Rectangular Field Dimension: Length - m ]],Methods_Dimensions!J$11,Table4[[#This Row],[Rectangular Field Dimension: Width - m ]],Methods_Dimensions!H$11)</f>
        <v>1</v>
      </c>
      <c r="AP88" s="10">
        <f>COUNTIFS(Table4[[#This Row],[Rectangular Field Dimension: Length - m ]],Methods_Dimensions!J$12,Table4[[#This Row],[Rectangular Field Dimension: Width - m ]],Methods_Dimensions!H$12)</f>
        <v>1</v>
      </c>
      <c r="AQ88" s="10">
        <f>COUNTIFS(Table4[[#This Row],[Rectangular Field Dimension: Length - m ]],Methods_Dimensions!J$13,Table4[[#This Row],[Rectangular Field Dimension: Width - m ]],Methods_Dimensions!H$13)</f>
        <v>0</v>
      </c>
      <c r="AR88" s="10">
        <f>COUNTIFS(Table4[[#This Row],[Rectangular Field Dimension: Length - m ]],Methods_Dimensions!J$14,Table4[[#This Row],[Rectangular Field Dimension: Width - m ]],Methods_Dimensions!H$14)</f>
        <v>0</v>
      </c>
      <c r="AS8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8" s="10">
        <f>COUNTIFS(Table4[[#This Row],[Rectangular Field Dimension: Length - m ]],Methods_Dimensions!J$16,Table4[[#This Row],[Rectangular Field Dimension: Width - m ]],Methods_Dimensions!H$16)</f>
        <v>0</v>
      </c>
      <c r="AU88" s="10">
        <f>COUNTIFS(Table4[[#This Row],[Rectangular Field Dimension: Length - m ]],Methods_Dimensions!J$17,Table4[[#This Row],[Rectangular Field Dimension: Width - m ]],Methods_Dimensions!H$17)</f>
        <v>0</v>
      </c>
      <c r="AV88" s="10">
        <f>COUNTIFS(Table4[[#This Row],[Rectangular Field Dimension: Length - m ]],Methods_Dimensions!J$18,Table4[[#This Row],[Rectangular Field Dimension: Width - m ]],Methods_Dimensions!H$18)</f>
        <v>0</v>
      </c>
      <c r="AW88" s="10">
        <f>COUNTIFS(Table4[[#This Row],[Rectangular Field Dimension: Length - m ]],Methods_Dimensions!J$19,Table4[[#This Row],[Rectangular Field Dimension: Width - m ]],Methods_Dimensions!H$19)</f>
        <v>1</v>
      </c>
      <c r="AX88" s="6" t="s">
        <v>387</v>
      </c>
      <c r="AY88" s="6" t="s">
        <v>388</v>
      </c>
    </row>
    <row r="89" spans="1:51" ht="34.799999999999997" x14ac:dyDescent="0.3">
      <c r="A89" s="4" t="s">
        <v>256</v>
      </c>
      <c r="B89" s="5" t="s">
        <v>574</v>
      </c>
      <c r="C89" s="5" t="s">
        <v>512</v>
      </c>
      <c r="D89" s="5" t="s">
        <v>97</v>
      </c>
      <c r="E89" s="5" t="s">
        <v>1271</v>
      </c>
      <c r="F89" s="5" t="s">
        <v>740</v>
      </c>
      <c r="G89" s="6" t="s">
        <v>159</v>
      </c>
      <c r="H89" s="12">
        <v>70</v>
      </c>
      <c r="I89" s="12">
        <v>60</v>
      </c>
      <c r="J89" s="37">
        <v>4200</v>
      </c>
      <c r="K89" s="12">
        <v>1</v>
      </c>
      <c r="L89" s="12" t="s">
        <v>389</v>
      </c>
      <c r="M89" s="12"/>
      <c r="N89" s="12">
        <v>1</v>
      </c>
      <c r="O89" s="12"/>
      <c r="P89" s="12">
        <v>1</v>
      </c>
      <c r="Q89" s="12">
        <v>1</v>
      </c>
      <c r="R89" s="12">
        <v>1</v>
      </c>
      <c r="S89" s="12">
        <v>1</v>
      </c>
      <c r="T89" s="12"/>
      <c r="U89" s="12"/>
      <c r="V89" s="12"/>
      <c r="W89" s="17"/>
      <c r="X89" s="12"/>
      <c r="Y89" s="12"/>
      <c r="Z89" s="12">
        <v>1</v>
      </c>
      <c r="AA89" s="12"/>
      <c r="AB89" s="17" t="s">
        <v>535</v>
      </c>
      <c r="AC89" s="17">
        <v>36</v>
      </c>
      <c r="AD89" s="12">
        <v>1</v>
      </c>
      <c r="AE89" s="17" t="s">
        <v>576</v>
      </c>
      <c r="AF89" s="12" t="s">
        <v>385</v>
      </c>
      <c r="AG89" s="17" t="s">
        <v>386</v>
      </c>
      <c r="AH89" s="12">
        <v>24</v>
      </c>
      <c r="AI89" s="12">
        <v>6</v>
      </c>
      <c r="AJ89" s="12">
        <f>SUM(Table4[[#This Row],[Soccer/U7 (Yes=1)]:[Ultimate Frisbee (Yes=1)]])</f>
        <v>4</v>
      </c>
      <c r="AK89" s="10"/>
      <c r="AL89" s="10">
        <v>1</v>
      </c>
      <c r="AM89" s="10">
        <v>1</v>
      </c>
      <c r="AN89" s="10">
        <f>COUNTIFS(Table4[[#This Row],[Rectangular Field Dimension: Length - m ]],Methods_Dimensions!J$10,Table4[[#This Row],[Rectangular Field Dimension: Width - m ]],Methods_Dimensions!H$10)</f>
        <v>1</v>
      </c>
      <c r="AO89" s="10">
        <f>COUNTIFS(Table4[[#This Row],[Rectangular Field Dimension: Length - m ]],Methods_Dimensions!J$11,Table4[[#This Row],[Rectangular Field Dimension: Width - m ]],Methods_Dimensions!H$11)</f>
        <v>1</v>
      </c>
      <c r="AP89" s="10">
        <f>COUNTIFS(Table4[[#This Row],[Rectangular Field Dimension: Length - m ]],Methods_Dimensions!J$12,Table4[[#This Row],[Rectangular Field Dimension: Width - m ]],Methods_Dimensions!H$12)</f>
        <v>0</v>
      </c>
      <c r="AQ89" s="10">
        <f>COUNTIFS(Table4[[#This Row],[Rectangular Field Dimension: Length - m ]],Methods_Dimensions!J$13,Table4[[#This Row],[Rectangular Field Dimension: Width - m ]],Methods_Dimensions!H$13)</f>
        <v>0</v>
      </c>
      <c r="AR89" s="10">
        <f>COUNTIFS(Table4[[#This Row],[Rectangular Field Dimension: Length - m ]],Methods_Dimensions!J$14,Table4[[#This Row],[Rectangular Field Dimension: Width - m ]],Methods_Dimensions!H$14)</f>
        <v>0</v>
      </c>
      <c r="AS8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89" s="10">
        <f>COUNTIFS(Table4[[#This Row],[Rectangular Field Dimension: Length - m ]],Methods_Dimensions!J$16,Table4[[#This Row],[Rectangular Field Dimension: Width - m ]],Methods_Dimensions!H$16)</f>
        <v>0</v>
      </c>
      <c r="AU89" s="10">
        <f>COUNTIFS(Table4[[#This Row],[Rectangular Field Dimension: Length - m ]],Methods_Dimensions!J$17,Table4[[#This Row],[Rectangular Field Dimension: Width - m ]],Methods_Dimensions!H$17)</f>
        <v>0</v>
      </c>
      <c r="AV89" s="10">
        <f>COUNTIFS(Table4[[#This Row],[Rectangular Field Dimension: Length - m ]],Methods_Dimensions!J$18,Table4[[#This Row],[Rectangular Field Dimension: Width - m ]],Methods_Dimensions!H$18)</f>
        <v>0</v>
      </c>
      <c r="AW89" s="10">
        <f>COUNTIFS(Table4[[#This Row],[Rectangular Field Dimension: Length - m ]],Methods_Dimensions!J$19,Table4[[#This Row],[Rectangular Field Dimension: Width - m ]],Methods_Dimensions!H$19)</f>
        <v>0</v>
      </c>
      <c r="AX89" s="6" t="s">
        <v>578</v>
      </c>
      <c r="AY89" s="6" t="s">
        <v>388</v>
      </c>
    </row>
    <row r="90" spans="1:51" ht="34.799999999999997" x14ac:dyDescent="0.3">
      <c r="A90" s="26" t="s">
        <v>257</v>
      </c>
      <c r="B90" s="14" t="s">
        <v>574</v>
      </c>
      <c r="C90" s="14" t="s">
        <v>512</v>
      </c>
      <c r="D90" s="14" t="s">
        <v>97</v>
      </c>
      <c r="E90" s="14" t="s">
        <v>1271</v>
      </c>
      <c r="F90" s="14" t="s">
        <v>740</v>
      </c>
      <c r="G90" s="15" t="s">
        <v>159</v>
      </c>
      <c r="H90" s="16">
        <v>138</v>
      </c>
      <c r="I90" s="16">
        <v>132</v>
      </c>
      <c r="J90" s="36">
        <v>18216</v>
      </c>
      <c r="K90" s="16"/>
      <c r="L90" s="16" t="s">
        <v>397</v>
      </c>
      <c r="M90" s="16">
        <v>1</v>
      </c>
      <c r="N90" s="16">
        <v>1</v>
      </c>
      <c r="O90" s="16">
        <v>1</v>
      </c>
      <c r="P90" s="16">
        <v>1</v>
      </c>
      <c r="Q90" s="16">
        <v>1</v>
      </c>
      <c r="R90" s="16">
        <v>1</v>
      </c>
      <c r="S90" s="16">
        <v>1</v>
      </c>
      <c r="T90" s="16"/>
      <c r="U90" s="16"/>
      <c r="V90" s="16"/>
      <c r="W90" s="18" t="s">
        <v>414</v>
      </c>
      <c r="X90" s="16"/>
      <c r="Y90" s="16"/>
      <c r="Z90" s="16">
        <v>1</v>
      </c>
      <c r="AA90" s="16"/>
      <c r="AB90" s="18" t="s">
        <v>535</v>
      </c>
      <c r="AC90" s="18">
        <v>36</v>
      </c>
      <c r="AD90" s="16">
        <v>1</v>
      </c>
      <c r="AE90" s="18" t="s">
        <v>576</v>
      </c>
      <c r="AF90" s="16" t="s">
        <v>385</v>
      </c>
      <c r="AG90" s="18" t="s">
        <v>386</v>
      </c>
      <c r="AH90" s="16"/>
      <c r="AI90" s="16"/>
      <c r="AJ90" s="16">
        <f>SUM(Table4[[#This Row],[Soccer/U7 (Yes=1)]:[Ultimate Frisbee (Yes=1)]])</f>
        <v>8</v>
      </c>
      <c r="AK90" s="10"/>
      <c r="AL90" s="10">
        <v>1</v>
      </c>
      <c r="AM90" s="10">
        <v>1</v>
      </c>
      <c r="AN90" s="10">
        <f>COUNTIFS(Table4[[#This Row],[Rectangular Field Dimension: Length - m ]],Methods_Dimensions!J$10,Table4[[#This Row],[Rectangular Field Dimension: Width - m ]],Methods_Dimensions!H$10)</f>
        <v>1</v>
      </c>
      <c r="AO90" s="10">
        <f>COUNTIFS(Table4[[#This Row],[Rectangular Field Dimension: Length - m ]],Methods_Dimensions!J$11,Table4[[#This Row],[Rectangular Field Dimension: Width - m ]],Methods_Dimensions!H$11)</f>
        <v>1</v>
      </c>
      <c r="AP90" s="10">
        <f>COUNTIFS(Table4[[#This Row],[Rectangular Field Dimension: Length - m ]],Methods_Dimensions!J$12,Table4[[#This Row],[Rectangular Field Dimension: Width - m ]],Methods_Dimensions!H$12)</f>
        <v>1</v>
      </c>
      <c r="AQ90" s="10">
        <f>COUNTIFS(Table4[[#This Row],[Rectangular Field Dimension: Length - m ]],Methods_Dimensions!J$13,Table4[[#This Row],[Rectangular Field Dimension: Width - m ]],Methods_Dimensions!H$13)</f>
        <v>1</v>
      </c>
      <c r="AR90" s="10">
        <f>COUNTIFS(Table4[[#This Row],[Rectangular Field Dimension: Length - m ]],Methods_Dimensions!J$14,Table4[[#This Row],[Rectangular Field Dimension: Width - m ]],Methods_Dimensions!H$14)</f>
        <v>0</v>
      </c>
      <c r="AS9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0" s="10">
        <f>COUNTIFS(Table4[[#This Row],[Rectangular Field Dimension: Length - m ]],Methods_Dimensions!J$16,Table4[[#This Row],[Rectangular Field Dimension: Width - m ]],Methods_Dimensions!H$16)</f>
        <v>0</v>
      </c>
      <c r="AU90" s="10">
        <f>COUNTIFS(Table4[[#This Row],[Rectangular Field Dimension: Length - m ]],Methods_Dimensions!J$17,Table4[[#This Row],[Rectangular Field Dimension: Width - m ]],Methods_Dimensions!H$17)</f>
        <v>1</v>
      </c>
      <c r="AV90" s="10">
        <f>COUNTIFS(Table4[[#This Row],[Rectangular Field Dimension: Length - m ]],Methods_Dimensions!J$18,Table4[[#This Row],[Rectangular Field Dimension: Width - m ]],Methods_Dimensions!H$18)</f>
        <v>0</v>
      </c>
      <c r="AW90" s="10">
        <f>COUNTIFS(Table4[[#This Row],[Rectangular Field Dimension: Length - m ]],Methods_Dimensions!J$19,Table4[[#This Row],[Rectangular Field Dimension: Width - m ]],Methods_Dimensions!H$19)</f>
        <v>1</v>
      </c>
      <c r="AX90" s="6" t="s">
        <v>579</v>
      </c>
      <c r="AY90" s="6" t="s">
        <v>388</v>
      </c>
    </row>
    <row r="91" spans="1:51" ht="52.2" x14ac:dyDescent="0.3">
      <c r="A91" s="4" t="s">
        <v>258</v>
      </c>
      <c r="B91" s="5" t="s">
        <v>574</v>
      </c>
      <c r="C91" s="5" t="s">
        <v>512</v>
      </c>
      <c r="D91" s="5" t="s">
        <v>97</v>
      </c>
      <c r="E91" s="5" t="s">
        <v>789</v>
      </c>
      <c r="F91" s="5" t="s">
        <v>1273</v>
      </c>
      <c r="G91" s="6" t="s">
        <v>159</v>
      </c>
      <c r="H91" s="59"/>
      <c r="I91" s="59"/>
      <c r="J91" s="37"/>
      <c r="K91" s="12">
        <v>1</v>
      </c>
      <c r="L91" s="12" t="s">
        <v>397</v>
      </c>
      <c r="M91" s="12">
        <v>1</v>
      </c>
      <c r="N91" s="12">
        <v>1</v>
      </c>
      <c r="O91" s="12"/>
      <c r="P91" s="12">
        <v>1</v>
      </c>
      <c r="Q91" s="12">
        <v>1</v>
      </c>
      <c r="R91" s="12">
        <v>1</v>
      </c>
      <c r="S91" s="12">
        <v>1</v>
      </c>
      <c r="T91" s="12"/>
      <c r="U91" s="12"/>
      <c r="V91" s="12"/>
      <c r="W91" s="17"/>
      <c r="X91" s="12"/>
      <c r="Y91" s="12"/>
      <c r="Z91" s="12"/>
      <c r="AA91" s="12"/>
      <c r="AB91" s="17" t="s">
        <v>535</v>
      </c>
      <c r="AC91" s="17">
        <v>36</v>
      </c>
      <c r="AD91" s="12">
        <v>1</v>
      </c>
      <c r="AE91" s="17" t="s">
        <v>576</v>
      </c>
      <c r="AF91" s="12" t="s">
        <v>444</v>
      </c>
      <c r="AG91" s="17" t="s">
        <v>269</v>
      </c>
      <c r="AH91" s="12"/>
      <c r="AI91" s="12"/>
      <c r="AJ91" s="12">
        <f>SUM(Table4[[#This Row],[Soccer/U7 (Yes=1)]:[Ultimate Frisbee (Yes=1)]])</f>
        <v>0</v>
      </c>
      <c r="AK91" s="10"/>
      <c r="AL91" s="10">
        <v>0</v>
      </c>
      <c r="AM91" s="10">
        <v>0</v>
      </c>
      <c r="AN91" s="10">
        <f>COUNTIFS(Table4[[#This Row],[Rectangular Field Dimension: Length - m ]],Methods_Dimensions!J$10,Table4[[#This Row],[Rectangular Field Dimension: Width - m ]],Methods_Dimensions!H$10)</f>
        <v>0</v>
      </c>
      <c r="AO91" s="10">
        <f>COUNTIFS(Table4[[#This Row],[Rectangular Field Dimension: Length - m ]],Methods_Dimensions!J$11,Table4[[#This Row],[Rectangular Field Dimension: Width - m ]],Methods_Dimensions!H$11)</f>
        <v>0</v>
      </c>
      <c r="AP91" s="10">
        <f>COUNTIFS(Table4[[#This Row],[Rectangular Field Dimension: Length - m ]],Methods_Dimensions!J$12,Table4[[#This Row],[Rectangular Field Dimension: Width - m ]],Methods_Dimensions!H$12)</f>
        <v>0</v>
      </c>
      <c r="AQ91" s="10">
        <f>COUNTIFS(Table4[[#This Row],[Rectangular Field Dimension: Length - m ]],Methods_Dimensions!J$13,Table4[[#This Row],[Rectangular Field Dimension: Width - m ]],Methods_Dimensions!H$13)</f>
        <v>0</v>
      </c>
      <c r="AR91" s="10">
        <f>COUNTIFS(Table4[[#This Row],[Rectangular Field Dimension: Length - m ]],Methods_Dimensions!J$14,Table4[[#This Row],[Rectangular Field Dimension: Width - m ]],Methods_Dimensions!H$14)</f>
        <v>0</v>
      </c>
      <c r="AS9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1" s="10">
        <f>COUNTIFS(Table4[[#This Row],[Rectangular Field Dimension: Length - m ]],Methods_Dimensions!J$16,Table4[[#This Row],[Rectangular Field Dimension: Width - m ]],Methods_Dimensions!H$16)</f>
        <v>0</v>
      </c>
      <c r="AU91" s="10">
        <f>COUNTIFS(Table4[[#This Row],[Rectangular Field Dimension: Length - m ]],Methods_Dimensions!J$17,Table4[[#This Row],[Rectangular Field Dimension: Width - m ]],Methods_Dimensions!H$17)</f>
        <v>0</v>
      </c>
      <c r="AV91" s="10">
        <f>COUNTIFS(Table4[[#This Row],[Rectangular Field Dimension: Length - m ]],Methods_Dimensions!J$18,Table4[[#This Row],[Rectangular Field Dimension: Width - m ]],Methods_Dimensions!H$18)</f>
        <v>0</v>
      </c>
      <c r="AW91" s="10">
        <f>COUNTIFS(Table4[[#This Row],[Rectangular Field Dimension: Length - m ]],Methods_Dimensions!J$19,Table4[[#This Row],[Rectangular Field Dimension: Width - m ]],Methods_Dimensions!H$19)</f>
        <v>0</v>
      </c>
      <c r="AX91" s="6" t="s">
        <v>580</v>
      </c>
      <c r="AY91" s="6" t="s">
        <v>581</v>
      </c>
    </row>
    <row r="92" spans="1:51" ht="34.799999999999997" x14ac:dyDescent="0.3">
      <c r="A92" s="26" t="s">
        <v>259</v>
      </c>
      <c r="B92" s="14" t="s">
        <v>582</v>
      </c>
      <c r="C92" s="14" t="s">
        <v>406</v>
      </c>
      <c r="D92" s="14" t="s">
        <v>102</v>
      </c>
      <c r="E92" s="14" t="s">
        <v>1271</v>
      </c>
      <c r="F92" s="14" t="s">
        <v>789</v>
      </c>
      <c r="G92" s="15" t="s">
        <v>159</v>
      </c>
      <c r="H92" s="16">
        <v>80</v>
      </c>
      <c r="I92" s="16">
        <v>73</v>
      </c>
      <c r="J92" s="36">
        <v>5840</v>
      </c>
      <c r="K92" s="16">
        <v>1</v>
      </c>
      <c r="L92" s="16" t="s">
        <v>389</v>
      </c>
      <c r="M92" s="16"/>
      <c r="N92" s="16">
        <v>1</v>
      </c>
      <c r="O92" s="16"/>
      <c r="P92" s="16">
        <v>1</v>
      </c>
      <c r="Q92" s="16"/>
      <c r="R92" s="16">
        <v>1</v>
      </c>
      <c r="S92" s="16"/>
      <c r="T92" s="16">
        <v>1</v>
      </c>
      <c r="U92" s="16"/>
      <c r="V92" s="16"/>
      <c r="W92" s="18"/>
      <c r="X92" s="16">
        <v>1</v>
      </c>
      <c r="Y92" s="16"/>
      <c r="Z92" s="16">
        <v>1</v>
      </c>
      <c r="AA92" s="16"/>
      <c r="AB92" s="18" t="s">
        <v>583</v>
      </c>
      <c r="AC92" s="18">
        <v>30</v>
      </c>
      <c r="AD92" s="16">
        <v>1</v>
      </c>
      <c r="AE92" s="18"/>
      <c r="AF92" s="16" t="s">
        <v>385</v>
      </c>
      <c r="AG92" s="18" t="s">
        <v>416</v>
      </c>
      <c r="AH92" s="16"/>
      <c r="AI92" s="16"/>
      <c r="AJ92" s="16">
        <f>SUM(Table4[[#This Row],[Soccer/U7 (Yes=1)]:[Ultimate Frisbee (Yes=1)]])</f>
        <v>4</v>
      </c>
      <c r="AK92" s="10"/>
      <c r="AL92" s="10">
        <v>1</v>
      </c>
      <c r="AM92" s="10">
        <v>1</v>
      </c>
      <c r="AN92" s="10">
        <f>COUNTIFS(Table4[[#This Row],[Rectangular Field Dimension: Length - m ]],Methods_Dimensions!J$10,Table4[[#This Row],[Rectangular Field Dimension: Width - m ]],Methods_Dimensions!H$10)</f>
        <v>1</v>
      </c>
      <c r="AO92" s="10">
        <f>COUNTIFS(Table4[[#This Row],[Rectangular Field Dimension: Length - m ]],Methods_Dimensions!J$11,Table4[[#This Row],[Rectangular Field Dimension: Width - m ]],Methods_Dimensions!H$11)</f>
        <v>1</v>
      </c>
      <c r="AP92" s="10">
        <f>COUNTIFS(Table4[[#This Row],[Rectangular Field Dimension: Length - m ]],Methods_Dimensions!J$12,Table4[[#This Row],[Rectangular Field Dimension: Width - m ]],Methods_Dimensions!H$12)</f>
        <v>0</v>
      </c>
      <c r="AQ92" s="10">
        <f>COUNTIFS(Table4[[#This Row],[Rectangular Field Dimension: Length - m ]],Methods_Dimensions!J$13,Table4[[#This Row],[Rectangular Field Dimension: Width - m ]],Methods_Dimensions!H$13)</f>
        <v>0</v>
      </c>
      <c r="AR92" s="10">
        <f>COUNTIFS(Table4[[#This Row],[Rectangular Field Dimension: Length - m ]],Methods_Dimensions!J$14,Table4[[#This Row],[Rectangular Field Dimension: Width - m ]],Methods_Dimensions!H$14)</f>
        <v>0</v>
      </c>
      <c r="AS9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2" s="10">
        <f>COUNTIFS(Table4[[#This Row],[Rectangular Field Dimension: Length - m ]],Methods_Dimensions!J$16,Table4[[#This Row],[Rectangular Field Dimension: Width - m ]],Methods_Dimensions!H$16)</f>
        <v>0</v>
      </c>
      <c r="AU92" s="10">
        <f>COUNTIFS(Table4[[#This Row],[Rectangular Field Dimension: Length - m ]],Methods_Dimensions!J$17,Table4[[#This Row],[Rectangular Field Dimension: Width - m ]],Methods_Dimensions!H$17)</f>
        <v>0</v>
      </c>
      <c r="AV92" s="10">
        <f>COUNTIFS(Table4[[#This Row],[Rectangular Field Dimension: Length - m ]],Methods_Dimensions!J$18,Table4[[#This Row],[Rectangular Field Dimension: Width - m ]],Methods_Dimensions!H$18)</f>
        <v>0</v>
      </c>
      <c r="AW92" s="10">
        <f>COUNTIFS(Table4[[#This Row],[Rectangular Field Dimension: Length - m ]],Methods_Dimensions!J$19,Table4[[#This Row],[Rectangular Field Dimension: Width - m ]],Methods_Dimensions!H$19)</f>
        <v>0</v>
      </c>
      <c r="AX92" s="6" t="s">
        <v>584</v>
      </c>
      <c r="AY92" s="6" t="s">
        <v>388</v>
      </c>
    </row>
    <row r="93" spans="1:51" ht="87" x14ac:dyDescent="0.3">
      <c r="A93" s="4" t="s">
        <v>260</v>
      </c>
      <c r="B93" s="5" t="s">
        <v>582</v>
      </c>
      <c r="C93" s="5" t="s">
        <v>406</v>
      </c>
      <c r="D93" s="5" t="s">
        <v>102</v>
      </c>
      <c r="E93" s="5" t="s">
        <v>1271</v>
      </c>
      <c r="F93" s="5" t="s">
        <v>740</v>
      </c>
      <c r="G93" s="6" t="s">
        <v>159</v>
      </c>
      <c r="H93" s="59"/>
      <c r="I93" s="59"/>
      <c r="J93" s="37"/>
      <c r="K93" s="12">
        <v>1</v>
      </c>
      <c r="L93" s="12" t="s">
        <v>397</v>
      </c>
      <c r="M93" s="12">
        <v>1</v>
      </c>
      <c r="N93" s="12">
        <v>1</v>
      </c>
      <c r="O93" s="12"/>
      <c r="P93" s="12">
        <v>1</v>
      </c>
      <c r="Q93" s="12"/>
      <c r="R93" s="12">
        <v>1</v>
      </c>
      <c r="S93" s="12"/>
      <c r="T93" s="12"/>
      <c r="U93" s="12"/>
      <c r="V93" s="12"/>
      <c r="W93" s="17"/>
      <c r="X93" s="12">
        <v>1</v>
      </c>
      <c r="Y93" s="12"/>
      <c r="Z93" s="12">
        <v>1</v>
      </c>
      <c r="AA93" s="12"/>
      <c r="AB93" s="17" t="s">
        <v>583</v>
      </c>
      <c r="AC93" s="17">
        <v>30</v>
      </c>
      <c r="AD93" s="12">
        <v>1</v>
      </c>
      <c r="AE93" s="17"/>
      <c r="AF93" s="12" t="s">
        <v>385</v>
      </c>
      <c r="AG93" s="17" t="s">
        <v>386</v>
      </c>
      <c r="AH93" s="12"/>
      <c r="AI93" s="12"/>
      <c r="AJ93" s="12">
        <f>SUM(Table4[[#This Row],[Soccer/U7 (Yes=1)]:[Ultimate Frisbee (Yes=1)]])</f>
        <v>0</v>
      </c>
      <c r="AK93" s="10"/>
      <c r="AL93" s="10">
        <v>0</v>
      </c>
      <c r="AM93" s="10">
        <v>0</v>
      </c>
      <c r="AN93" s="10">
        <f>COUNTIFS(Table4[[#This Row],[Rectangular Field Dimension: Length - m ]],Methods_Dimensions!J$10,Table4[[#This Row],[Rectangular Field Dimension: Width - m ]],Methods_Dimensions!H$10)</f>
        <v>0</v>
      </c>
      <c r="AO93" s="10">
        <f>COUNTIFS(Table4[[#This Row],[Rectangular Field Dimension: Length - m ]],Methods_Dimensions!J$11,Table4[[#This Row],[Rectangular Field Dimension: Width - m ]],Methods_Dimensions!H$11)</f>
        <v>0</v>
      </c>
      <c r="AP93" s="10">
        <f>COUNTIFS(Table4[[#This Row],[Rectangular Field Dimension: Length - m ]],Methods_Dimensions!J$12,Table4[[#This Row],[Rectangular Field Dimension: Width - m ]],Methods_Dimensions!H$12)</f>
        <v>0</v>
      </c>
      <c r="AQ93" s="10">
        <f>COUNTIFS(Table4[[#This Row],[Rectangular Field Dimension: Length - m ]],Methods_Dimensions!J$13,Table4[[#This Row],[Rectangular Field Dimension: Width - m ]],Methods_Dimensions!H$13)</f>
        <v>0</v>
      </c>
      <c r="AR93" s="10">
        <f>COUNTIFS(Table4[[#This Row],[Rectangular Field Dimension: Length - m ]],Methods_Dimensions!J$14,Table4[[#This Row],[Rectangular Field Dimension: Width - m ]],Methods_Dimensions!H$14)</f>
        <v>0</v>
      </c>
      <c r="AS9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3" s="10">
        <f>COUNTIFS(Table4[[#This Row],[Rectangular Field Dimension: Length - m ]],Methods_Dimensions!J$16,Table4[[#This Row],[Rectangular Field Dimension: Width - m ]],Methods_Dimensions!H$16)</f>
        <v>0</v>
      </c>
      <c r="AU93" s="10">
        <f>COUNTIFS(Table4[[#This Row],[Rectangular Field Dimension: Length - m ]],Methods_Dimensions!J$17,Table4[[#This Row],[Rectangular Field Dimension: Width - m ]],Methods_Dimensions!H$17)</f>
        <v>0</v>
      </c>
      <c r="AV93" s="10">
        <f>COUNTIFS(Table4[[#This Row],[Rectangular Field Dimension: Length - m ]],Methods_Dimensions!J$18,Table4[[#This Row],[Rectangular Field Dimension: Width - m ]],Methods_Dimensions!H$18)</f>
        <v>0</v>
      </c>
      <c r="AW93" s="10">
        <f>COUNTIFS(Table4[[#This Row],[Rectangular Field Dimension: Length - m ]],Methods_Dimensions!J$19,Table4[[#This Row],[Rectangular Field Dimension: Width - m ]],Methods_Dimensions!H$19)</f>
        <v>0</v>
      </c>
      <c r="AX93" s="6" t="s">
        <v>585</v>
      </c>
      <c r="AY93" s="6" t="s">
        <v>388</v>
      </c>
    </row>
    <row r="94" spans="1:51" ht="34.799999999999997" x14ac:dyDescent="0.3">
      <c r="A94" s="26" t="s">
        <v>261</v>
      </c>
      <c r="B94" s="14" t="s">
        <v>586</v>
      </c>
      <c r="C94" s="14" t="s">
        <v>512</v>
      </c>
      <c r="D94" s="14" t="s">
        <v>106</v>
      </c>
      <c r="E94" s="14" t="s">
        <v>1271</v>
      </c>
      <c r="F94" s="14" t="s">
        <v>740</v>
      </c>
      <c r="G94" s="15" t="s">
        <v>159</v>
      </c>
      <c r="H94" s="16">
        <v>144</v>
      </c>
      <c r="I94" s="16">
        <v>66</v>
      </c>
      <c r="J94" s="36">
        <v>9504</v>
      </c>
      <c r="K94" s="16"/>
      <c r="L94" s="16" t="s">
        <v>397</v>
      </c>
      <c r="M94" s="16">
        <v>1</v>
      </c>
      <c r="N94" s="16">
        <v>1</v>
      </c>
      <c r="O94" s="16"/>
      <c r="P94" s="16">
        <v>1</v>
      </c>
      <c r="Q94" s="16"/>
      <c r="R94" s="16">
        <v>1</v>
      </c>
      <c r="S94" s="16"/>
      <c r="T94" s="16"/>
      <c r="U94" s="16"/>
      <c r="V94" s="16"/>
      <c r="W94" s="18"/>
      <c r="X94" s="16">
        <v>1</v>
      </c>
      <c r="Y94" s="16"/>
      <c r="Z94" s="16">
        <v>1</v>
      </c>
      <c r="AA94" s="16"/>
      <c r="AB94" s="18" t="s">
        <v>587</v>
      </c>
      <c r="AC94" s="18">
        <v>36</v>
      </c>
      <c r="AD94" s="16">
        <v>1</v>
      </c>
      <c r="AE94" s="18" t="s">
        <v>588</v>
      </c>
      <c r="AF94" s="16" t="s">
        <v>444</v>
      </c>
      <c r="AG94" s="18" t="s">
        <v>386</v>
      </c>
      <c r="AH94" s="16"/>
      <c r="AI94" s="16"/>
      <c r="AJ94" s="16">
        <f>SUM(Table4[[#This Row],[Soccer/U7 (Yes=1)]:[Ultimate Frisbee (Yes=1)]])</f>
        <v>6</v>
      </c>
      <c r="AK94" s="10"/>
      <c r="AL94" s="10">
        <v>1</v>
      </c>
      <c r="AM94" s="10">
        <v>1</v>
      </c>
      <c r="AN94" s="10">
        <f>COUNTIFS(Table4[[#This Row],[Rectangular Field Dimension: Length - m ]],Methods_Dimensions!J$10,Table4[[#This Row],[Rectangular Field Dimension: Width - m ]],Methods_Dimensions!H$10)</f>
        <v>1</v>
      </c>
      <c r="AO94" s="10">
        <f>COUNTIFS(Table4[[#This Row],[Rectangular Field Dimension: Length - m ]],Methods_Dimensions!J$11,Table4[[#This Row],[Rectangular Field Dimension: Width - m ]],Methods_Dimensions!H$11)</f>
        <v>1</v>
      </c>
      <c r="AP94" s="10">
        <f>COUNTIFS(Table4[[#This Row],[Rectangular Field Dimension: Length - m ]],Methods_Dimensions!J$12,Table4[[#This Row],[Rectangular Field Dimension: Width - m ]],Methods_Dimensions!H$12)</f>
        <v>1</v>
      </c>
      <c r="AQ94" s="10">
        <f>COUNTIFS(Table4[[#This Row],[Rectangular Field Dimension: Length - m ]],Methods_Dimensions!J$13,Table4[[#This Row],[Rectangular Field Dimension: Width - m ]],Methods_Dimensions!H$13)</f>
        <v>0</v>
      </c>
      <c r="AR94" s="10">
        <f>COUNTIFS(Table4[[#This Row],[Rectangular Field Dimension: Length - m ]],Methods_Dimensions!J$14,Table4[[#This Row],[Rectangular Field Dimension: Width - m ]],Methods_Dimensions!H$14)</f>
        <v>0</v>
      </c>
      <c r="AS9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4" s="10">
        <f>COUNTIFS(Table4[[#This Row],[Rectangular Field Dimension: Length - m ]],Methods_Dimensions!J$16,Table4[[#This Row],[Rectangular Field Dimension: Width - m ]],Methods_Dimensions!H$16)</f>
        <v>0</v>
      </c>
      <c r="AU94" s="10">
        <f>COUNTIFS(Table4[[#This Row],[Rectangular Field Dimension: Length - m ]],Methods_Dimensions!J$17,Table4[[#This Row],[Rectangular Field Dimension: Width - m ]],Methods_Dimensions!H$17)</f>
        <v>0</v>
      </c>
      <c r="AV94" s="10">
        <f>COUNTIFS(Table4[[#This Row],[Rectangular Field Dimension: Length - m ]],Methods_Dimensions!J$18,Table4[[#This Row],[Rectangular Field Dimension: Width - m ]],Methods_Dimensions!H$18)</f>
        <v>0</v>
      </c>
      <c r="AW94" s="10">
        <f>COUNTIFS(Table4[[#This Row],[Rectangular Field Dimension: Length - m ]],Methods_Dimensions!J$19,Table4[[#This Row],[Rectangular Field Dimension: Width - m ]],Methods_Dimensions!H$19)</f>
        <v>1</v>
      </c>
      <c r="AX94" s="6" t="s">
        <v>589</v>
      </c>
      <c r="AY94" s="6" t="s">
        <v>388</v>
      </c>
    </row>
    <row r="95" spans="1:51" ht="34.799999999999997" x14ac:dyDescent="0.3">
      <c r="A95" s="4" t="s">
        <v>262</v>
      </c>
      <c r="B95" s="5" t="s">
        <v>586</v>
      </c>
      <c r="C95" s="5" t="s">
        <v>512</v>
      </c>
      <c r="D95" s="5" t="s">
        <v>106</v>
      </c>
      <c r="E95" s="5" t="s">
        <v>1271</v>
      </c>
      <c r="F95" s="5" t="s">
        <v>754</v>
      </c>
      <c r="G95" s="6" t="s">
        <v>159</v>
      </c>
      <c r="H95" s="12">
        <v>74</v>
      </c>
      <c r="I95" s="12">
        <v>67</v>
      </c>
      <c r="J95" s="37">
        <v>4958</v>
      </c>
      <c r="K95" s="12">
        <v>1</v>
      </c>
      <c r="L95" s="12" t="s">
        <v>389</v>
      </c>
      <c r="M95" s="12"/>
      <c r="N95" s="12">
        <v>1</v>
      </c>
      <c r="O95" s="12"/>
      <c r="P95" s="12">
        <v>1</v>
      </c>
      <c r="Q95" s="12"/>
      <c r="R95" s="12">
        <v>1</v>
      </c>
      <c r="S95" s="12"/>
      <c r="T95" s="12"/>
      <c r="U95" s="12"/>
      <c r="V95" s="12"/>
      <c r="W95" s="17"/>
      <c r="X95" s="12">
        <v>1</v>
      </c>
      <c r="Y95" s="12"/>
      <c r="Z95" s="12">
        <v>1</v>
      </c>
      <c r="AA95" s="12"/>
      <c r="AB95" s="17" t="s">
        <v>587</v>
      </c>
      <c r="AC95" s="17">
        <v>15</v>
      </c>
      <c r="AD95" s="12">
        <v>1</v>
      </c>
      <c r="AE95" s="17" t="s">
        <v>588</v>
      </c>
      <c r="AF95" s="12" t="s">
        <v>444</v>
      </c>
      <c r="AG95" s="17" t="s">
        <v>386</v>
      </c>
      <c r="AH95" s="12"/>
      <c r="AI95" s="12"/>
      <c r="AJ95" s="12">
        <f>SUM(Table4[[#This Row],[Soccer/U7 (Yes=1)]:[Ultimate Frisbee (Yes=1)]])</f>
        <v>4</v>
      </c>
      <c r="AK95" s="10"/>
      <c r="AL95" s="10">
        <v>1</v>
      </c>
      <c r="AM95" s="10">
        <v>1</v>
      </c>
      <c r="AN95" s="10">
        <f>COUNTIFS(Table4[[#This Row],[Rectangular Field Dimension: Length - m ]],Methods_Dimensions!J$10,Table4[[#This Row],[Rectangular Field Dimension: Width - m ]],Methods_Dimensions!H$10)</f>
        <v>1</v>
      </c>
      <c r="AO95" s="10">
        <f>COUNTIFS(Table4[[#This Row],[Rectangular Field Dimension: Length - m ]],Methods_Dimensions!J$11,Table4[[#This Row],[Rectangular Field Dimension: Width - m ]],Methods_Dimensions!H$11)</f>
        <v>1</v>
      </c>
      <c r="AP95" s="10">
        <f>COUNTIFS(Table4[[#This Row],[Rectangular Field Dimension: Length - m ]],Methods_Dimensions!J$12,Table4[[#This Row],[Rectangular Field Dimension: Width - m ]],Methods_Dimensions!H$12)</f>
        <v>0</v>
      </c>
      <c r="AQ95" s="10">
        <f>COUNTIFS(Table4[[#This Row],[Rectangular Field Dimension: Length - m ]],Methods_Dimensions!J$13,Table4[[#This Row],[Rectangular Field Dimension: Width - m ]],Methods_Dimensions!H$13)</f>
        <v>0</v>
      </c>
      <c r="AR95" s="10">
        <f>COUNTIFS(Table4[[#This Row],[Rectangular Field Dimension: Length - m ]],Methods_Dimensions!J$14,Table4[[#This Row],[Rectangular Field Dimension: Width - m ]],Methods_Dimensions!H$14)</f>
        <v>0</v>
      </c>
      <c r="AS9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5" s="10">
        <f>COUNTIFS(Table4[[#This Row],[Rectangular Field Dimension: Length - m ]],Methods_Dimensions!J$16,Table4[[#This Row],[Rectangular Field Dimension: Width - m ]],Methods_Dimensions!H$16)</f>
        <v>0</v>
      </c>
      <c r="AU95" s="10">
        <f>COUNTIFS(Table4[[#This Row],[Rectangular Field Dimension: Length - m ]],Methods_Dimensions!J$17,Table4[[#This Row],[Rectangular Field Dimension: Width - m ]],Methods_Dimensions!H$17)</f>
        <v>0</v>
      </c>
      <c r="AV95" s="10">
        <f>COUNTIFS(Table4[[#This Row],[Rectangular Field Dimension: Length - m ]],Methods_Dimensions!J$18,Table4[[#This Row],[Rectangular Field Dimension: Width - m ]],Methods_Dimensions!H$18)</f>
        <v>0</v>
      </c>
      <c r="AW95" s="10">
        <f>COUNTIFS(Table4[[#This Row],[Rectangular Field Dimension: Length - m ]],Methods_Dimensions!J$19,Table4[[#This Row],[Rectangular Field Dimension: Width - m ]],Methods_Dimensions!H$19)</f>
        <v>0</v>
      </c>
      <c r="AX95" s="6" t="s">
        <v>387</v>
      </c>
      <c r="AY95" s="6" t="s">
        <v>388</v>
      </c>
    </row>
    <row r="96" spans="1:51" ht="34.799999999999997" x14ac:dyDescent="0.3">
      <c r="A96" s="26" t="s">
        <v>263</v>
      </c>
      <c r="B96" s="14" t="s">
        <v>590</v>
      </c>
      <c r="C96" s="14" t="s">
        <v>466</v>
      </c>
      <c r="D96" s="14" t="s">
        <v>109</v>
      </c>
      <c r="E96" s="14" t="s">
        <v>1272</v>
      </c>
      <c r="F96" s="14" t="s">
        <v>789</v>
      </c>
      <c r="G96" s="15" t="s">
        <v>159</v>
      </c>
      <c r="H96" s="16">
        <v>118</v>
      </c>
      <c r="I96" s="16">
        <v>98</v>
      </c>
      <c r="J96" s="36">
        <v>11564</v>
      </c>
      <c r="K96" s="16">
        <v>1</v>
      </c>
      <c r="L96" s="16" t="s">
        <v>389</v>
      </c>
      <c r="M96" s="16"/>
      <c r="N96" s="16">
        <v>1</v>
      </c>
      <c r="O96" s="16"/>
      <c r="P96" s="16">
        <v>1</v>
      </c>
      <c r="Q96" s="16"/>
      <c r="R96" s="16"/>
      <c r="S96" s="16"/>
      <c r="T96" s="16"/>
      <c r="U96" s="16"/>
      <c r="V96" s="16"/>
      <c r="W96" s="18"/>
      <c r="X96" s="16">
        <v>1</v>
      </c>
      <c r="Y96" s="16"/>
      <c r="Z96" s="16"/>
      <c r="AA96" s="16"/>
      <c r="AB96" s="18" t="s">
        <v>383</v>
      </c>
      <c r="AC96" s="18"/>
      <c r="AD96" s="16">
        <v>1</v>
      </c>
      <c r="AE96" s="18"/>
      <c r="AF96" s="16" t="s">
        <v>399</v>
      </c>
      <c r="AG96" s="18" t="s">
        <v>416</v>
      </c>
      <c r="AH96" s="16"/>
      <c r="AI96" s="16"/>
      <c r="AJ96" s="16">
        <f>SUM(Table4[[#This Row],[Soccer/U7 (Yes=1)]:[Ultimate Frisbee (Yes=1)]])</f>
        <v>7</v>
      </c>
      <c r="AK96" s="10"/>
      <c r="AL96" s="10">
        <v>1</v>
      </c>
      <c r="AM96" s="10">
        <v>1</v>
      </c>
      <c r="AN96" s="10">
        <f>COUNTIFS(Table4[[#This Row],[Rectangular Field Dimension: Length - m ]],Methods_Dimensions!J$10,Table4[[#This Row],[Rectangular Field Dimension: Width - m ]],Methods_Dimensions!H$10)</f>
        <v>1</v>
      </c>
      <c r="AO96" s="10">
        <f>COUNTIFS(Table4[[#This Row],[Rectangular Field Dimension: Length - m ]],Methods_Dimensions!J$11,Table4[[#This Row],[Rectangular Field Dimension: Width - m ]],Methods_Dimensions!H$11)</f>
        <v>1</v>
      </c>
      <c r="AP96" s="10">
        <f>COUNTIFS(Table4[[#This Row],[Rectangular Field Dimension: Length - m ]],Methods_Dimensions!J$12,Table4[[#This Row],[Rectangular Field Dimension: Width - m ]],Methods_Dimensions!H$12)</f>
        <v>1</v>
      </c>
      <c r="AQ96" s="10">
        <f>COUNTIFS(Table4[[#This Row],[Rectangular Field Dimension: Length - m ]],Methods_Dimensions!J$13,Table4[[#This Row],[Rectangular Field Dimension: Width - m ]],Methods_Dimensions!H$13)</f>
        <v>0</v>
      </c>
      <c r="AR96" s="10">
        <f>COUNTIFS(Table4[[#This Row],[Rectangular Field Dimension: Length - m ]],Methods_Dimensions!J$14,Table4[[#This Row],[Rectangular Field Dimension: Width - m ]],Methods_Dimensions!H$14)</f>
        <v>0</v>
      </c>
      <c r="AS9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6" s="10">
        <f>COUNTIFS(Table4[[#This Row],[Rectangular Field Dimension: Length - m ]],Methods_Dimensions!J$16,Table4[[#This Row],[Rectangular Field Dimension: Width - m ]],Methods_Dimensions!H$16)</f>
        <v>0</v>
      </c>
      <c r="AU96" s="10">
        <f>COUNTIFS(Table4[[#This Row],[Rectangular Field Dimension: Length - m ]],Methods_Dimensions!J$17,Table4[[#This Row],[Rectangular Field Dimension: Width - m ]],Methods_Dimensions!H$17)</f>
        <v>1</v>
      </c>
      <c r="AV96" s="10">
        <f>COUNTIFS(Table4[[#This Row],[Rectangular Field Dimension: Length - m ]],Methods_Dimensions!J$18,Table4[[#This Row],[Rectangular Field Dimension: Width - m ]],Methods_Dimensions!H$18)</f>
        <v>0</v>
      </c>
      <c r="AW96" s="10">
        <f>COUNTIFS(Table4[[#This Row],[Rectangular Field Dimension: Length - m ]],Methods_Dimensions!J$19,Table4[[#This Row],[Rectangular Field Dimension: Width - m ]],Methods_Dimensions!H$19)</f>
        <v>1</v>
      </c>
      <c r="AX96" s="6" t="s">
        <v>591</v>
      </c>
      <c r="AY96" s="6" t="s">
        <v>388</v>
      </c>
    </row>
    <row r="97" spans="1:51" ht="34.799999999999997" x14ac:dyDescent="0.3">
      <c r="A97" s="4" t="s">
        <v>264</v>
      </c>
      <c r="B97" s="5" t="s">
        <v>590</v>
      </c>
      <c r="C97" s="5" t="s">
        <v>466</v>
      </c>
      <c r="D97" s="5" t="s">
        <v>109</v>
      </c>
      <c r="E97" s="5" t="s">
        <v>1271</v>
      </c>
      <c r="F97" s="5" t="s">
        <v>740</v>
      </c>
      <c r="G97" s="6" t="s">
        <v>159</v>
      </c>
      <c r="H97" s="12">
        <v>113</v>
      </c>
      <c r="I97" s="12">
        <v>109</v>
      </c>
      <c r="J97" s="37">
        <v>12317</v>
      </c>
      <c r="K97" s="12">
        <v>1</v>
      </c>
      <c r="L97" s="12" t="s">
        <v>389</v>
      </c>
      <c r="M97" s="12"/>
      <c r="N97" s="12">
        <v>1</v>
      </c>
      <c r="O97" s="12"/>
      <c r="P97" s="12">
        <v>1</v>
      </c>
      <c r="Q97" s="12"/>
      <c r="R97" s="12"/>
      <c r="S97" s="12"/>
      <c r="T97" s="12"/>
      <c r="U97" s="12"/>
      <c r="V97" s="12"/>
      <c r="W97" s="17"/>
      <c r="X97" s="12">
        <v>1</v>
      </c>
      <c r="Y97" s="12"/>
      <c r="Z97" s="12">
        <v>1</v>
      </c>
      <c r="AA97" s="12"/>
      <c r="AB97" s="17" t="s">
        <v>383</v>
      </c>
      <c r="AC97" s="17"/>
      <c r="AD97" s="12">
        <v>1</v>
      </c>
      <c r="AE97" s="17"/>
      <c r="AF97" s="12" t="s">
        <v>399</v>
      </c>
      <c r="AG97" s="17" t="s">
        <v>386</v>
      </c>
      <c r="AH97" s="12"/>
      <c r="AI97" s="12"/>
      <c r="AJ97" s="12">
        <f>SUM(Table4[[#This Row],[Soccer/U7 (Yes=1)]:[Ultimate Frisbee (Yes=1)]])</f>
        <v>6</v>
      </c>
      <c r="AK97" s="10"/>
      <c r="AL97" s="10">
        <v>1</v>
      </c>
      <c r="AM97" s="10">
        <v>1</v>
      </c>
      <c r="AN97" s="10">
        <f>COUNTIFS(Table4[[#This Row],[Rectangular Field Dimension: Length - m ]],Methods_Dimensions!J$10,Table4[[#This Row],[Rectangular Field Dimension: Width - m ]],Methods_Dimensions!H$10)</f>
        <v>1</v>
      </c>
      <c r="AO97" s="10">
        <f>COUNTIFS(Table4[[#This Row],[Rectangular Field Dimension: Length - m ]],Methods_Dimensions!J$11,Table4[[#This Row],[Rectangular Field Dimension: Width - m ]],Methods_Dimensions!H$11)</f>
        <v>1</v>
      </c>
      <c r="AP97" s="10">
        <f>COUNTIFS(Table4[[#This Row],[Rectangular Field Dimension: Length - m ]],Methods_Dimensions!J$12,Table4[[#This Row],[Rectangular Field Dimension: Width - m ]],Methods_Dimensions!H$12)</f>
        <v>1</v>
      </c>
      <c r="AQ97" s="10">
        <f>COUNTIFS(Table4[[#This Row],[Rectangular Field Dimension: Length - m ]],Methods_Dimensions!J$13,Table4[[#This Row],[Rectangular Field Dimension: Width - m ]],Methods_Dimensions!H$13)</f>
        <v>0</v>
      </c>
      <c r="AR97" s="10">
        <f>COUNTIFS(Table4[[#This Row],[Rectangular Field Dimension: Length - m ]],Methods_Dimensions!J$14,Table4[[#This Row],[Rectangular Field Dimension: Width - m ]],Methods_Dimensions!H$14)</f>
        <v>0</v>
      </c>
      <c r="AS9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7" s="10">
        <f>COUNTIFS(Table4[[#This Row],[Rectangular Field Dimension: Length - m ]],Methods_Dimensions!J$16,Table4[[#This Row],[Rectangular Field Dimension: Width - m ]],Methods_Dimensions!H$16)</f>
        <v>0</v>
      </c>
      <c r="AU97" s="10">
        <f>COUNTIFS(Table4[[#This Row],[Rectangular Field Dimension: Length - m ]],Methods_Dimensions!J$17,Table4[[#This Row],[Rectangular Field Dimension: Width - m ]],Methods_Dimensions!H$17)</f>
        <v>0</v>
      </c>
      <c r="AV97" s="10">
        <f>COUNTIFS(Table4[[#This Row],[Rectangular Field Dimension: Length - m ]],Methods_Dimensions!J$18,Table4[[#This Row],[Rectangular Field Dimension: Width - m ]],Methods_Dimensions!H$18)</f>
        <v>0</v>
      </c>
      <c r="AW97" s="10">
        <f>COUNTIFS(Table4[[#This Row],[Rectangular Field Dimension: Length - m ]],Methods_Dimensions!J$19,Table4[[#This Row],[Rectangular Field Dimension: Width - m ]],Methods_Dimensions!H$19)</f>
        <v>1</v>
      </c>
      <c r="AX97" s="6" t="s">
        <v>591</v>
      </c>
      <c r="AY97" s="6" t="s">
        <v>388</v>
      </c>
    </row>
    <row r="98" spans="1:51" ht="69.599999999999994" x14ac:dyDescent="0.3">
      <c r="A98" s="26" t="s">
        <v>265</v>
      </c>
      <c r="B98" s="14" t="s">
        <v>592</v>
      </c>
      <c r="C98" s="14" t="s">
        <v>406</v>
      </c>
      <c r="D98" s="14" t="s">
        <v>266</v>
      </c>
      <c r="E98" s="14" t="s">
        <v>1271</v>
      </c>
      <c r="F98" s="14" t="s">
        <v>740</v>
      </c>
      <c r="G98" s="15" t="s">
        <v>159</v>
      </c>
      <c r="H98" s="16">
        <v>123</v>
      </c>
      <c r="I98" s="16">
        <v>79</v>
      </c>
      <c r="J98" s="36">
        <v>9717</v>
      </c>
      <c r="K98" s="16"/>
      <c r="L98" s="16" t="s">
        <v>397</v>
      </c>
      <c r="M98" s="16">
        <v>1</v>
      </c>
      <c r="N98" s="16">
        <v>1</v>
      </c>
      <c r="O98" s="16"/>
      <c r="P98" s="16">
        <v>1</v>
      </c>
      <c r="Q98" s="16"/>
      <c r="R98" s="16"/>
      <c r="S98" s="16"/>
      <c r="T98" s="16"/>
      <c r="U98" s="16"/>
      <c r="V98" s="16"/>
      <c r="W98" s="18"/>
      <c r="X98" s="16"/>
      <c r="Y98" s="16"/>
      <c r="Z98" s="16">
        <v>1</v>
      </c>
      <c r="AA98" s="16"/>
      <c r="AB98" s="18" t="s">
        <v>383</v>
      </c>
      <c r="AC98" s="18"/>
      <c r="AD98" s="16">
        <v>1</v>
      </c>
      <c r="AE98" s="18"/>
      <c r="AF98" s="16" t="s">
        <v>444</v>
      </c>
      <c r="AG98" s="18" t="s">
        <v>386</v>
      </c>
      <c r="AH98" s="16"/>
      <c r="AI98" s="16"/>
      <c r="AJ98" s="16">
        <f>SUM(Table4[[#This Row],[Soccer/U7 (Yes=1)]:[Ultimate Frisbee (Yes=1)]])</f>
        <v>7</v>
      </c>
      <c r="AK98" s="10"/>
      <c r="AL98" s="10">
        <v>1</v>
      </c>
      <c r="AM98" s="10">
        <v>1</v>
      </c>
      <c r="AN98" s="10">
        <f>COUNTIFS(Table4[[#This Row],[Rectangular Field Dimension: Length - m ]],Methods_Dimensions!J$10,Table4[[#This Row],[Rectangular Field Dimension: Width - m ]],Methods_Dimensions!H$10)</f>
        <v>1</v>
      </c>
      <c r="AO98" s="10">
        <f>COUNTIFS(Table4[[#This Row],[Rectangular Field Dimension: Length - m ]],Methods_Dimensions!J$11,Table4[[#This Row],[Rectangular Field Dimension: Width - m ]],Methods_Dimensions!H$11)</f>
        <v>1</v>
      </c>
      <c r="AP98" s="10">
        <f>COUNTIFS(Table4[[#This Row],[Rectangular Field Dimension: Length - m ]],Methods_Dimensions!J$12,Table4[[#This Row],[Rectangular Field Dimension: Width - m ]],Methods_Dimensions!H$12)</f>
        <v>1</v>
      </c>
      <c r="AQ98" s="10">
        <f>COUNTIFS(Table4[[#This Row],[Rectangular Field Dimension: Length - m ]],Methods_Dimensions!J$13,Table4[[#This Row],[Rectangular Field Dimension: Width - m ]],Methods_Dimensions!H$13)</f>
        <v>0</v>
      </c>
      <c r="AR98" s="10">
        <f>COUNTIFS(Table4[[#This Row],[Rectangular Field Dimension: Length - m ]],Methods_Dimensions!J$14,Table4[[#This Row],[Rectangular Field Dimension: Width - m ]],Methods_Dimensions!H$14)</f>
        <v>0</v>
      </c>
      <c r="AS9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8" s="10">
        <f>COUNTIFS(Table4[[#This Row],[Rectangular Field Dimension: Length - m ]],Methods_Dimensions!J$16,Table4[[#This Row],[Rectangular Field Dimension: Width - m ]],Methods_Dimensions!H$16)</f>
        <v>0</v>
      </c>
      <c r="AU98" s="10">
        <f>COUNTIFS(Table4[[#This Row],[Rectangular Field Dimension: Length - m ]],Methods_Dimensions!J$17,Table4[[#This Row],[Rectangular Field Dimension: Width - m ]],Methods_Dimensions!H$17)</f>
        <v>1</v>
      </c>
      <c r="AV98" s="10">
        <f>COUNTIFS(Table4[[#This Row],[Rectangular Field Dimension: Length - m ]],Methods_Dimensions!J$18,Table4[[#This Row],[Rectangular Field Dimension: Width - m ]],Methods_Dimensions!H$18)</f>
        <v>0</v>
      </c>
      <c r="AW98" s="10">
        <f>COUNTIFS(Table4[[#This Row],[Rectangular Field Dimension: Length - m ]],Methods_Dimensions!J$19,Table4[[#This Row],[Rectangular Field Dimension: Width - m ]],Methods_Dimensions!H$19)</f>
        <v>1</v>
      </c>
      <c r="AX98" s="6" t="s">
        <v>593</v>
      </c>
      <c r="AY98" s="6" t="s">
        <v>388</v>
      </c>
    </row>
    <row r="99" spans="1:51" ht="34.799999999999997" x14ac:dyDescent="0.3">
      <c r="A99" s="4" t="s">
        <v>267</v>
      </c>
      <c r="B99" s="5" t="s">
        <v>592</v>
      </c>
      <c r="C99" s="5" t="s">
        <v>406</v>
      </c>
      <c r="D99" s="5" t="s">
        <v>266</v>
      </c>
      <c r="E99" s="5" t="s">
        <v>789</v>
      </c>
      <c r="F99" s="5" t="s">
        <v>789</v>
      </c>
      <c r="G99" s="6" t="s">
        <v>159</v>
      </c>
      <c r="H99" s="59"/>
      <c r="I99" s="59"/>
      <c r="J99" s="37"/>
      <c r="K99" s="12"/>
      <c r="L99" s="12" t="s">
        <v>397</v>
      </c>
      <c r="M99" s="12">
        <v>1</v>
      </c>
      <c r="N99" s="12">
        <v>1</v>
      </c>
      <c r="O99" s="12"/>
      <c r="P99" s="12">
        <v>1</v>
      </c>
      <c r="Q99" s="12"/>
      <c r="R99" s="12"/>
      <c r="S99" s="12"/>
      <c r="T99" s="12"/>
      <c r="U99" s="12"/>
      <c r="V99" s="12"/>
      <c r="W99" s="17"/>
      <c r="X99" s="12"/>
      <c r="Y99" s="12"/>
      <c r="Z99" s="12"/>
      <c r="AA99" s="12"/>
      <c r="AB99" s="17" t="s">
        <v>383</v>
      </c>
      <c r="AC99" s="17"/>
      <c r="AD99" s="12">
        <v>1</v>
      </c>
      <c r="AE99" s="17"/>
      <c r="AF99" s="12" t="s">
        <v>444</v>
      </c>
      <c r="AG99" s="17" t="s">
        <v>416</v>
      </c>
      <c r="AH99" s="12"/>
      <c r="AI99" s="12"/>
      <c r="AJ99" s="12">
        <f>SUM(Table4[[#This Row],[Soccer/U7 (Yes=1)]:[Ultimate Frisbee (Yes=1)]])</f>
        <v>0</v>
      </c>
      <c r="AK99" s="10"/>
      <c r="AL99" s="10">
        <v>0</v>
      </c>
      <c r="AM99" s="10">
        <v>0</v>
      </c>
      <c r="AN99" s="10">
        <f>COUNTIFS(Table4[[#This Row],[Rectangular Field Dimension: Length - m ]],Methods_Dimensions!J$10,Table4[[#This Row],[Rectangular Field Dimension: Width - m ]],Methods_Dimensions!H$10)</f>
        <v>0</v>
      </c>
      <c r="AO99" s="10">
        <f>COUNTIFS(Table4[[#This Row],[Rectangular Field Dimension: Length - m ]],Methods_Dimensions!J$11,Table4[[#This Row],[Rectangular Field Dimension: Width - m ]],Methods_Dimensions!H$11)</f>
        <v>0</v>
      </c>
      <c r="AP99" s="10">
        <f>COUNTIFS(Table4[[#This Row],[Rectangular Field Dimension: Length - m ]],Methods_Dimensions!J$12,Table4[[#This Row],[Rectangular Field Dimension: Width - m ]],Methods_Dimensions!H$12)</f>
        <v>0</v>
      </c>
      <c r="AQ99" s="10">
        <f>COUNTIFS(Table4[[#This Row],[Rectangular Field Dimension: Length - m ]],Methods_Dimensions!J$13,Table4[[#This Row],[Rectangular Field Dimension: Width - m ]],Methods_Dimensions!H$13)</f>
        <v>0</v>
      </c>
      <c r="AR99" s="10">
        <f>COUNTIFS(Table4[[#This Row],[Rectangular Field Dimension: Length - m ]],Methods_Dimensions!J$14,Table4[[#This Row],[Rectangular Field Dimension: Width - m ]],Methods_Dimensions!H$14)</f>
        <v>0</v>
      </c>
      <c r="AS9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99" s="10">
        <f>COUNTIFS(Table4[[#This Row],[Rectangular Field Dimension: Length - m ]],Methods_Dimensions!J$16,Table4[[#This Row],[Rectangular Field Dimension: Width - m ]],Methods_Dimensions!H$16)</f>
        <v>0</v>
      </c>
      <c r="AU99" s="10">
        <f>COUNTIFS(Table4[[#This Row],[Rectangular Field Dimension: Length - m ]],Methods_Dimensions!J$17,Table4[[#This Row],[Rectangular Field Dimension: Width - m ]],Methods_Dimensions!H$17)</f>
        <v>0</v>
      </c>
      <c r="AV99" s="10">
        <f>COUNTIFS(Table4[[#This Row],[Rectangular Field Dimension: Length - m ]],Methods_Dimensions!J$18,Table4[[#This Row],[Rectangular Field Dimension: Width - m ]],Methods_Dimensions!H$18)</f>
        <v>0</v>
      </c>
      <c r="AW99" s="10">
        <f>COUNTIFS(Table4[[#This Row],[Rectangular Field Dimension: Length - m ]],Methods_Dimensions!J$19,Table4[[#This Row],[Rectangular Field Dimension: Width - m ]],Methods_Dimensions!H$19)</f>
        <v>0</v>
      </c>
      <c r="AX99" s="6" t="s">
        <v>594</v>
      </c>
      <c r="AY99" s="6" t="s">
        <v>595</v>
      </c>
    </row>
    <row r="100" spans="1:51" ht="69.599999999999994" x14ac:dyDescent="0.3">
      <c r="A100" s="26" t="s">
        <v>268</v>
      </c>
      <c r="B100" s="14" t="s">
        <v>592</v>
      </c>
      <c r="C100" s="14" t="s">
        <v>406</v>
      </c>
      <c r="D100" s="14" t="s">
        <v>266</v>
      </c>
      <c r="E100" s="14" t="s">
        <v>1271</v>
      </c>
      <c r="F100" s="14" t="s">
        <v>789</v>
      </c>
      <c r="G100" s="15" t="s">
        <v>159</v>
      </c>
      <c r="H100" s="16">
        <v>108</v>
      </c>
      <c r="I100" s="16">
        <v>66</v>
      </c>
      <c r="J100" s="36">
        <v>7128</v>
      </c>
      <c r="K100" s="16"/>
      <c r="L100" s="16" t="s">
        <v>397</v>
      </c>
      <c r="M100" s="16">
        <v>1</v>
      </c>
      <c r="N100" s="16">
        <v>1</v>
      </c>
      <c r="O100" s="16"/>
      <c r="P100" s="16">
        <v>1</v>
      </c>
      <c r="Q100" s="16"/>
      <c r="R100" s="16"/>
      <c r="S100" s="16"/>
      <c r="T100" s="16"/>
      <c r="U100" s="16"/>
      <c r="V100" s="16"/>
      <c r="W100" s="18"/>
      <c r="X100" s="16"/>
      <c r="Y100" s="16"/>
      <c r="Z100" s="16">
        <v>1</v>
      </c>
      <c r="AA100" s="16"/>
      <c r="AB100" s="18" t="s">
        <v>383</v>
      </c>
      <c r="AC100" s="18"/>
      <c r="AD100" s="16">
        <v>1</v>
      </c>
      <c r="AE100" s="18"/>
      <c r="AF100" s="16" t="s">
        <v>444</v>
      </c>
      <c r="AG100" s="18" t="s">
        <v>416</v>
      </c>
      <c r="AH100" s="16"/>
      <c r="AI100" s="16"/>
      <c r="AJ100" s="16">
        <f>SUM(Table4[[#This Row],[Soccer/U7 (Yes=1)]:[Ultimate Frisbee (Yes=1)]])</f>
        <v>5</v>
      </c>
      <c r="AK100" s="10"/>
      <c r="AL100" s="10">
        <v>1</v>
      </c>
      <c r="AM100" s="10">
        <v>1</v>
      </c>
      <c r="AN100" s="10">
        <f>COUNTIFS(Table4[[#This Row],[Rectangular Field Dimension: Length - m ]],Methods_Dimensions!J$10,Table4[[#This Row],[Rectangular Field Dimension: Width - m ]],Methods_Dimensions!H$10)</f>
        <v>1</v>
      </c>
      <c r="AO100" s="10">
        <f>COUNTIFS(Table4[[#This Row],[Rectangular Field Dimension: Length - m ]],Methods_Dimensions!J$11,Table4[[#This Row],[Rectangular Field Dimension: Width - m ]],Methods_Dimensions!H$11)</f>
        <v>1</v>
      </c>
      <c r="AP100" s="10">
        <f>COUNTIFS(Table4[[#This Row],[Rectangular Field Dimension: Length - m ]],Methods_Dimensions!J$12,Table4[[#This Row],[Rectangular Field Dimension: Width - m ]],Methods_Dimensions!H$12)</f>
        <v>1</v>
      </c>
      <c r="AQ100" s="10">
        <f>COUNTIFS(Table4[[#This Row],[Rectangular Field Dimension: Length - m ]],Methods_Dimensions!J$13,Table4[[#This Row],[Rectangular Field Dimension: Width - m ]],Methods_Dimensions!H$13)</f>
        <v>0</v>
      </c>
      <c r="AR100" s="10">
        <f>COUNTIFS(Table4[[#This Row],[Rectangular Field Dimension: Length - m ]],Methods_Dimensions!J$14,Table4[[#This Row],[Rectangular Field Dimension: Width - m ]],Methods_Dimensions!H$14)</f>
        <v>0</v>
      </c>
      <c r="AS10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0" s="10">
        <f>COUNTIFS(Table4[[#This Row],[Rectangular Field Dimension: Length - m ]],Methods_Dimensions!J$16,Table4[[#This Row],[Rectangular Field Dimension: Width - m ]],Methods_Dimensions!H$16)</f>
        <v>0</v>
      </c>
      <c r="AU100" s="10">
        <f>COUNTIFS(Table4[[#This Row],[Rectangular Field Dimension: Length - m ]],Methods_Dimensions!J$17,Table4[[#This Row],[Rectangular Field Dimension: Width - m ]],Methods_Dimensions!H$17)</f>
        <v>0</v>
      </c>
      <c r="AV100" s="10">
        <f>COUNTIFS(Table4[[#This Row],[Rectangular Field Dimension: Length - m ]],Methods_Dimensions!J$18,Table4[[#This Row],[Rectangular Field Dimension: Width - m ]],Methods_Dimensions!H$18)</f>
        <v>0</v>
      </c>
      <c r="AW100" s="10">
        <f>COUNTIFS(Table4[[#This Row],[Rectangular Field Dimension: Length - m ]],Methods_Dimensions!J$19,Table4[[#This Row],[Rectangular Field Dimension: Width - m ]],Methods_Dimensions!H$19)</f>
        <v>0</v>
      </c>
      <c r="AX100" s="6" t="s">
        <v>593</v>
      </c>
      <c r="AY100" s="6" t="s">
        <v>388</v>
      </c>
    </row>
    <row r="101" spans="1:51" ht="34.799999999999997" x14ac:dyDescent="0.3">
      <c r="A101" s="4" t="s">
        <v>270</v>
      </c>
      <c r="B101" s="5" t="s">
        <v>596</v>
      </c>
      <c r="C101" s="5" t="s">
        <v>418</v>
      </c>
      <c r="D101" s="5" t="s">
        <v>114</v>
      </c>
      <c r="E101" s="5" t="s">
        <v>1272</v>
      </c>
      <c r="F101" s="5" t="s">
        <v>789</v>
      </c>
      <c r="G101" s="6" t="s">
        <v>159</v>
      </c>
      <c r="H101" s="12">
        <v>71</v>
      </c>
      <c r="I101" s="12">
        <v>56</v>
      </c>
      <c r="J101" s="37">
        <v>3976</v>
      </c>
      <c r="K101" s="12">
        <v>1</v>
      </c>
      <c r="L101" s="12" t="s">
        <v>389</v>
      </c>
      <c r="M101" s="12"/>
      <c r="N101" s="12">
        <v>1</v>
      </c>
      <c r="O101" s="12"/>
      <c r="P101" s="12">
        <v>1</v>
      </c>
      <c r="Q101" s="12"/>
      <c r="R101" s="12">
        <v>1</v>
      </c>
      <c r="S101" s="12"/>
      <c r="T101" s="12"/>
      <c r="U101" s="12"/>
      <c r="V101" s="12"/>
      <c r="W101" s="17"/>
      <c r="X101" s="12">
        <v>1</v>
      </c>
      <c r="Y101" s="12"/>
      <c r="Z101" s="12">
        <v>1</v>
      </c>
      <c r="AA101" s="12"/>
      <c r="AB101" s="17" t="s">
        <v>383</v>
      </c>
      <c r="AC101" s="17"/>
      <c r="AD101" s="12">
        <v>1</v>
      </c>
      <c r="AE101" s="17"/>
      <c r="AF101" s="12" t="s">
        <v>385</v>
      </c>
      <c r="AG101" s="17" t="s">
        <v>416</v>
      </c>
      <c r="AH101" s="12"/>
      <c r="AI101" s="12"/>
      <c r="AJ101" s="12">
        <f>SUM(Table4[[#This Row],[Soccer/U7 (Yes=1)]:[Ultimate Frisbee (Yes=1)]])</f>
        <v>4</v>
      </c>
      <c r="AK101" s="10"/>
      <c r="AL101" s="10">
        <v>1</v>
      </c>
      <c r="AM101" s="10">
        <v>1</v>
      </c>
      <c r="AN101" s="10">
        <f>COUNTIFS(Table4[[#This Row],[Rectangular Field Dimension: Length - m ]],Methods_Dimensions!J$10,Table4[[#This Row],[Rectangular Field Dimension: Width - m ]],Methods_Dimensions!H$10)</f>
        <v>1</v>
      </c>
      <c r="AO101" s="10">
        <f>COUNTIFS(Table4[[#This Row],[Rectangular Field Dimension: Length - m ]],Methods_Dimensions!J$11,Table4[[#This Row],[Rectangular Field Dimension: Width - m ]],Methods_Dimensions!H$11)</f>
        <v>1</v>
      </c>
      <c r="AP101" s="10">
        <f>COUNTIFS(Table4[[#This Row],[Rectangular Field Dimension: Length - m ]],Methods_Dimensions!J$12,Table4[[#This Row],[Rectangular Field Dimension: Width - m ]],Methods_Dimensions!H$12)</f>
        <v>0</v>
      </c>
      <c r="AQ101" s="10">
        <f>COUNTIFS(Table4[[#This Row],[Rectangular Field Dimension: Length - m ]],Methods_Dimensions!J$13,Table4[[#This Row],[Rectangular Field Dimension: Width - m ]],Methods_Dimensions!H$13)</f>
        <v>0</v>
      </c>
      <c r="AR101" s="10">
        <f>COUNTIFS(Table4[[#This Row],[Rectangular Field Dimension: Length - m ]],Methods_Dimensions!J$14,Table4[[#This Row],[Rectangular Field Dimension: Width - m ]],Methods_Dimensions!H$14)</f>
        <v>0</v>
      </c>
      <c r="AS10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1" s="10">
        <f>COUNTIFS(Table4[[#This Row],[Rectangular Field Dimension: Length - m ]],Methods_Dimensions!J$16,Table4[[#This Row],[Rectangular Field Dimension: Width - m ]],Methods_Dimensions!H$16)</f>
        <v>0</v>
      </c>
      <c r="AU101" s="10">
        <f>COUNTIFS(Table4[[#This Row],[Rectangular Field Dimension: Length - m ]],Methods_Dimensions!J$17,Table4[[#This Row],[Rectangular Field Dimension: Width - m ]],Methods_Dimensions!H$17)</f>
        <v>0</v>
      </c>
      <c r="AV101" s="10">
        <f>COUNTIFS(Table4[[#This Row],[Rectangular Field Dimension: Length - m ]],Methods_Dimensions!J$18,Table4[[#This Row],[Rectangular Field Dimension: Width - m ]],Methods_Dimensions!H$18)</f>
        <v>0</v>
      </c>
      <c r="AW101" s="10">
        <f>COUNTIFS(Table4[[#This Row],[Rectangular Field Dimension: Length - m ]],Methods_Dimensions!J$19,Table4[[#This Row],[Rectangular Field Dimension: Width - m ]],Methods_Dimensions!H$19)</f>
        <v>0</v>
      </c>
      <c r="AX101" s="6" t="s">
        <v>597</v>
      </c>
      <c r="AY101" s="6" t="s">
        <v>388</v>
      </c>
    </row>
    <row r="102" spans="1:51" ht="34.799999999999997" x14ac:dyDescent="0.3">
      <c r="A102" s="26" t="s">
        <v>271</v>
      </c>
      <c r="B102" s="14" t="s">
        <v>596</v>
      </c>
      <c r="C102" s="14" t="s">
        <v>418</v>
      </c>
      <c r="D102" s="14" t="s">
        <v>114</v>
      </c>
      <c r="E102" s="14" t="s">
        <v>1272</v>
      </c>
      <c r="F102" s="14" t="s">
        <v>789</v>
      </c>
      <c r="G102" s="15" t="s">
        <v>159</v>
      </c>
      <c r="H102" s="16">
        <v>72</v>
      </c>
      <c r="I102" s="16">
        <v>50</v>
      </c>
      <c r="J102" s="36">
        <v>3600</v>
      </c>
      <c r="K102" s="16">
        <v>1</v>
      </c>
      <c r="L102" s="16" t="s">
        <v>389</v>
      </c>
      <c r="M102" s="16"/>
      <c r="N102" s="16">
        <v>1</v>
      </c>
      <c r="O102" s="16"/>
      <c r="P102" s="16">
        <v>1</v>
      </c>
      <c r="Q102" s="16"/>
      <c r="R102" s="16">
        <v>1</v>
      </c>
      <c r="S102" s="16"/>
      <c r="T102" s="16"/>
      <c r="U102" s="16"/>
      <c r="V102" s="16"/>
      <c r="W102" s="18"/>
      <c r="X102" s="16">
        <v>1</v>
      </c>
      <c r="Y102" s="16"/>
      <c r="Z102" s="16">
        <v>1</v>
      </c>
      <c r="AA102" s="16"/>
      <c r="AB102" s="18" t="s">
        <v>383</v>
      </c>
      <c r="AC102" s="18"/>
      <c r="AD102" s="16">
        <v>1</v>
      </c>
      <c r="AE102" s="18"/>
      <c r="AF102" s="16" t="s">
        <v>385</v>
      </c>
      <c r="AG102" s="18" t="s">
        <v>416</v>
      </c>
      <c r="AH102" s="16"/>
      <c r="AI102" s="16"/>
      <c r="AJ102" s="16">
        <f>SUM(Table4[[#This Row],[Soccer/U7 (Yes=1)]:[Ultimate Frisbee (Yes=1)]])</f>
        <v>4</v>
      </c>
      <c r="AK102" s="10"/>
      <c r="AL102" s="10">
        <v>1</v>
      </c>
      <c r="AM102" s="10">
        <v>1</v>
      </c>
      <c r="AN102" s="10">
        <f>COUNTIFS(Table4[[#This Row],[Rectangular Field Dimension: Length - m ]],Methods_Dimensions!J$10,Table4[[#This Row],[Rectangular Field Dimension: Width - m ]],Methods_Dimensions!H$10)</f>
        <v>1</v>
      </c>
      <c r="AO102" s="10">
        <f>COUNTIFS(Table4[[#This Row],[Rectangular Field Dimension: Length - m ]],Methods_Dimensions!J$11,Table4[[#This Row],[Rectangular Field Dimension: Width - m ]],Methods_Dimensions!H$11)</f>
        <v>1</v>
      </c>
      <c r="AP102" s="10">
        <f>COUNTIFS(Table4[[#This Row],[Rectangular Field Dimension: Length - m ]],Methods_Dimensions!J$12,Table4[[#This Row],[Rectangular Field Dimension: Width - m ]],Methods_Dimensions!H$12)</f>
        <v>0</v>
      </c>
      <c r="AQ102" s="10">
        <f>COUNTIFS(Table4[[#This Row],[Rectangular Field Dimension: Length - m ]],Methods_Dimensions!J$13,Table4[[#This Row],[Rectangular Field Dimension: Width - m ]],Methods_Dimensions!H$13)</f>
        <v>0</v>
      </c>
      <c r="AR102" s="10">
        <f>COUNTIFS(Table4[[#This Row],[Rectangular Field Dimension: Length - m ]],Methods_Dimensions!J$14,Table4[[#This Row],[Rectangular Field Dimension: Width - m ]],Methods_Dimensions!H$14)</f>
        <v>0</v>
      </c>
      <c r="AS10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2" s="10">
        <f>COUNTIFS(Table4[[#This Row],[Rectangular Field Dimension: Length - m ]],Methods_Dimensions!J$16,Table4[[#This Row],[Rectangular Field Dimension: Width - m ]],Methods_Dimensions!H$16)</f>
        <v>0</v>
      </c>
      <c r="AU102" s="10">
        <f>COUNTIFS(Table4[[#This Row],[Rectangular Field Dimension: Length - m ]],Methods_Dimensions!J$17,Table4[[#This Row],[Rectangular Field Dimension: Width - m ]],Methods_Dimensions!H$17)</f>
        <v>0</v>
      </c>
      <c r="AV102" s="10">
        <f>COUNTIFS(Table4[[#This Row],[Rectangular Field Dimension: Length - m ]],Methods_Dimensions!J$18,Table4[[#This Row],[Rectangular Field Dimension: Width - m ]],Methods_Dimensions!H$18)</f>
        <v>0</v>
      </c>
      <c r="AW102" s="10">
        <f>COUNTIFS(Table4[[#This Row],[Rectangular Field Dimension: Length - m ]],Methods_Dimensions!J$19,Table4[[#This Row],[Rectangular Field Dimension: Width - m ]],Methods_Dimensions!H$19)</f>
        <v>0</v>
      </c>
      <c r="AX102" s="6" t="s">
        <v>598</v>
      </c>
      <c r="AY102" s="6" t="s">
        <v>388</v>
      </c>
    </row>
    <row r="103" spans="1:51" ht="17.399999999999999" x14ac:dyDescent="0.3">
      <c r="A103" s="4" t="s">
        <v>272</v>
      </c>
      <c r="B103" s="5" t="s">
        <v>599</v>
      </c>
      <c r="C103" s="5" t="s">
        <v>379</v>
      </c>
      <c r="D103" s="5" t="s">
        <v>273</v>
      </c>
      <c r="E103" s="5" t="s">
        <v>1272</v>
      </c>
      <c r="F103" s="5" t="s">
        <v>1273</v>
      </c>
      <c r="G103" s="6" t="s">
        <v>159</v>
      </c>
      <c r="H103" s="12">
        <v>114</v>
      </c>
      <c r="I103" s="12">
        <v>73</v>
      </c>
      <c r="J103" s="37">
        <v>8322</v>
      </c>
      <c r="K103" s="12"/>
      <c r="L103" s="12" t="s">
        <v>381</v>
      </c>
      <c r="M103" s="12">
        <v>1</v>
      </c>
      <c r="N103" s="12"/>
      <c r="O103" s="12"/>
      <c r="P103" s="12">
        <v>1</v>
      </c>
      <c r="Q103" s="12">
        <v>1</v>
      </c>
      <c r="R103" s="12">
        <v>1</v>
      </c>
      <c r="S103" s="12"/>
      <c r="T103" s="12"/>
      <c r="U103" s="12"/>
      <c r="V103" s="12"/>
      <c r="W103" s="17" t="s">
        <v>382</v>
      </c>
      <c r="X103" s="12">
        <v>1</v>
      </c>
      <c r="Y103" s="12"/>
      <c r="Z103" s="12"/>
      <c r="AA103" s="12"/>
      <c r="AB103" s="17" t="s">
        <v>383</v>
      </c>
      <c r="AC103" s="17"/>
      <c r="AD103" s="12">
        <v>1</v>
      </c>
      <c r="AE103" s="17"/>
      <c r="AF103" s="12" t="s">
        <v>399</v>
      </c>
      <c r="AG103" s="17" t="s">
        <v>269</v>
      </c>
      <c r="AH103" s="12"/>
      <c r="AI103" s="12"/>
      <c r="AJ103" s="12">
        <f>SUM(Table4[[#This Row],[Soccer/U7 (Yes=1)]:[Ultimate Frisbee (Yes=1)]])</f>
        <v>6</v>
      </c>
      <c r="AK103" s="10"/>
      <c r="AL103" s="10">
        <v>1</v>
      </c>
      <c r="AM103" s="10">
        <v>1</v>
      </c>
      <c r="AN103" s="10">
        <f>COUNTIFS(Table4[[#This Row],[Rectangular Field Dimension: Length - m ]],Methods_Dimensions!J$10,Table4[[#This Row],[Rectangular Field Dimension: Width - m ]],Methods_Dimensions!H$10)</f>
        <v>1</v>
      </c>
      <c r="AO103" s="10">
        <f>COUNTIFS(Table4[[#This Row],[Rectangular Field Dimension: Length - m ]],Methods_Dimensions!J$11,Table4[[#This Row],[Rectangular Field Dimension: Width - m ]],Methods_Dimensions!H$11)</f>
        <v>1</v>
      </c>
      <c r="AP103" s="10">
        <f>COUNTIFS(Table4[[#This Row],[Rectangular Field Dimension: Length - m ]],Methods_Dimensions!J$12,Table4[[#This Row],[Rectangular Field Dimension: Width - m ]],Methods_Dimensions!H$12)</f>
        <v>1</v>
      </c>
      <c r="AQ103" s="10">
        <f>COUNTIFS(Table4[[#This Row],[Rectangular Field Dimension: Length - m ]],Methods_Dimensions!J$13,Table4[[#This Row],[Rectangular Field Dimension: Width - m ]],Methods_Dimensions!H$13)</f>
        <v>0</v>
      </c>
      <c r="AR103" s="10">
        <f>COUNTIFS(Table4[[#This Row],[Rectangular Field Dimension: Length - m ]],Methods_Dimensions!J$14,Table4[[#This Row],[Rectangular Field Dimension: Width - m ]],Methods_Dimensions!H$14)</f>
        <v>0</v>
      </c>
      <c r="AS10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3" s="10">
        <f>COUNTIFS(Table4[[#This Row],[Rectangular Field Dimension: Length - m ]],Methods_Dimensions!J$16,Table4[[#This Row],[Rectangular Field Dimension: Width - m ]],Methods_Dimensions!H$16)</f>
        <v>0</v>
      </c>
      <c r="AU103" s="10">
        <f>COUNTIFS(Table4[[#This Row],[Rectangular Field Dimension: Length - m ]],Methods_Dimensions!J$17,Table4[[#This Row],[Rectangular Field Dimension: Width - m ]],Methods_Dimensions!H$17)</f>
        <v>0</v>
      </c>
      <c r="AV103" s="10">
        <f>COUNTIFS(Table4[[#This Row],[Rectangular Field Dimension: Length - m ]],Methods_Dimensions!J$18,Table4[[#This Row],[Rectangular Field Dimension: Width - m ]],Methods_Dimensions!H$18)</f>
        <v>0</v>
      </c>
      <c r="AW103" s="10">
        <f>COUNTIFS(Table4[[#This Row],[Rectangular Field Dimension: Length - m ]],Methods_Dimensions!J$19,Table4[[#This Row],[Rectangular Field Dimension: Width - m ]],Methods_Dimensions!H$19)</f>
        <v>1</v>
      </c>
      <c r="AX103" s="6" t="s">
        <v>600</v>
      </c>
      <c r="AY103" s="6" t="s">
        <v>388</v>
      </c>
    </row>
    <row r="104" spans="1:51" ht="34.799999999999997" x14ac:dyDescent="0.3">
      <c r="A104" s="26" t="s">
        <v>274</v>
      </c>
      <c r="B104" s="14" t="s">
        <v>601</v>
      </c>
      <c r="C104" s="14" t="s">
        <v>412</v>
      </c>
      <c r="D104" s="14" t="s">
        <v>119</v>
      </c>
      <c r="E104" s="14" t="s">
        <v>1272</v>
      </c>
      <c r="F104" s="14" t="s">
        <v>789</v>
      </c>
      <c r="G104" s="15" t="s">
        <v>159</v>
      </c>
      <c r="H104" s="16">
        <v>90</v>
      </c>
      <c r="I104" s="16">
        <v>68</v>
      </c>
      <c r="J104" s="36">
        <v>6120</v>
      </c>
      <c r="K104" s="16">
        <v>1</v>
      </c>
      <c r="L104" s="16" t="s">
        <v>389</v>
      </c>
      <c r="M104" s="16"/>
      <c r="N104" s="16">
        <v>1</v>
      </c>
      <c r="O104" s="16"/>
      <c r="P104" s="16">
        <v>1</v>
      </c>
      <c r="Q104" s="16"/>
      <c r="R104" s="16">
        <v>1</v>
      </c>
      <c r="S104" s="16"/>
      <c r="T104" s="16"/>
      <c r="U104" s="16"/>
      <c r="V104" s="16"/>
      <c r="W104" s="18"/>
      <c r="X104" s="16">
        <v>1</v>
      </c>
      <c r="Y104" s="16"/>
      <c r="Z104" s="16"/>
      <c r="AA104" s="16"/>
      <c r="AB104" s="18" t="s">
        <v>383</v>
      </c>
      <c r="AC104" s="18"/>
      <c r="AD104" s="16">
        <v>1</v>
      </c>
      <c r="AE104" s="18" t="s">
        <v>602</v>
      </c>
      <c r="AF104" s="16" t="s">
        <v>444</v>
      </c>
      <c r="AG104" s="18" t="s">
        <v>416</v>
      </c>
      <c r="AH104" s="16"/>
      <c r="AI104" s="16"/>
      <c r="AJ104" s="16">
        <f>SUM(Table4[[#This Row],[Soccer/U7 (Yes=1)]:[Ultimate Frisbee (Yes=1)]])</f>
        <v>5</v>
      </c>
      <c r="AK104" s="10"/>
      <c r="AL104" s="10">
        <v>1</v>
      </c>
      <c r="AM104" s="10">
        <v>1</v>
      </c>
      <c r="AN104" s="10">
        <f>COUNTIFS(Table4[[#This Row],[Rectangular Field Dimension: Length - m ]],Methods_Dimensions!J$10,Table4[[#This Row],[Rectangular Field Dimension: Width - m ]],Methods_Dimensions!H$10)</f>
        <v>1</v>
      </c>
      <c r="AO104" s="10">
        <f>COUNTIFS(Table4[[#This Row],[Rectangular Field Dimension: Length - m ]],Methods_Dimensions!J$11,Table4[[#This Row],[Rectangular Field Dimension: Width - m ]],Methods_Dimensions!H$11)</f>
        <v>1</v>
      </c>
      <c r="AP104" s="10">
        <f>COUNTIFS(Table4[[#This Row],[Rectangular Field Dimension: Length - m ]],Methods_Dimensions!J$12,Table4[[#This Row],[Rectangular Field Dimension: Width - m ]],Methods_Dimensions!H$12)</f>
        <v>1</v>
      </c>
      <c r="AQ104" s="10">
        <f>COUNTIFS(Table4[[#This Row],[Rectangular Field Dimension: Length - m ]],Methods_Dimensions!J$13,Table4[[#This Row],[Rectangular Field Dimension: Width - m ]],Methods_Dimensions!H$13)</f>
        <v>0</v>
      </c>
      <c r="AR104" s="10">
        <f>COUNTIFS(Table4[[#This Row],[Rectangular Field Dimension: Length - m ]],Methods_Dimensions!J$14,Table4[[#This Row],[Rectangular Field Dimension: Width - m ]],Methods_Dimensions!H$14)</f>
        <v>0</v>
      </c>
      <c r="AS10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4" s="10">
        <f>COUNTIFS(Table4[[#This Row],[Rectangular Field Dimension: Length - m ]],Methods_Dimensions!J$16,Table4[[#This Row],[Rectangular Field Dimension: Width - m ]],Methods_Dimensions!H$16)</f>
        <v>0</v>
      </c>
      <c r="AU104" s="10">
        <f>COUNTIFS(Table4[[#This Row],[Rectangular Field Dimension: Length - m ]],Methods_Dimensions!J$17,Table4[[#This Row],[Rectangular Field Dimension: Width - m ]],Methods_Dimensions!H$17)</f>
        <v>0</v>
      </c>
      <c r="AV104" s="10">
        <f>COUNTIFS(Table4[[#This Row],[Rectangular Field Dimension: Length - m ]],Methods_Dimensions!J$18,Table4[[#This Row],[Rectangular Field Dimension: Width - m ]],Methods_Dimensions!H$18)</f>
        <v>0</v>
      </c>
      <c r="AW104" s="10">
        <f>COUNTIFS(Table4[[#This Row],[Rectangular Field Dimension: Length - m ]],Methods_Dimensions!J$19,Table4[[#This Row],[Rectangular Field Dimension: Width - m ]],Methods_Dimensions!H$19)</f>
        <v>0</v>
      </c>
      <c r="AX104" s="6" t="s">
        <v>603</v>
      </c>
      <c r="AY104" s="6" t="s">
        <v>388</v>
      </c>
    </row>
    <row r="105" spans="1:51" ht="34.799999999999997" x14ac:dyDescent="0.3">
      <c r="A105" s="4" t="s">
        <v>275</v>
      </c>
      <c r="B105" s="5" t="s">
        <v>604</v>
      </c>
      <c r="C105" s="5" t="s">
        <v>605</v>
      </c>
      <c r="D105" s="5" t="s">
        <v>124</v>
      </c>
      <c r="E105" s="5" t="s">
        <v>1272</v>
      </c>
      <c r="F105" s="5" t="s">
        <v>789</v>
      </c>
      <c r="G105" s="6" t="s">
        <v>159</v>
      </c>
      <c r="H105" s="12">
        <v>88</v>
      </c>
      <c r="I105" s="12">
        <v>66</v>
      </c>
      <c r="J105" s="37">
        <v>5808</v>
      </c>
      <c r="K105" s="12">
        <v>1</v>
      </c>
      <c r="L105" s="12" t="s">
        <v>389</v>
      </c>
      <c r="M105" s="12"/>
      <c r="N105" s="12">
        <v>1</v>
      </c>
      <c r="O105" s="12"/>
      <c r="P105" s="12">
        <v>1</v>
      </c>
      <c r="Q105" s="12">
        <v>1</v>
      </c>
      <c r="R105" s="12"/>
      <c r="S105" s="12"/>
      <c r="T105" s="12"/>
      <c r="U105" s="12"/>
      <c r="V105" s="12"/>
      <c r="W105" s="17"/>
      <c r="X105" s="12">
        <v>1</v>
      </c>
      <c r="Y105" s="12"/>
      <c r="Z105" s="12">
        <v>1</v>
      </c>
      <c r="AA105" s="12"/>
      <c r="AB105" s="17" t="s">
        <v>606</v>
      </c>
      <c r="AC105" s="17">
        <v>35</v>
      </c>
      <c r="AD105" s="12">
        <v>1</v>
      </c>
      <c r="AE105" s="17" t="s">
        <v>607</v>
      </c>
      <c r="AF105" s="12" t="s">
        <v>444</v>
      </c>
      <c r="AG105" s="17" t="s">
        <v>416</v>
      </c>
      <c r="AH105" s="12"/>
      <c r="AI105" s="12"/>
      <c r="AJ105" s="12">
        <f>SUM(Table4[[#This Row],[Soccer/U7 (Yes=1)]:[Ultimate Frisbee (Yes=1)]])</f>
        <v>4</v>
      </c>
      <c r="AK105" s="10"/>
      <c r="AL105" s="10">
        <v>1</v>
      </c>
      <c r="AM105" s="10">
        <v>1</v>
      </c>
      <c r="AN105" s="10">
        <f>COUNTIFS(Table4[[#This Row],[Rectangular Field Dimension: Length - m ]],Methods_Dimensions!J$10,Table4[[#This Row],[Rectangular Field Dimension: Width - m ]],Methods_Dimensions!H$10)</f>
        <v>1</v>
      </c>
      <c r="AO105" s="10">
        <f>COUNTIFS(Table4[[#This Row],[Rectangular Field Dimension: Length - m ]],Methods_Dimensions!J$11,Table4[[#This Row],[Rectangular Field Dimension: Width - m ]],Methods_Dimensions!H$11)</f>
        <v>1</v>
      </c>
      <c r="AP105" s="10">
        <f>COUNTIFS(Table4[[#This Row],[Rectangular Field Dimension: Length - m ]],Methods_Dimensions!J$12,Table4[[#This Row],[Rectangular Field Dimension: Width - m ]],Methods_Dimensions!H$12)</f>
        <v>0</v>
      </c>
      <c r="AQ105" s="10">
        <f>COUNTIFS(Table4[[#This Row],[Rectangular Field Dimension: Length - m ]],Methods_Dimensions!J$13,Table4[[#This Row],[Rectangular Field Dimension: Width - m ]],Methods_Dimensions!H$13)</f>
        <v>0</v>
      </c>
      <c r="AR105" s="10">
        <f>COUNTIFS(Table4[[#This Row],[Rectangular Field Dimension: Length - m ]],Methods_Dimensions!J$14,Table4[[#This Row],[Rectangular Field Dimension: Width - m ]],Methods_Dimensions!H$14)</f>
        <v>0</v>
      </c>
      <c r="AS10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5" s="10">
        <f>COUNTIFS(Table4[[#This Row],[Rectangular Field Dimension: Length - m ]],Methods_Dimensions!J$16,Table4[[#This Row],[Rectangular Field Dimension: Width - m ]],Methods_Dimensions!H$16)</f>
        <v>0</v>
      </c>
      <c r="AU105" s="10">
        <f>COUNTIFS(Table4[[#This Row],[Rectangular Field Dimension: Length - m ]],Methods_Dimensions!J$17,Table4[[#This Row],[Rectangular Field Dimension: Width - m ]],Methods_Dimensions!H$17)</f>
        <v>0</v>
      </c>
      <c r="AV105" s="10">
        <f>COUNTIFS(Table4[[#This Row],[Rectangular Field Dimension: Length - m ]],Methods_Dimensions!J$18,Table4[[#This Row],[Rectangular Field Dimension: Width - m ]],Methods_Dimensions!H$18)</f>
        <v>0</v>
      </c>
      <c r="AW105" s="10">
        <f>COUNTIFS(Table4[[#This Row],[Rectangular Field Dimension: Length - m ]],Methods_Dimensions!J$19,Table4[[#This Row],[Rectangular Field Dimension: Width - m ]],Methods_Dimensions!H$19)</f>
        <v>0</v>
      </c>
      <c r="AX105" s="6" t="s">
        <v>387</v>
      </c>
      <c r="AY105" s="6" t="s">
        <v>388</v>
      </c>
    </row>
    <row r="106" spans="1:51" ht="34.799999999999997" x14ac:dyDescent="0.3">
      <c r="A106" s="26" t="s">
        <v>276</v>
      </c>
      <c r="B106" s="14" t="s">
        <v>604</v>
      </c>
      <c r="C106" s="14" t="s">
        <v>605</v>
      </c>
      <c r="D106" s="14" t="s">
        <v>124</v>
      </c>
      <c r="E106" s="14" t="s">
        <v>413</v>
      </c>
      <c r="F106" s="14" t="s">
        <v>789</v>
      </c>
      <c r="G106" s="15" t="s">
        <v>159</v>
      </c>
      <c r="H106" s="16">
        <v>95</v>
      </c>
      <c r="I106" s="16">
        <v>66</v>
      </c>
      <c r="J106" s="36">
        <v>6270</v>
      </c>
      <c r="K106" s="16"/>
      <c r="L106" s="16" t="s">
        <v>397</v>
      </c>
      <c r="M106" s="16">
        <v>1</v>
      </c>
      <c r="N106" s="16">
        <v>1</v>
      </c>
      <c r="O106" s="16">
        <v>1</v>
      </c>
      <c r="P106" s="16">
        <v>1</v>
      </c>
      <c r="Q106" s="16">
        <v>1</v>
      </c>
      <c r="R106" s="16"/>
      <c r="S106" s="16"/>
      <c r="T106" s="16"/>
      <c r="U106" s="16"/>
      <c r="V106" s="16"/>
      <c r="W106" s="18"/>
      <c r="X106" s="16">
        <v>1</v>
      </c>
      <c r="Y106" s="16"/>
      <c r="Z106" s="16"/>
      <c r="AA106" s="16"/>
      <c r="AB106" s="18" t="s">
        <v>606</v>
      </c>
      <c r="AC106" s="18">
        <v>35</v>
      </c>
      <c r="AD106" s="16">
        <v>1</v>
      </c>
      <c r="AE106" s="18" t="s">
        <v>607</v>
      </c>
      <c r="AF106" s="16" t="s">
        <v>444</v>
      </c>
      <c r="AG106" s="18" t="s">
        <v>416</v>
      </c>
      <c r="AH106" s="16"/>
      <c r="AI106" s="16"/>
      <c r="AJ106" s="16">
        <f>SUM(Table4[[#This Row],[Soccer/U7 (Yes=1)]:[Ultimate Frisbee (Yes=1)]])</f>
        <v>5</v>
      </c>
      <c r="AK106" s="10"/>
      <c r="AL106" s="10">
        <v>1</v>
      </c>
      <c r="AM106" s="10">
        <v>1</v>
      </c>
      <c r="AN106" s="10">
        <f>COUNTIFS(Table4[[#This Row],[Rectangular Field Dimension: Length - m ]],Methods_Dimensions!J$10,Table4[[#This Row],[Rectangular Field Dimension: Width - m ]],Methods_Dimensions!H$10)</f>
        <v>1</v>
      </c>
      <c r="AO106" s="10">
        <f>COUNTIFS(Table4[[#This Row],[Rectangular Field Dimension: Length - m ]],Methods_Dimensions!J$11,Table4[[#This Row],[Rectangular Field Dimension: Width - m ]],Methods_Dimensions!H$11)</f>
        <v>1</v>
      </c>
      <c r="AP106" s="10">
        <f>COUNTIFS(Table4[[#This Row],[Rectangular Field Dimension: Length - m ]],Methods_Dimensions!J$12,Table4[[#This Row],[Rectangular Field Dimension: Width - m ]],Methods_Dimensions!H$12)</f>
        <v>1</v>
      </c>
      <c r="AQ106" s="10">
        <f>COUNTIFS(Table4[[#This Row],[Rectangular Field Dimension: Length - m ]],Methods_Dimensions!J$13,Table4[[#This Row],[Rectangular Field Dimension: Width - m ]],Methods_Dimensions!H$13)</f>
        <v>0</v>
      </c>
      <c r="AR106" s="10">
        <f>COUNTIFS(Table4[[#This Row],[Rectangular Field Dimension: Length - m ]],Methods_Dimensions!J$14,Table4[[#This Row],[Rectangular Field Dimension: Width - m ]],Methods_Dimensions!H$14)</f>
        <v>0</v>
      </c>
      <c r="AS10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6" s="10">
        <f>COUNTIFS(Table4[[#This Row],[Rectangular Field Dimension: Length - m ]],Methods_Dimensions!J$16,Table4[[#This Row],[Rectangular Field Dimension: Width - m ]],Methods_Dimensions!H$16)</f>
        <v>0</v>
      </c>
      <c r="AU106" s="10">
        <f>COUNTIFS(Table4[[#This Row],[Rectangular Field Dimension: Length - m ]],Methods_Dimensions!J$17,Table4[[#This Row],[Rectangular Field Dimension: Width - m ]],Methods_Dimensions!H$17)</f>
        <v>0</v>
      </c>
      <c r="AV106" s="10">
        <f>COUNTIFS(Table4[[#This Row],[Rectangular Field Dimension: Length - m ]],Methods_Dimensions!J$18,Table4[[#This Row],[Rectangular Field Dimension: Width - m ]],Methods_Dimensions!H$18)</f>
        <v>0</v>
      </c>
      <c r="AW106" s="10">
        <f>COUNTIFS(Table4[[#This Row],[Rectangular Field Dimension: Length - m ]],Methods_Dimensions!J$19,Table4[[#This Row],[Rectangular Field Dimension: Width - m ]],Methods_Dimensions!H$19)</f>
        <v>0</v>
      </c>
      <c r="AX106" s="6" t="s">
        <v>608</v>
      </c>
      <c r="AY106" s="6" t="s">
        <v>609</v>
      </c>
    </row>
    <row r="107" spans="1:51" ht="34.799999999999997" x14ac:dyDescent="0.3">
      <c r="A107" s="4" t="s">
        <v>277</v>
      </c>
      <c r="B107" s="5" t="s">
        <v>604</v>
      </c>
      <c r="C107" s="5" t="s">
        <v>605</v>
      </c>
      <c r="D107" s="5" t="s">
        <v>124</v>
      </c>
      <c r="E107" s="5" t="s">
        <v>1272</v>
      </c>
      <c r="F107" s="5" t="s">
        <v>789</v>
      </c>
      <c r="G107" s="6" t="s">
        <v>159</v>
      </c>
      <c r="H107" s="12">
        <v>86</v>
      </c>
      <c r="I107" s="12">
        <v>66</v>
      </c>
      <c r="J107" s="37">
        <v>5676</v>
      </c>
      <c r="K107" s="12"/>
      <c r="L107" s="12" t="s">
        <v>397</v>
      </c>
      <c r="M107" s="12">
        <v>1</v>
      </c>
      <c r="N107" s="12">
        <v>1</v>
      </c>
      <c r="O107" s="12"/>
      <c r="P107" s="12">
        <v>1</v>
      </c>
      <c r="Q107" s="12">
        <v>1</v>
      </c>
      <c r="R107" s="12"/>
      <c r="S107" s="12"/>
      <c r="T107" s="12"/>
      <c r="U107" s="12"/>
      <c r="V107" s="12"/>
      <c r="W107" s="17"/>
      <c r="X107" s="12">
        <v>1</v>
      </c>
      <c r="Y107" s="12"/>
      <c r="Z107" s="12">
        <v>1</v>
      </c>
      <c r="AA107" s="12"/>
      <c r="AB107" s="17" t="s">
        <v>606</v>
      </c>
      <c r="AC107" s="17">
        <v>35</v>
      </c>
      <c r="AD107" s="12">
        <v>1</v>
      </c>
      <c r="AE107" s="17" t="s">
        <v>607</v>
      </c>
      <c r="AF107" s="12" t="s">
        <v>444</v>
      </c>
      <c r="AG107" s="17" t="s">
        <v>416</v>
      </c>
      <c r="AH107" s="12"/>
      <c r="AI107" s="12"/>
      <c r="AJ107" s="12">
        <f>SUM(Table4[[#This Row],[Soccer/U7 (Yes=1)]:[Ultimate Frisbee (Yes=1)]])</f>
        <v>4</v>
      </c>
      <c r="AK107" s="10"/>
      <c r="AL107" s="10">
        <v>1</v>
      </c>
      <c r="AM107" s="10">
        <v>1</v>
      </c>
      <c r="AN107" s="10">
        <f>COUNTIFS(Table4[[#This Row],[Rectangular Field Dimension: Length - m ]],Methods_Dimensions!J$10,Table4[[#This Row],[Rectangular Field Dimension: Width - m ]],Methods_Dimensions!H$10)</f>
        <v>1</v>
      </c>
      <c r="AO107" s="10">
        <f>COUNTIFS(Table4[[#This Row],[Rectangular Field Dimension: Length - m ]],Methods_Dimensions!J$11,Table4[[#This Row],[Rectangular Field Dimension: Width - m ]],Methods_Dimensions!H$11)</f>
        <v>1</v>
      </c>
      <c r="AP107" s="10">
        <f>COUNTIFS(Table4[[#This Row],[Rectangular Field Dimension: Length - m ]],Methods_Dimensions!J$12,Table4[[#This Row],[Rectangular Field Dimension: Width - m ]],Methods_Dimensions!H$12)</f>
        <v>0</v>
      </c>
      <c r="AQ107" s="10">
        <f>COUNTIFS(Table4[[#This Row],[Rectangular Field Dimension: Length - m ]],Methods_Dimensions!J$13,Table4[[#This Row],[Rectangular Field Dimension: Width - m ]],Methods_Dimensions!H$13)</f>
        <v>0</v>
      </c>
      <c r="AR107" s="10">
        <f>COUNTIFS(Table4[[#This Row],[Rectangular Field Dimension: Length - m ]],Methods_Dimensions!J$14,Table4[[#This Row],[Rectangular Field Dimension: Width - m ]],Methods_Dimensions!H$14)</f>
        <v>0</v>
      </c>
      <c r="AS10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7" s="10">
        <f>COUNTIFS(Table4[[#This Row],[Rectangular Field Dimension: Length - m ]],Methods_Dimensions!J$16,Table4[[#This Row],[Rectangular Field Dimension: Width - m ]],Methods_Dimensions!H$16)</f>
        <v>0</v>
      </c>
      <c r="AU107" s="10">
        <f>COUNTIFS(Table4[[#This Row],[Rectangular Field Dimension: Length - m ]],Methods_Dimensions!J$17,Table4[[#This Row],[Rectangular Field Dimension: Width - m ]],Methods_Dimensions!H$17)</f>
        <v>0</v>
      </c>
      <c r="AV107" s="10">
        <f>COUNTIFS(Table4[[#This Row],[Rectangular Field Dimension: Length - m ]],Methods_Dimensions!J$18,Table4[[#This Row],[Rectangular Field Dimension: Width - m ]],Methods_Dimensions!H$18)</f>
        <v>0</v>
      </c>
      <c r="AW107" s="10">
        <f>COUNTIFS(Table4[[#This Row],[Rectangular Field Dimension: Length - m ]],Methods_Dimensions!J$19,Table4[[#This Row],[Rectangular Field Dimension: Width - m ]],Methods_Dimensions!H$19)</f>
        <v>0</v>
      </c>
      <c r="AX107" s="6" t="s">
        <v>420</v>
      </c>
      <c r="AY107" s="6" t="s">
        <v>388</v>
      </c>
    </row>
    <row r="108" spans="1:51" ht="34.799999999999997" x14ac:dyDescent="0.3">
      <c r="A108" s="26" t="s">
        <v>278</v>
      </c>
      <c r="B108" s="14" t="s">
        <v>610</v>
      </c>
      <c r="C108" s="14" t="s">
        <v>424</v>
      </c>
      <c r="D108" s="14" t="s">
        <v>279</v>
      </c>
      <c r="E108" s="14" t="s">
        <v>1271</v>
      </c>
      <c r="F108" s="14" t="s">
        <v>740</v>
      </c>
      <c r="G108" s="15" t="s">
        <v>159</v>
      </c>
      <c r="H108" s="16">
        <v>119</v>
      </c>
      <c r="I108" s="16">
        <v>79</v>
      </c>
      <c r="J108" s="36">
        <v>9401</v>
      </c>
      <c r="K108" s="16"/>
      <c r="L108" s="16" t="s">
        <v>397</v>
      </c>
      <c r="M108" s="16">
        <v>1</v>
      </c>
      <c r="N108" s="16">
        <v>1</v>
      </c>
      <c r="O108" s="16"/>
      <c r="P108" s="16"/>
      <c r="Q108" s="16"/>
      <c r="R108" s="16"/>
      <c r="S108" s="16"/>
      <c r="T108" s="16"/>
      <c r="U108" s="16"/>
      <c r="V108" s="16"/>
      <c r="W108" s="18" t="s">
        <v>414</v>
      </c>
      <c r="X108" s="16"/>
      <c r="Y108" s="16"/>
      <c r="Z108" s="16">
        <v>1</v>
      </c>
      <c r="AA108" s="16"/>
      <c r="AB108" s="18" t="s">
        <v>383</v>
      </c>
      <c r="AC108" s="18"/>
      <c r="AD108" s="16">
        <v>1</v>
      </c>
      <c r="AE108" s="18"/>
      <c r="AF108" s="16" t="s">
        <v>399</v>
      </c>
      <c r="AG108" s="18" t="s">
        <v>386</v>
      </c>
      <c r="AH108" s="16">
        <v>39</v>
      </c>
      <c r="AI108" s="16">
        <v>4.5</v>
      </c>
      <c r="AJ108" s="16">
        <f>SUM(Table4[[#This Row],[Soccer/U7 (Yes=1)]:[Ultimate Frisbee (Yes=1)]])</f>
        <v>7</v>
      </c>
      <c r="AK108" s="10"/>
      <c r="AL108" s="10">
        <v>1</v>
      </c>
      <c r="AM108" s="10">
        <v>1</v>
      </c>
      <c r="AN108" s="10">
        <f>COUNTIFS(Table4[[#This Row],[Rectangular Field Dimension: Length - m ]],Methods_Dimensions!J$10,Table4[[#This Row],[Rectangular Field Dimension: Width - m ]],Methods_Dimensions!H$10)</f>
        <v>1</v>
      </c>
      <c r="AO108" s="10">
        <f>COUNTIFS(Table4[[#This Row],[Rectangular Field Dimension: Length - m ]],Methods_Dimensions!J$11,Table4[[#This Row],[Rectangular Field Dimension: Width - m ]],Methods_Dimensions!H$11)</f>
        <v>1</v>
      </c>
      <c r="AP108" s="10">
        <f>COUNTIFS(Table4[[#This Row],[Rectangular Field Dimension: Length - m ]],Methods_Dimensions!J$12,Table4[[#This Row],[Rectangular Field Dimension: Width - m ]],Methods_Dimensions!H$12)</f>
        <v>1</v>
      </c>
      <c r="AQ108" s="10">
        <f>COUNTIFS(Table4[[#This Row],[Rectangular Field Dimension: Length - m ]],Methods_Dimensions!J$13,Table4[[#This Row],[Rectangular Field Dimension: Width - m ]],Methods_Dimensions!H$13)</f>
        <v>0</v>
      </c>
      <c r="AR108" s="10">
        <f>COUNTIFS(Table4[[#This Row],[Rectangular Field Dimension: Length - m ]],Methods_Dimensions!J$14,Table4[[#This Row],[Rectangular Field Dimension: Width - m ]],Methods_Dimensions!H$14)</f>
        <v>0</v>
      </c>
      <c r="AS10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8" s="10">
        <f>COUNTIFS(Table4[[#This Row],[Rectangular Field Dimension: Length - m ]],Methods_Dimensions!J$16,Table4[[#This Row],[Rectangular Field Dimension: Width - m ]],Methods_Dimensions!H$16)</f>
        <v>0</v>
      </c>
      <c r="AU108" s="10">
        <f>COUNTIFS(Table4[[#This Row],[Rectangular Field Dimension: Length - m ]],Methods_Dimensions!J$17,Table4[[#This Row],[Rectangular Field Dimension: Width - m ]],Methods_Dimensions!H$17)</f>
        <v>1</v>
      </c>
      <c r="AV108" s="10">
        <f>COUNTIFS(Table4[[#This Row],[Rectangular Field Dimension: Length - m ]],Methods_Dimensions!J$18,Table4[[#This Row],[Rectangular Field Dimension: Width - m ]],Methods_Dimensions!H$18)</f>
        <v>0</v>
      </c>
      <c r="AW108" s="10">
        <f>COUNTIFS(Table4[[#This Row],[Rectangular Field Dimension: Length - m ]],Methods_Dimensions!J$19,Table4[[#This Row],[Rectangular Field Dimension: Width - m ]],Methods_Dimensions!H$19)</f>
        <v>1</v>
      </c>
      <c r="AX108" s="6" t="s">
        <v>387</v>
      </c>
      <c r="AY108" s="6" t="s">
        <v>388</v>
      </c>
    </row>
    <row r="109" spans="1:51" ht="52.2" x14ac:dyDescent="0.3">
      <c r="A109" s="4" t="s">
        <v>280</v>
      </c>
      <c r="B109" s="5" t="s">
        <v>611</v>
      </c>
      <c r="C109" s="5" t="s">
        <v>549</v>
      </c>
      <c r="D109" s="5" t="s">
        <v>281</v>
      </c>
      <c r="E109" s="5" t="s">
        <v>395</v>
      </c>
      <c r="F109" s="5" t="s">
        <v>396</v>
      </c>
      <c r="G109" s="6" t="s">
        <v>159</v>
      </c>
      <c r="H109" s="12">
        <v>100</v>
      </c>
      <c r="I109" s="12">
        <v>64</v>
      </c>
      <c r="J109" s="37">
        <v>6400</v>
      </c>
      <c r="K109" s="12"/>
      <c r="L109" s="12" t="s">
        <v>397</v>
      </c>
      <c r="M109" s="12">
        <v>1</v>
      </c>
      <c r="N109" s="12">
        <v>1</v>
      </c>
      <c r="O109" s="12">
        <v>1</v>
      </c>
      <c r="P109" s="12"/>
      <c r="Q109" s="12"/>
      <c r="R109" s="12"/>
      <c r="S109" s="12"/>
      <c r="T109" s="12">
        <v>1</v>
      </c>
      <c r="U109" s="12"/>
      <c r="V109" s="12"/>
      <c r="W109" s="17" t="s">
        <v>537</v>
      </c>
      <c r="X109" s="12"/>
      <c r="Y109" s="12"/>
      <c r="Z109" s="12"/>
      <c r="AA109" s="12"/>
      <c r="AB109" s="17" t="s">
        <v>535</v>
      </c>
      <c r="AC109" s="17">
        <v>50</v>
      </c>
      <c r="AD109" s="12"/>
      <c r="AE109" s="17" t="s">
        <v>550</v>
      </c>
      <c r="AF109" s="12" t="s">
        <v>399</v>
      </c>
      <c r="AG109" s="17" t="s">
        <v>400</v>
      </c>
      <c r="AH109" s="12"/>
      <c r="AI109" s="12"/>
      <c r="AJ109" s="12">
        <f>SUM(Table4[[#This Row],[Soccer/U7 (Yes=1)]:[Ultimate Frisbee (Yes=1)]])</f>
        <v>5</v>
      </c>
      <c r="AK109" s="10"/>
      <c r="AL109" s="10">
        <v>1</v>
      </c>
      <c r="AM109" s="10">
        <v>1</v>
      </c>
      <c r="AN109" s="10">
        <f>COUNTIFS(Table4[[#This Row],[Rectangular Field Dimension: Length - m ]],Methods_Dimensions!J$10,Table4[[#This Row],[Rectangular Field Dimension: Width - m ]],Methods_Dimensions!H$10)</f>
        <v>1</v>
      </c>
      <c r="AO109" s="10">
        <f>COUNTIFS(Table4[[#This Row],[Rectangular Field Dimension: Length - m ]],Methods_Dimensions!J$11,Table4[[#This Row],[Rectangular Field Dimension: Width - m ]],Methods_Dimensions!H$11)</f>
        <v>1</v>
      </c>
      <c r="AP109" s="10">
        <f>COUNTIFS(Table4[[#This Row],[Rectangular Field Dimension: Length - m ]],Methods_Dimensions!J$12,Table4[[#This Row],[Rectangular Field Dimension: Width - m ]],Methods_Dimensions!H$12)</f>
        <v>1</v>
      </c>
      <c r="AQ109" s="10">
        <f>COUNTIFS(Table4[[#This Row],[Rectangular Field Dimension: Length - m ]],Methods_Dimensions!J$13,Table4[[#This Row],[Rectangular Field Dimension: Width - m ]],Methods_Dimensions!H$13)</f>
        <v>0</v>
      </c>
      <c r="AR109" s="10">
        <f>COUNTIFS(Table4[[#This Row],[Rectangular Field Dimension: Length - m ]],Methods_Dimensions!J$14,Table4[[#This Row],[Rectangular Field Dimension: Width - m ]],Methods_Dimensions!H$14)</f>
        <v>0</v>
      </c>
      <c r="AS10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09" s="10">
        <f>COUNTIFS(Table4[[#This Row],[Rectangular Field Dimension: Length - m ]],Methods_Dimensions!J$16,Table4[[#This Row],[Rectangular Field Dimension: Width - m ]],Methods_Dimensions!H$16)</f>
        <v>0</v>
      </c>
      <c r="AU109" s="10">
        <f>COUNTIFS(Table4[[#This Row],[Rectangular Field Dimension: Length - m ]],Methods_Dimensions!J$17,Table4[[#This Row],[Rectangular Field Dimension: Width - m ]],Methods_Dimensions!H$17)</f>
        <v>0</v>
      </c>
      <c r="AV109" s="10">
        <f>COUNTIFS(Table4[[#This Row],[Rectangular Field Dimension: Length - m ]],Methods_Dimensions!J$18,Table4[[#This Row],[Rectangular Field Dimension: Width - m ]],Methods_Dimensions!H$18)</f>
        <v>0</v>
      </c>
      <c r="AW109" s="10">
        <f>COUNTIFS(Table4[[#This Row],[Rectangular Field Dimension: Length - m ]],Methods_Dimensions!J$19,Table4[[#This Row],[Rectangular Field Dimension: Width - m ]],Methods_Dimensions!H$19)</f>
        <v>0</v>
      </c>
      <c r="AX109" s="6" t="s">
        <v>1281</v>
      </c>
      <c r="AY109" s="6" t="s">
        <v>388</v>
      </c>
    </row>
    <row r="110" spans="1:51" ht="34.799999999999997" x14ac:dyDescent="0.3">
      <c r="A110" s="26" t="s">
        <v>282</v>
      </c>
      <c r="B110" s="14" t="s">
        <v>612</v>
      </c>
      <c r="C110" s="14" t="s">
        <v>434</v>
      </c>
      <c r="D110" s="14" t="s">
        <v>283</v>
      </c>
      <c r="E110" s="14" t="s">
        <v>789</v>
      </c>
      <c r="F110" s="14" t="s">
        <v>789</v>
      </c>
      <c r="G110" s="15" t="s">
        <v>159</v>
      </c>
      <c r="H110" s="16">
        <v>93</v>
      </c>
      <c r="I110" s="16">
        <v>47</v>
      </c>
      <c r="J110" s="36">
        <v>4371</v>
      </c>
      <c r="K110" s="16"/>
      <c r="L110" s="16" t="s">
        <v>397</v>
      </c>
      <c r="M110" s="16">
        <v>1</v>
      </c>
      <c r="N110" s="16">
        <v>1</v>
      </c>
      <c r="O110" s="16"/>
      <c r="P110" s="16">
        <v>1</v>
      </c>
      <c r="Q110" s="16"/>
      <c r="R110" s="16"/>
      <c r="S110" s="16"/>
      <c r="T110" s="16"/>
      <c r="U110" s="16"/>
      <c r="V110" s="16"/>
      <c r="W110" s="18" t="s">
        <v>414</v>
      </c>
      <c r="X110" s="16">
        <v>1</v>
      </c>
      <c r="Y110" s="16"/>
      <c r="Z110" s="16"/>
      <c r="AA110" s="16"/>
      <c r="AB110" s="18" t="s">
        <v>383</v>
      </c>
      <c r="AC110" s="18"/>
      <c r="AD110" s="16">
        <v>1</v>
      </c>
      <c r="AE110" s="18"/>
      <c r="AF110" s="16" t="s">
        <v>399</v>
      </c>
      <c r="AG110" s="18" t="s">
        <v>416</v>
      </c>
      <c r="AH110" s="16"/>
      <c r="AI110" s="16"/>
      <c r="AJ110" s="16">
        <f>SUM(Table4[[#This Row],[Soccer/U7 (Yes=1)]:[Ultimate Frisbee (Yes=1)]])</f>
        <v>5</v>
      </c>
      <c r="AK110" s="10"/>
      <c r="AL110" s="10">
        <v>1</v>
      </c>
      <c r="AM110" s="10">
        <v>1</v>
      </c>
      <c r="AN110" s="10">
        <f>COUNTIFS(Table4[[#This Row],[Rectangular Field Dimension: Length - m ]],Methods_Dimensions!J$10,Table4[[#This Row],[Rectangular Field Dimension: Width - m ]],Methods_Dimensions!H$10)</f>
        <v>1</v>
      </c>
      <c r="AO110" s="10">
        <f>COUNTIFS(Table4[[#This Row],[Rectangular Field Dimension: Length - m ]],Methods_Dimensions!J$11,Table4[[#This Row],[Rectangular Field Dimension: Width - m ]],Methods_Dimensions!H$11)</f>
        <v>1</v>
      </c>
      <c r="AP110" s="10">
        <f>COUNTIFS(Table4[[#This Row],[Rectangular Field Dimension: Length - m ]],Methods_Dimensions!J$12,Table4[[#This Row],[Rectangular Field Dimension: Width - m ]],Methods_Dimensions!H$12)</f>
        <v>1</v>
      </c>
      <c r="AQ110" s="10">
        <f>COUNTIFS(Table4[[#This Row],[Rectangular Field Dimension: Length - m ]],Methods_Dimensions!J$13,Table4[[#This Row],[Rectangular Field Dimension: Width - m ]],Methods_Dimensions!H$13)</f>
        <v>0</v>
      </c>
      <c r="AR110" s="10">
        <f>COUNTIFS(Table4[[#This Row],[Rectangular Field Dimension: Length - m ]],Methods_Dimensions!J$14,Table4[[#This Row],[Rectangular Field Dimension: Width - m ]],Methods_Dimensions!H$14)</f>
        <v>0</v>
      </c>
      <c r="AS11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0" s="10">
        <f>COUNTIFS(Table4[[#This Row],[Rectangular Field Dimension: Length - m ]],Methods_Dimensions!J$16,Table4[[#This Row],[Rectangular Field Dimension: Width - m ]],Methods_Dimensions!H$16)</f>
        <v>0</v>
      </c>
      <c r="AU110" s="10">
        <f>COUNTIFS(Table4[[#This Row],[Rectangular Field Dimension: Length - m ]],Methods_Dimensions!J$17,Table4[[#This Row],[Rectangular Field Dimension: Width - m ]],Methods_Dimensions!H$17)</f>
        <v>0</v>
      </c>
      <c r="AV110" s="10">
        <f>COUNTIFS(Table4[[#This Row],[Rectangular Field Dimension: Length - m ]],Methods_Dimensions!J$18,Table4[[#This Row],[Rectangular Field Dimension: Width - m ]],Methods_Dimensions!H$18)</f>
        <v>0</v>
      </c>
      <c r="AW110" s="10">
        <f>COUNTIFS(Table4[[#This Row],[Rectangular Field Dimension: Length - m ]],Methods_Dimensions!J$19,Table4[[#This Row],[Rectangular Field Dimension: Width - m ]],Methods_Dimensions!H$19)</f>
        <v>0</v>
      </c>
      <c r="AX110" s="6" t="s">
        <v>387</v>
      </c>
      <c r="AY110" s="6" t="s">
        <v>388</v>
      </c>
    </row>
    <row r="111" spans="1:51" ht="34.799999999999997" x14ac:dyDescent="0.3">
      <c r="A111" s="4" t="s">
        <v>284</v>
      </c>
      <c r="B111" s="5" t="s">
        <v>613</v>
      </c>
      <c r="C111" s="5" t="s">
        <v>432</v>
      </c>
      <c r="D111" s="5" t="s">
        <v>285</v>
      </c>
      <c r="E111" s="5" t="s">
        <v>1271</v>
      </c>
      <c r="F111" s="5" t="s">
        <v>789</v>
      </c>
      <c r="G111" s="6" t="s">
        <v>159</v>
      </c>
      <c r="H111" s="12">
        <v>109</v>
      </c>
      <c r="I111" s="12">
        <v>78</v>
      </c>
      <c r="J111" s="37">
        <v>8502</v>
      </c>
      <c r="K111" s="12"/>
      <c r="L111" s="12" t="s">
        <v>381</v>
      </c>
      <c r="M111" s="12">
        <v>1</v>
      </c>
      <c r="N111" s="12"/>
      <c r="O111" s="12"/>
      <c r="P111" s="12"/>
      <c r="Q111" s="12"/>
      <c r="R111" s="12"/>
      <c r="S111" s="12"/>
      <c r="T111" s="12"/>
      <c r="U111" s="12"/>
      <c r="V111" s="12"/>
      <c r="W111" s="17"/>
      <c r="X111" s="12"/>
      <c r="Y111" s="12"/>
      <c r="Z111" s="12">
        <v>1</v>
      </c>
      <c r="AA111" s="12"/>
      <c r="AB111" s="17" t="s">
        <v>383</v>
      </c>
      <c r="AC111" s="17"/>
      <c r="AD111" s="12">
        <v>1</v>
      </c>
      <c r="AE111" s="17"/>
      <c r="AF111" s="12" t="s">
        <v>385</v>
      </c>
      <c r="AG111" s="17" t="s">
        <v>416</v>
      </c>
      <c r="AH111" s="12"/>
      <c r="AI111" s="12"/>
      <c r="AJ111" s="12">
        <f>SUM(Table4[[#This Row],[Soccer/U7 (Yes=1)]:[Ultimate Frisbee (Yes=1)]])</f>
        <v>6</v>
      </c>
      <c r="AK111" s="10"/>
      <c r="AL111" s="10">
        <v>1</v>
      </c>
      <c r="AM111" s="10">
        <v>1</v>
      </c>
      <c r="AN111" s="10">
        <f>COUNTIFS(Table4[[#This Row],[Rectangular Field Dimension: Length - m ]],Methods_Dimensions!J$10,Table4[[#This Row],[Rectangular Field Dimension: Width - m ]],Methods_Dimensions!H$10)</f>
        <v>1</v>
      </c>
      <c r="AO111" s="10">
        <f>COUNTIFS(Table4[[#This Row],[Rectangular Field Dimension: Length - m ]],Methods_Dimensions!J$11,Table4[[#This Row],[Rectangular Field Dimension: Width - m ]],Methods_Dimensions!H$11)</f>
        <v>1</v>
      </c>
      <c r="AP111" s="10">
        <f>COUNTIFS(Table4[[#This Row],[Rectangular Field Dimension: Length - m ]],Methods_Dimensions!J$12,Table4[[#This Row],[Rectangular Field Dimension: Width - m ]],Methods_Dimensions!H$12)</f>
        <v>1</v>
      </c>
      <c r="AQ111" s="10">
        <f>COUNTIFS(Table4[[#This Row],[Rectangular Field Dimension: Length - m ]],Methods_Dimensions!J$13,Table4[[#This Row],[Rectangular Field Dimension: Width - m ]],Methods_Dimensions!H$13)</f>
        <v>0</v>
      </c>
      <c r="AR111" s="10">
        <f>COUNTIFS(Table4[[#This Row],[Rectangular Field Dimension: Length - m ]],Methods_Dimensions!J$14,Table4[[#This Row],[Rectangular Field Dimension: Width - m ]],Methods_Dimensions!H$14)</f>
        <v>0</v>
      </c>
      <c r="AS11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1" s="10">
        <f>COUNTIFS(Table4[[#This Row],[Rectangular Field Dimension: Length - m ]],Methods_Dimensions!J$16,Table4[[#This Row],[Rectangular Field Dimension: Width - m ]],Methods_Dimensions!H$16)</f>
        <v>0</v>
      </c>
      <c r="AU111" s="10">
        <f>COUNTIFS(Table4[[#This Row],[Rectangular Field Dimension: Length - m ]],Methods_Dimensions!J$17,Table4[[#This Row],[Rectangular Field Dimension: Width - m ]],Methods_Dimensions!H$17)</f>
        <v>0</v>
      </c>
      <c r="AV111" s="10">
        <f>COUNTIFS(Table4[[#This Row],[Rectangular Field Dimension: Length - m ]],Methods_Dimensions!J$18,Table4[[#This Row],[Rectangular Field Dimension: Width - m ]],Methods_Dimensions!H$18)</f>
        <v>0</v>
      </c>
      <c r="AW111" s="10">
        <f>COUNTIFS(Table4[[#This Row],[Rectangular Field Dimension: Length - m ]],Methods_Dimensions!J$19,Table4[[#This Row],[Rectangular Field Dimension: Width - m ]],Methods_Dimensions!H$19)</f>
        <v>1</v>
      </c>
      <c r="AX111" s="6" t="s">
        <v>614</v>
      </c>
      <c r="AY111" s="6" t="s">
        <v>615</v>
      </c>
    </row>
    <row r="112" spans="1:51" ht="34.799999999999997" x14ac:dyDescent="0.3">
      <c r="A112" s="26" t="s">
        <v>286</v>
      </c>
      <c r="B112" s="14" t="s">
        <v>616</v>
      </c>
      <c r="C112" s="14" t="s">
        <v>406</v>
      </c>
      <c r="D112" s="14" t="s">
        <v>287</v>
      </c>
      <c r="E112" s="14" t="s">
        <v>413</v>
      </c>
      <c r="F112" s="14" t="s">
        <v>789</v>
      </c>
      <c r="G112" s="15" t="s">
        <v>159</v>
      </c>
      <c r="H112" s="16">
        <v>57</v>
      </c>
      <c r="I112" s="16">
        <v>31</v>
      </c>
      <c r="J112" s="36">
        <v>1767</v>
      </c>
      <c r="K112" s="16"/>
      <c r="L112" s="16" t="s">
        <v>397</v>
      </c>
      <c r="M112" s="16">
        <v>1</v>
      </c>
      <c r="N112" s="16">
        <v>1</v>
      </c>
      <c r="O112" s="16">
        <v>1</v>
      </c>
      <c r="P112" s="16"/>
      <c r="Q112" s="16"/>
      <c r="R112" s="16"/>
      <c r="S112" s="16"/>
      <c r="T112" s="16"/>
      <c r="U112" s="16"/>
      <c r="V112" s="16"/>
      <c r="W112" s="18"/>
      <c r="X112" s="16">
        <v>1</v>
      </c>
      <c r="Y112" s="16"/>
      <c r="Z112" s="16"/>
      <c r="AA112" s="16"/>
      <c r="AB112" s="18" t="s">
        <v>383</v>
      </c>
      <c r="AC112" s="18"/>
      <c r="AD112" s="16"/>
      <c r="AE112" s="18"/>
      <c r="AF112" s="16" t="s">
        <v>444</v>
      </c>
      <c r="AG112" s="18" t="s">
        <v>416</v>
      </c>
      <c r="AH112" s="16">
        <v>86</v>
      </c>
      <c r="AI112" s="16">
        <v>6.5</v>
      </c>
      <c r="AJ112" s="16">
        <f>SUM(Table4[[#This Row],[Soccer/U7 (Yes=1)]:[Ultimate Frisbee (Yes=1)]])</f>
        <v>3</v>
      </c>
      <c r="AK112" s="10"/>
      <c r="AL112" s="10">
        <v>1</v>
      </c>
      <c r="AM112" s="10">
        <v>1</v>
      </c>
      <c r="AN112" s="10">
        <f>COUNTIFS(Table4[[#This Row],[Rectangular Field Dimension: Length - m ]],Methods_Dimensions!J$10,Table4[[#This Row],[Rectangular Field Dimension: Width - m ]],Methods_Dimensions!H$10)</f>
        <v>1</v>
      </c>
      <c r="AO112" s="10">
        <f>COUNTIFS(Table4[[#This Row],[Rectangular Field Dimension: Length - m ]],Methods_Dimensions!J$11,Table4[[#This Row],[Rectangular Field Dimension: Width - m ]],Methods_Dimensions!H$11)</f>
        <v>0</v>
      </c>
      <c r="AP112" s="10">
        <f>COUNTIFS(Table4[[#This Row],[Rectangular Field Dimension: Length - m ]],Methods_Dimensions!J$12,Table4[[#This Row],[Rectangular Field Dimension: Width - m ]],Methods_Dimensions!H$12)</f>
        <v>0</v>
      </c>
      <c r="AQ112" s="10">
        <f>COUNTIFS(Table4[[#This Row],[Rectangular Field Dimension: Length - m ]],Methods_Dimensions!J$13,Table4[[#This Row],[Rectangular Field Dimension: Width - m ]],Methods_Dimensions!H$13)</f>
        <v>0</v>
      </c>
      <c r="AR112" s="10">
        <f>COUNTIFS(Table4[[#This Row],[Rectangular Field Dimension: Length - m ]],Methods_Dimensions!J$14,Table4[[#This Row],[Rectangular Field Dimension: Width - m ]],Methods_Dimensions!H$14)</f>
        <v>0</v>
      </c>
      <c r="AS11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2" s="10">
        <f>COUNTIFS(Table4[[#This Row],[Rectangular Field Dimension: Length - m ]],Methods_Dimensions!J$16,Table4[[#This Row],[Rectangular Field Dimension: Width - m ]],Methods_Dimensions!H$16)</f>
        <v>0</v>
      </c>
      <c r="AU112" s="10">
        <f>COUNTIFS(Table4[[#This Row],[Rectangular Field Dimension: Length - m ]],Methods_Dimensions!J$17,Table4[[#This Row],[Rectangular Field Dimension: Width - m ]],Methods_Dimensions!H$17)</f>
        <v>0</v>
      </c>
      <c r="AV112" s="10">
        <f>COUNTIFS(Table4[[#This Row],[Rectangular Field Dimension: Length - m ]],Methods_Dimensions!J$18,Table4[[#This Row],[Rectangular Field Dimension: Width - m ]],Methods_Dimensions!H$18)</f>
        <v>0</v>
      </c>
      <c r="AW112" s="10">
        <f>COUNTIFS(Table4[[#This Row],[Rectangular Field Dimension: Length - m ]],Methods_Dimensions!J$19,Table4[[#This Row],[Rectangular Field Dimension: Width - m ]],Methods_Dimensions!H$19)</f>
        <v>0</v>
      </c>
      <c r="AX112" s="6" t="s">
        <v>617</v>
      </c>
      <c r="AY112" s="6" t="s">
        <v>388</v>
      </c>
    </row>
    <row r="113" spans="1:51" ht="34.799999999999997" x14ac:dyDescent="0.3">
      <c r="A113" s="4" t="s">
        <v>288</v>
      </c>
      <c r="B113" s="5" t="s">
        <v>618</v>
      </c>
      <c r="C113" s="5" t="s">
        <v>432</v>
      </c>
      <c r="D113" s="5" t="s">
        <v>619</v>
      </c>
      <c r="E113" s="5" t="s">
        <v>1271</v>
      </c>
      <c r="F113" s="5" t="s">
        <v>740</v>
      </c>
      <c r="G113" s="6" t="s">
        <v>159</v>
      </c>
      <c r="H113" s="12">
        <v>88</v>
      </c>
      <c r="I113" s="12">
        <v>65</v>
      </c>
      <c r="J113" s="37">
        <v>5720</v>
      </c>
      <c r="K113" s="12">
        <v>1</v>
      </c>
      <c r="L113" s="12" t="s">
        <v>397</v>
      </c>
      <c r="M113" s="12">
        <v>1</v>
      </c>
      <c r="N113" s="12">
        <v>1</v>
      </c>
      <c r="O113" s="12"/>
      <c r="P113" s="12">
        <v>1</v>
      </c>
      <c r="Q113" s="12">
        <v>1</v>
      </c>
      <c r="R113" s="12">
        <v>1</v>
      </c>
      <c r="S113" s="12"/>
      <c r="T113" s="12"/>
      <c r="U113" s="12"/>
      <c r="V113" s="12"/>
      <c r="W113" s="17"/>
      <c r="X113" s="12">
        <v>1</v>
      </c>
      <c r="Y113" s="12"/>
      <c r="Z113" s="12">
        <v>1</v>
      </c>
      <c r="AA113" s="12"/>
      <c r="AB113" s="17" t="s">
        <v>383</v>
      </c>
      <c r="AC113" s="17"/>
      <c r="AD113" s="12">
        <v>1</v>
      </c>
      <c r="AE113" s="17" t="s">
        <v>620</v>
      </c>
      <c r="AF113" s="12" t="s">
        <v>444</v>
      </c>
      <c r="AG113" s="17" t="s">
        <v>386</v>
      </c>
      <c r="AH113" s="12"/>
      <c r="AI113" s="12"/>
      <c r="AJ113" s="12">
        <f>SUM(Table4[[#This Row],[Soccer/U7 (Yes=1)]:[Ultimate Frisbee (Yes=1)]])</f>
        <v>4</v>
      </c>
      <c r="AK113" s="10"/>
      <c r="AL113" s="10">
        <v>1</v>
      </c>
      <c r="AM113" s="10">
        <v>1</v>
      </c>
      <c r="AN113" s="10">
        <f>COUNTIFS(Table4[[#This Row],[Rectangular Field Dimension: Length - m ]],Methods_Dimensions!J$10,Table4[[#This Row],[Rectangular Field Dimension: Width - m ]],Methods_Dimensions!H$10)</f>
        <v>1</v>
      </c>
      <c r="AO113" s="10">
        <f>COUNTIFS(Table4[[#This Row],[Rectangular Field Dimension: Length - m ]],Methods_Dimensions!J$11,Table4[[#This Row],[Rectangular Field Dimension: Width - m ]],Methods_Dimensions!H$11)</f>
        <v>1</v>
      </c>
      <c r="AP113" s="10">
        <f>COUNTIFS(Table4[[#This Row],[Rectangular Field Dimension: Length - m ]],Methods_Dimensions!J$12,Table4[[#This Row],[Rectangular Field Dimension: Width - m ]],Methods_Dimensions!H$12)</f>
        <v>0</v>
      </c>
      <c r="AQ113" s="10">
        <f>COUNTIFS(Table4[[#This Row],[Rectangular Field Dimension: Length - m ]],Methods_Dimensions!J$13,Table4[[#This Row],[Rectangular Field Dimension: Width - m ]],Methods_Dimensions!H$13)</f>
        <v>0</v>
      </c>
      <c r="AR113" s="10">
        <f>COUNTIFS(Table4[[#This Row],[Rectangular Field Dimension: Length - m ]],Methods_Dimensions!J$14,Table4[[#This Row],[Rectangular Field Dimension: Width - m ]],Methods_Dimensions!H$14)</f>
        <v>0</v>
      </c>
      <c r="AS11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3" s="10">
        <f>COUNTIFS(Table4[[#This Row],[Rectangular Field Dimension: Length - m ]],Methods_Dimensions!J$16,Table4[[#This Row],[Rectangular Field Dimension: Width - m ]],Methods_Dimensions!H$16)</f>
        <v>0</v>
      </c>
      <c r="AU113" s="10">
        <f>COUNTIFS(Table4[[#This Row],[Rectangular Field Dimension: Length - m ]],Methods_Dimensions!J$17,Table4[[#This Row],[Rectangular Field Dimension: Width - m ]],Methods_Dimensions!H$17)</f>
        <v>0</v>
      </c>
      <c r="AV113" s="10">
        <f>COUNTIFS(Table4[[#This Row],[Rectangular Field Dimension: Length - m ]],Methods_Dimensions!J$18,Table4[[#This Row],[Rectangular Field Dimension: Width - m ]],Methods_Dimensions!H$18)</f>
        <v>0</v>
      </c>
      <c r="AW113" s="10">
        <f>COUNTIFS(Table4[[#This Row],[Rectangular Field Dimension: Length - m ]],Methods_Dimensions!J$19,Table4[[#This Row],[Rectangular Field Dimension: Width - m ]],Methods_Dimensions!H$19)</f>
        <v>0</v>
      </c>
      <c r="AX113" s="6" t="s">
        <v>621</v>
      </c>
      <c r="AY113" s="6" t="s">
        <v>388</v>
      </c>
    </row>
    <row r="114" spans="1:51" ht="34.799999999999997" x14ac:dyDescent="0.3">
      <c r="A114" s="26" t="s">
        <v>289</v>
      </c>
      <c r="B114" s="14" t="s">
        <v>618</v>
      </c>
      <c r="C114" s="14" t="s">
        <v>432</v>
      </c>
      <c r="D114" s="14" t="s">
        <v>619</v>
      </c>
      <c r="E114" s="14" t="s">
        <v>1272</v>
      </c>
      <c r="F114" s="14" t="s">
        <v>754</v>
      </c>
      <c r="G114" s="15" t="s">
        <v>159</v>
      </c>
      <c r="H114" s="16">
        <v>91</v>
      </c>
      <c r="I114" s="16">
        <v>75</v>
      </c>
      <c r="J114" s="36">
        <v>6825</v>
      </c>
      <c r="K114" s="16">
        <v>1</v>
      </c>
      <c r="L114" s="16" t="s">
        <v>389</v>
      </c>
      <c r="M114" s="16"/>
      <c r="N114" s="16">
        <v>1</v>
      </c>
      <c r="O114" s="16"/>
      <c r="P114" s="16">
        <v>1</v>
      </c>
      <c r="Q114" s="16">
        <v>1</v>
      </c>
      <c r="R114" s="16">
        <v>1</v>
      </c>
      <c r="S114" s="16"/>
      <c r="T114" s="16"/>
      <c r="U114" s="16"/>
      <c r="V114" s="16"/>
      <c r="W114" s="18"/>
      <c r="X114" s="16">
        <v>1</v>
      </c>
      <c r="Y114" s="16"/>
      <c r="Z114" s="16">
        <v>1</v>
      </c>
      <c r="AA114" s="16"/>
      <c r="AB114" s="18" t="s">
        <v>383</v>
      </c>
      <c r="AC114" s="18"/>
      <c r="AD114" s="16">
        <v>1</v>
      </c>
      <c r="AE114" s="18" t="s">
        <v>620</v>
      </c>
      <c r="AF114" s="16" t="s">
        <v>444</v>
      </c>
      <c r="AG114" s="18" t="s">
        <v>386</v>
      </c>
      <c r="AH114" s="16"/>
      <c r="AI114" s="16"/>
      <c r="AJ114" s="16">
        <f>SUM(Table4[[#This Row],[Soccer/U7 (Yes=1)]:[Ultimate Frisbee (Yes=1)]])</f>
        <v>5</v>
      </c>
      <c r="AK114" s="10"/>
      <c r="AL114" s="10">
        <v>1</v>
      </c>
      <c r="AM114" s="10">
        <v>1</v>
      </c>
      <c r="AN114" s="10">
        <f>COUNTIFS(Table4[[#This Row],[Rectangular Field Dimension: Length - m ]],Methods_Dimensions!J$10,Table4[[#This Row],[Rectangular Field Dimension: Width - m ]],Methods_Dimensions!H$10)</f>
        <v>1</v>
      </c>
      <c r="AO114" s="10">
        <f>COUNTIFS(Table4[[#This Row],[Rectangular Field Dimension: Length - m ]],Methods_Dimensions!J$11,Table4[[#This Row],[Rectangular Field Dimension: Width - m ]],Methods_Dimensions!H$11)</f>
        <v>1</v>
      </c>
      <c r="AP114" s="10">
        <f>COUNTIFS(Table4[[#This Row],[Rectangular Field Dimension: Length - m ]],Methods_Dimensions!J$12,Table4[[#This Row],[Rectangular Field Dimension: Width - m ]],Methods_Dimensions!H$12)</f>
        <v>1</v>
      </c>
      <c r="AQ114" s="10">
        <f>COUNTIFS(Table4[[#This Row],[Rectangular Field Dimension: Length - m ]],Methods_Dimensions!J$13,Table4[[#This Row],[Rectangular Field Dimension: Width - m ]],Methods_Dimensions!H$13)</f>
        <v>0</v>
      </c>
      <c r="AR114" s="10">
        <f>COUNTIFS(Table4[[#This Row],[Rectangular Field Dimension: Length - m ]],Methods_Dimensions!J$14,Table4[[#This Row],[Rectangular Field Dimension: Width - m ]],Methods_Dimensions!H$14)</f>
        <v>0</v>
      </c>
      <c r="AS11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4" s="10">
        <f>COUNTIFS(Table4[[#This Row],[Rectangular Field Dimension: Length - m ]],Methods_Dimensions!J$16,Table4[[#This Row],[Rectangular Field Dimension: Width - m ]],Methods_Dimensions!H$16)</f>
        <v>0</v>
      </c>
      <c r="AU114" s="10">
        <f>COUNTIFS(Table4[[#This Row],[Rectangular Field Dimension: Length - m ]],Methods_Dimensions!J$17,Table4[[#This Row],[Rectangular Field Dimension: Width - m ]],Methods_Dimensions!H$17)</f>
        <v>0</v>
      </c>
      <c r="AV114" s="10">
        <f>COUNTIFS(Table4[[#This Row],[Rectangular Field Dimension: Length - m ]],Methods_Dimensions!J$18,Table4[[#This Row],[Rectangular Field Dimension: Width - m ]],Methods_Dimensions!H$18)</f>
        <v>0</v>
      </c>
      <c r="AW114" s="10">
        <f>COUNTIFS(Table4[[#This Row],[Rectangular Field Dimension: Length - m ]],Methods_Dimensions!J$19,Table4[[#This Row],[Rectangular Field Dimension: Width - m ]],Methods_Dimensions!H$19)</f>
        <v>0</v>
      </c>
      <c r="AX114" s="6" t="s">
        <v>622</v>
      </c>
      <c r="AY114" s="6" t="s">
        <v>388</v>
      </c>
    </row>
    <row r="115" spans="1:51" ht="34.799999999999997" x14ac:dyDescent="0.3">
      <c r="A115" s="4" t="s">
        <v>290</v>
      </c>
      <c r="B115" s="5" t="s">
        <v>623</v>
      </c>
      <c r="C115" s="5" t="s">
        <v>412</v>
      </c>
      <c r="D115" s="5" t="s">
        <v>291</v>
      </c>
      <c r="E115" s="5" t="s">
        <v>1272</v>
      </c>
      <c r="F115" s="5" t="s">
        <v>740</v>
      </c>
      <c r="G115" s="6" t="s">
        <v>159</v>
      </c>
      <c r="H115" s="12">
        <v>66</v>
      </c>
      <c r="I115" s="12">
        <v>106</v>
      </c>
      <c r="J115" s="37">
        <v>6996</v>
      </c>
      <c r="K115" s="12"/>
      <c r="L115" s="12" t="s">
        <v>397</v>
      </c>
      <c r="M115" s="12">
        <v>1</v>
      </c>
      <c r="N115" s="12">
        <v>1</v>
      </c>
      <c r="O115" s="12">
        <v>1</v>
      </c>
      <c r="P115" s="12"/>
      <c r="Q115" s="12"/>
      <c r="R115" s="12">
        <v>1</v>
      </c>
      <c r="S115" s="12"/>
      <c r="T115" s="12"/>
      <c r="U115" s="12"/>
      <c r="V115" s="12"/>
      <c r="W115" s="17"/>
      <c r="X115" s="12"/>
      <c r="Y115" s="12"/>
      <c r="Z115" s="12">
        <v>1</v>
      </c>
      <c r="AA115" s="12"/>
      <c r="AB115" s="17" t="s">
        <v>535</v>
      </c>
      <c r="AC115" s="17">
        <v>50</v>
      </c>
      <c r="AD115" s="12">
        <v>1</v>
      </c>
      <c r="AE115" s="17"/>
      <c r="AF115" s="12" t="s">
        <v>385</v>
      </c>
      <c r="AG115" s="17" t="s">
        <v>386</v>
      </c>
      <c r="AH115" s="12"/>
      <c r="AI115" s="12"/>
      <c r="AJ115" s="12">
        <f>SUM(Table4[[#This Row],[Soccer/U7 (Yes=1)]:[Ultimate Frisbee (Yes=1)]])</f>
        <v>4</v>
      </c>
      <c r="AK115" s="10"/>
      <c r="AL115" s="10">
        <v>1</v>
      </c>
      <c r="AM115" s="10">
        <v>1</v>
      </c>
      <c r="AN115" s="10">
        <f>COUNTIFS(Table4[[#This Row],[Rectangular Field Dimension: Length - m ]],Methods_Dimensions!J$10,Table4[[#This Row],[Rectangular Field Dimension: Width - m ]],Methods_Dimensions!H$10)</f>
        <v>1</v>
      </c>
      <c r="AO115" s="10">
        <f>COUNTIFS(Table4[[#This Row],[Rectangular Field Dimension: Length - m ]],Methods_Dimensions!J$11,Table4[[#This Row],[Rectangular Field Dimension: Width - m ]],Methods_Dimensions!H$11)</f>
        <v>1</v>
      </c>
      <c r="AP115" s="10">
        <f>COUNTIFS(Table4[[#This Row],[Rectangular Field Dimension: Length - m ]],Methods_Dimensions!J$12,Table4[[#This Row],[Rectangular Field Dimension: Width - m ]],Methods_Dimensions!H$12)</f>
        <v>0</v>
      </c>
      <c r="AQ115" s="10">
        <f>COUNTIFS(Table4[[#This Row],[Rectangular Field Dimension: Length - m ]],Methods_Dimensions!J$13,Table4[[#This Row],[Rectangular Field Dimension: Width - m ]],Methods_Dimensions!H$13)</f>
        <v>0</v>
      </c>
      <c r="AR115" s="10">
        <f>COUNTIFS(Table4[[#This Row],[Rectangular Field Dimension: Length - m ]],Methods_Dimensions!J$14,Table4[[#This Row],[Rectangular Field Dimension: Width - m ]],Methods_Dimensions!H$14)</f>
        <v>0</v>
      </c>
      <c r="AS11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5" s="10">
        <f>COUNTIFS(Table4[[#This Row],[Rectangular Field Dimension: Length - m ]],Methods_Dimensions!J$16,Table4[[#This Row],[Rectangular Field Dimension: Width - m ]],Methods_Dimensions!H$16)</f>
        <v>0</v>
      </c>
      <c r="AU115" s="10">
        <f>COUNTIFS(Table4[[#This Row],[Rectangular Field Dimension: Length - m ]],Methods_Dimensions!J$17,Table4[[#This Row],[Rectangular Field Dimension: Width - m ]],Methods_Dimensions!H$17)</f>
        <v>0</v>
      </c>
      <c r="AV115" s="10">
        <f>COUNTIFS(Table4[[#This Row],[Rectangular Field Dimension: Length - m ]],Methods_Dimensions!J$18,Table4[[#This Row],[Rectangular Field Dimension: Width - m ]],Methods_Dimensions!H$18)</f>
        <v>0</v>
      </c>
      <c r="AW115" s="10">
        <f>COUNTIFS(Table4[[#This Row],[Rectangular Field Dimension: Length - m ]],Methods_Dimensions!J$19,Table4[[#This Row],[Rectangular Field Dimension: Width - m ]],Methods_Dimensions!H$19)</f>
        <v>0</v>
      </c>
      <c r="AX115" s="6" t="s">
        <v>387</v>
      </c>
      <c r="AY115" s="6" t="s">
        <v>388</v>
      </c>
    </row>
    <row r="116" spans="1:51" ht="34.799999999999997" x14ac:dyDescent="0.3">
      <c r="A116" s="26" t="s">
        <v>292</v>
      </c>
      <c r="B116" s="14" t="s">
        <v>434</v>
      </c>
      <c r="C116" s="14" t="s">
        <v>434</v>
      </c>
      <c r="D116" s="14" t="s">
        <v>130</v>
      </c>
      <c r="E116" s="14" t="s">
        <v>1272</v>
      </c>
      <c r="F116" s="14" t="s">
        <v>789</v>
      </c>
      <c r="G116" s="15" t="s">
        <v>159</v>
      </c>
      <c r="H116" s="16">
        <v>60</v>
      </c>
      <c r="I116" s="16">
        <v>49</v>
      </c>
      <c r="J116" s="36">
        <v>2940</v>
      </c>
      <c r="K116" s="16">
        <v>1</v>
      </c>
      <c r="L116" s="16" t="s">
        <v>389</v>
      </c>
      <c r="M116" s="16"/>
      <c r="N116" s="16">
        <v>1</v>
      </c>
      <c r="O116" s="16">
        <v>1</v>
      </c>
      <c r="P116" s="16">
        <v>1</v>
      </c>
      <c r="Q116" s="16"/>
      <c r="R116" s="16">
        <v>1</v>
      </c>
      <c r="S116" s="16"/>
      <c r="T116" s="16"/>
      <c r="U116" s="16"/>
      <c r="V116" s="16"/>
      <c r="W116" s="18"/>
      <c r="X116" s="16">
        <v>1</v>
      </c>
      <c r="Y116" s="16"/>
      <c r="Z116" s="16">
        <v>1</v>
      </c>
      <c r="AA116" s="16"/>
      <c r="AB116" s="18" t="s">
        <v>442</v>
      </c>
      <c r="AC116" s="18">
        <v>49</v>
      </c>
      <c r="AD116" s="16">
        <v>1</v>
      </c>
      <c r="AE116" s="18"/>
      <c r="AF116" s="16" t="s">
        <v>399</v>
      </c>
      <c r="AG116" s="18" t="s">
        <v>416</v>
      </c>
      <c r="AH116" s="16"/>
      <c r="AI116" s="16"/>
      <c r="AJ116" s="16">
        <f>SUM(Table4[[#This Row],[Soccer/U7 (Yes=1)]:[Ultimate Frisbee (Yes=1)]])</f>
        <v>4</v>
      </c>
      <c r="AK116" s="10"/>
      <c r="AL116" s="10">
        <v>1</v>
      </c>
      <c r="AM116" s="10">
        <v>1</v>
      </c>
      <c r="AN116" s="10">
        <f>COUNTIFS(Table4[[#This Row],[Rectangular Field Dimension: Length - m ]],Methods_Dimensions!J$10,Table4[[#This Row],[Rectangular Field Dimension: Width - m ]],Methods_Dimensions!H$10)</f>
        <v>1</v>
      </c>
      <c r="AO116" s="10">
        <f>COUNTIFS(Table4[[#This Row],[Rectangular Field Dimension: Length - m ]],Methods_Dimensions!J$11,Table4[[#This Row],[Rectangular Field Dimension: Width - m ]],Methods_Dimensions!H$11)</f>
        <v>1</v>
      </c>
      <c r="AP116" s="10">
        <f>COUNTIFS(Table4[[#This Row],[Rectangular Field Dimension: Length - m ]],Methods_Dimensions!J$12,Table4[[#This Row],[Rectangular Field Dimension: Width - m ]],Methods_Dimensions!H$12)</f>
        <v>0</v>
      </c>
      <c r="AQ116" s="10">
        <f>COUNTIFS(Table4[[#This Row],[Rectangular Field Dimension: Length - m ]],Methods_Dimensions!J$13,Table4[[#This Row],[Rectangular Field Dimension: Width - m ]],Methods_Dimensions!H$13)</f>
        <v>0</v>
      </c>
      <c r="AR116" s="10">
        <f>COUNTIFS(Table4[[#This Row],[Rectangular Field Dimension: Length - m ]],Methods_Dimensions!J$14,Table4[[#This Row],[Rectangular Field Dimension: Width - m ]],Methods_Dimensions!H$14)</f>
        <v>0</v>
      </c>
      <c r="AS11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6" s="10">
        <f>COUNTIFS(Table4[[#This Row],[Rectangular Field Dimension: Length - m ]],Methods_Dimensions!J$16,Table4[[#This Row],[Rectangular Field Dimension: Width - m ]],Methods_Dimensions!H$16)</f>
        <v>0</v>
      </c>
      <c r="AU116" s="10">
        <f>COUNTIFS(Table4[[#This Row],[Rectangular Field Dimension: Length - m ]],Methods_Dimensions!J$17,Table4[[#This Row],[Rectangular Field Dimension: Width - m ]],Methods_Dimensions!H$17)</f>
        <v>0</v>
      </c>
      <c r="AV116" s="10">
        <f>COUNTIFS(Table4[[#This Row],[Rectangular Field Dimension: Length - m ]],Methods_Dimensions!J$18,Table4[[#This Row],[Rectangular Field Dimension: Width - m ]],Methods_Dimensions!H$18)</f>
        <v>0</v>
      </c>
      <c r="AW116" s="10">
        <f>COUNTIFS(Table4[[#This Row],[Rectangular Field Dimension: Length - m ]],Methods_Dimensions!J$19,Table4[[#This Row],[Rectangular Field Dimension: Width - m ]],Methods_Dimensions!H$19)</f>
        <v>0</v>
      </c>
      <c r="AX116" s="6" t="s">
        <v>624</v>
      </c>
      <c r="AY116" s="6" t="s">
        <v>388</v>
      </c>
    </row>
    <row r="117" spans="1:51" ht="52.2" x14ac:dyDescent="0.3">
      <c r="A117" s="4" t="s">
        <v>293</v>
      </c>
      <c r="B117" s="5" t="s">
        <v>625</v>
      </c>
      <c r="C117" s="5" t="s">
        <v>452</v>
      </c>
      <c r="D117" s="5" t="s">
        <v>294</v>
      </c>
      <c r="E117" s="5" t="s">
        <v>1272</v>
      </c>
      <c r="F117" s="5" t="s">
        <v>789</v>
      </c>
      <c r="G117" s="6" t="s">
        <v>159</v>
      </c>
      <c r="H117" s="12">
        <v>85</v>
      </c>
      <c r="I117" s="12">
        <v>57</v>
      </c>
      <c r="J117" s="37">
        <v>4845</v>
      </c>
      <c r="K117" s="12"/>
      <c r="L117" s="12" t="s">
        <v>397</v>
      </c>
      <c r="M117" s="12">
        <v>1</v>
      </c>
      <c r="N117" s="12">
        <v>1</v>
      </c>
      <c r="O117" s="12"/>
      <c r="P117" s="12">
        <v>1</v>
      </c>
      <c r="Q117" s="12"/>
      <c r="R117" s="12">
        <v>1</v>
      </c>
      <c r="S117" s="12"/>
      <c r="T117" s="12"/>
      <c r="U117" s="12"/>
      <c r="V117" s="12"/>
      <c r="W117" s="17"/>
      <c r="X117" s="12"/>
      <c r="Y117" s="12"/>
      <c r="Z117" s="12">
        <v>1</v>
      </c>
      <c r="AA117" s="12"/>
      <c r="AB117" s="17" t="s">
        <v>383</v>
      </c>
      <c r="AC117" s="17"/>
      <c r="AD117" s="12">
        <v>1</v>
      </c>
      <c r="AE117" s="17" t="s">
        <v>626</v>
      </c>
      <c r="AF117" s="12" t="s">
        <v>444</v>
      </c>
      <c r="AG117" s="17" t="s">
        <v>416</v>
      </c>
      <c r="AH117" s="12">
        <v>42</v>
      </c>
      <c r="AI117" s="12">
        <v>6</v>
      </c>
      <c r="AJ117" s="12">
        <f>SUM(Table4[[#This Row],[Soccer/U7 (Yes=1)]:[Ultimate Frisbee (Yes=1)]])</f>
        <v>4</v>
      </c>
      <c r="AK117" s="10"/>
      <c r="AL117" s="10">
        <v>1</v>
      </c>
      <c r="AM117" s="10">
        <v>1</v>
      </c>
      <c r="AN117" s="10">
        <f>COUNTIFS(Table4[[#This Row],[Rectangular Field Dimension: Length - m ]],Methods_Dimensions!J$10,Table4[[#This Row],[Rectangular Field Dimension: Width - m ]],Methods_Dimensions!H$10)</f>
        <v>1</v>
      </c>
      <c r="AO117" s="10">
        <f>COUNTIFS(Table4[[#This Row],[Rectangular Field Dimension: Length - m ]],Methods_Dimensions!J$11,Table4[[#This Row],[Rectangular Field Dimension: Width - m ]],Methods_Dimensions!H$11)</f>
        <v>1</v>
      </c>
      <c r="AP117" s="10">
        <f>COUNTIFS(Table4[[#This Row],[Rectangular Field Dimension: Length - m ]],Methods_Dimensions!J$12,Table4[[#This Row],[Rectangular Field Dimension: Width - m ]],Methods_Dimensions!H$12)</f>
        <v>0</v>
      </c>
      <c r="AQ117" s="10">
        <f>COUNTIFS(Table4[[#This Row],[Rectangular Field Dimension: Length - m ]],Methods_Dimensions!J$13,Table4[[#This Row],[Rectangular Field Dimension: Width - m ]],Methods_Dimensions!H$13)</f>
        <v>0</v>
      </c>
      <c r="AR117" s="10">
        <f>COUNTIFS(Table4[[#This Row],[Rectangular Field Dimension: Length - m ]],Methods_Dimensions!J$14,Table4[[#This Row],[Rectangular Field Dimension: Width - m ]],Methods_Dimensions!H$14)</f>
        <v>0</v>
      </c>
      <c r="AS11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7" s="10">
        <f>COUNTIFS(Table4[[#This Row],[Rectangular Field Dimension: Length - m ]],Methods_Dimensions!J$16,Table4[[#This Row],[Rectangular Field Dimension: Width - m ]],Methods_Dimensions!H$16)</f>
        <v>0</v>
      </c>
      <c r="AU117" s="10">
        <f>COUNTIFS(Table4[[#This Row],[Rectangular Field Dimension: Length - m ]],Methods_Dimensions!J$17,Table4[[#This Row],[Rectangular Field Dimension: Width - m ]],Methods_Dimensions!H$17)</f>
        <v>0</v>
      </c>
      <c r="AV117" s="10">
        <f>COUNTIFS(Table4[[#This Row],[Rectangular Field Dimension: Length - m ]],Methods_Dimensions!J$18,Table4[[#This Row],[Rectangular Field Dimension: Width - m ]],Methods_Dimensions!H$18)</f>
        <v>0</v>
      </c>
      <c r="AW117" s="10">
        <f>COUNTIFS(Table4[[#This Row],[Rectangular Field Dimension: Length - m ]],Methods_Dimensions!J$19,Table4[[#This Row],[Rectangular Field Dimension: Width - m ]],Methods_Dimensions!H$19)</f>
        <v>0</v>
      </c>
      <c r="AX117" s="6" t="s">
        <v>627</v>
      </c>
      <c r="AY117" s="6" t="s">
        <v>388</v>
      </c>
    </row>
    <row r="118" spans="1:51" ht="34.799999999999997" x14ac:dyDescent="0.3">
      <c r="A118" s="26" t="s">
        <v>295</v>
      </c>
      <c r="B118" s="14" t="s">
        <v>628</v>
      </c>
      <c r="C118" s="14" t="s">
        <v>512</v>
      </c>
      <c r="D118" s="14" t="s">
        <v>132</v>
      </c>
      <c r="E118" s="14" t="s">
        <v>1272</v>
      </c>
      <c r="F118" s="14" t="s">
        <v>789</v>
      </c>
      <c r="G118" s="15" t="s">
        <v>159</v>
      </c>
      <c r="H118" s="16">
        <v>77</v>
      </c>
      <c r="I118" s="16">
        <v>65</v>
      </c>
      <c r="J118" s="36">
        <v>5005</v>
      </c>
      <c r="K118" s="16">
        <v>1</v>
      </c>
      <c r="L118" s="16" t="s">
        <v>397</v>
      </c>
      <c r="M118" s="16">
        <v>1</v>
      </c>
      <c r="N118" s="16">
        <v>1</v>
      </c>
      <c r="O118" s="16"/>
      <c r="P118" s="16">
        <v>1</v>
      </c>
      <c r="Q118" s="16">
        <v>1</v>
      </c>
      <c r="R118" s="16">
        <v>1</v>
      </c>
      <c r="S118" s="16"/>
      <c r="T118" s="16"/>
      <c r="U118" s="16"/>
      <c r="V118" s="16"/>
      <c r="W118" s="18"/>
      <c r="X118" s="16">
        <v>1</v>
      </c>
      <c r="Y118" s="16"/>
      <c r="Z118" s="16"/>
      <c r="AA118" s="16"/>
      <c r="AB118" s="18" t="s">
        <v>383</v>
      </c>
      <c r="AC118" s="18"/>
      <c r="AD118" s="16">
        <v>1</v>
      </c>
      <c r="AE118" s="18" t="s">
        <v>629</v>
      </c>
      <c r="AF118" s="16" t="s">
        <v>385</v>
      </c>
      <c r="AG118" s="18" t="s">
        <v>416</v>
      </c>
      <c r="AH118" s="16"/>
      <c r="AI118" s="16"/>
      <c r="AJ118" s="16">
        <f>SUM(Table4[[#This Row],[Soccer/U7 (Yes=1)]:[Ultimate Frisbee (Yes=1)]])</f>
        <v>4</v>
      </c>
      <c r="AK118" s="10"/>
      <c r="AL118" s="10">
        <v>1</v>
      </c>
      <c r="AM118" s="10">
        <v>1</v>
      </c>
      <c r="AN118" s="10">
        <f>COUNTIFS(Table4[[#This Row],[Rectangular Field Dimension: Length - m ]],Methods_Dimensions!J$10,Table4[[#This Row],[Rectangular Field Dimension: Width - m ]],Methods_Dimensions!H$10)</f>
        <v>1</v>
      </c>
      <c r="AO118" s="10">
        <f>COUNTIFS(Table4[[#This Row],[Rectangular Field Dimension: Length - m ]],Methods_Dimensions!J$11,Table4[[#This Row],[Rectangular Field Dimension: Width - m ]],Methods_Dimensions!H$11)</f>
        <v>1</v>
      </c>
      <c r="AP118" s="10">
        <f>COUNTIFS(Table4[[#This Row],[Rectangular Field Dimension: Length - m ]],Methods_Dimensions!J$12,Table4[[#This Row],[Rectangular Field Dimension: Width - m ]],Methods_Dimensions!H$12)</f>
        <v>0</v>
      </c>
      <c r="AQ118" s="10">
        <f>COUNTIFS(Table4[[#This Row],[Rectangular Field Dimension: Length - m ]],Methods_Dimensions!J$13,Table4[[#This Row],[Rectangular Field Dimension: Width - m ]],Methods_Dimensions!H$13)</f>
        <v>0</v>
      </c>
      <c r="AR118" s="10">
        <f>COUNTIFS(Table4[[#This Row],[Rectangular Field Dimension: Length - m ]],Methods_Dimensions!J$14,Table4[[#This Row],[Rectangular Field Dimension: Width - m ]],Methods_Dimensions!H$14)</f>
        <v>0</v>
      </c>
      <c r="AS11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8" s="10">
        <f>COUNTIFS(Table4[[#This Row],[Rectangular Field Dimension: Length - m ]],Methods_Dimensions!J$16,Table4[[#This Row],[Rectangular Field Dimension: Width - m ]],Methods_Dimensions!H$16)</f>
        <v>0</v>
      </c>
      <c r="AU118" s="10">
        <f>COUNTIFS(Table4[[#This Row],[Rectangular Field Dimension: Length - m ]],Methods_Dimensions!J$17,Table4[[#This Row],[Rectangular Field Dimension: Width - m ]],Methods_Dimensions!H$17)</f>
        <v>0</v>
      </c>
      <c r="AV118" s="10">
        <f>COUNTIFS(Table4[[#This Row],[Rectangular Field Dimension: Length - m ]],Methods_Dimensions!J$18,Table4[[#This Row],[Rectangular Field Dimension: Width - m ]],Methods_Dimensions!H$18)</f>
        <v>0</v>
      </c>
      <c r="AW118" s="10">
        <f>COUNTIFS(Table4[[#This Row],[Rectangular Field Dimension: Length - m ]],Methods_Dimensions!J$19,Table4[[#This Row],[Rectangular Field Dimension: Width - m ]],Methods_Dimensions!H$19)</f>
        <v>0</v>
      </c>
      <c r="AX118" s="6" t="s">
        <v>387</v>
      </c>
      <c r="AY118" s="6" t="s">
        <v>388</v>
      </c>
    </row>
    <row r="119" spans="1:51" ht="34.799999999999997" x14ac:dyDescent="0.3">
      <c r="A119" s="4" t="s">
        <v>296</v>
      </c>
      <c r="B119" s="5" t="s">
        <v>630</v>
      </c>
      <c r="C119" s="5" t="s">
        <v>379</v>
      </c>
      <c r="D119" s="5" t="s">
        <v>134</v>
      </c>
      <c r="E119" s="5" t="s">
        <v>1271</v>
      </c>
      <c r="F119" s="5" t="s">
        <v>740</v>
      </c>
      <c r="G119" s="6" t="s">
        <v>159</v>
      </c>
      <c r="H119" s="12">
        <v>121</v>
      </c>
      <c r="I119" s="12">
        <v>55</v>
      </c>
      <c r="J119" s="37">
        <v>6655</v>
      </c>
      <c r="K119" s="12"/>
      <c r="L119" s="12" t="s">
        <v>397</v>
      </c>
      <c r="M119" s="12">
        <v>1</v>
      </c>
      <c r="N119" s="12">
        <v>1</v>
      </c>
      <c r="O119" s="12"/>
      <c r="P119" s="12">
        <v>1</v>
      </c>
      <c r="Q119" s="12">
        <v>1</v>
      </c>
      <c r="R119" s="12">
        <v>1</v>
      </c>
      <c r="S119" s="12"/>
      <c r="T119" s="12"/>
      <c r="U119" s="12"/>
      <c r="V119" s="12"/>
      <c r="W119" s="17"/>
      <c r="X119" s="12">
        <v>1</v>
      </c>
      <c r="Y119" s="12"/>
      <c r="Z119" s="12">
        <v>1</v>
      </c>
      <c r="AA119" s="12"/>
      <c r="AB119" s="17" t="s">
        <v>535</v>
      </c>
      <c r="AC119" s="17" t="s">
        <v>631</v>
      </c>
      <c r="AD119" s="12">
        <v>1</v>
      </c>
      <c r="AE119" s="17"/>
      <c r="AF119" s="12" t="s">
        <v>385</v>
      </c>
      <c r="AG119" s="17" t="s">
        <v>386</v>
      </c>
      <c r="AH119" s="12"/>
      <c r="AI119" s="12"/>
      <c r="AJ119" s="12">
        <f>SUM(Table4[[#This Row],[Soccer/U7 (Yes=1)]:[Ultimate Frisbee (Yes=1)]])</f>
        <v>6</v>
      </c>
      <c r="AK119" s="10"/>
      <c r="AL119" s="10">
        <v>1</v>
      </c>
      <c r="AM119" s="10">
        <v>1</v>
      </c>
      <c r="AN119" s="10">
        <f>COUNTIFS(Table4[[#This Row],[Rectangular Field Dimension: Length - m ]],Methods_Dimensions!J$10,Table4[[#This Row],[Rectangular Field Dimension: Width - m ]],Methods_Dimensions!H$10)</f>
        <v>1</v>
      </c>
      <c r="AO119" s="10">
        <f>COUNTIFS(Table4[[#This Row],[Rectangular Field Dimension: Length - m ]],Methods_Dimensions!J$11,Table4[[#This Row],[Rectangular Field Dimension: Width - m ]],Methods_Dimensions!H$11)</f>
        <v>1</v>
      </c>
      <c r="AP119" s="10">
        <f>COUNTIFS(Table4[[#This Row],[Rectangular Field Dimension: Length - m ]],Methods_Dimensions!J$12,Table4[[#This Row],[Rectangular Field Dimension: Width - m ]],Methods_Dimensions!H$12)</f>
        <v>1</v>
      </c>
      <c r="AQ119" s="10">
        <f>COUNTIFS(Table4[[#This Row],[Rectangular Field Dimension: Length - m ]],Methods_Dimensions!J$13,Table4[[#This Row],[Rectangular Field Dimension: Width - m ]],Methods_Dimensions!H$13)</f>
        <v>0</v>
      </c>
      <c r="AR119" s="10">
        <f>COUNTIFS(Table4[[#This Row],[Rectangular Field Dimension: Length - m ]],Methods_Dimensions!J$14,Table4[[#This Row],[Rectangular Field Dimension: Width - m ]],Methods_Dimensions!H$14)</f>
        <v>0</v>
      </c>
      <c r="AS11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19" s="10">
        <f>COUNTIFS(Table4[[#This Row],[Rectangular Field Dimension: Length - m ]],Methods_Dimensions!J$16,Table4[[#This Row],[Rectangular Field Dimension: Width - m ]],Methods_Dimensions!H$16)</f>
        <v>0</v>
      </c>
      <c r="AU119" s="10">
        <f>COUNTIFS(Table4[[#This Row],[Rectangular Field Dimension: Length - m ]],Methods_Dimensions!J$17,Table4[[#This Row],[Rectangular Field Dimension: Width - m ]],Methods_Dimensions!H$17)</f>
        <v>0</v>
      </c>
      <c r="AV119" s="10">
        <f>COUNTIFS(Table4[[#This Row],[Rectangular Field Dimension: Length - m ]],Methods_Dimensions!J$18,Table4[[#This Row],[Rectangular Field Dimension: Width - m ]],Methods_Dimensions!H$18)</f>
        <v>0</v>
      </c>
      <c r="AW119" s="10">
        <f>COUNTIFS(Table4[[#This Row],[Rectangular Field Dimension: Length - m ]],Methods_Dimensions!J$19,Table4[[#This Row],[Rectangular Field Dimension: Width - m ]],Methods_Dimensions!H$19)</f>
        <v>1</v>
      </c>
      <c r="AX119" s="6" t="s">
        <v>632</v>
      </c>
      <c r="AY119" s="6" t="s">
        <v>388</v>
      </c>
    </row>
    <row r="120" spans="1:51" ht="34.799999999999997" x14ac:dyDescent="0.3">
      <c r="A120" s="26" t="s">
        <v>297</v>
      </c>
      <c r="B120" s="14" t="s">
        <v>630</v>
      </c>
      <c r="C120" s="14" t="s">
        <v>379</v>
      </c>
      <c r="D120" s="14" t="s">
        <v>134</v>
      </c>
      <c r="E120" s="14" t="s">
        <v>745</v>
      </c>
      <c r="F120" s="14" t="s">
        <v>740</v>
      </c>
      <c r="G120" s="15" t="s">
        <v>159</v>
      </c>
      <c r="H120" s="16">
        <v>135</v>
      </c>
      <c r="I120" s="16">
        <v>61</v>
      </c>
      <c r="J120" s="36">
        <v>8235</v>
      </c>
      <c r="K120" s="16">
        <v>1</v>
      </c>
      <c r="L120" s="16" t="s">
        <v>397</v>
      </c>
      <c r="M120" s="16">
        <v>1</v>
      </c>
      <c r="N120" s="16">
        <v>1</v>
      </c>
      <c r="O120" s="16"/>
      <c r="P120" s="16">
        <v>1</v>
      </c>
      <c r="Q120" s="16">
        <v>1</v>
      </c>
      <c r="R120" s="16">
        <v>1</v>
      </c>
      <c r="S120" s="16"/>
      <c r="T120" s="16"/>
      <c r="U120" s="16"/>
      <c r="V120" s="16"/>
      <c r="W120" s="18" t="s">
        <v>382</v>
      </c>
      <c r="X120" s="16">
        <v>1</v>
      </c>
      <c r="Y120" s="16"/>
      <c r="Z120" s="16">
        <v>1</v>
      </c>
      <c r="AA120" s="16"/>
      <c r="AB120" s="18" t="s">
        <v>535</v>
      </c>
      <c r="AC120" s="18" t="s">
        <v>631</v>
      </c>
      <c r="AD120" s="16">
        <v>1</v>
      </c>
      <c r="AE120" s="18"/>
      <c r="AF120" s="16" t="s">
        <v>385</v>
      </c>
      <c r="AG120" s="18" t="s">
        <v>386</v>
      </c>
      <c r="AH120" s="16"/>
      <c r="AI120" s="16"/>
      <c r="AJ120" s="16">
        <f>SUM(Table4[[#This Row],[Soccer/U7 (Yes=1)]:[Ultimate Frisbee (Yes=1)]])</f>
        <v>6</v>
      </c>
      <c r="AK120" s="10"/>
      <c r="AL120" s="10">
        <v>1</v>
      </c>
      <c r="AM120" s="10">
        <v>1</v>
      </c>
      <c r="AN120" s="10">
        <f>COUNTIFS(Table4[[#This Row],[Rectangular Field Dimension: Length - m ]],Methods_Dimensions!J$10,Table4[[#This Row],[Rectangular Field Dimension: Width - m ]],Methods_Dimensions!H$10)</f>
        <v>1</v>
      </c>
      <c r="AO120" s="10">
        <f>COUNTIFS(Table4[[#This Row],[Rectangular Field Dimension: Length - m ]],Methods_Dimensions!J$11,Table4[[#This Row],[Rectangular Field Dimension: Width - m ]],Methods_Dimensions!H$11)</f>
        <v>1</v>
      </c>
      <c r="AP120" s="10">
        <f>COUNTIFS(Table4[[#This Row],[Rectangular Field Dimension: Length - m ]],Methods_Dimensions!J$12,Table4[[#This Row],[Rectangular Field Dimension: Width - m ]],Methods_Dimensions!H$12)</f>
        <v>1</v>
      </c>
      <c r="AQ120" s="10">
        <f>COUNTIFS(Table4[[#This Row],[Rectangular Field Dimension: Length - m ]],Methods_Dimensions!J$13,Table4[[#This Row],[Rectangular Field Dimension: Width - m ]],Methods_Dimensions!H$13)</f>
        <v>0</v>
      </c>
      <c r="AR120" s="10">
        <f>COUNTIFS(Table4[[#This Row],[Rectangular Field Dimension: Length - m ]],Methods_Dimensions!J$14,Table4[[#This Row],[Rectangular Field Dimension: Width - m ]],Methods_Dimensions!H$14)</f>
        <v>0</v>
      </c>
      <c r="AS12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0" s="10">
        <f>COUNTIFS(Table4[[#This Row],[Rectangular Field Dimension: Length - m ]],Methods_Dimensions!J$16,Table4[[#This Row],[Rectangular Field Dimension: Width - m ]],Methods_Dimensions!H$16)</f>
        <v>0</v>
      </c>
      <c r="AU120" s="10">
        <f>COUNTIFS(Table4[[#This Row],[Rectangular Field Dimension: Length - m ]],Methods_Dimensions!J$17,Table4[[#This Row],[Rectangular Field Dimension: Width - m ]],Methods_Dimensions!H$17)</f>
        <v>0</v>
      </c>
      <c r="AV120" s="10">
        <f>COUNTIFS(Table4[[#This Row],[Rectangular Field Dimension: Length - m ]],Methods_Dimensions!J$18,Table4[[#This Row],[Rectangular Field Dimension: Width - m ]],Methods_Dimensions!H$18)</f>
        <v>0</v>
      </c>
      <c r="AW120" s="10">
        <f>COUNTIFS(Table4[[#This Row],[Rectangular Field Dimension: Length - m ]],Methods_Dimensions!J$19,Table4[[#This Row],[Rectangular Field Dimension: Width - m ]],Methods_Dimensions!H$19)</f>
        <v>1</v>
      </c>
      <c r="AX120" s="6" t="s">
        <v>632</v>
      </c>
      <c r="AY120" s="6" t="s">
        <v>388</v>
      </c>
    </row>
    <row r="121" spans="1:51" ht="34.799999999999997" x14ac:dyDescent="0.3">
      <c r="A121" s="4" t="s">
        <v>298</v>
      </c>
      <c r="B121" s="5" t="s">
        <v>633</v>
      </c>
      <c r="C121" s="5" t="s">
        <v>605</v>
      </c>
      <c r="D121" s="5" t="s">
        <v>135</v>
      </c>
      <c r="E121" s="5" t="s">
        <v>1271</v>
      </c>
      <c r="F121" s="5" t="s">
        <v>789</v>
      </c>
      <c r="G121" s="6" t="s">
        <v>159</v>
      </c>
      <c r="H121" s="12">
        <v>77</v>
      </c>
      <c r="I121" s="12">
        <v>75</v>
      </c>
      <c r="J121" s="37">
        <v>5775</v>
      </c>
      <c r="K121" s="12">
        <v>1</v>
      </c>
      <c r="L121" s="12" t="s">
        <v>389</v>
      </c>
      <c r="M121" s="12"/>
      <c r="N121" s="12">
        <v>1</v>
      </c>
      <c r="O121" s="12"/>
      <c r="P121" s="12"/>
      <c r="Q121" s="12"/>
      <c r="R121" s="12"/>
      <c r="S121" s="12"/>
      <c r="T121" s="12"/>
      <c r="U121" s="12"/>
      <c r="V121" s="12"/>
      <c r="W121" s="17"/>
      <c r="X121" s="12">
        <v>1</v>
      </c>
      <c r="Y121" s="12"/>
      <c r="Z121" s="12">
        <v>1</v>
      </c>
      <c r="AA121" s="12"/>
      <c r="AB121" s="17" t="s">
        <v>383</v>
      </c>
      <c r="AC121" s="17"/>
      <c r="AD121" s="12">
        <v>1</v>
      </c>
      <c r="AE121" s="17"/>
      <c r="AF121" s="12" t="s">
        <v>385</v>
      </c>
      <c r="AG121" s="17" t="s">
        <v>416</v>
      </c>
      <c r="AH121" s="12">
        <v>18</v>
      </c>
      <c r="AI121" s="12">
        <v>5</v>
      </c>
      <c r="AJ121" s="12">
        <f>SUM(Table4[[#This Row],[Soccer/U7 (Yes=1)]:[Ultimate Frisbee (Yes=1)]])</f>
        <v>4</v>
      </c>
      <c r="AK121" s="10"/>
      <c r="AL121" s="10">
        <v>1</v>
      </c>
      <c r="AM121" s="10">
        <v>1</v>
      </c>
      <c r="AN121" s="10">
        <f>COUNTIFS(Table4[[#This Row],[Rectangular Field Dimension: Length - m ]],Methods_Dimensions!J$10,Table4[[#This Row],[Rectangular Field Dimension: Width - m ]],Methods_Dimensions!H$10)</f>
        <v>1</v>
      </c>
      <c r="AO121" s="10">
        <f>COUNTIFS(Table4[[#This Row],[Rectangular Field Dimension: Length - m ]],Methods_Dimensions!J$11,Table4[[#This Row],[Rectangular Field Dimension: Width - m ]],Methods_Dimensions!H$11)</f>
        <v>1</v>
      </c>
      <c r="AP121" s="10">
        <f>COUNTIFS(Table4[[#This Row],[Rectangular Field Dimension: Length - m ]],Methods_Dimensions!J$12,Table4[[#This Row],[Rectangular Field Dimension: Width - m ]],Methods_Dimensions!H$12)</f>
        <v>0</v>
      </c>
      <c r="AQ121" s="10">
        <f>COUNTIFS(Table4[[#This Row],[Rectangular Field Dimension: Length - m ]],Methods_Dimensions!J$13,Table4[[#This Row],[Rectangular Field Dimension: Width - m ]],Methods_Dimensions!H$13)</f>
        <v>0</v>
      </c>
      <c r="AR121" s="10">
        <f>COUNTIFS(Table4[[#This Row],[Rectangular Field Dimension: Length - m ]],Methods_Dimensions!J$14,Table4[[#This Row],[Rectangular Field Dimension: Width - m ]],Methods_Dimensions!H$14)</f>
        <v>0</v>
      </c>
      <c r="AS12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1" s="10">
        <f>COUNTIFS(Table4[[#This Row],[Rectangular Field Dimension: Length - m ]],Methods_Dimensions!J$16,Table4[[#This Row],[Rectangular Field Dimension: Width - m ]],Methods_Dimensions!H$16)</f>
        <v>0</v>
      </c>
      <c r="AU121" s="10">
        <f>COUNTIFS(Table4[[#This Row],[Rectangular Field Dimension: Length - m ]],Methods_Dimensions!J$17,Table4[[#This Row],[Rectangular Field Dimension: Width - m ]],Methods_Dimensions!H$17)</f>
        <v>0</v>
      </c>
      <c r="AV121" s="10">
        <f>COUNTIFS(Table4[[#This Row],[Rectangular Field Dimension: Length - m ]],Methods_Dimensions!J$18,Table4[[#This Row],[Rectangular Field Dimension: Width - m ]],Methods_Dimensions!H$18)</f>
        <v>0</v>
      </c>
      <c r="AW121" s="10">
        <f>COUNTIFS(Table4[[#This Row],[Rectangular Field Dimension: Length - m ]],Methods_Dimensions!J$19,Table4[[#This Row],[Rectangular Field Dimension: Width - m ]],Methods_Dimensions!H$19)</f>
        <v>0</v>
      </c>
      <c r="AX121" s="6" t="s">
        <v>634</v>
      </c>
      <c r="AY121" s="6" t="s">
        <v>388</v>
      </c>
    </row>
    <row r="122" spans="1:51" ht="52.2" x14ac:dyDescent="0.3">
      <c r="A122" s="26" t="s">
        <v>299</v>
      </c>
      <c r="B122" s="14" t="s">
        <v>635</v>
      </c>
      <c r="C122" s="14" t="s">
        <v>412</v>
      </c>
      <c r="D122" s="14" t="s">
        <v>300</v>
      </c>
      <c r="E122" s="14" t="s">
        <v>1271</v>
      </c>
      <c r="F122" s="14" t="s">
        <v>740</v>
      </c>
      <c r="G122" s="15" t="s">
        <v>159</v>
      </c>
      <c r="H122" s="16">
        <v>94</v>
      </c>
      <c r="I122" s="16">
        <v>46</v>
      </c>
      <c r="J122" s="36">
        <v>4324</v>
      </c>
      <c r="K122" s="16"/>
      <c r="L122" s="16" t="s">
        <v>397</v>
      </c>
      <c r="M122" s="16">
        <v>1</v>
      </c>
      <c r="N122" s="16">
        <v>1</v>
      </c>
      <c r="O122" s="16"/>
      <c r="P122" s="16">
        <v>1</v>
      </c>
      <c r="Q122" s="16"/>
      <c r="R122" s="16">
        <v>1</v>
      </c>
      <c r="S122" s="16"/>
      <c r="T122" s="16"/>
      <c r="U122" s="16"/>
      <c r="V122" s="16"/>
      <c r="W122" s="18"/>
      <c r="X122" s="16">
        <v>1</v>
      </c>
      <c r="Y122" s="16"/>
      <c r="Z122" s="16">
        <v>1</v>
      </c>
      <c r="AA122" s="16"/>
      <c r="AB122" s="18" t="s">
        <v>383</v>
      </c>
      <c r="AC122" s="18"/>
      <c r="AD122" s="16">
        <v>1</v>
      </c>
      <c r="AE122" s="18"/>
      <c r="AF122" s="16" t="s">
        <v>399</v>
      </c>
      <c r="AG122" s="18" t="s">
        <v>386</v>
      </c>
      <c r="AH122" s="16"/>
      <c r="AI122" s="16"/>
      <c r="AJ122" s="16">
        <f>SUM(Table4[[#This Row],[Soccer/U7 (Yes=1)]:[Ultimate Frisbee (Yes=1)]])</f>
        <v>5</v>
      </c>
      <c r="AK122" s="10"/>
      <c r="AL122" s="10">
        <v>1</v>
      </c>
      <c r="AM122" s="10">
        <v>1</v>
      </c>
      <c r="AN122" s="10">
        <f>COUNTIFS(Table4[[#This Row],[Rectangular Field Dimension: Length - m ]],Methods_Dimensions!J$10,Table4[[#This Row],[Rectangular Field Dimension: Width - m ]],Methods_Dimensions!H$10)</f>
        <v>1</v>
      </c>
      <c r="AO122" s="10">
        <f>COUNTIFS(Table4[[#This Row],[Rectangular Field Dimension: Length - m ]],Methods_Dimensions!J$11,Table4[[#This Row],[Rectangular Field Dimension: Width - m ]],Methods_Dimensions!H$11)</f>
        <v>1</v>
      </c>
      <c r="AP122" s="10">
        <f>COUNTIFS(Table4[[#This Row],[Rectangular Field Dimension: Length - m ]],Methods_Dimensions!J$12,Table4[[#This Row],[Rectangular Field Dimension: Width - m ]],Methods_Dimensions!H$12)</f>
        <v>1</v>
      </c>
      <c r="AQ122" s="10">
        <f>COUNTIFS(Table4[[#This Row],[Rectangular Field Dimension: Length - m ]],Methods_Dimensions!J$13,Table4[[#This Row],[Rectangular Field Dimension: Width - m ]],Methods_Dimensions!H$13)</f>
        <v>0</v>
      </c>
      <c r="AR122" s="10">
        <f>COUNTIFS(Table4[[#This Row],[Rectangular Field Dimension: Length - m ]],Methods_Dimensions!J$14,Table4[[#This Row],[Rectangular Field Dimension: Width - m ]],Methods_Dimensions!H$14)</f>
        <v>0</v>
      </c>
      <c r="AS12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2" s="10">
        <f>COUNTIFS(Table4[[#This Row],[Rectangular Field Dimension: Length - m ]],Methods_Dimensions!J$16,Table4[[#This Row],[Rectangular Field Dimension: Width - m ]],Methods_Dimensions!H$16)</f>
        <v>0</v>
      </c>
      <c r="AU122" s="10">
        <f>COUNTIFS(Table4[[#This Row],[Rectangular Field Dimension: Length - m ]],Methods_Dimensions!J$17,Table4[[#This Row],[Rectangular Field Dimension: Width - m ]],Methods_Dimensions!H$17)</f>
        <v>0</v>
      </c>
      <c r="AV122" s="10">
        <f>COUNTIFS(Table4[[#This Row],[Rectangular Field Dimension: Length - m ]],Methods_Dimensions!J$18,Table4[[#This Row],[Rectangular Field Dimension: Width - m ]],Methods_Dimensions!H$18)</f>
        <v>0</v>
      </c>
      <c r="AW122" s="10">
        <f>COUNTIFS(Table4[[#This Row],[Rectangular Field Dimension: Length - m ]],Methods_Dimensions!J$19,Table4[[#This Row],[Rectangular Field Dimension: Width - m ]],Methods_Dimensions!H$19)</f>
        <v>0</v>
      </c>
      <c r="AX122" s="6" t="s">
        <v>636</v>
      </c>
      <c r="AY122" s="6" t="s">
        <v>388</v>
      </c>
    </row>
    <row r="123" spans="1:51" ht="34.799999999999997" x14ac:dyDescent="0.3">
      <c r="A123" s="4" t="s">
        <v>301</v>
      </c>
      <c r="B123" s="5" t="s">
        <v>635</v>
      </c>
      <c r="C123" s="5" t="s">
        <v>412</v>
      </c>
      <c r="D123" s="5" t="s">
        <v>300</v>
      </c>
      <c r="E123" s="5" t="s">
        <v>1272</v>
      </c>
      <c r="F123" s="5" t="s">
        <v>740</v>
      </c>
      <c r="G123" s="6" t="s">
        <v>159</v>
      </c>
      <c r="H123" s="12">
        <v>97</v>
      </c>
      <c r="I123" s="12">
        <v>49</v>
      </c>
      <c r="J123" s="37">
        <v>4753</v>
      </c>
      <c r="K123" s="12"/>
      <c r="L123" s="12" t="s">
        <v>397</v>
      </c>
      <c r="M123" s="12">
        <v>1</v>
      </c>
      <c r="N123" s="12">
        <v>1</v>
      </c>
      <c r="O123" s="12"/>
      <c r="P123" s="12"/>
      <c r="Q123" s="12"/>
      <c r="R123" s="12">
        <v>1</v>
      </c>
      <c r="S123" s="12"/>
      <c r="T123" s="12"/>
      <c r="U123" s="12"/>
      <c r="V123" s="12"/>
      <c r="W123" s="17"/>
      <c r="X123" s="12">
        <v>1</v>
      </c>
      <c r="Y123" s="12"/>
      <c r="Z123" s="12">
        <v>1</v>
      </c>
      <c r="AA123" s="12"/>
      <c r="AB123" s="17" t="s">
        <v>383</v>
      </c>
      <c r="AC123" s="17"/>
      <c r="AD123" s="12">
        <v>1</v>
      </c>
      <c r="AE123" s="17"/>
      <c r="AF123" s="12" t="s">
        <v>399</v>
      </c>
      <c r="AG123" s="17" t="s">
        <v>386</v>
      </c>
      <c r="AH123" s="12"/>
      <c r="AI123" s="12"/>
      <c r="AJ123" s="12">
        <f>SUM(Table4[[#This Row],[Soccer/U7 (Yes=1)]:[Ultimate Frisbee (Yes=1)]])</f>
        <v>5</v>
      </c>
      <c r="AK123" s="10"/>
      <c r="AL123" s="10">
        <v>1</v>
      </c>
      <c r="AM123" s="10">
        <v>1</v>
      </c>
      <c r="AN123" s="10">
        <f>COUNTIFS(Table4[[#This Row],[Rectangular Field Dimension: Length - m ]],Methods_Dimensions!J$10,Table4[[#This Row],[Rectangular Field Dimension: Width - m ]],Methods_Dimensions!H$10)</f>
        <v>1</v>
      </c>
      <c r="AO123" s="10">
        <f>COUNTIFS(Table4[[#This Row],[Rectangular Field Dimension: Length - m ]],Methods_Dimensions!J$11,Table4[[#This Row],[Rectangular Field Dimension: Width - m ]],Methods_Dimensions!H$11)</f>
        <v>1</v>
      </c>
      <c r="AP123" s="10">
        <f>COUNTIFS(Table4[[#This Row],[Rectangular Field Dimension: Length - m ]],Methods_Dimensions!J$12,Table4[[#This Row],[Rectangular Field Dimension: Width - m ]],Methods_Dimensions!H$12)</f>
        <v>1</v>
      </c>
      <c r="AQ123" s="10">
        <f>COUNTIFS(Table4[[#This Row],[Rectangular Field Dimension: Length - m ]],Methods_Dimensions!J$13,Table4[[#This Row],[Rectangular Field Dimension: Width - m ]],Methods_Dimensions!H$13)</f>
        <v>0</v>
      </c>
      <c r="AR123" s="10">
        <f>COUNTIFS(Table4[[#This Row],[Rectangular Field Dimension: Length - m ]],Methods_Dimensions!J$14,Table4[[#This Row],[Rectangular Field Dimension: Width - m ]],Methods_Dimensions!H$14)</f>
        <v>0</v>
      </c>
      <c r="AS12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3" s="10">
        <f>COUNTIFS(Table4[[#This Row],[Rectangular Field Dimension: Length - m ]],Methods_Dimensions!J$16,Table4[[#This Row],[Rectangular Field Dimension: Width - m ]],Methods_Dimensions!H$16)</f>
        <v>0</v>
      </c>
      <c r="AU123" s="10">
        <f>COUNTIFS(Table4[[#This Row],[Rectangular Field Dimension: Length - m ]],Methods_Dimensions!J$17,Table4[[#This Row],[Rectangular Field Dimension: Width - m ]],Methods_Dimensions!H$17)</f>
        <v>0</v>
      </c>
      <c r="AV123" s="10">
        <f>COUNTIFS(Table4[[#This Row],[Rectangular Field Dimension: Length - m ]],Methods_Dimensions!J$18,Table4[[#This Row],[Rectangular Field Dimension: Width - m ]],Methods_Dimensions!H$18)</f>
        <v>0</v>
      </c>
      <c r="AW123" s="10">
        <f>COUNTIFS(Table4[[#This Row],[Rectangular Field Dimension: Length - m ]],Methods_Dimensions!J$19,Table4[[#This Row],[Rectangular Field Dimension: Width - m ]],Methods_Dimensions!H$19)</f>
        <v>0</v>
      </c>
      <c r="AX123" s="6" t="s">
        <v>637</v>
      </c>
      <c r="AY123" s="6" t="s">
        <v>388</v>
      </c>
    </row>
    <row r="124" spans="1:51" ht="34.799999999999997" x14ac:dyDescent="0.3">
      <c r="A124" s="4" t="s">
        <v>302</v>
      </c>
      <c r="B124" s="5" t="s">
        <v>638</v>
      </c>
      <c r="C124" s="5" t="s">
        <v>639</v>
      </c>
      <c r="D124" s="5" t="s">
        <v>137</v>
      </c>
      <c r="E124" s="5" t="s">
        <v>1271</v>
      </c>
      <c r="F124" s="5" t="s">
        <v>754</v>
      </c>
      <c r="G124" s="6" t="s">
        <v>159</v>
      </c>
      <c r="H124" s="59"/>
      <c r="I124" s="59"/>
      <c r="J124" s="37"/>
      <c r="K124" s="12"/>
      <c r="L124" s="12" t="s">
        <v>381</v>
      </c>
      <c r="M124" s="12">
        <v>1</v>
      </c>
      <c r="N124" s="12"/>
      <c r="O124" s="12"/>
      <c r="P124" s="12">
        <v>1</v>
      </c>
      <c r="Q124" s="12">
        <v>1</v>
      </c>
      <c r="R124" s="12">
        <v>1</v>
      </c>
      <c r="S124" s="12">
        <v>1</v>
      </c>
      <c r="T124" s="12"/>
      <c r="U124" s="12"/>
      <c r="V124" s="12"/>
      <c r="W124" s="17" t="s">
        <v>414</v>
      </c>
      <c r="X124" s="12">
        <v>1</v>
      </c>
      <c r="Y124" s="12"/>
      <c r="Z124" s="12"/>
      <c r="AA124" s="12"/>
      <c r="AB124" s="17" t="s">
        <v>449</v>
      </c>
      <c r="AC124" s="17">
        <v>56</v>
      </c>
      <c r="AD124" s="12">
        <v>1</v>
      </c>
      <c r="AE124" s="17" t="s">
        <v>640</v>
      </c>
      <c r="AF124" s="12" t="s">
        <v>385</v>
      </c>
      <c r="AG124" s="17" t="s">
        <v>386</v>
      </c>
      <c r="AH124" s="12"/>
      <c r="AI124" s="12"/>
      <c r="AJ124" s="12">
        <f>SUM(Table4[[#This Row],[Soccer/U7 (Yes=1)]:[Ultimate Frisbee (Yes=1)]])</f>
        <v>0</v>
      </c>
      <c r="AK124" s="10"/>
      <c r="AL124" s="10">
        <v>0</v>
      </c>
      <c r="AM124" s="10">
        <v>0</v>
      </c>
      <c r="AN124" s="10">
        <f>COUNTIFS(Table4[[#This Row],[Rectangular Field Dimension: Length - m ]],Methods_Dimensions!J$10,Table4[[#This Row],[Rectangular Field Dimension: Width - m ]],Methods_Dimensions!H$10)</f>
        <v>0</v>
      </c>
      <c r="AO124" s="10">
        <f>COUNTIFS(Table4[[#This Row],[Rectangular Field Dimension: Length - m ]],Methods_Dimensions!J$11,Table4[[#This Row],[Rectangular Field Dimension: Width - m ]],Methods_Dimensions!H$11)</f>
        <v>0</v>
      </c>
      <c r="AP124" s="10">
        <f>COUNTIFS(Table4[[#This Row],[Rectangular Field Dimension: Length - m ]],Methods_Dimensions!J$12,Table4[[#This Row],[Rectangular Field Dimension: Width - m ]],Methods_Dimensions!H$12)</f>
        <v>0</v>
      </c>
      <c r="AQ124" s="10">
        <f>COUNTIFS(Table4[[#This Row],[Rectangular Field Dimension: Length - m ]],Methods_Dimensions!J$13,Table4[[#This Row],[Rectangular Field Dimension: Width - m ]],Methods_Dimensions!H$13)</f>
        <v>0</v>
      </c>
      <c r="AR124" s="10">
        <f>COUNTIFS(Table4[[#This Row],[Rectangular Field Dimension: Length - m ]],Methods_Dimensions!J$14,Table4[[#This Row],[Rectangular Field Dimension: Width - m ]],Methods_Dimensions!H$14)</f>
        <v>0</v>
      </c>
      <c r="AS12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4" s="10">
        <f>COUNTIFS(Table4[[#This Row],[Rectangular Field Dimension: Length - m ]],Methods_Dimensions!J$16,Table4[[#This Row],[Rectangular Field Dimension: Width - m ]],Methods_Dimensions!H$16)</f>
        <v>0</v>
      </c>
      <c r="AU124" s="10">
        <f>COUNTIFS(Table4[[#This Row],[Rectangular Field Dimension: Length - m ]],Methods_Dimensions!J$17,Table4[[#This Row],[Rectangular Field Dimension: Width - m ]],Methods_Dimensions!H$17)</f>
        <v>0</v>
      </c>
      <c r="AV124" s="10">
        <f>COUNTIFS(Table4[[#This Row],[Rectangular Field Dimension: Length - m ]],Methods_Dimensions!J$18,Table4[[#This Row],[Rectangular Field Dimension: Width - m ]],Methods_Dimensions!H$18)</f>
        <v>0</v>
      </c>
      <c r="AW124" s="10">
        <f>COUNTIFS(Table4[[#This Row],[Rectangular Field Dimension: Length - m ]],Methods_Dimensions!J$19,Table4[[#This Row],[Rectangular Field Dimension: Width - m ]],Methods_Dimensions!H$19)</f>
        <v>0</v>
      </c>
      <c r="AX124" s="6" t="s">
        <v>641</v>
      </c>
      <c r="AY124" s="6" t="s">
        <v>388</v>
      </c>
    </row>
    <row r="125" spans="1:51" ht="34.799999999999997" x14ac:dyDescent="0.3">
      <c r="A125" s="26" t="s">
        <v>303</v>
      </c>
      <c r="B125" s="14" t="s">
        <v>638</v>
      </c>
      <c r="C125" s="14" t="s">
        <v>639</v>
      </c>
      <c r="D125" s="14" t="s">
        <v>137</v>
      </c>
      <c r="E125" s="14" t="s">
        <v>1271</v>
      </c>
      <c r="F125" s="14" t="s">
        <v>754</v>
      </c>
      <c r="G125" s="15" t="s">
        <v>159</v>
      </c>
      <c r="H125" s="114"/>
      <c r="I125" s="114"/>
      <c r="J125" s="36"/>
      <c r="K125" s="16"/>
      <c r="L125" s="16" t="s">
        <v>381</v>
      </c>
      <c r="M125" s="16">
        <v>1</v>
      </c>
      <c r="N125" s="16"/>
      <c r="O125" s="16"/>
      <c r="P125" s="16">
        <v>1</v>
      </c>
      <c r="Q125" s="16">
        <v>1</v>
      </c>
      <c r="R125" s="16">
        <v>1</v>
      </c>
      <c r="S125" s="16">
        <v>1</v>
      </c>
      <c r="T125" s="16"/>
      <c r="U125" s="16"/>
      <c r="V125" s="16"/>
      <c r="W125" s="18"/>
      <c r="X125" s="16">
        <v>1</v>
      </c>
      <c r="Y125" s="16"/>
      <c r="Z125" s="16"/>
      <c r="AA125" s="16"/>
      <c r="AB125" s="18" t="s">
        <v>449</v>
      </c>
      <c r="AC125" s="18">
        <v>56</v>
      </c>
      <c r="AD125" s="16">
        <v>1</v>
      </c>
      <c r="AE125" s="18" t="s">
        <v>642</v>
      </c>
      <c r="AF125" s="16" t="s">
        <v>444</v>
      </c>
      <c r="AG125" s="18" t="s">
        <v>386</v>
      </c>
      <c r="AH125" s="16"/>
      <c r="AI125" s="16"/>
      <c r="AJ125" s="16">
        <f>SUM(Table4[[#This Row],[Soccer/U7 (Yes=1)]:[Ultimate Frisbee (Yes=1)]])</f>
        <v>0</v>
      </c>
      <c r="AK125" s="10"/>
      <c r="AL125" s="10">
        <v>0</v>
      </c>
      <c r="AM125" s="10">
        <v>0</v>
      </c>
      <c r="AN125" s="10">
        <f>COUNTIFS(Table4[[#This Row],[Rectangular Field Dimension: Length - m ]],Methods_Dimensions!J$10,Table4[[#This Row],[Rectangular Field Dimension: Width - m ]],Methods_Dimensions!H$10)</f>
        <v>0</v>
      </c>
      <c r="AO125" s="10">
        <f>COUNTIFS(Table4[[#This Row],[Rectangular Field Dimension: Length - m ]],Methods_Dimensions!J$11,Table4[[#This Row],[Rectangular Field Dimension: Width - m ]],Methods_Dimensions!H$11)</f>
        <v>0</v>
      </c>
      <c r="AP125" s="10">
        <f>COUNTIFS(Table4[[#This Row],[Rectangular Field Dimension: Length - m ]],Methods_Dimensions!J$12,Table4[[#This Row],[Rectangular Field Dimension: Width - m ]],Methods_Dimensions!H$12)</f>
        <v>0</v>
      </c>
      <c r="AQ125" s="10">
        <f>COUNTIFS(Table4[[#This Row],[Rectangular Field Dimension: Length - m ]],Methods_Dimensions!J$13,Table4[[#This Row],[Rectangular Field Dimension: Width - m ]],Methods_Dimensions!H$13)</f>
        <v>0</v>
      </c>
      <c r="AR125" s="10">
        <f>COUNTIFS(Table4[[#This Row],[Rectangular Field Dimension: Length - m ]],Methods_Dimensions!J$14,Table4[[#This Row],[Rectangular Field Dimension: Width - m ]],Methods_Dimensions!H$14)</f>
        <v>0</v>
      </c>
      <c r="AS12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5" s="10">
        <f>COUNTIFS(Table4[[#This Row],[Rectangular Field Dimension: Length - m ]],Methods_Dimensions!J$16,Table4[[#This Row],[Rectangular Field Dimension: Width - m ]],Methods_Dimensions!H$16)</f>
        <v>0</v>
      </c>
      <c r="AU125" s="10">
        <f>COUNTIFS(Table4[[#This Row],[Rectangular Field Dimension: Length - m ]],Methods_Dimensions!J$17,Table4[[#This Row],[Rectangular Field Dimension: Width - m ]],Methods_Dimensions!H$17)</f>
        <v>0</v>
      </c>
      <c r="AV125" s="10">
        <f>COUNTIFS(Table4[[#This Row],[Rectangular Field Dimension: Length - m ]],Methods_Dimensions!J$18,Table4[[#This Row],[Rectangular Field Dimension: Width - m ]],Methods_Dimensions!H$18)</f>
        <v>0</v>
      </c>
      <c r="AW125" s="10">
        <f>COUNTIFS(Table4[[#This Row],[Rectangular Field Dimension: Length - m ]],Methods_Dimensions!J$19,Table4[[#This Row],[Rectangular Field Dimension: Width - m ]],Methods_Dimensions!H$19)</f>
        <v>0</v>
      </c>
      <c r="AX125" s="6" t="s">
        <v>643</v>
      </c>
      <c r="AY125" s="6" t="s">
        <v>388</v>
      </c>
    </row>
    <row r="126" spans="1:51" ht="34.799999999999997" x14ac:dyDescent="0.3">
      <c r="A126" s="4" t="s">
        <v>304</v>
      </c>
      <c r="B126" s="5" t="s">
        <v>638</v>
      </c>
      <c r="C126" s="5" t="s">
        <v>639</v>
      </c>
      <c r="D126" s="5" t="s">
        <v>137</v>
      </c>
      <c r="E126" s="5" t="s">
        <v>1271</v>
      </c>
      <c r="F126" s="5" t="s">
        <v>740</v>
      </c>
      <c r="G126" s="6" t="s">
        <v>159</v>
      </c>
      <c r="H126" s="12">
        <v>100</v>
      </c>
      <c r="I126" s="12">
        <v>72</v>
      </c>
      <c r="J126" s="37">
        <v>7200</v>
      </c>
      <c r="K126" s="12"/>
      <c r="L126" s="12" t="s">
        <v>397</v>
      </c>
      <c r="M126" s="12">
        <v>1</v>
      </c>
      <c r="N126" s="12">
        <v>1</v>
      </c>
      <c r="O126" s="12"/>
      <c r="P126" s="12">
        <v>1</v>
      </c>
      <c r="Q126" s="12">
        <v>1</v>
      </c>
      <c r="R126" s="12">
        <v>1</v>
      </c>
      <c r="S126" s="12"/>
      <c r="T126" s="12"/>
      <c r="U126" s="12"/>
      <c r="V126" s="12"/>
      <c r="W126" s="17" t="s">
        <v>537</v>
      </c>
      <c r="X126" s="12">
        <v>1</v>
      </c>
      <c r="Y126" s="12">
        <v>1</v>
      </c>
      <c r="Z126" s="12"/>
      <c r="AA126" s="12"/>
      <c r="AB126" s="17" t="s">
        <v>449</v>
      </c>
      <c r="AC126" s="17">
        <v>56</v>
      </c>
      <c r="AD126" s="12">
        <v>1</v>
      </c>
      <c r="AE126" s="17"/>
      <c r="AF126" s="12" t="s">
        <v>385</v>
      </c>
      <c r="AG126" s="17" t="s">
        <v>386</v>
      </c>
      <c r="AH126" s="12"/>
      <c r="AI126" s="12"/>
      <c r="AJ126" s="12">
        <f>SUM(Table4[[#This Row],[Soccer/U7 (Yes=1)]:[Ultimate Frisbee (Yes=1)]])</f>
        <v>5</v>
      </c>
      <c r="AK126" s="10"/>
      <c r="AL126" s="10">
        <v>1</v>
      </c>
      <c r="AM126" s="10">
        <v>1</v>
      </c>
      <c r="AN126" s="10">
        <f>COUNTIFS(Table4[[#This Row],[Rectangular Field Dimension: Length - m ]],Methods_Dimensions!J$10,Table4[[#This Row],[Rectangular Field Dimension: Width - m ]],Methods_Dimensions!H$10)</f>
        <v>1</v>
      </c>
      <c r="AO126" s="10">
        <f>COUNTIFS(Table4[[#This Row],[Rectangular Field Dimension: Length - m ]],Methods_Dimensions!J$11,Table4[[#This Row],[Rectangular Field Dimension: Width - m ]],Methods_Dimensions!H$11)</f>
        <v>1</v>
      </c>
      <c r="AP126" s="10">
        <f>COUNTIFS(Table4[[#This Row],[Rectangular Field Dimension: Length - m ]],Methods_Dimensions!J$12,Table4[[#This Row],[Rectangular Field Dimension: Width - m ]],Methods_Dimensions!H$12)</f>
        <v>1</v>
      </c>
      <c r="AQ126" s="10">
        <f>COUNTIFS(Table4[[#This Row],[Rectangular Field Dimension: Length - m ]],Methods_Dimensions!J$13,Table4[[#This Row],[Rectangular Field Dimension: Width - m ]],Methods_Dimensions!H$13)</f>
        <v>0</v>
      </c>
      <c r="AR126" s="10">
        <f>COUNTIFS(Table4[[#This Row],[Rectangular Field Dimension: Length - m ]],Methods_Dimensions!J$14,Table4[[#This Row],[Rectangular Field Dimension: Width - m ]],Methods_Dimensions!H$14)</f>
        <v>0</v>
      </c>
      <c r="AS12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6" s="10">
        <f>COUNTIFS(Table4[[#This Row],[Rectangular Field Dimension: Length - m ]],Methods_Dimensions!J$16,Table4[[#This Row],[Rectangular Field Dimension: Width - m ]],Methods_Dimensions!H$16)</f>
        <v>0</v>
      </c>
      <c r="AU126" s="10">
        <f>COUNTIFS(Table4[[#This Row],[Rectangular Field Dimension: Length - m ]],Methods_Dimensions!J$17,Table4[[#This Row],[Rectangular Field Dimension: Width - m ]],Methods_Dimensions!H$17)</f>
        <v>0</v>
      </c>
      <c r="AV126" s="10">
        <f>COUNTIFS(Table4[[#This Row],[Rectangular Field Dimension: Length - m ]],Methods_Dimensions!J$18,Table4[[#This Row],[Rectangular Field Dimension: Width - m ]],Methods_Dimensions!H$18)</f>
        <v>0</v>
      </c>
      <c r="AW126" s="10">
        <f>COUNTIFS(Table4[[#This Row],[Rectangular Field Dimension: Length - m ]],Methods_Dimensions!J$19,Table4[[#This Row],[Rectangular Field Dimension: Width - m ]],Methods_Dimensions!H$19)</f>
        <v>0</v>
      </c>
      <c r="AX126" s="6" t="s">
        <v>644</v>
      </c>
      <c r="AY126" s="6" t="s">
        <v>388</v>
      </c>
    </row>
    <row r="127" spans="1:51" ht="52.2" x14ac:dyDescent="0.3">
      <c r="A127" s="26" t="s">
        <v>305</v>
      </c>
      <c r="B127" s="14" t="s">
        <v>638</v>
      </c>
      <c r="C127" s="14" t="s">
        <v>639</v>
      </c>
      <c r="D127" s="14" t="s">
        <v>137</v>
      </c>
      <c r="E127" s="14" t="s">
        <v>789</v>
      </c>
      <c r="F127" s="14" t="s">
        <v>789</v>
      </c>
      <c r="G127" s="15" t="s">
        <v>159</v>
      </c>
      <c r="H127" s="16">
        <v>103</v>
      </c>
      <c r="I127" s="16">
        <v>37</v>
      </c>
      <c r="J127" s="36">
        <v>3811</v>
      </c>
      <c r="K127" s="16">
        <v>1</v>
      </c>
      <c r="L127" s="16" t="s">
        <v>389</v>
      </c>
      <c r="M127" s="16"/>
      <c r="N127" s="16">
        <v>1</v>
      </c>
      <c r="O127" s="16">
        <v>1</v>
      </c>
      <c r="P127" s="16">
        <v>1</v>
      </c>
      <c r="Q127" s="16">
        <v>1</v>
      </c>
      <c r="R127" s="16">
        <v>1</v>
      </c>
      <c r="S127" s="16">
        <v>1</v>
      </c>
      <c r="T127" s="16"/>
      <c r="U127" s="16"/>
      <c r="V127" s="16"/>
      <c r="W127" s="18" t="s">
        <v>414</v>
      </c>
      <c r="X127" s="16">
        <v>1</v>
      </c>
      <c r="Y127" s="16">
        <v>1</v>
      </c>
      <c r="Z127" s="16">
        <v>1</v>
      </c>
      <c r="AA127" s="16"/>
      <c r="AB127" s="18" t="s">
        <v>521</v>
      </c>
      <c r="AC127" s="18">
        <v>56</v>
      </c>
      <c r="AD127" s="16">
        <v>1</v>
      </c>
      <c r="AE127" s="18" t="s">
        <v>645</v>
      </c>
      <c r="AF127" s="16" t="s">
        <v>385</v>
      </c>
      <c r="AG127" s="18" t="s">
        <v>416</v>
      </c>
      <c r="AH127" s="16"/>
      <c r="AI127" s="16"/>
      <c r="AJ127" s="16">
        <f>SUM(Table4[[#This Row],[Soccer/U7 (Yes=1)]:[Ultimate Frisbee (Yes=1)]])</f>
        <v>3</v>
      </c>
      <c r="AK127" s="10"/>
      <c r="AL127" s="10">
        <v>1</v>
      </c>
      <c r="AM127" s="10">
        <v>1</v>
      </c>
      <c r="AN127" s="10">
        <f>COUNTIFS(Table4[[#This Row],[Rectangular Field Dimension: Length - m ]],Methods_Dimensions!J$10,Table4[[#This Row],[Rectangular Field Dimension: Width - m ]],Methods_Dimensions!H$10)</f>
        <v>1</v>
      </c>
      <c r="AO127" s="10">
        <f>COUNTIFS(Table4[[#This Row],[Rectangular Field Dimension: Length - m ]],Methods_Dimensions!J$11,Table4[[#This Row],[Rectangular Field Dimension: Width - m ]],Methods_Dimensions!H$11)</f>
        <v>0</v>
      </c>
      <c r="AP127" s="10">
        <f>COUNTIFS(Table4[[#This Row],[Rectangular Field Dimension: Length - m ]],Methods_Dimensions!J$12,Table4[[#This Row],[Rectangular Field Dimension: Width - m ]],Methods_Dimensions!H$12)</f>
        <v>0</v>
      </c>
      <c r="AQ127" s="10">
        <f>COUNTIFS(Table4[[#This Row],[Rectangular Field Dimension: Length - m ]],Methods_Dimensions!J$13,Table4[[#This Row],[Rectangular Field Dimension: Width - m ]],Methods_Dimensions!H$13)</f>
        <v>0</v>
      </c>
      <c r="AR127" s="10">
        <f>COUNTIFS(Table4[[#This Row],[Rectangular Field Dimension: Length - m ]],Methods_Dimensions!J$14,Table4[[#This Row],[Rectangular Field Dimension: Width - m ]],Methods_Dimensions!H$14)</f>
        <v>0</v>
      </c>
      <c r="AS12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7" s="10">
        <f>COUNTIFS(Table4[[#This Row],[Rectangular Field Dimension: Length - m ]],Methods_Dimensions!J$16,Table4[[#This Row],[Rectangular Field Dimension: Width - m ]],Methods_Dimensions!H$16)</f>
        <v>0</v>
      </c>
      <c r="AU127" s="10">
        <f>COUNTIFS(Table4[[#This Row],[Rectangular Field Dimension: Length - m ]],Methods_Dimensions!J$17,Table4[[#This Row],[Rectangular Field Dimension: Width - m ]],Methods_Dimensions!H$17)</f>
        <v>0</v>
      </c>
      <c r="AV127" s="10">
        <f>COUNTIFS(Table4[[#This Row],[Rectangular Field Dimension: Length - m ]],Methods_Dimensions!J$18,Table4[[#This Row],[Rectangular Field Dimension: Width - m ]],Methods_Dimensions!H$18)</f>
        <v>0</v>
      </c>
      <c r="AW127" s="10">
        <f>COUNTIFS(Table4[[#This Row],[Rectangular Field Dimension: Length - m ]],Methods_Dimensions!J$19,Table4[[#This Row],[Rectangular Field Dimension: Width - m ]],Methods_Dimensions!H$19)</f>
        <v>0</v>
      </c>
      <c r="AX127" s="6" t="s">
        <v>646</v>
      </c>
      <c r="AY127" s="6" t="s">
        <v>388</v>
      </c>
    </row>
    <row r="128" spans="1:51" ht="34.799999999999997" x14ac:dyDescent="0.3">
      <c r="A128" s="4" t="s">
        <v>306</v>
      </c>
      <c r="B128" s="5" t="s">
        <v>647</v>
      </c>
      <c r="C128" s="5" t="s">
        <v>567</v>
      </c>
      <c r="D128" s="5" t="s">
        <v>139</v>
      </c>
      <c r="E128" s="5" t="s">
        <v>1272</v>
      </c>
      <c r="F128" s="5" t="s">
        <v>740</v>
      </c>
      <c r="G128" s="6" t="s">
        <v>159</v>
      </c>
      <c r="H128" s="12">
        <v>89</v>
      </c>
      <c r="I128" s="12">
        <v>59</v>
      </c>
      <c r="J128" s="37">
        <v>5251</v>
      </c>
      <c r="K128" s="12">
        <v>1</v>
      </c>
      <c r="L128" s="12" t="s">
        <v>389</v>
      </c>
      <c r="M128" s="12"/>
      <c r="N128" s="12">
        <v>1</v>
      </c>
      <c r="O128" s="12"/>
      <c r="P128" s="12">
        <v>1</v>
      </c>
      <c r="Q128" s="12"/>
      <c r="R128" s="12">
        <v>1</v>
      </c>
      <c r="S128" s="12"/>
      <c r="T128" s="12"/>
      <c r="U128" s="12"/>
      <c r="V128" s="12"/>
      <c r="W128" s="17"/>
      <c r="X128" s="12">
        <v>1</v>
      </c>
      <c r="Y128" s="12"/>
      <c r="Z128" s="12">
        <v>1</v>
      </c>
      <c r="AA128" s="12"/>
      <c r="AB128" s="17" t="s">
        <v>383</v>
      </c>
      <c r="AC128" s="17"/>
      <c r="AD128" s="12">
        <v>1</v>
      </c>
      <c r="AE128" s="17" t="s">
        <v>648</v>
      </c>
      <c r="AF128" s="12" t="s">
        <v>385</v>
      </c>
      <c r="AG128" s="17" t="s">
        <v>386</v>
      </c>
      <c r="AH128" s="12"/>
      <c r="AI128" s="12"/>
      <c r="AJ128" s="12">
        <f>SUM(Table4[[#This Row],[Soccer/U7 (Yes=1)]:[Ultimate Frisbee (Yes=1)]])</f>
        <v>4</v>
      </c>
      <c r="AK128" s="10"/>
      <c r="AL128" s="10">
        <v>1</v>
      </c>
      <c r="AM128" s="10">
        <v>1</v>
      </c>
      <c r="AN128" s="10">
        <f>COUNTIFS(Table4[[#This Row],[Rectangular Field Dimension: Length - m ]],Methods_Dimensions!J$10,Table4[[#This Row],[Rectangular Field Dimension: Width - m ]],Methods_Dimensions!H$10)</f>
        <v>1</v>
      </c>
      <c r="AO128" s="10">
        <f>COUNTIFS(Table4[[#This Row],[Rectangular Field Dimension: Length - m ]],Methods_Dimensions!J$11,Table4[[#This Row],[Rectangular Field Dimension: Width - m ]],Methods_Dimensions!H$11)</f>
        <v>1</v>
      </c>
      <c r="AP128" s="10">
        <f>COUNTIFS(Table4[[#This Row],[Rectangular Field Dimension: Length - m ]],Methods_Dimensions!J$12,Table4[[#This Row],[Rectangular Field Dimension: Width - m ]],Methods_Dimensions!H$12)</f>
        <v>0</v>
      </c>
      <c r="AQ128" s="10">
        <f>COUNTIFS(Table4[[#This Row],[Rectangular Field Dimension: Length - m ]],Methods_Dimensions!J$13,Table4[[#This Row],[Rectangular Field Dimension: Width - m ]],Methods_Dimensions!H$13)</f>
        <v>0</v>
      </c>
      <c r="AR128" s="10">
        <f>COUNTIFS(Table4[[#This Row],[Rectangular Field Dimension: Length - m ]],Methods_Dimensions!J$14,Table4[[#This Row],[Rectangular Field Dimension: Width - m ]],Methods_Dimensions!H$14)</f>
        <v>0</v>
      </c>
      <c r="AS12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8" s="10">
        <f>COUNTIFS(Table4[[#This Row],[Rectangular Field Dimension: Length - m ]],Methods_Dimensions!J$16,Table4[[#This Row],[Rectangular Field Dimension: Width - m ]],Methods_Dimensions!H$16)</f>
        <v>0</v>
      </c>
      <c r="AU128" s="10">
        <f>COUNTIFS(Table4[[#This Row],[Rectangular Field Dimension: Length - m ]],Methods_Dimensions!J$17,Table4[[#This Row],[Rectangular Field Dimension: Width - m ]],Methods_Dimensions!H$17)</f>
        <v>0</v>
      </c>
      <c r="AV128" s="10">
        <f>COUNTIFS(Table4[[#This Row],[Rectangular Field Dimension: Length - m ]],Methods_Dimensions!J$18,Table4[[#This Row],[Rectangular Field Dimension: Width - m ]],Methods_Dimensions!H$18)</f>
        <v>0</v>
      </c>
      <c r="AW128" s="10">
        <f>COUNTIFS(Table4[[#This Row],[Rectangular Field Dimension: Length - m ]],Methods_Dimensions!J$19,Table4[[#This Row],[Rectangular Field Dimension: Width - m ]],Methods_Dimensions!H$19)</f>
        <v>0</v>
      </c>
      <c r="AX128" s="6" t="s">
        <v>387</v>
      </c>
      <c r="AY128" s="6" t="s">
        <v>388</v>
      </c>
    </row>
    <row r="129" spans="1:51" ht="34.799999999999997" x14ac:dyDescent="0.3">
      <c r="A129" s="26" t="s">
        <v>307</v>
      </c>
      <c r="B129" s="14" t="s">
        <v>647</v>
      </c>
      <c r="C129" s="14" t="s">
        <v>567</v>
      </c>
      <c r="D129" s="14" t="s">
        <v>139</v>
      </c>
      <c r="E129" s="14" t="s">
        <v>413</v>
      </c>
      <c r="F129" s="14" t="s">
        <v>789</v>
      </c>
      <c r="G129" s="15" t="s">
        <v>159</v>
      </c>
      <c r="H129" s="16">
        <v>100</v>
      </c>
      <c r="I129" s="16">
        <v>76</v>
      </c>
      <c r="J129" s="36">
        <v>7600</v>
      </c>
      <c r="K129" s="16"/>
      <c r="L129" s="16" t="s">
        <v>397</v>
      </c>
      <c r="M129" s="16">
        <v>1</v>
      </c>
      <c r="N129" s="16">
        <v>1</v>
      </c>
      <c r="O129" s="16">
        <v>1</v>
      </c>
      <c r="P129" s="16">
        <v>1</v>
      </c>
      <c r="Q129" s="16"/>
      <c r="R129" s="16">
        <v>1</v>
      </c>
      <c r="S129" s="16"/>
      <c r="T129" s="16"/>
      <c r="U129" s="16"/>
      <c r="V129" s="16"/>
      <c r="W129" s="18"/>
      <c r="X129" s="16">
        <v>1</v>
      </c>
      <c r="Y129" s="16"/>
      <c r="Z129" s="16"/>
      <c r="AA129" s="16"/>
      <c r="AB129" s="18" t="s">
        <v>383</v>
      </c>
      <c r="AC129" s="18"/>
      <c r="AD129" s="16">
        <v>1</v>
      </c>
      <c r="AE129" s="18" t="s">
        <v>648</v>
      </c>
      <c r="AF129" s="16" t="s">
        <v>385</v>
      </c>
      <c r="AG129" s="18" t="s">
        <v>416</v>
      </c>
      <c r="AH129" s="16"/>
      <c r="AI129" s="16"/>
      <c r="AJ129" s="16">
        <f>SUM(Table4[[#This Row],[Soccer/U7 (Yes=1)]:[Ultimate Frisbee (Yes=1)]])</f>
        <v>5</v>
      </c>
      <c r="AK129" s="10"/>
      <c r="AL129" s="10">
        <v>1</v>
      </c>
      <c r="AM129" s="10">
        <v>1</v>
      </c>
      <c r="AN129" s="10">
        <f>COUNTIFS(Table4[[#This Row],[Rectangular Field Dimension: Length - m ]],Methods_Dimensions!J$10,Table4[[#This Row],[Rectangular Field Dimension: Width - m ]],Methods_Dimensions!H$10)</f>
        <v>1</v>
      </c>
      <c r="AO129" s="10">
        <f>COUNTIFS(Table4[[#This Row],[Rectangular Field Dimension: Length - m ]],Methods_Dimensions!J$11,Table4[[#This Row],[Rectangular Field Dimension: Width - m ]],Methods_Dimensions!H$11)</f>
        <v>1</v>
      </c>
      <c r="AP129" s="10">
        <f>COUNTIFS(Table4[[#This Row],[Rectangular Field Dimension: Length - m ]],Methods_Dimensions!J$12,Table4[[#This Row],[Rectangular Field Dimension: Width - m ]],Methods_Dimensions!H$12)</f>
        <v>1</v>
      </c>
      <c r="AQ129" s="10">
        <f>COUNTIFS(Table4[[#This Row],[Rectangular Field Dimension: Length - m ]],Methods_Dimensions!J$13,Table4[[#This Row],[Rectangular Field Dimension: Width - m ]],Methods_Dimensions!H$13)</f>
        <v>0</v>
      </c>
      <c r="AR129" s="10">
        <f>COUNTIFS(Table4[[#This Row],[Rectangular Field Dimension: Length - m ]],Methods_Dimensions!J$14,Table4[[#This Row],[Rectangular Field Dimension: Width - m ]],Methods_Dimensions!H$14)</f>
        <v>0</v>
      </c>
      <c r="AS12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29" s="10">
        <f>COUNTIFS(Table4[[#This Row],[Rectangular Field Dimension: Length - m ]],Methods_Dimensions!J$16,Table4[[#This Row],[Rectangular Field Dimension: Width - m ]],Methods_Dimensions!H$16)</f>
        <v>0</v>
      </c>
      <c r="AU129" s="10">
        <f>COUNTIFS(Table4[[#This Row],[Rectangular Field Dimension: Length - m ]],Methods_Dimensions!J$17,Table4[[#This Row],[Rectangular Field Dimension: Width - m ]],Methods_Dimensions!H$17)</f>
        <v>0</v>
      </c>
      <c r="AV129" s="10">
        <f>COUNTIFS(Table4[[#This Row],[Rectangular Field Dimension: Length - m ]],Methods_Dimensions!J$18,Table4[[#This Row],[Rectangular Field Dimension: Width - m ]],Methods_Dimensions!H$18)</f>
        <v>0</v>
      </c>
      <c r="AW129" s="10">
        <f>COUNTIFS(Table4[[#This Row],[Rectangular Field Dimension: Length - m ]],Methods_Dimensions!J$19,Table4[[#This Row],[Rectangular Field Dimension: Width - m ]],Methods_Dimensions!H$19)</f>
        <v>0</v>
      </c>
      <c r="AX129" s="6" t="s">
        <v>387</v>
      </c>
      <c r="AY129" s="6" t="s">
        <v>388</v>
      </c>
    </row>
    <row r="130" spans="1:51" ht="52.2" x14ac:dyDescent="0.3">
      <c r="A130" s="4" t="s">
        <v>308</v>
      </c>
      <c r="B130" s="5" t="s">
        <v>647</v>
      </c>
      <c r="C130" s="5" t="s">
        <v>567</v>
      </c>
      <c r="D130" s="5" t="s">
        <v>139</v>
      </c>
      <c r="E130" s="5" t="s">
        <v>1272</v>
      </c>
      <c r="F130" s="5" t="s">
        <v>740</v>
      </c>
      <c r="G130" s="6" t="s">
        <v>159</v>
      </c>
      <c r="H130" s="12">
        <v>91</v>
      </c>
      <c r="I130" s="12">
        <v>76</v>
      </c>
      <c r="J130" s="37">
        <v>6916</v>
      </c>
      <c r="K130" s="12"/>
      <c r="L130" s="12" t="s">
        <v>381</v>
      </c>
      <c r="M130" s="12">
        <v>1</v>
      </c>
      <c r="N130" s="12"/>
      <c r="O130" s="12"/>
      <c r="P130" s="12">
        <v>1</v>
      </c>
      <c r="Q130" s="12"/>
      <c r="R130" s="12">
        <v>1</v>
      </c>
      <c r="S130" s="12"/>
      <c r="T130" s="12"/>
      <c r="U130" s="12"/>
      <c r="V130" s="12"/>
      <c r="W130" s="17"/>
      <c r="X130" s="12">
        <v>1</v>
      </c>
      <c r="Y130" s="12"/>
      <c r="Z130" s="12">
        <v>1</v>
      </c>
      <c r="AA130" s="12"/>
      <c r="AB130" s="17" t="s">
        <v>383</v>
      </c>
      <c r="AC130" s="17"/>
      <c r="AD130" s="12">
        <v>1</v>
      </c>
      <c r="AE130" s="17" t="s">
        <v>649</v>
      </c>
      <c r="AF130" s="12" t="s">
        <v>385</v>
      </c>
      <c r="AG130" s="17" t="s">
        <v>386</v>
      </c>
      <c r="AH130" s="12"/>
      <c r="AI130" s="12"/>
      <c r="AJ130" s="12">
        <f>SUM(Table4[[#This Row],[Soccer/U7 (Yes=1)]:[Ultimate Frisbee (Yes=1)]])</f>
        <v>5</v>
      </c>
      <c r="AK130" s="10"/>
      <c r="AL130" s="10">
        <v>1</v>
      </c>
      <c r="AM130" s="10">
        <v>1</v>
      </c>
      <c r="AN130" s="10">
        <f>COUNTIFS(Table4[[#This Row],[Rectangular Field Dimension: Length - m ]],Methods_Dimensions!J$10,Table4[[#This Row],[Rectangular Field Dimension: Width - m ]],Methods_Dimensions!H$10)</f>
        <v>1</v>
      </c>
      <c r="AO130" s="10">
        <f>COUNTIFS(Table4[[#This Row],[Rectangular Field Dimension: Length - m ]],Methods_Dimensions!J$11,Table4[[#This Row],[Rectangular Field Dimension: Width - m ]],Methods_Dimensions!H$11)</f>
        <v>1</v>
      </c>
      <c r="AP130" s="10">
        <f>COUNTIFS(Table4[[#This Row],[Rectangular Field Dimension: Length - m ]],Methods_Dimensions!J$12,Table4[[#This Row],[Rectangular Field Dimension: Width - m ]],Methods_Dimensions!H$12)</f>
        <v>1</v>
      </c>
      <c r="AQ130" s="10">
        <f>COUNTIFS(Table4[[#This Row],[Rectangular Field Dimension: Length - m ]],Methods_Dimensions!J$13,Table4[[#This Row],[Rectangular Field Dimension: Width - m ]],Methods_Dimensions!H$13)</f>
        <v>0</v>
      </c>
      <c r="AR130" s="10">
        <f>COUNTIFS(Table4[[#This Row],[Rectangular Field Dimension: Length - m ]],Methods_Dimensions!J$14,Table4[[#This Row],[Rectangular Field Dimension: Width - m ]],Methods_Dimensions!H$14)</f>
        <v>0</v>
      </c>
      <c r="AS13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0" s="10">
        <f>COUNTIFS(Table4[[#This Row],[Rectangular Field Dimension: Length - m ]],Methods_Dimensions!J$16,Table4[[#This Row],[Rectangular Field Dimension: Width - m ]],Methods_Dimensions!H$16)</f>
        <v>0</v>
      </c>
      <c r="AU130" s="10">
        <f>COUNTIFS(Table4[[#This Row],[Rectangular Field Dimension: Length - m ]],Methods_Dimensions!J$17,Table4[[#This Row],[Rectangular Field Dimension: Width - m ]],Methods_Dimensions!H$17)</f>
        <v>0</v>
      </c>
      <c r="AV130" s="10">
        <f>COUNTIFS(Table4[[#This Row],[Rectangular Field Dimension: Length - m ]],Methods_Dimensions!J$18,Table4[[#This Row],[Rectangular Field Dimension: Width - m ]],Methods_Dimensions!H$18)</f>
        <v>0</v>
      </c>
      <c r="AW130" s="10">
        <f>COUNTIFS(Table4[[#This Row],[Rectangular Field Dimension: Length - m ]],Methods_Dimensions!J$19,Table4[[#This Row],[Rectangular Field Dimension: Width - m ]],Methods_Dimensions!H$19)</f>
        <v>0</v>
      </c>
      <c r="AX130" s="6" t="s">
        <v>387</v>
      </c>
      <c r="AY130" s="6" t="s">
        <v>388</v>
      </c>
    </row>
    <row r="131" spans="1:51" ht="34.799999999999997" x14ac:dyDescent="0.3">
      <c r="A131" s="26" t="s">
        <v>309</v>
      </c>
      <c r="B131" s="14" t="s">
        <v>647</v>
      </c>
      <c r="C131" s="14" t="s">
        <v>567</v>
      </c>
      <c r="D131" s="14" t="s">
        <v>139</v>
      </c>
      <c r="E131" s="14" t="s">
        <v>1272</v>
      </c>
      <c r="F131" s="14" t="s">
        <v>754</v>
      </c>
      <c r="G131" s="15" t="s">
        <v>159</v>
      </c>
      <c r="H131" s="16">
        <v>94</v>
      </c>
      <c r="I131" s="16">
        <v>85</v>
      </c>
      <c r="J131" s="36">
        <v>7990</v>
      </c>
      <c r="K131" s="16">
        <v>1</v>
      </c>
      <c r="L131" s="16" t="s">
        <v>389</v>
      </c>
      <c r="M131" s="16"/>
      <c r="N131" s="16">
        <v>1</v>
      </c>
      <c r="O131" s="16"/>
      <c r="P131" s="16">
        <v>1</v>
      </c>
      <c r="Q131" s="16"/>
      <c r="R131" s="16">
        <v>1</v>
      </c>
      <c r="S131" s="16"/>
      <c r="T131" s="16"/>
      <c r="U131" s="16"/>
      <c r="V131" s="16"/>
      <c r="W131" s="18"/>
      <c r="X131" s="16">
        <v>1</v>
      </c>
      <c r="Y131" s="16"/>
      <c r="Z131" s="16">
        <v>1</v>
      </c>
      <c r="AA131" s="16"/>
      <c r="AB131" s="18" t="s">
        <v>383</v>
      </c>
      <c r="AC131" s="18"/>
      <c r="AD131" s="16">
        <v>1</v>
      </c>
      <c r="AE131" s="18" t="s">
        <v>648</v>
      </c>
      <c r="AF131" s="16" t="s">
        <v>385</v>
      </c>
      <c r="AG131" s="18" t="s">
        <v>386</v>
      </c>
      <c r="AH131" s="16"/>
      <c r="AI131" s="16"/>
      <c r="AJ131" s="16">
        <f>SUM(Table4[[#This Row],[Soccer/U7 (Yes=1)]:[Ultimate Frisbee (Yes=1)]])</f>
        <v>5</v>
      </c>
      <c r="AK131" s="10"/>
      <c r="AL131" s="10">
        <v>1</v>
      </c>
      <c r="AM131" s="10">
        <v>1</v>
      </c>
      <c r="AN131" s="10">
        <f>COUNTIFS(Table4[[#This Row],[Rectangular Field Dimension: Length - m ]],Methods_Dimensions!J$10,Table4[[#This Row],[Rectangular Field Dimension: Width - m ]],Methods_Dimensions!H$10)</f>
        <v>1</v>
      </c>
      <c r="AO131" s="10">
        <f>COUNTIFS(Table4[[#This Row],[Rectangular Field Dimension: Length - m ]],Methods_Dimensions!J$11,Table4[[#This Row],[Rectangular Field Dimension: Width - m ]],Methods_Dimensions!H$11)</f>
        <v>1</v>
      </c>
      <c r="AP131" s="10">
        <f>COUNTIFS(Table4[[#This Row],[Rectangular Field Dimension: Length - m ]],Methods_Dimensions!J$12,Table4[[#This Row],[Rectangular Field Dimension: Width - m ]],Methods_Dimensions!H$12)</f>
        <v>1</v>
      </c>
      <c r="AQ131" s="10">
        <f>COUNTIFS(Table4[[#This Row],[Rectangular Field Dimension: Length - m ]],Methods_Dimensions!J$13,Table4[[#This Row],[Rectangular Field Dimension: Width - m ]],Methods_Dimensions!H$13)</f>
        <v>0</v>
      </c>
      <c r="AR131" s="10">
        <f>COUNTIFS(Table4[[#This Row],[Rectangular Field Dimension: Length - m ]],Methods_Dimensions!J$14,Table4[[#This Row],[Rectangular Field Dimension: Width - m ]],Methods_Dimensions!H$14)</f>
        <v>0</v>
      </c>
      <c r="AS13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1" s="10">
        <f>COUNTIFS(Table4[[#This Row],[Rectangular Field Dimension: Length - m ]],Methods_Dimensions!J$16,Table4[[#This Row],[Rectangular Field Dimension: Width - m ]],Methods_Dimensions!H$16)</f>
        <v>0</v>
      </c>
      <c r="AU131" s="10">
        <f>COUNTIFS(Table4[[#This Row],[Rectangular Field Dimension: Length - m ]],Methods_Dimensions!J$17,Table4[[#This Row],[Rectangular Field Dimension: Width - m ]],Methods_Dimensions!H$17)</f>
        <v>0</v>
      </c>
      <c r="AV131" s="10">
        <f>COUNTIFS(Table4[[#This Row],[Rectangular Field Dimension: Length - m ]],Methods_Dimensions!J$18,Table4[[#This Row],[Rectangular Field Dimension: Width - m ]],Methods_Dimensions!H$18)</f>
        <v>0</v>
      </c>
      <c r="AW131" s="10">
        <f>COUNTIFS(Table4[[#This Row],[Rectangular Field Dimension: Length - m ]],Methods_Dimensions!J$19,Table4[[#This Row],[Rectangular Field Dimension: Width - m ]],Methods_Dimensions!H$19)</f>
        <v>0</v>
      </c>
      <c r="AX131" s="6" t="s">
        <v>650</v>
      </c>
      <c r="AY131" s="6" t="s">
        <v>388</v>
      </c>
    </row>
    <row r="132" spans="1:51" ht="52.2" x14ac:dyDescent="0.3">
      <c r="A132" s="26" t="s">
        <v>310</v>
      </c>
      <c r="B132" s="14" t="s">
        <v>651</v>
      </c>
      <c r="C132" s="14" t="s">
        <v>379</v>
      </c>
      <c r="D132" s="14" t="s">
        <v>143</v>
      </c>
      <c r="E132" s="14" t="s">
        <v>1271</v>
      </c>
      <c r="F132" s="14" t="s">
        <v>740</v>
      </c>
      <c r="G132" s="15" t="s">
        <v>159</v>
      </c>
      <c r="H132" s="16">
        <v>81</v>
      </c>
      <c r="I132" s="16">
        <v>62</v>
      </c>
      <c r="J132" s="36">
        <v>5022</v>
      </c>
      <c r="K132" s="16">
        <v>1</v>
      </c>
      <c r="L132" s="16" t="s">
        <v>389</v>
      </c>
      <c r="M132" s="16"/>
      <c r="N132" s="16">
        <v>1</v>
      </c>
      <c r="O132" s="16"/>
      <c r="P132" s="16">
        <v>1</v>
      </c>
      <c r="Q132" s="16"/>
      <c r="R132" s="16">
        <v>1</v>
      </c>
      <c r="S132" s="16"/>
      <c r="T132" s="16"/>
      <c r="U132" s="16"/>
      <c r="V132" s="16"/>
      <c r="W132" s="18"/>
      <c r="X132" s="16">
        <v>1</v>
      </c>
      <c r="Y132" s="16"/>
      <c r="Z132" s="16">
        <v>1</v>
      </c>
      <c r="AA132" s="16"/>
      <c r="AB132" s="18" t="s">
        <v>383</v>
      </c>
      <c r="AC132" s="18"/>
      <c r="AD132" s="16">
        <v>1</v>
      </c>
      <c r="AE132" s="18" t="s">
        <v>648</v>
      </c>
      <c r="AF132" s="16" t="s">
        <v>399</v>
      </c>
      <c r="AG132" s="18" t="s">
        <v>386</v>
      </c>
      <c r="AH132" s="16"/>
      <c r="AI132" s="16"/>
      <c r="AJ132" s="16">
        <f>SUM(Table4[[#This Row],[Soccer/U7 (Yes=1)]:[Ultimate Frisbee (Yes=1)]])</f>
        <v>4</v>
      </c>
      <c r="AK132" s="10"/>
      <c r="AL132" s="10">
        <v>1</v>
      </c>
      <c r="AM132" s="10">
        <v>1</v>
      </c>
      <c r="AN132" s="10">
        <f>COUNTIFS(Table4[[#This Row],[Rectangular Field Dimension: Length - m ]],Methods_Dimensions!J$10,Table4[[#This Row],[Rectangular Field Dimension: Width - m ]],Methods_Dimensions!H$10)</f>
        <v>1</v>
      </c>
      <c r="AO132" s="10">
        <f>COUNTIFS(Table4[[#This Row],[Rectangular Field Dimension: Length - m ]],Methods_Dimensions!J$11,Table4[[#This Row],[Rectangular Field Dimension: Width - m ]],Methods_Dimensions!H$11)</f>
        <v>1</v>
      </c>
      <c r="AP132" s="10">
        <f>COUNTIFS(Table4[[#This Row],[Rectangular Field Dimension: Length - m ]],Methods_Dimensions!J$12,Table4[[#This Row],[Rectangular Field Dimension: Width - m ]],Methods_Dimensions!H$12)</f>
        <v>0</v>
      </c>
      <c r="AQ132" s="10">
        <f>COUNTIFS(Table4[[#This Row],[Rectangular Field Dimension: Length - m ]],Methods_Dimensions!J$13,Table4[[#This Row],[Rectangular Field Dimension: Width - m ]],Methods_Dimensions!H$13)</f>
        <v>0</v>
      </c>
      <c r="AR132" s="10">
        <f>COUNTIFS(Table4[[#This Row],[Rectangular Field Dimension: Length - m ]],Methods_Dimensions!J$14,Table4[[#This Row],[Rectangular Field Dimension: Width - m ]],Methods_Dimensions!H$14)</f>
        <v>0</v>
      </c>
      <c r="AS13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2" s="10">
        <f>COUNTIFS(Table4[[#This Row],[Rectangular Field Dimension: Length - m ]],Methods_Dimensions!J$16,Table4[[#This Row],[Rectangular Field Dimension: Width - m ]],Methods_Dimensions!H$16)</f>
        <v>0</v>
      </c>
      <c r="AU132" s="10">
        <f>COUNTIFS(Table4[[#This Row],[Rectangular Field Dimension: Length - m ]],Methods_Dimensions!J$17,Table4[[#This Row],[Rectangular Field Dimension: Width - m ]],Methods_Dimensions!H$17)</f>
        <v>0</v>
      </c>
      <c r="AV132" s="10">
        <f>COUNTIFS(Table4[[#This Row],[Rectangular Field Dimension: Length - m ]],Methods_Dimensions!J$18,Table4[[#This Row],[Rectangular Field Dimension: Width - m ]],Methods_Dimensions!H$18)</f>
        <v>0</v>
      </c>
      <c r="AW132" s="10">
        <f>COUNTIFS(Table4[[#This Row],[Rectangular Field Dimension: Length - m ]],Methods_Dimensions!J$19,Table4[[#This Row],[Rectangular Field Dimension: Width - m ]],Methods_Dimensions!H$19)</f>
        <v>0</v>
      </c>
      <c r="AX132" s="6" t="s">
        <v>652</v>
      </c>
      <c r="AY132" s="6" t="s">
        <v>388</v>
      </c>
    </row>
    <row r="133" spans="1:51" ht="69.599999999999994" x14ac:dyDescent="0.3">
      <c r="A133" s="4" t="s">
        <v>311</v>
      </c>
      <c r="B133" s="5" t="s">
        <v>653</v>
      </c>
      <c r="C133" s="5" t="s">
        <v>512</v>
      </c>
      <c r="D133" s="5" t="s">
        <v>654</v>
      </c>
      <c r="E133" s="5" t="s">
        <v>1272</v>
      </c>
      <c r="F133" s="5" t="s">
        <v>789</v>
      </c>
      <c r="G133" s="6" t="s">
        <v>159</v>
      </c>
      <c r="H133" s="12">
        <v>118</v>
      </c>
      <c r="I133" s="12">
        <v>85</v>
      </c>
      <c r="J133" s="37">
        <v>10030</v>
      </c>
      <c r="K133" s="12"/>
      <c r="L133" s="12" t="s">
        <v>397</v>
      </c>
      <c r="M133" s="12">
        <v>1</v>
      </c>
      <c r="N133" s="12">
        <v>1</v>
      </c>
      <c r="O133" s="12"/>
      <c r="P133" s="12"/>
      <c r="Q133" s="12"/>
      <c r="R133" s="12">
        <v>1</v>
      </c>
      <c r="S133" s="12"/>
      <c r="T133" s="12"/>
      <c r="U133" s="12"/>
      <c r="V133" s="12"/>
      <c r="W133" s="17"/>
      <c r="X133" s="12"/>
      <c r="Y133" s="12"/>
      <c r="Z133" s="12"/>
      <c r="AA133" s="12"/>
      <c r="AB133" s="17" t="s">
        <v>383</v>
      </c>
      <c r="AC133" s="17"/>
      <c r="AD133" s="12">
        <v>1</v>
      </c>
      <c r="AE133" s="17" t="s">
        <v>648</v>
      </c>
      <c r="AF133" s="12" t="s">
        <v>385</v>
      </c>
      <c r="AG133" s="17" t="s">
        <v>416</v>
      </c>
      <c r="AH133" s="12">
        <v>10</v>
      </c>
      <c r="AI133" s="12">
        <v>3</v>
      </c>
      <c r="AJ133" s="12">
        <f>SUM(Table4[[#This Row],[Soccer/U7 (Yes=1)]:[Ultimate Frisbee (Yes=1)]])</f>
        <v>7</v>
      </c>
      <c r="AK133" s="10"/>
      <c r="AL133" s="10">
        <v>1</v>
      </c>
      <c r="AM133" s="10">
        <v>1</v>
      </c>
      <c r="AN133" s="10">
        <f>COUNTIFS(Table4[[#This Row],[Rectangular Field Dimension: Length - m ]],Methods_Dimensions!J$10,Table4[[#This Row],[Rectangular Field Dimension: Width - m ]],Methods_Dimensions!H$10)</f>
        <v>1</v>
      </c>
      <c r="AO133" s="10">
        <f>COUNTIFS(Table4[[#This Row],[Rectangular Field Dimension: Length - m ]],Methods_Dimensions!J$11,Table4[[#This Row],[Rectangular Field Dimension: Width - m ]],Methods_Dimensions!H$11)</f>
        <v>1</v>
      </c>
      <c r="AP133" s="10">
        <f>COUNTIFS(Table4[[#This Row],[Rectangular Field Dimension: Length - m ]],Methods_Dimensions!J$12,Table4[[#This Row],[Rectangular Field Dimension: Width - m ]],Methods_Dimensions!H$12)</f>
        <v>1</v>
      </c>
      <c r="AQ133" s="10">
        <f>COUNTIFS(Table4[[#This Row],[Rectangular Field Dimension: Length - m ]],Methods_Dimensions!J$13,Table4[[#This Row],[Rectangular Field Dimension: Width - m ]],Methods_Dimensions!H$13)</f>
        <v>0</v>
      </c>
      <c r="AR133" s="10">
        <f>COUNTIFS(Table4[[#This Row],[Rectangular Field Dimension: Length - m ]],Methods_Dimensions!J$14,Table4[[#This Row],[Rectangular Field Dimension: Width - m ]],Methods_Dimensions!H$14)</f>
        <v>0</v>
      </c>
      <c r="AS13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3" s="10">
        <f>COUNTIFS(Table4[[#This Row],[Rectangular Field Dimension: Length - m ]],Methods_Dimensions!J$16,Table4[[#This Row],[Rectangular Field Dimension: Width - m ]],Methods_Dimensions!H$16)</f>
        <v>0</v>
      </c>
      <c r="AU133" s="10">
        <f>COUNTIFS(Table4[[#This Row],[Rectangular Field Dimension: Length - m ]],Methods_Dimensions!J$17,Table4[[#This Row],[Rectangular Field Dimension: Width - m ]],Methods_Dimensions!H$17)</f>
        <v>1</v>
      </c>
      <c r="AV133" s="10">
        <f>COUNTIFS(Table4[[#This Row],[Rectangular Field Dimension: Length - m ]],Methods_Dimensions!J$18,Table4[[#This Row],[Rectangular Field Dimension: Width - m ]],Methods_Dimensions!H$18)</f>
        <v>0</v>
      </c>
      <c r="AW133" s="10">
        <f>COUNTIFS(Table4[[#This Row],[Rectangular Field Dimension: Length - m ]],Methods_Dimensions!J$19,Table4[[#This Row],[Rectangular Field Dimension: Width - m ]],Methods_Dimensions!H$19)</f>
        <v>1</v>
      </c>
      <c r="AX133" s="6" t="s">
        <v>655</v>
      </c>
      <c r="AY133" s="6" t="s">
        <v>388</v>
      </c>
    </row>
    <row r="134" spans="1:51" ht="34.799999999999997" x14ac:dyDescent="0.3">
      <c r="A134" s="26" t="s">
        <v>312</v>
      </c>
      <c r="B134" s="14" t="s">
        <v>656</v>
      </c>
      <c r="C134" s="14" t="s">
        <v>502</v>
      </c>
      <c r="D134" s="14" t="s">
        <v>145</v>
      </c>
      <c r="E134" s="14" t="s">
        <v>789</v>
      </c>
      <c r="F134" s="14" t="s">
        <v>789</v>
      </c>
      <c r="G134" s="15" t="s">
        <v>159</v>
      </c>
      <c r="H134" s="16">
        <v>62</v>
      </c>
      <c r="I134" s="16">
        <v>49</v>
      </c>
      <c r="J134" s="36">
        <v>3038</v>
      </c>
      <c r="K134" s="16"/>
      <c r="L134" s="16" t="s">
        <v>397</v>
      </c>
      <c r="M134" s="16">
        <v>1</v>
      </c>
      <c r="N134" s="16">
        <v>1</v>
      </c>
      <c r="O134" s="16"/>
      <c r="P134" s="16"/>
      <c r="Q134" s="16"/>
      <c r="R134" s="16"/>
      <c r="S134" s="16"/>
      <c r="T134" s="16"/>
      <c r="U134" s="16"/>
      <c r="V134" s="16"/>
      <c r="W134" s="18"/>
      <c r="X134" s="16"/>
      <c r="Y134" s="16"/>
      <c r="Z134" s="16">
        <v>1</v>
      </c>
      <c r="AA134" s="16"/>
      <c r="AB134" s="18" t="s">
        <v>383</v>
      </c>
      <c r="AC134" s="18"/>
      <c r="AD134" s="16">
        <v>1</v>
      </c>
      <c r="AE134" s="18" t="s">
        <v>648</v>
      </c>
      <c r="AF134" s="16" t="s">
        <v>399</v>
      </c>
      <c r="AG134" s="18" t="s">
        <v>416</v>
      </c>
      <c r="AH134" s="16"/>
      <c r="AI134" s="16"/>
      <c r="AJ134" s="16">
        <f>SUM(Table4[[#This Row],[Soccer/U7 (Yes=1)]:[Ultimate Frisbee (Yes=1)]])</f>
        <v>4</v>
      </c>
      <c r="AK134" s="10"/>
      <c r="AL134" s="10">
        <v>1</v>
      </c>
      <c r="AM134" s="10">
        <v>1</v>
      </c>
      <c r="AN134" s="10">
        <f>COUNTIFS(Table4[[#This Row],[Rectangular Field Dimension: Length - m ]],Methods_Dimensions!J$10,Table4[[#This Row],[Rectangular Field Dimension: Width - m ]],Methods_Dimensions!H$10)</f>
        <v>1</v>
      </c>
      <c r="AO134" s="10">
        <f>COUNTIFS(Table4[[#This Row],[Rectangular Field Dimension: Length - m ]],Methods_Dimensions!J$11,Table4[[#This Row],[Rectangular Field Dimension: Width - m ]],Methods_Dimensions!H$11)</f>
        <v>1</v>
      </c>
      <c r="AP134" s="10">
        <f>COUNTIFS(Table4[[#This Row],[Rectangular Field Dimension: Length - m ]],Methods_Dimensions!J$12,Table4[[#This Row],[Rectangular Field Dimension: Width - m ]],Methods_Dimensions!H$12)</f>
        <v>0</v>
      </c>
      <c r="AQ134" s="10">
        <f>COUNTIFS(Table4[[#This Row],[Rectangular Field Dimension: Length - m ]],Methods_Dimensions!J$13,Table4[[#This Row],[Rectangular Field Dimension: Width - m ]],Methods_Dimensions!H$13)</f>
        <v>0</v>
      </c>
      <c r="AR134" s="10">
        <f>COUNTIFS(Table4[[#This Row],[Rectangular Field Dimension: Length - m ]],Methods_Dimensions!J$14,Table4[[#This Row],[Rectangular Field Dimension: Width - m ]],Methods_Dimensions!H$14)</f>
        <v>0</v>
      </c>
      <c r="AS13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4" s="10">
        <f>COUNTIFS(Table4[[#This Row],[Rectangular Field Dimension: Length - m ]],Methods_Dimensions!J$16,Table4[[#This Row],[Rectangular Field Dimension: Width - m ]],Methods_Dimensions!H$16)</f>
        <v>0</v>
      </c>
      <c r="AU134" s="10">
        <f>COUNTIFS(Table4[[#This Row],[Rectangular Field Dimension: Length - m ]],Methods_Dimensions!J$17,Table4[[#This Row],[Rectangular Field Dimension: Width - m ]],Methods_Dimensions!H$17)</f>
        <v>0</v>
      </c>
      <c r="AV134" s="10">
        <f>COUNTIFS(Table4[[#This Row],[Rectangular Field Dimension: Length - m ]],Methods_Dimensions!J$18,Table4[[#This Row],[Rectangular Field Dimension: Width - m ]],Methods_Dimensions!H$18)</f>
        <v>0</v>
      </c>
      <c r="AW134" s="10">
        <f>COUNTIFS(Table4[[#This Row],[Rectangular Field Dimension: Length - m ]],Methods_Dimensions!J$19,Table4[[#This Row],[Rectangular Field Dimension: Width - m ]],Methods_Dimensions!H$19)</f>
        <v>0</v>
      </c>
      <c r="AX134" s="6" t="s">
        <v>657</v>
      </c>
      <c r="AY134" s="6" t="s">
        <v>388</v>
      </c>
    </row>
    <row r="135" spans="1:51" ht="34.799999999999997" x14ac:dyDescent="0.3">
      <c r="A135" s="4" t="s">
        <v>313</v>
      </c>
      <c r="B135" s="5" t="s">
        <v>656</v>
      </c>
      <c r="C135" s="5" t="s">
        <v>502</v>
      </c>
      <c r="D135" s="5" t="s">
        <v>145</v>
      </c>
      <c r="E135" s="5" t="s">
        <v>1272</v>
      </c>
      <c r="F135" s="5" t="s">
        <v>754</v>
      </c>
      <c r="G135" s="6" t="s">
        <v>159</v>
      </c>
      <c r="H135" s="12">
        <v>84</v>
      </c>
      <c r="I135" s="12">
        <v>63</v>
      </c>
      <c r="J135" s="37">
        <v>5292</v>
      </c>
      <c r="K135" s="12">
        <v>1</v>
      </c>
      <c r="L135" s="12" t="s">
        <v>389</v>
      </c>
      <c r="M135" s="12"/>
      <c r="N135" s="12">
        <v>1</v>
      </c>
      <c r="O135" s="12"/>
      <c r="P135" s="12"/>
      <c r="Q135" s="12"/>
      <c r="R135" s="12"/>
      <c r="S135" s="12"/>
      <c r="T135" s="12"/>
      <c r="U135" s="12"/>
      <c r="V135" s="12"/>
      <c r="W135" s="17"/>
      <c r="X135" s="12"/>
      <c r="Y135" s="12"/>
      <c r="Z135" s="12">
        <v>1</v>
      </c>
      <c r="AA135" s="12"/>
      <c r="AB135" s="17" t="s">
        <v>383</v>
      </c>
      <c r="AC135" s="17"/>
      <c r="AD135" s="12">
        <v>1</v>
      </c>
      <c r="AE135" s="17" t="s">
        <v>648</v>
      </c>
      <c r="AF135" s="12" t="s">
        <v>399</v>
      </c>
      <c r="AG135" s="17" t="s">
        <v>386</v>
      </c>
      <c r="AH135" s="12"/>
      <c r="AI135" s="12"/>
      <c r="AJ135" s="12">
        <f>SUM(Table4[[#This Row],[Soccer/U7 (Yes=1)]:[Ultimate Frisbee (Yes=1)]])</f>
        <v>4</v>
      </c>
      <c r="AK135" s="10"/>
      <c r="AL135" s="10">
        <v>1</v>
      </c>
      <c r="AM135" s="10">
        <v>1</v>
      </c>
      <c r="AN135" s="10">
        <f>COUNTIFS(Table4[[#This Row],[Rectangular Field Dimension: Length - m ]],Methods_Dimensions!J$10,Table4[[#This Row],[Rectangular Field Dimension: Width - m ]],Methods_Dimensions!H$10)</f>
        <v>1</v>
      </c>
      <c r="AO135" s="10">
        <f>COUNTIFS(Table4[[#This Row],[Rectangular Field Dimension: Length - m ]],Methods_Dimensions!J$11,Table4[[#This Row],[Rectangular Field Dimension: Width - m ]],Methods_Dimensions!H$11)</f>
        <v>1</v>
      </c>
      <c r="AP135" s="10">
        <f>COUNTIFS(Table4[[#This Row],[Rectangular Field Dimension: Length - m ]],Methods_Dimensions!J$12,Table4[[#This Row],[Rectangular Field Dimension: Width - m ]],Methods_Dimensions!H$12)</f>
        <v>0</v>
      </c>
      <c r="AQ135" s="10">
        <f>COUNTIFS(Table4[[#This Row],[Rectangular Field Dimension: Length - m ]],Methods_Dimensions!J$13,Table4[[#This Row],[Rectangular Field Dimension: Width - m ]],Methods_Dimensions!H$13)</f>
        <v>0</v>
      </c>
      <c r="AR135" s="10">
        <f>COUNTIFS(Table4[[#This Row],[Rectangular Field Dimension: Length - m ]],Methods_Dimensions!J$14,Table4[[#This Row],[Rectangular Field Dimension: Width - m ]],Methods_Dimensions!H$14)</f>
        <v>0</v>
      </c>
      <c r="AS13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5" s="10">
        <f>COUNTIFS(Table4[[#This Row],[Rectangular Field Dimension: Length - m ]],Methods_Dimensions!J$16,Table4[[#This Row],[Rectangular Field Dimension: Width - m ]],Methods_Dimensions!H$16)</f>
        <v>0</v>
      </c>
      <c r="AU135" s="10">
        <f>COUNTIFS(Table4[[#This Row],[Rectangular Field Dimension: Length - m ]],Methods_Dimensions!J$17,Table4[[#This Row],[Rectangular Field Dimension: Width - m ]],Methods_Dimensions!H$17)</f>
        <v>0</v>
      </c>
      <c r="AV135" s="10">
        <f>COUNTIFS(Table4[[#This Row],[Rectangular Field Dimension: Length - m ]],Methods_Dimensions!J$18,Table4[[#This Row],[Rectangular Field Dimension: Width - m ]],Methods_Dimensions!H$18)</f>
        <v>0</v>
      </c>
      <c r="AW135" s="10">
        <f>COUNTIFS(Table4[[#This Row],[Rectangular Field Dimension: Length - m ]],Methods_Dimensions!J$19,Table4[[#This Row],[Rectangular Field Dimension: Width - m ]],Methods_Dimensions!H$19)</f>
        <v>0</v>
      </c>
      <c r="AX135" s="6" t="s">
        <v>387</v>
      </c>
      <c r="AY135" s="6" t="s">
        <v>388</v>
      </c>
    </row>
    <row r="136" spans="1:51" ht="34.799999999999997" x14ac:dyDescent="0.3">
      <c r="A136" s="26" t="s">
        <v>314</v>
      </c>
      <c r="B136" s="14" t="s">
        <v>658</v>
      </c>
      <c r="C136" s="14" t="s">
        <v>466</v>
      </c>
      <c r="D136" s="14" t="s">
        <v>147</v>
      </c>
      <c r="E136" s="14" t="s">
        <v>1271</v>
      </c>
      <c r="F136" s="14" t="s">
        <v>740</v>
      </c>
      <c r="G136" s="15" t="s">
        <v>159</v>
      </c>
      <c r="H136" s="16">
        <v>74</v>
      </c>
      <c r="I136" s="16">
        <v>33</v>
      </c>
      <c r="J136" s="36">
        <v>2442</v>
      </c>
      <c r="K136" s="16">
        <v>1</v>
      </c>
      <c r="L136" s="16" t="s">
        <v>389</v>
      </c>
      <c r="M136" s="16"/>
      <c r="N136" s="16">
        <v>1</v>
      </c>
      <c r="O136" s="16"/>
      <c r="P136" s="16"/>
      <c r="Q136" s="16"/>
      <c r="R136" s="16">
        <v>1</v>
      </c>
      <c r="S136" s="16"/>
      <c r="T136" s="16"/>
      <c r="U136" s="16"/>
      <c r="V136" s="16"/>
      <c r="W136" s="18"/>
      <c r="X136" s="16"/>
      <c r="Y136" s="16"/>
      <c r="Z136" s="16">
        <v>1</v>
      </c>
      <c r="AA136" s="16"/>
      <c r="AB136" s="18" t="s">
        <v>383</v>
      </c>
      <c r="AC136" s="18"/>
      <c r="AD136" s="16">
        <v>1</v>
      </c>
      <c r="AE136" s="18" t="s">
        <v>648</v>
      </c>
      <c r="AF136" s="16" t="s">
        <v>444</v>
      </c>
      <c r="AG136" s="18" t="s">
        <v>386</v>
      </c>
      <c r="AH136" s="16"/>
      <c r="AI136" s="16"/>
      <c r="AJ136" s="16">
        <f>SUM(Table4[[#This Row],[Soccer/U7 (Yes=1)]:[Ultimate Frisbee (Yes=1)]])</f>
        <v>3</v>
      </c>
      <c r="AK136" s="10"/>
      <c r="AL136" s="10">
        <v>1</v>
      </c>
      <c r="AM136" s="10">
        <v>1</v>
      </c>
      <c r="AN136" s="10">
        <f>COUNTIFS(Table4[[#This Row],[Rectangular Field Dimension: Length - m ]],Methods_Dimensions!J$10,Table4[[#This Row],[Rectangular Field Dimension: Width - m ]],Methods_Dimensions!H$10)</f>
        <v>1</v>
      </c>
      <c r="AO136" s="10">
        <f>COUNTIFS(Table4[[#This Row],[Rectangular Field Dimension: Length - m ]],Methods_Dimensions!J$11,Table4[[#This Row],[Rectangular Field Dimension: Width - m ]],Methods_Dimensions!H$11)</f>
        <v>0</v>
      </c>
      <c r="AP136" s="10">
        <f>COUNTIFS(Table4[[#This Row],[Rectangular Field Dimension: Length - m ]],Methods_Dimensions!J$12,Table4[[#This Row],[Rectangular Field Dimension: Width - m ]],Methods_Dimensions!H$12)</f>
        <v>0</v>
      </c>
      <c r="AQ136" s="10">
        <f>COUNTIFS(Table4[[#This Row],[Rectangular Field Dimension: Length - m ]],Methods_Dimensions!J$13,Table4[[#This Row],[Rectangular Field Dimension: Width - m ]],Methods_Dimensions!H$13)</f>
        <v>0</v>
      </c>
      <c r="AR136" s="10">
        <f>COUNTIFS(Table4[[#This Row],[Rectangular Field Dimension: Length - m ]],Methods_Dimensions!J$14,Table4[[#This Row],[Rectangular Field Dimension: Width - m ]],Methods_Dimensions!H$14)</f>
        <v>0</v>
      </c>
      <c r="AS13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6" s="10">
        <f>COUNTIFS(Table4[[#This Row],[Rectangular Field Dimension: Length - m ]],Methods_Dimensions!J$16,Table4[[#This Row],[Rectangular Field Dimension: Width - m ]],Methods_Dimensions!H$16)</f>
        <v>0</v>
      </c>
      <c r="AU136" s="10">
        <f>COUNTIFS(Table4[[#This Row],[Rectangular Field Dimension: Length - m ]],Methods_Dimensions!J$17,Table4[[#This Row],[Rectangular Field Dimension: Width - m ]],Methods_Dimensions!H$17)</f>
        <v>0</v>
      </c>
      <c r="AV136" s="10">
        <f>COUNTIFS(Table4[[#This Row],[Rectangular Field Dimension: Length - m ]],Methods_Dimensions!J$18,Table4[[#This Row],[Rectangular Field Dimension: Width - m ]],Methods_Dimensions!H$18)</f>
        <v>0</v>
      </c>
      <c r="AW136" s="10">
        <f>COUNTIFS(Table4[[#This Row],[Rectangular Field Dimension: Length - m ]],Methods_Dimensions!J$19,Table4[[#This Row],[Rectangular Field Dimension: Width - m ]],Methods_Dimensions!H$19)</f>
        <v>0</v>
      </c>
      <c r="AX136" s="6" t="s">
        <v>591</v>
      </c>
      <c r="AY136" s="6" t="s">
        <v>388</v>
      </c>
    </row>
    <row r="137" spans="1:51" ht="34.799999999999997" x14ac:dyDescent="0.3">
      <c r="A137" s="4" t="s">
        <v>315</v>
      </c>
      <c r="B137" s="5" t="s">
        <v>658</v>
      </c>
      <c r="C137" s="5" t="s">
        <v>466</v>
      </c>
      <c r="D137" s="5" t="s">
        <v>147</v>
      </c>
      <c r="E137" s="5" t="s">
        <v>1271</v>
      </c>
      <c r="F137" s="5" t="s">
        <v>740</v>
      </c>
      <c r="G137" s="6" t="s">
        <v>159</v>
      </c>
      <c r="H137" s="12">
        <v>106</v>
      </c>
      <c r="I137" s="12">
        <v>76</v>
      </c>
      <c r="J137" s="37">
        <v>8056</v>
      </c>
      <c r="K137" s="12">
        <v>1</v>
      </c>
      <c r="L137" s="12" t="s">
        <v>389</v>
      </c>
      <c r="M137" s="12"/>
      <c r="N137" s="12">
        <v>1</v>
      </c>
      <c r="O137" s="12"/>
      <c r="P137" s="12"/>
      <c r="Q137" s="12"/>
      <c r="R137" s="12">
        <v>1</v>
      </c>
      <c r="S137" s="12"/>
      <c r="T137" s="12"/>
      <c r="U137" s="12"/>
      <c r="V137" s="12"/>
      <c r="W137" s="17"/>
      <c r="X137" s="12"/>
      <c r="Y137" s="12"/>
      <c r="Z137" s="12">
        <v>1</v>
      </c>
      <c r="AA137" s="12"/>
      <c r="AB137" s="17" t="s">
        <v>383</v>
      </c>
      <c r="AC137" s="17"/>
      <c r="AD137" s="12">
        <v>1</v>
      </c>
      <c r="AE137" s="17" t="s">
        <v>648</v>
      </c>
      <c r="AF137" s="12" t="s">
        <v>444</v>
      </c>
      <c r="AG137" s="17" t="s">
        <v>386</v>
      </c>
      <c r="AH137" s="12"/>
      <c r="AI137" s="12"/>
      <c r="AJ137" s="12">
        <f>SUM(Table4[[#This Row],[Soccer/U7 (Yes=1)]:[Ultimate Frisbee (Yes=1)]])</f>
        <v>5</v>
      </c>
      <c r="AK137" s="10"/>
      <c r="AL137" s="10">
        <v>1</v>
      </c>
      <c r="AM137" s="10">
        <v>1</v>
      </c>
      <c r="AN137" s="10">
        <f>COUNTIFS(Table4[[#This Row],[Rectangular Field Dimension: Length - m ]],Methods_Dimensions!J$10,Table4[[#This Row],[Rectangular Field Dimension: Width - m ]],Methods_Dimensions!H$10)</f>
        <v>1</v>
      </c>
      <c r="AO137" s="10">
        <f>COUNTIFS(Table4[[#This Row],[Rectangular Field Dimension: Length - m ]],Methods_Dimensions!J$11,Table4[[#This Row],[Rectangular Field Dimension: Width - m ]],Methods_Dimensions!H$11)</f>
        <v>1</v>
      </c>
      <c r="AP137" s="10">
        <f>COUNTIFS(Table4[[#This Row],[Rectangular Field Dimension: Length - m ]],Methods_Dimensions!J$12,Table4[[#This Row],[Rectangular Field Dimension: Width - m ]],Methods_Dimensions!H$12)</f>
        <v>1</v>
      </c>
      <c r="AQ137" s="10">
        <f>COUNTIFS(Table4[[#This Row],[Rectangular Field Dimension: Length - m ]],Methods_Dimensions!J$13,Table4[[#This Row],[Rectangular Field Dimension: Width - m ]],Methods_Dimensions!H$13)</f>
        <v>0</v>
      </c>
      <c r="AR137" s="10">
        <f>COUNTIFS(Table4[[#This Row],[Rectangular Field Dimension: Length - m ]],Methods_Dimensions!J$14,Table4[[#This Row],[Rectangular Field Dimension: Width - m ]],Methods_Dimensions!H$14)</f>
        <v>0</v>
      </c>
      <c r="AS13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7" s="10">
        <f>COUNTIFS(Table4[[#This Row],[Rectangular Field Dimension: Length - m ]],Methods_Dimensions!J$16,Table4[[#This Row],[Rectangular Field Dimension: Width - m ]],Methods_Dimensions!H$16)</f>
        <v>0</v>
      </c>
      <c r="AU137" s="10">
        <f>COUNTIFS(Table4[[#This Row],[Rectangular Field Dimension: Length - m ]],Methods_Dimensions!J$17,Table4[[#This Row],[Rectangular Field Dimension: Width - m ]],Methods_Dimensions!H$17)</f>
        <v>0</v>
      </c>
      <c r="AV137" s="10">
        <f>COUNTIFS(Table4[[#This Row],[Rectangular Field Dimension: Length - m ]],Methods_Dimensions!J$18,Table4[[#This Row],[Rectangular Field Dimension: Width - m ]],Methods_Dimensions!H$18)</f>
        <v>0</v>
      </c>
      <c r="AW137" s="10">
        <f>COUNTIFS(Table4[[#This Row],[Rectangular Field Dimension: Length - m ]],Methods_Dimensions!J$19,Table4[[#This Row],[Rectangular Field Dimension: Width - m ]],Methods_Dimensions!H$19)</f>
        <v>0</v>
      </c>
      <c r="AX137" s="6" t="s">
        <v>591</v>
      </c>
      <c r="AY137" s="6" t="s">
        <v>388</v>
      </c>
    </row>
    <row r="138" spans="1:51" ht="34.799999999999997" x14ac:dyDescent="0.3">
      <c r="A138" s="26" t="s">
        <v>316</v>
      </c>
      <c r="B138" s="14" t="s">
        <v>659</v>
      </c>
      <c r="C138" s="14" t="s">
        <v>432</v>
      </c>
      <c r="D138" s="14" t="s">
        <v>150</v>
      </c>
      <c r="E138" s="14" t="s">
        <v>1272</v>
      </c>
      <c r="F138" s="14" t="s">
        <v>740</v>
      </c>
      <c r="G138" s="15" t="s">
        <v>159</v>
      </c>
      <c r="H138" s="16">
        <v>160</v>
      </c>
      <c r="I138" s="16">
        <v>130</v>
      </c>
      <c r="J138" s="36">
        <v>20800</v>
      </c>
      <c r="K138" s="16">
        <v>1</v>
      </c>
      <c r="L138" s="16" t="s">
        <v>381</v>
      </c>
      <c r="M138" s="16">
        <v>1</v>
      </c>
      <c r="N138" s="16"/>
      <c r="O138" s="16"/>
      <c r="P138" s="16">
        <v>1</v>
      </c>
      <c r="Q138" s="16"/>
      <c r="R138" s="16">
        <v>1</v>
      </c>
      <c r="S138" s="16"/>
      <c r="T138" s="16"/>
      <c r="U138" s="16"/>
      <c r="V138" s="16"/>
      <c r="W138" s="18"/>
      <c r="X138" s="16"/>
      <c r="Y138" s="16"/>
      <c r="Z138" s="16">
        <v>1</v>
      </c>
      <c r="AA138" s="16"/>
      <c r="AB138" s="18" t="s">
        <v>383</v>
      </c>
      <c r="AC138" s="18"/>
      <c r="AD138" s="16">
        <v>1</v>
      </c>
      <c r="AE138" s="18" t="s">
        <v>648</v>
      </c>
      <c r="AF138" s="16" t="s">
        <v>385</v>
      </c>
      <c r="AG138" s="18" t="s">
        <v>386</v>
      </c>
      <c r="AH138" s="16"/>
      <c r="AI138" s="16"/>
      <c r="AJ138" s="16">
        <f>SUM(Table4[[#This Row],[Soccer/U7 (Yes=1)]:[Ultimate Frisbee (Yes=1)]])</f>
        <v>11</v>
      </c>
      <c r="AK138" s="10"/>
      <c r="AL138" s="10">
        <v>1</v>
      </c>
      <c r="AM138" s="10">
        <v>1</v>
      </c>
      <c r="AN138" s="10">
        <f>COUNTIFS(Table4[[#This Row],[Rectangular Field Dimension: Length - m ]],Methods_Dimensions!J$10,Table4[[#This Row],[Rectangular Field Dimension: Width - m ]],Methods_Dimensions!H$10)</f>
        <v>1</v>
      </c>
      <c r="AO138" s="10">
        <f>COUNTIFS(Table4[[#This Row],[Rectangular Field Dimension: Length - m ]],Methods_Dimensions!J$11,Table4[[#This Row],[Rectangular Field Dimension: Width - m ]],Methods_Dimensions!H$11)</f>
        <v>1</v>
      </c>
      <c r="AP138" s="10">
        <f>COUNTIFS(Table4[[#This Row],[Rectangular Field Dimension: Length - m ]],Methods_Dimensions!J$12,Table4[[#This Row],[Rectangular Field Dimension: Width - m ]],Methods_Dimensions!H$12)</f>
        <v>1</v>
      </c>
      <c r="AQ138" s="10">
        <f>COUNTIFS(Table4[[#This Row],[Rectangular Field Dimension: Length - m ]],Methods_Dimensions!J$13,Table4[[#This Row],[Rectangular Field Dimension: Width - m ]],Methods_Dimensions!H$13)</f>
        <v>1</v>
      </c>
      <c r="AR138" s="10">
        <f>COUNTIFS(Table4[[#This Row],[Rectangular Field Dimension: Length - m ]],Methods_Dimensions!J$14,Table4[[#This Row],[Rectangular Field Dimension: Width - m ]],Methods_Dimensions!H$14)</f>
        <v>1</v>
      </c>
      <c r="AS13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8" s="10">
        <f>COUNTIFS(Table4[[#This Row],[Rectangular Field Dimension: Length - m ]],Methods_Dimensions!J$16,Table4[[#This Row],[Rectangular Field Dimension: Width - m ]],Methods_Dimensions!H$16)</f>
        <v>1</v>
      </c>
      <c r="AU138" s="10">
        <f>COUNTIFS(Table4[[#This Row],[Rectangular Field Dimension: Length - m ]],Methods_Dimensions!J$17,Table4[[#This Row],[Rectangular Field Dimension: Width - m ]],Methods_Dimensions!H$17)</f>
        <v>1</v>
      </c>
      <c r="AV138" s="10">
        <f>COUNTIFS(Table4[[#This Row],[Rectangular Field Dimension: Length - m ]],Methods_Dimensions!J$18,Table4[[#This Row],[Rectangular Field Dimension: Width - m ]],Methods_Dimensions!H$18)</f>
        <v>1</v>
      </c>
      <c r="AW138" s="10">
        <f>COUNTIFS(Table4[[#This Row],[Rectangular Field Dimension: Length - m ]],Methods_Dimensions!J$19,Table4[[#This Row],[Rectangular Field Dimension: Width - m ]],Methods_Dimensions!H$19)</f>
        <v>1</v>
      </c>
      <c r="AX138" s="6" t="s">
        <v>660</v>
      </c>
      <c r="AY138" s="6" t="s">
        <v>388</v>
      </c>
    </row>
    <row r="139" spans="1:51" ht="34.799999999999997" x14ac:dyDescent="0.3">
      <c r="A139" s="4" t="s">
        <v>317</v>
      </c>
      <c r="B139" s="5" t="s">
        <v>659</v>
      </c>
      <c r="C139" s="5" t="s">
        <v>432</v>
      </c>
      <c r="D139" s="5" t="s">
        <v>150</v>
      </c>
      <c r="E139" s="5" t="s">
        <v>1272</v>
      </c>
      <c r="F139" s="5" t="s">
        <v>740</v>
      </c>
      <c r="G139" s="6" t="s">
        <v>159</v>
      </c>
      <c r="H139" s="12">
        <v>102</v>
      </c>
      <c r="I139" s="12">
        <v>68</v>
      </c>
      <c r="J139" s="37">
        <v>6936</v>
      </c>
      <c r="K139" s="12">
        <v>1</v>
      </c>
      <c r="L139" s="12" t="s">
        <v>389</v>
      </c>
      <c r="M139" s="12"/>
      <c r="N139" s="12">
        <v>1</v>
      </c>
      <c r="O139" s="12"/>
      <c r="P139" s="12">
        <v>1</v>
      </c>
      <c r="Q139" s="12"/>
      <c r="R139" s="12">
        <v>1</v>
      </c>
      <c r="S139" s="12"/>
      <c r="T139" s="12"/>
      <c r="U139" s="12"/>
      <c r="V139" s="12"/>
      <c r="W139" s="17"/>
      <c r="X139" s="12"/>
      <c r="Y139" s="12"/>
      <c r="Z139" s="12">
        <v>1</v>
      </c>
      <c r="AA139" s="12"/>
      <c r="AB139" s="17" t="s">
        <v>383</v>
      </c>
      <c r="AC139" s="17"/>
      <c r="AD139" s="12">
        <v>1</v>
      </c>
      <c r="AE139" s="17" t="s">
        <v>648</v>
      </c>
      <c r="AF139" s="12" t="s">
        <v>385</v>
      </c>
      <c r="AG139" s="17" t="s">
        <v>386</v>
      </c>
      <c r="AH139" s="12"/>
      <c r="AI139" s="12"/>
      <c r="AJ139" s="12">
        <f>SUM(Table4[[#This Row],[Soccer/U7 (Yes=1)]:[Ultimate Frisbee (Yes=1)]])</f>
        <v>5</v>
      </c>
      <c r="AK139" s="10"/>
      <c r="AL139" s="10">
        <v>1</v>
      </c>
      <c r="AM139" s="10">
        <v>1</v>
      </c>
      <c r="AN139" s="10">
        <f>COUNTIFS(Table4[[#This Row],[Rectangular Field Dimension: Length - m ]],Methods_Dimensions!J$10,Table4[[#This Row],[Rectangular Field Dimension: Width - m ]],Methods_Dimensions!H$10)</f>
        <v>1</v>
      </c>
      <c r="AO139" s="10">
        <f>COUNTIFS(Table4[[#This Row],[Rectangular Field Dimension: Length - m ]],Methods_Dimensions!J$11,Table4[[#This Row],[Rectangular Field Dimension: Width - m ]],Methods_Dimensions!H$11)</f>
        <v>1</v>
      </c>
      <c r="AP139" s="10">
        <f>COUNTIFS(Table4[[#This Row],[Rectangular Field Dimension: Length - m ]],Methods_Dimensions!J$12,Table4[[#This Row],[Rectangular Field Dimension: Width - m ]],Methods_Dimensions!H$12)</f>
        <v>1</v>
      </c>
      <c r="AQ139" s="10">
        <f>COUNTIFS(Table4[[#This Row],[Rectangular Field Dimension: Length - m ]],Methods_Dimensions!J$13,Table4[[#This Row],[Rectangular Field Dimension: Width - m ]],Methods_Dimensions!H$13)</f>
        <v>0</v>
      </c>
      <c r="AR139" s="10">
        <f>COUNTIFS(Table4[[#This Row],[Rectangular Field Dimension: Length - m ]],Methods_Dimensions!J$14,Table4[[#This Row],[Rectangular Field Dimension: Width - m ]],Methods_Dimensions!H$14)</f>
        <v>0</v>
      </c>
      <c r="AS13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39" s="10">
        <f>COUNTIFS(Table4[[#This Row],[Rectangular Field Dimension: Length - m ]],Methods_Dimensions!J$16,Table4[[#This Row],[Rectangular Field Dimension: Width - m ]],Methods_Dimensions!H$16)</f>
        <v>0</v>
      </c>
      <c r="AU139" s="10">
        <f>COUNTIFS(Table4[[#This Row],[Rectangular Field Dimension: Length - m ]],Methods_Dimensions!J$17,Table4[[#This Row],[Rectangular Field Dimension: Width - m ]],Methods_Dimensions!H$17)</f>
        <v>0</v>
      </c>
      <c r="AV139" s="10">
        <f>COUNTIFS(Table4[[#This Row],[Rectangular Field Dimension: Length - m ]],Methods_Dimensions!J$18,Table4[[#This Row],[Rectangular Field Dimension: Width - m ]],Methods_Dimensions!H$18)</f>
        <v>0</v>
      </c>
      <c r="AW139" s="10">
        <f>COUNTIFS(Table4[[#This Row],[Rectangular Field Dimension: Length - m ]],Methods_Dimensions!J$19,Table4[[#This Row],[Rectangular Field Dimension: Width - m ]],Methods_Dimensions!H$19)</f>
        <v>0</v>
      </c>
      <c r="AX139" s="6" t="s">
        <v>661</v>
      </c>
      <c r="AY139" s="6" t="s">
        <v>388</v>
      </c>
    </row>
    <row r="140" spans="1:51" ht="34.799999999999997" x14ac:dyDescent="0.3">
      <c r="A140" s="26" t="s">
        <v>318</v>
      </c>
      <c r="B140" s="14" t="s">
        <v>659</v>
      </c>
      <c r="C140" s="14" t="s">
        <v>432</v>
      </c>
      <c r="D140" s="14" t="s">
        <v>150</v>
      </c>
      <c r="E140" s="14" t="s">
        <v>1272</v>
      </c>
      <c r="F140" s="14" t="s">
        <v>740</v>
      </c>
      <c r="G140" s="15" t="s">
        <v>159</v>
      </c>
      <c r="H140" s="16">
        <v>144</v>
      </c>
      <c r="I140" s="16">
        <v>64</v>
      </c>
      <c r="J140" s="36">
        <v>9216</v>
      </c>
      <c r="K140" s="16">
        <v>1</v>
      </c>
      <c r="L140" s="16" t="s">
        <v>389</v>
      </c>
      <c r="M140" s="16"/>
      <c r="N140" s="16">
        <v>1</v>
      </c>
      <c r="O140" s="16"/>
      <c r="P140" s="16">
        <v>1</v>
      </c>
      <c r="Q140" s="16"/>
      <c r="R140" s="16">
        <v>1</v>
      </c>
      <c r="S140" s="16"/>
      <c r="T140" s="16"/>
      <c r="U140" s="16"/>
      <c r="V140" s="16"/>
      <c r="W140" s="18"/>
      <c r="X140" s="16"/>
      <c r="Y140" s="16"/>
      <c r="Z140" s="16">
        <v>1</v>
      </c>
      <c r="AA140" s="16"/>
      <c r="AB140" s="18" t="s">
        <v>383</v>
      </c>
      <c r="AC140" s="18"/>
      <c r="AD140" s="16">
        <v>1</v>
      </c>
      <c r="AE140" s="18" t="s">
        <v>648</v>
      </c>
      <c r="AF140" s="16" t="s">
        <v>385</v>
      </c>
      <c r="AG140" s="18" t="s">
        <v>386</v>
      </c>
      <c r="AH140" s="16"/>
      <c r="AI140" s="16"/>
      <c r="AJ140" s="16">
        <f>SUM(Table4[[#This Row],[Soccer/U7 (Yes=1)]:[Ultimate Frisbee (Yes=1)]])</f>
        <v>6</v>
      </c>
      <c r="AK140" s="10"/>
      <c r="AL140" s="10">
        <v>1</v>
      </c>
      <c r="AM140" s="10">
        <v>1</v>
      </c>
      <c r="AN140" s="10">
        <f>COUNTIFS(Table4[[#This Row],[Rectangular Field Dimension: Length - m ]],Methods_Dimensions!J$10,Table4[[#This Row],[Rectangular Field Dimension: Width - m ]],Methods_Dimensions!H$10)</f>
        <v>1</v>
      </c>
      <c r="AO140" s="10">
        <f>COUNTIFS(Table4[[#This Row],[Rectangular Field Dimension: Length - m ]],Methods_Dimensions!J$11,Table4[[#This Row],[Rectangular Field Dimension: Width - m ]],Methods_Dimensions!H$11)</f>
        <v>1</v>
      </c>
      <c r="AP140" s="10">
        <f>COUNTIFS(Table4[[#This Row],[Rectangular Field Dimension: Length - m ]],Methods_Dimensions!J$12,Table4[[#This Row],[Rectangular Field Dimension: Width - m ]],Methods_Dimensions!H$12)</f>
        <v>1</v>
      </c>
      <c r="AQ140" s="10">
        <f>COUNTIFS(Table4[[#This Row],[Rectangular Field Dimension: Length - m ]],Methods_Dimensions!J$13,Table4[[#This Row],[Rectangular Field Dimension: Width - m ]],Methods_Dimensions!H$13)</f>
        <v>0</v>
      </c>
      <c r="AR140" s="10">
        <f>COUNTIFS(Table4[[#This Row],[Rectangular Field Dimension: Length - m ]],Methods_Dimensions!J$14,Table4[[#This Row],[Rectangular Field Dimension: Width - m ]],Methods_Dimensions!H$14)</f>
        <v>0</v>
      </c>
      <c r="AS14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0" s="10">
        <f>COUNTIFS(Table4[[#This Row],[Rectangular Field Dimension: Length - m ]],Methods_Dimensions!J$16,Table4[[#This Row],[Rectangular Field Dimension: Width - m ]],Methods_Dimensions!H$16)</f>
        <v>0</v>
      </c>
      <c r="AU140" s="10">
        <f>COUNTIFS(Table4[[#This Row],[Rectangular Field Dimension: Length - m ]],Methods_Dimensions!J$17,Table4[[#This Row],[Rectangular Field Dimension: Width - m ]],Methods_Dimensions!H$17)</f>
        <v>0</v>
      </c>
      <c r="AV140" s="10">
        <f>COUNTIFS(Table4[[#This Row],[Rectangular Field Dimension: Length - m ]],Methods_Dimensions!J$18,Table4[[#This Row],[Rectangular Field Dimension: Width - m ]],Methods_Dimensions!H$18)</f>
        <v>0</v>
      </c>
      <c r="AW140" s="10">
        <f>COUNTIFS(Table4[[#This Row],[Rectangular Field Dimension: Length - m ]],Methods_Dimensions!J$19,Table4[[#This Row],[Rectangular Field Dimension: Width - m ]],Methods_Dimensions!H$19)</f>
        <v>1</v>
      </c>
      <c r="AX140" s="6" t="s">
        <v>661</v>
      </c>
      <c r="AY140" s="6" t="s">
        <v>388</v>
      </c>
    </row>
    <row r="141" spans="1:51" ht="34.799999999999997" x14ac:dyDescent="0.3">
      <c r="A141" s="4" t="s">
        <v>319</v>
      </c>
      <c r="B141" s="5" t="s">
        <v>659</v>
      </c>
      <c r="C141" s="5" t="s">
        <v>432</v>
      </c>
      <c r="D141" s="5" t="s">
        <v>150</v>
      </c>
      <c r="E141" s="5" t="s">
        <v>1272</v>
      </c>
      <c r="F141" s="5" t="s">
        <v>740</v>
      </c>
      <c r="G141" s="6" t="s">
        <v>159</v>
      </c>
      <c r="H141" s="12">
        <v>104</v>
      </c>
      <c r="I141" s="12">
        <v>57</v>
      </c>
      <c r="J141" s="37">
        <v>5928</v>
      </c>
      <c r="K141" s="12"/>
      <c r="L141" s="12" t="s">
        <v>397</v>
      </c>
      <c r="M141" s="12">
        <v>1</v>
      </c>
      <c r="N141" s="12">
        <v>1</v>
      </c>
      <c r="O141" s="12"/>
      <c r="P141" s="12">
        <v>1</v>
      </c>
      <c r="Q141" s="12"/>
      <c r="R141" s="12">
        <v>1</v>
      </c>
      <c r="S141" s="12"/>
      <c r="T141" s="12"/>
      <c r="U141" s="12"/>
      <c r="V141" s="12"/>
      <c r="W141" s="17"/>
      <c r="X141" s="12"/>
      <c r="Y141" s="12"/>
      <c r="Z141" s="12">
        <v>1</v>
      </c>
      <c r="AA141" s="12"/>
      <c r="AB141" s="17" t="s">
        <v>383</v>
      </c>
      <c r="AC141" s="17"/>
      <c r="AD141" s="12">
        <v>1</v>
      </c>
      <c r="AE141" s="17" t="s">
        <v>648</v>
      </c>
      <c r="AF141" s="12" t="s">
        <v>385</v>
      </c>
      <c r="AG141" s="17" t="s">
        <v>386</v>
      </c>
      <c r="AH141" s="12"/>
      <c r="AI141" s="12"/>
      <c r="AJ141" s="12">
        <f>SUM(Table4[[#This Row],[Soccer/U7 (Yes=1)]:[Ultimate Frisbee (Yes=1)]])</f>
        <v>5</v>
      </c>
      <c r="AK141" s="10"/>
      <c r="AL141" s="10">
        <v>1</v>
      </c>
      <c r="AM141" s="10">
        <v>1</v>
      </c>
      <c r="AN141" s="10">
        <f>COUNTIFS(Table4[[#This Row],[Rectangular Field Dimension: Length - m ]],Methods_Dimensions!J$10,Table4[[#This Row],[Rectangular Field Dimension: Width - m ]],Methods_Dimensions!H$10)</f>
        <v>1</v>
      </c>
      <c r="AO141" s="10">
        <f>COUNTIFS(Table4[[#This Row],[Rectangular Field Dimension: Length - m ]],Methods_Dimensions!J$11,Table4[[#This Row],[Rectangular Field Dimension: Width - m ]],Methods_Dimensions!H$11)</f>
        <v>1</v>
      </c>
      <c r="AP141" s="10">
        <f>COUNTIFS(Table4[[#This Row],[Rectangular Field Dimension: Length - m ]],Methods_Dimensions!J$12,Table4[[#This Row],[Rectangular Field Dimension: Width - m ]],Methods_Dimensions!H$12)</f>
        <v>1</v>
      </c>
      <c r="AQ141" s="10">
        <f>COUNTIFS(Table4[[#This Row],[Rectangular Field Dimension: Length - m ]],Methods_Dimensions!J$13,Table4[[#This Row],[Rectangular Field Dimension: Width - m ]],Methods_Dimensions!H$13)</f>
        <v>0</v>
      </c>
      <c r="AR141" s="10">
        <f>COUNTIFS(Table4[[#This Row],[Rectangular Field Dimension: Length - m ]],Methods_Dimensions!J$14,Table4[[#This Row],[Rectangular Field Dimension: Width - m ]],Methods_Dimensions!H$14)</f>
        <v>0</v>
      </c>
      <c r="AS14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1" s="10">
        <f>COUNTIFS(Table4[[#This Row],[Rectangular Field Dimension: Length - m ]],Methods_Dimensions!J$16,Table4[[#This Row],[Rectangular Field Dimension: Width - m ]],Methods_Dimensions!H$16)</f>
        <v>0</v>
      </c>
      <c r="AU141" s="10">
        <f>COUNTIFS(Table4[[#This Row],[Rectangular Field Dimension: Length - m ]],Methods_Dimensions!J$17,Table4[[#This Row],[Rectangular Field Dimension: Width - m ]],Methods_Dimensions!H$17)</f>
        <v>0</v>
      </c>
      <c r="AV141" s="10">
        <f>COUNTIFS(Table4[[#This Row],[Rectangular Field Dimension: Length - m ]],Methods_Dimensions!J$18,Table4[[#This Row],[Rectangular Field Dimension: Width - m ]],Methods_Dimensions!H$18)</f>
        <v>0</v>
      </c>
      <c r="AW141" s="10">
        <f>COUNTIFS(Table4[[#This Row],[Rectangular Field Dimension: Length - m ]],Methods_Dimensions!J$19,Table4[[#This Row],[Rectangular Field Dimension: Width - m ]],Methods_Dimensions!H$19)</f>
        <v>0</v>
      </c>
      <c r="AX141" s="6" t="s">
        <v>661</v>
      </c>
      <c r="AY141" s="6" t="s">
        <v>388</v>
      </c>
    </row>
    <row r="142" spans="1:51" ht="34.799999999999997" x14ac:dyDescent="0.3">
      <c r="A142" s="26" t="s">
        <v>320</v>
      </c>
      <c r="B142" s="14" t="s">
        <v>659</v>
      </c>
      <c r="C142" s="14" t="s">
        <v>432</v>
      </c>
      <c r="D142" s="14" t="s">
        <v>150</v>
      </c>
      <c r="E142" s="14" t="s">
        <v>789</v>
      </c>
      <c r="F142" s="14" t="s">
        <v>789</v>
      </c>
      <c r="G142" s="15" t="s">
        <v>159</v>
      </c>
      <c r="H142" s="114"/>
      <c r="I142" s="114"/>
      <c r="J142" s="36"/>
      <c r="K142" s="16">
        <v>1</v>
      </c>
      <c r="L142" s="16" t="s">
        <v>389</v>
      </c>
      <c r="M142" s="16"/>
      <c r="N142" s="16">
        <v>1</v>
      </c>
      <c r="O142" s="16"/>
      <c r="P142" s="16">
        <v>1</v>
      </c>
      <c r="Q142" s="16"/>
      <c r="R142" s="16">
        <v>1</v>
      </c>
      <c r="S142" s="16"/>
      <c r="T142" s="16"/>
      <c r="U142" s="16"/>
      <c r="V142" s="16"/>
      <c r="W142" s="18" t="s">
        <v>537</v>
      </c>
      <c r="X142" s="16"/>
      <c r="Y142" s="16"/>
      <c r="Z142" s="16">
        <v>1</v>
      </c>
      <c r="AA142" s="16"/>
      <c r="AB142" s="18" t="s">
        <v>383</v>
      </c>
      <c r="AC142" s="18"/>
      <c r="AD142" s="16">
        <v>1</v>
      </c>
      <c r="AE142" s="18" t="s">
        <v>648</v>
      </c>
      <c r="AF142" s="16" t="s">
        <v>399</v>
      </c>
      <c r="AG142" s="18" t="s">
        <v>416</v>
      </c>
      <c r="AH142" s="16"/>
      <c r="AI142" s="16"/>
      <c r="AJ142" s="16">
        <f>SUM(Table4[[#This Row],[Soccer/U7 (Yes=1)]:[Ultimate Frisbee (Yes=1)]])</f>
        <v>0</v>
      </c>
      <c r="AK142" s="10"/>
      <c r="AL142" s="10">
        <v>0</v>
      </c>
      <c r="AM142" s="10">
        <v>0</v>
      </c>
      <c r="AN142" s="10">
        <f>COUNTIFS(Table4[[#This Row],[Rectangular Field Dimension: Length - m ]],Methods_Dimensions!J$10,Table4[[#This Row],[Rectangular Field Dimension: Width - m ]],Methods_Dimensions!H$10)</f>
        <v>0</v>
      </c>
      <c r="AO142" s="10">
        <f>COUNTIFS(Table4[[#This Row],[Rectangular Field Dimension: Length - m ]],Methods_Dimensions!J$11,Table4[[#This Row],[Rectangular Field Dimension: Width - m ]],Methods_Dimensions!H$11)</f>
        <v>0</v>
      </c>
      <c r="AP142" s="10">
        <f>COUNTIFS(Table4[[#This Row],[Rectangular Field Dimension: Length - m ]],Methods_Dimensions!J$12,Table4[[#This Row],[Rectangular Field Dimension: Width - m ]],Methods_Dimensions!H$12)</f>
        <v>0</v>
      </c>
      <c r="AQ142" s="10">
        <f>COUNTIFS(Table4[[#This Row],[Rectangular Field Dimension: Length - m ]],Methods_Dimensions!J$13,Table4[[#This Row],[Rectangular Field Dimension: Width - m ]],Methods_Dimensions!H$13)</f>
        <v>0</v>
      </c>
      <c r="AR142" s="10">
        <f>COUNTIFS(Table4[[#This Row],[Rectangular Field Dimension: Length - m ]],Methods_Dimensions!J$14,Table4[[#This Row],[Rectangular Field Dimension: Width - m ]],Methods_Dimensions!H$14)</f>
        <v>0</v>
      </c>
      <c r="AS14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2" s="10">
        <f>COUNTIFS(Table4[[#This Row],[Rectangular Field Dimension: Length - m ]],Methods_Dimensions!J$16,Table4[[#This Row],[Rectangular Field Dimension: Width - m ]],Methods_Dimensions!H$16)</f>
        <v>0</v>
      </c>
      <c r="AU142" s="10">
        <f>COUNTIFS(Table4[[#This Row],[Rectangular Field Dimension: Length - m ]],Methods_Dimensions!J$17,Table4[[#This Row],[Rectangular Field Dimension: Width - m ]],Methods_Dimensions!H$17)</f>
        <v>0</v>
      </c>
      <c r="AV142" s="10">
        <f>COUNTIFS(Table4[[#This Row],[Rectangular Field Dimension: Length - m ]],Methods_Dimensions!J$18,Table4[[#This Row],[Rectangular Field Dimension: Width - m ]],Methods_Dimensions!H$18)</f>
        <v>0</v>
      </c>
      <c r="AW142" s="10">
        <f>COUNTIFS(Table4[[#This Row],[Rectangular Field Dimension: Length - m ]],Methods_Dimensions!J$19,Table4[[#This Row],[Rectangular Field Dimension: Width - m ]],Methods_Dimensions!H$19)</f>
        <v>0</v>
      </c>
      <c r="AX142" s="6" t="s">
        <v>662</v>
      </c>
      <c r="AY142" s="6" t="s">
        <v>388</v>
      </c>
    </row>
    <row r="143" spans="1:51" ht="34.799999999999997" x14ac:dyDescent="0.3">
      <c r="A143" s="4" t="s">
        <v>663</v>
      </c>
      <c r="B143" s="5" t="s">
        <v>664</v>
      </c>
      <c r="C143" s="5" t="s">
        <v>432</v>
      </c>
      <c r="D143" s="5" t="s">
        <v>321</v>
      </c>
      <c r="E143" s="5" t="s">
        <v>395</v>
      </c>
      <c r="F143" s="5" t="s">
        <v>396</v>
      </c>
      <c r="G143" s="6" t="s">
        <v>159</v>
      </c>
      <c r="H143" s="12">
        <v>109</v>
      </c>
      <c r="I143" s="12">
        <v>74</v>
      </c>
      <c r="J143" s="37">
        <v>8066</v>
      </c>
      <c r="K143" s="12"/>
      <c r="L143" s="12" t="s">
        <v>397</v>
      </c>
      <c r="M143" s="12">
        <v>1</v>
      </c>
      <c r="N143" s="12">
        <v>1</v>
      </c>
      <c r="O143" s="12">
        <v>1</v>
      </c>
      <c r="P143" s="12">
        <v>1</v>
      </c>
      <c r="Q143" s="12">
        <v>1</v>
      </c>
      <c r="R143" s="12">
        <v>1</v>
      </c>
      <c r="S143" s="12"/>
      <c r="T143" s="12">
        <v>1</v>
      </c>
      <c r="U143" s="12"/>
      <c r="V143" s="12">
        <v>1</v>
      </c>
      <c r="W143" s="17" t="s">
        <v>537</v>
      </c>
      <c r="X143" s="12"/>
      <c r="Y143" s="12"/>
      <c r="Z143" s="12"/>
      <c r="AA143" s="12"/>
      <c r="AB143" s="17" t="s">
        <v>383</v>
      </c>
      <c r="AC143" s="17"/>
      <c r="AD143" s="12"/>
      <c r="AE143" s="17" t="s">
        <v>648</v>
      </c>
      <c r="AF143" s="12" t="s">
        <v>399</v>
      </c>
      <c r="AG143" s="17" t="s">
        <v>400</v>
      </c>
      <c r="AH143" s="12" t="s">
        <v>489</v>
      </c>
      <c r="AI143" s="12" t="s">
        <v>665</v>
      </c>
      <c r="AJ143" s="12">
        <f>SUM(Table4[[#This Row],[Soccer/U7 (Yes=1)]:[Ultimate Frisbee (Yes=1)]])</f>
        <v>6</v>
      </c>
      <c r="AK143" s="10"/>
      <c r="AL143" s="10">
        <v>1</v>
      </c>
      <c r="AM143" s="10">
        <v>1</v>
      </c>
      <c r="AN143" s="10">
        <f>COUNTIFS(Table4[[#This Row],[Rectangular Field Dimension: Length - m ]],Methods_Dimensions!J$10,Table4[[#This Row],[Rectangular Field Dimension: Width - m ]],Methods_Dimensions!H$10)</f>
        <v>1</v>
      </c>
      <c r="AO143" s="10">
        <f>COUNTIFS(Table4[[#This Row],[Rectangular Field Dimension: Length - m ]],Methods_Dimensions!J$11,Table4[[#This Row],[Rectangular Field Dimension: Width - m ]],Methods_Dimensions!H$11)</f>
        <v>1</v>
      </c>
      <c r="AP143" s="10">
        <f>COUNTIFS(Table4[[#This Row],[Rectangular Field Dimension: Length - m ]],Methods_Dimensions!J$12,Table4[[#This Row],[Rectangular Field Dimension: Width - m ]],Methods_Dimensions!H$12)</f>
        <v>1</v>
      </c>
      <c r="AQ143" s="10">
        <f>COUNTIFS(Table4[[#This Row],[Rectangular Field Dimension: Length - m ]],Methods_Dimensions!J$13,Table4[[#This Row],[Rectangular Field Dimension: Width - m ]],Methods_Dimensions!H$13)</f>
        <v>0</v>
      </c>
      <c r="AR143" s="10">
        <f>COUNTIFS(Table4[[#This Row],[Rectangular Field Dimension: Length - m ]],Methods_Dimensions!J$14,Table4[[#This Row],[Rectangular Field Dimension: Width - m ]],Methods_Dimensions!H$14)</f>
        <v>0</v>
      </c>
      <c r="AS143"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3" s="10">
        <f>COUNTIFS(Table4[[#This Row],[Rectangular Field Dimension: Length - m ]],Methods_Dimensions!J$16,Table4[[#This Row],[Rectangular Field Dimension: Width - m ]],Methods_Dimensions!H$16)</f>
        <v>0</v>
      </c>
      <c r="AU143" s="10">
        <f>COUNTIFS(Table4[[#This Row],[Rectangular Field Dimension: Length - m ]],Methods_Dimensions!J$17,Table4[[#This Row],[Rectangular Field Dimension: Width - m ]],Methods_Dimensions!H$17)</f>
        <v>0</v>
      </c>
      <c r="AV143" s="10">
        <f>COUNTIFS(Table4[[#This Row],[Rectangular Field Dimension: Length - m ]],Methods_Dimensions!J$18,Table4[[#This Row],[Rectangular Field Dimension: Width - m ]],Methods_Dimensions!H$18)</f>
        <v>0</v>
      </c>
      <c r="AW143" s="10">
        <f>COUNTIFS(Table4[[#This Row],[Rectangular Field Dimension: Length - m ]],Methods_Dimensions!J$19,Table4[[#This Row],[Rectangular Field Dimension: Width - m ]],Methods_Dimensions!H$19)</f>
        <v>1</v>
      </c>
      <c r="AX143" s="6" t="s">
        <v>666</v>
      </c>
      <c r="AY143" s="6" t="s">
        <v>388</v>
      </c>
    </row>
    <row r="144" spans="1:51" ht="69.599999999999994" x14ac:dyDescent="0.3">
      <c r="A144" s="26" t="s">
        <v>667</v>
      </c>
      <c r="B144" s="14" t="s">
        <v>664</v>
      </c>
      <c r="C144" s="14" t="s">
        <v>432</v>
      </c>
      <c r="D144" s="14" t="s">
        <v>321</v>
      </c>
      <c r="E144" s="14" t="s">
        <v>395</v>
      </c>
      <c r="F144" s="14" t="s">
        <v>396</v>
      </c>
      <c r="G144" s="15" t="s">
        <v>159</v>
      </c>
      <c r="H144" s="16">
        <v>109</v>
      </c>
      <c r="I144" s="16">
        <v>70</v>
      </c>
      <c r="J144" s="36">
        <v>7630</v>
      </c>
      <c r="K144" s="16"/>
      <c r="L144" s="16" t="s">
        <v>397</v>
      </c>
      <c r="M144" s="16">
        <v>1</v>
      </c>
      <c r="N144" s="16">
        <v>1</v>
      </c>
      <c r="O144" s="16">
        <v>1</v>
      </c>
      <c r="P144" s="16">
        <v>1</v>
      </c>
      <c r="Q144" s="16">
        <v>1</v>
      </c>
      <c r="R144" s="16">
        <v>1</v>
      </c>
      <c r="S144" s="16"/>
      <c r="T144" s="16">
        <v>1</v>
      </c>
      <c r="U144" s="16"/>
      <c r="V144" s="16">
        <v>1</v>
      </c>
      <c r="W144" s="18"/>
      <c r="X144" s="16"/>
      <c r="Y144" s="16"/>
      <c r="Z144" s="16"/>
      <c r="AA144" s="16"/>
      <c r="AB144" s="18" t="s">
        <v>383</v>
      </c>
      <c r="AC144" s="18"/>
      <c r="AD144" s="16"/>
      <c r="AE144" s="18" t="s">
        <v>648</v>
      </c>
      <c r="AF144" s="16" t="s">
        <v>399</v>
      </c>
      <c r="AG144" s="18" t="s">
        <v>400</v>
      </c>
      <c r="AH144" s="16">
        <v>36</v>
      </c>
      <c r="AI144" s="16">
        <v>8</v>
      </c>
      <c r="AJ144" s="16">
        <f>SUM(Table4[[#This Row],[Soccer/U7 (Yes=1)]:[Ultimate Frisbee (Yes=1)]])</f>
        <v>6</v>
      </c>
      <c r="AK144" s="10"/>
      <c r="AL144" s="10">
        <v>1</v>
      </c>
      <c r="AM144" s="10">
        <v>1</v>
      </c>
      <c r="AN144" s="10">
        <f>COUNTIFS(Table4[[#This Row],[Rectangular Field Dimension: Length - m ]],Methods_Dimensions!J$10,Table4[[#This Row],[Rectangular Field Dimension: Width - m ]],Methods_Dimensions!H$10)</f>
        <v>1</v>
      </c>
      <c r="AO144" s="10">
        <f>COUNTIFS(Table4[[#This Row],[Rectangular Field Dimension: Length - m ]],Methods_Dimensions!J$11,Table4[[#This Row],[Rectangular Field Dimension: Width - m ]],Methods_Dimensions!H$11)</f>
        <v>1</v>
      </c>
      <c r="AP144" s="10">
        <f>COUNTIFS(Table4[[#This Row],[Rectangular Field Dimension: Length - m ]],Methods_Dimensions!J$12,Table4[[#This Row],[Rectangular Field Dimension: Width - m ]],Methods_Dimensions!H$12)</f>
        <v>1</v>
      </c>
      <c r="AQ144" s="10">
        <f>COUNTIFS(Table4[[#This Row],[Rectangular Field Dimension: Length - m ]],Methods_Dimensions!J$13,Table4[[#This Row],[Rectangular Field Dimension: Width - m ]],Methods_Dimensions!H$13)</f>
        <v>0</v>
      </c>
      <c r="AR144" s="10">
        <f>COUNTIFS(Table4[[#This Row],[Rectangular Field Dimension: Length - m ]],Methods_Dimensions!J$14,Table4[[#This Row],[Rectangular Field Dimension: Width - m ]],Methods_Dimensions!H$14)</f>
        <v>0</v>
      </c>
      <c r="AS144"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4" s="10">
        <f>COUNTIFS(Table4[[#This Row],[Rectangular Field Dimension: Length - m ]],Methods_Dimensions!J$16,Table4[[#This Row],[Rectangular Field Dimension: Width - m ]],Methods_Dimensions!H$16)</f>
        <v>0</v>
      </c>
      <c r="AU144" s="10">
        <f>COUNTIFS(Table4[[#This Row],[Rectangular Field Dimension: Length - m ]],Methods_Dimensions!J$17,Table4[[#This Row],[Rectangular Field Dimension: Width - m ]],Methods_Dimensions!H$17)</f>
        <v>0</v>
      </c>
      <c r="AV144" s="10">
        <f>COUNTIFS(Table4[[#This Row],[Rectangular Field Dimension: Length - m ]],Methods_Dimensions!J$18,Table4[[#This Row],[Rectangular Field Dimension: Width - m ]],Methods_Dimensions!H$18)</f>
        <v>0</v>
      </c>
      <c r="AW144" s="10">
        <f>COUNTIFS(Table4[[#This Row],[Rectangular Field Dimension: Length - m ]],Methods_Dimensions!J$19,Table4[[#This Row],[Rectangular Field Dimension: Width - m ]],Methods_Dimensions!H$19)</f>
        <v>1</v>
      </c>
      <c r="AX144" s="6" t="s">
        <v>668</v>
      </c>
      <c r="AY144" s="6" t="s">
        <v>388</v>
      </c>
    </row>
    <row r="145" spans="1:51" ht="17.399999999999999" x14ac:dyDescent="0.3">
      <c r="A145" s="4" t="s">
        <v>669</v>
      </c>
      <c r="B145" s="5" t="s">
        <v>670</v>
      </c>
      <c r="C145" s="5" t="s">
        <v>412</v>
      </c>
      <c r="D145" s="5" t="s">
        <v>322</v>
      </c>
      <c r="E145" s="5" t="s">
        <v>395</v>
      </c>
      <c r="F145" s="5" t="s">
        <v>396</v>
      </c>
      <c r="G145" s="6" t="s">
        <v>159</v>
      </c>
      <c r="H145" s="12">
        <v>100</v>
      </c>
      <c r="I145" s="12">
        <v>65</v>
      </c>
      <c r="J145" s="37">
        <v>6500</v>
      </c>
      <c r="K145" s="12"/>
      <c r="L145" s="12" t="s">
        <v>397</v>
      </c>
      <c r="M145" s="12">
        <v>1</v>
      </c>
      <c r="N145" s="12">
        <v>1</v>
      </c>
      <c r="O145" s="12">
        <v>1</v>
      </c>
      <c r="P145" s="12">
        <v>1</v>
      </c>
      <c r="Q145" s="12"/>
      <c r="R145" s="12">
        <v>1</v>
      </c>
      <c r="S145" s="12"/>
      <c r="T145" s="12">
        <v>1</v>
      </c>
      <c r="U145" s="12"/>
      <c r="V145" s="12">
        <v>1</v>
      </c>
      <c r="W145" s="17" t="s">
        <v>382</v>
      </c>
      <c r="X145" s="12"/>
      <c r="Y145" s="12"/>
      <c r="Z145" s="12"/>
      <c r="AA145" s="12"/>
      <c r="AB145" s="17" t="s">
        <v>383</v>
      </c>
      <c r="AC145" s="17"/>
      <c r="AD145" s="12">
        <v>1</v>
      </c>
      <c r="AE145" s="17"/>
      <c r="AF145" s="12" t="s">
        <v>385</v>
      </c>
      <c r="AG145" s="17" t="s">
        <v>400</v>
      </c>
      <c r="AH145" s="12" t="s">
        <v>489</v>
      </c>
      <c r="AI145" s="12"/>
      <c r="AJ145" s="12">
        <f>SUM(Table4[[#This Row],[Soccer/U7 (Yes=1)]:[Ultimate Frisbee (Yes=1)]])</f>
        <v>5</v>
      </c>
      <c r="AK145" s="10"/>
      <c r="AL145" s="10">
        <v>1</v>
      </c>
      <c r="AM145" s="10">
        <v>1</v>
      </c>
      <c r="AN145" s="10">
        <f>COUNTIFS(Table4[[#This Row],[Rectangular Field Dimension: Length - m ]],Methods_Dimensions!J$10,Table4[[#This Row],[Rectangular Field Dimension: Width - m ]],Methods_Dimensions!H$10)</f>
        <v>1</v>
      </c>
      <c r="AO145" s="10">
        <f>COUNTIFS(Table4[[#This Row],[Rectangular Field Dimension: Length - m ]],Methods_Dimensions!J$11,Table4[[#This Row],[Rectangular Field Dimension: Width - m ]],Methods_Dimensions!H$11)</f>
        <v>1</v>
      </c>
      <c r="AP145" s="10">
        <f>COUNTIFS(Table4[[#This Row],[Rectangular Field Dimension: Length - m ]],Methods_Dimensions!J$12,Table4[[#This Row],[Rectangular Field Dimension: Width - m ]],Methods_Dimensions!H$12)</f>
        <v>1</v>
      </c>
      <c r="AQ145" s="10">
        <f>COUNTIFS(Table4[[#This Row],[Rectangular Field Dimension: Length - m ]],Methods_Dimensions!J$13,Table4[[#This Row],[Rectangular Field Dimension: Width - m ]],Methods_Dimensions!H$13)</f>
        <v>0</v>
      </c>
      <c r="AR145" s="10">
        <f>COUNTIFS(Table4[[#This Row],[Rectangular Field Dimension: Length - m ]],Methods_Dimensions!J$14,Table4[[#This Row],[Rectangular Field Dimension: Width - m ]],Methods_Dimensions!H$14)</f>
        <v>0</v>
      </c>
      <c r="AS145"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5" s="10">
        <f>COUNTIFS(Table4[[#This Row],[Rectangular Field Dimension: Length - m ]],Methods_Dimensions!J$16,Table4[[#This Row],[Rectangular Field Dimension: Width - m ]],Methods_Dimensions!H$16)</f>
        <v>0</v>
      </c>
      <c r="AU145" s="10">
        <f>COUNTIFS(Table4[[#This Row],[Rectangular Field Dimension: Length - m ]],Methods_Dimensions!J$17,Table4[[#This Row],[Rectangular Field Dimension: Width - m ]],Methods_Dimensions!H$17)</f>
        <v>0</v>
      </c>
      <c r="AV145" s="10">
        <f>COUNTIFS(Table4[[#This Row],[Rectangular Field Dimension: Length - m ]],Methods_Dimensions!J$18,Table4[[#This Row],[Rectangular Field Dimension: Width - m ]],Methods_Dimensions!H$18)</f>
        <v>0</v>
      </c>
      <c r="AW145" s="10">
        <f>COUNTIFS(Table4[[#This Row],[Rectangular Field Dimension: Length - m ]],Methods_Dimensions!J$19,Table4[[#This Row],[Rectangular Field Dimension: Width - m ]],Methods_Dimensions!H$19)</f>
        <v>0</v>
      </c>
      <c r="AX145" s="6" t="s">
        <v>671</v>
      </c>
      <c r="AY145" s="6" t="s">
        <v>388</v>
      </c>
    </row>
    <row r="146" spans="1:51" ht="34.799999999999997" x14ac:dyDescent="0.3">
      <c r="A146" s="26" t="s">
        <v>323</v>
      </c>
      <c r="B146" s="14" t="s">
        <v>672</v>
      </c>
      <c r="C146" s="14" t="s">
        <v>525</v>
      </c>
      <c r="D146" s="14" t="s">
        <v>154</v>
      </c>
      <c r="E146" s="14" t="s">
        <v>1271</v>
      </c>
      <c r="F146" s="14" t="s">
        <v>754</v>
      </c>
      <c r="G146" s="15" t="s">
        <v>159</v>
      </c>
      <c r="H146" s="16">
        <v>70</v>
      </c>
      <c r="I146" s="16">
        <v>55</v>
      </c>
      <c r="J146" s="36">
        <v>3850</v>
      </c>
      <c r="K146" s="16">
        <v>1</v>
      </c>
      <c r="L146" s="16" t="s">
        <v>397</v>
      </c>
      <c r="M146" s="16">
        <v>1</v>
      </c>
      <c r="N146" s="16">
        <v>1</v>
      </c>
      <c r="O146" s="16"/>
      <c r="P146" s="16">
        <v>1</v>
      </c>
      <c r="Q146" s="16"/>
      <c r="R146" s="16">
        <v>1</v>
      </c>
      <c r="S146" s="16"/>
      <c r="T146" s="16"/>
      <c r="U146" s="16"/>
      <c r="V146" s="16"/>
      <c r="W146" s="18"/>
      <c r="X146" s="16"/>
      <c r="Y146" s="16"/>
      <c r="Z146" s="16">
        <v>1</v>
      </c>
      <c r="AA146" s="16"/>
      <c r="AB146" s="18" t="s">
        <v>383</v>
      </c>
      <c r="AC146" s="18"/>
      <c r="AD146" s="16">
        <v>1</v>
      </c>
      <c r="AE146" s="18" t="s">
        <v>648</v>
      </c>
      <c r="AF146" s="16" t="s">
        <v>399</v>
      </c>
      <c r="AG146" s="18" t="s">
        <v>386</v>
      </c>
      <c r="AH146" s="16">
        <v>186</v>
      </c>
      <c r="AI146" s="16">
        <v>4</v>
      </c>
      <c r="AJ146" s="16">
        <f>SUM(Table4[[#This Row],[Soccer/U7 (Yes=1)]:[Ultimate Frisbee (Yes=1)]])</f>
        <v>4</v>
      </c>
      <c r="AK146" s="10"/>
      <c r="AL146" s="10">
        <v>1</v>
      </c>
      <c r="AM146" s="10">
        <v>1</v>
      </c>
      <c r="AN146" s="10">
        <f>COUNTIFS(Table4[[#This Row],[Rectangular Field Dimension: Length - m ]],Methods_Dimensions!J$10,Table4[[#This Row],[Rectangular Field Dimension: Width - m ]],Methods_Dimensions!H$10)</f>
        <v>1</v>
      </c>
      <c r="AO146" s="10">
        <f>COUNTIFS(Table4[[#This Row],[Rectangular Field Dimension: Length - m ]],Methods_Dimensions!J$11,Table4[[#This Row],[Rectangular Field Dimension: Width - m ]],Methods_Dimensions!H$11)</f>
        <v>1</v>
      </c>
      <c r="AP146" s="10">
        <f>COUNTIFS(Table4[[#This Row],[Rectangular Field Dimension: Length - m ]],Methods_Dimensions!J$12,Table4[[#This Row],[Rectangular Field Dimension: Width - m ]],Methods_Dimensions!H$12)</f>
        <v>0</v>
      </c>
      <c r="AQ146" s="10">
        <f>COUNTIFS(Table4[[#This Row],[Rectangular Field Dimension: Length - m ]],Methods_Dimensions!J$13,Table4[[#This Row],[Rectangular Field Dimension: Width - m ]],Methods_Dimensions!H$13)</f>
        <v>0</v>
      </c>
      <c r="AR146" s="10">
        <f>COUNTIFS(Table4[[#This Row],[Rectangular Field Dimension: Length - m ]],Methods_Dimensions!J$14,Table4[[#This Row],[Rectangular Field Dimension: Width - m ]],Methods_Dimensions!H$14)</f>
        <v>0</v>
      </c>
      <c r="AS146"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6" s="10">
        <f>COUNTIFS(Table4[[#This Row],[Rectangular Field Dimension: Length - m ]],Methods_Dimensions!J$16,Table4[[#This Row],[Rectangular Field Dimension: Width - m ]],Methods_Dimensions!H$16)</f>
        <v>0</v>
      </c>
      <c r="AU146" s="10">
        <f>COUNTIFS(Table4[[#This Row],[Rectangular Field Dimension: Length - m ]],Methods_Dimensions!J$17,Table4[[#This Row],[Rectangular Field Dimension: Width - m ]],Methods_Dimensions!H$17)</f>
        <v>0</v>
      </c>
      <c r="AV146" s="10">
        <f>COUNTIFS(Table4[[#This Row],[Rectangular Field Dimension: Length - m ]],Methods_Dimensions!J$18,Table4[[#This Row],[Rectangular Field Dimension: Width - m ]],Methods_Dimensions!H$18)</f>
        <v>0</v>
      </c>
      <c r="AW146" s="10">
        <f>COUNTIFS(Table4[[#This Row],[Rectangular Field Dimension: Length - m ]],Methods_Dimensions!J$19,Table4[[#This Row],[Rectangular Field Dimension: Width - m ]],Methods_Dimensions!H$19)</f>
        <v>0</v>
      </c>
      <c r="AX146" s="6" t="s">
        <v>387</v>
      </c>
      <c r="AY146" s="6" t="s">
        <v>388</v>
      </c>
    </row>
    <row r="147" spans="1:51" ht="34.799999999999997" x14ac:dyDescent="0.3">
      <c r="A147" s="4" t="s">
        <v>324</v>
      </c>
      <c r="B147" s="5" t="s">
        <v>672</v>
      </c>
      <c r="C147" s="5" t="s">
        <v>525</v>
      </c>
      <c r="D147" s="5" t="s">
        <v>154</v>
      </c>
      <c r="E147" s="5" t="s">
        <v>1271</v>
      </c>
      <c r="F147" s="5" t="s">
        <v>754</v>
      </c>
      <c r="G147" s="6" t="s">
        <v>159</v>
      </c>
      <c r="H147" s="12">
        <v>100</v>
      </c>
      <c r="I147" s="12">
        <v>50</v>
      </c>
      <c r="J147" s="37">
        <v>5000</v>
      </c>
      <c r="K147" s="12">
        <v>1</v>
      </c>
      <c r="L147" s="12" t="s">
        <v>397</v>
      </c>
      <c r="M147" s="12">
        <v>1</v>
      </c>
      <c r="N147" s="12">
        <v>1</v>
      </c>
      <c r="O147" s="12"/>
      <c r="P147" s="12">
        <v>1</v>
      </c>
      <c r="Q147" s="12"/>
      <c r="R147" s="12">
        <v>1</v>
      </c>
      <c r="S147" s="12"/>
      <c r="T147" s="12"/>
      <c r="U147" s="12"/>
      <c r="V147" s="12"/>
      <c r="W147" s="17" t="s">
        <v>414</v>
      </c>
      <c r="X147" s="12"/>
      <c r="Y147" s="12"/>
      <c r="Z147" s="12">
        <v>1</v>
      </c>
      <c r="AA147" s="12"/>
      <c r="AB147" s="17" t="s">
        <v>383</v>
      </c>
      <c r="AC147" s="17"/>
      <c r="AD147" s="12">
        <v>1</v>
      </c>
      <c r="AE147" s="17" t="s">
        <v>648</v>
      </c>
      <c r="AF147" s="12" t="s">
        <v>399</v>
      </c>
      <c r="AG147" s="17" t="s">
        <v>386</v>
      </c>
      <c r="AH147" s="12"/>
      <c r="AI147" s="12"/>
      <c r="AJ147" s="12">
        <f>SUM(Table4[[#This Row],[Soccer/U7 (Yes=1)]:[Ultimate Frisbee (Yes=1)]])</f>
        <v>5</v>
      </c>
      <c r="AK147" s="10"/>
      <c r="AL147" s="10">
        <v>1</v>
      </c>
      <c r="AM147" s="10">
        <v>1</v>
      </c>
      <c r="AN147" s="10">
        <f>COUNTIFS(Table4[[#This Row],[Rectangular Field Dimension: Length - m ]],Methods_Dimensions!J$10,Table4[[#This Row],[Rectangular Field Dimension: Width - m ]],Methods_Dimensions!H$10)</f>
        <v>1</v>
      </c>
      <c r="AO147" s="10">
        <f>COUNTIFS(Table4[[#This Row],[Rectangular Field Dimension: Length - m ]],Methods_Dimensions!J$11,Table4[[#This Row],[Rectangular Field Dimension: Width - m ]],Methods_Dimensions!H$11)</f>
        <v>1</v>
      </c>
      <c r="AP147" s="10">
        <f>COUNTIFS(Table4[[#This Row],[Rectangular Field Dimension: Length - m ]],Methods_Dimensions!J$12,Table4[[#This Row],[Rectangular Field Dimension: Width - m ]],Methods_Dimensions!H$12)</f>
        <v>1</v>
      </c>
      <c r="AQ147" s="10">
        <f>COUNTIFS(Table4[[#This Row],[Rectangular Field Dimension: Length - m ]],Methods_Dimensions!J$13,Table4[[#This Row],[Rectangular Field Dimension: Width - m ]],Methods_Dimensions!H$13)</f>
        <v>0</v>
      </c>
      <c r="AR147" s="10">
        <f>COUNTIFS(Table4[[#This Row],[Rectangular Field Dimension: Length - m ]],Methods_Dimensions!J$14,Table4[[#This Row],[Rectangular Field Dimension: Width - m ]],Methods_Dimensions!H$14)</f>
        <v>0</v>
      </c>
      <c r="AS147"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7" s="10">
        <f>COUNTIFS(Table4[[#This Row],[Rectangular Field Dimension: Length - m ]],Methods_Dimensions!J$16,Table4[[#This Row],[Rectangular Field Dimension: Width - m ]],Methods_Dimensions!H$16)</f>
        <v>0</v>
      </c>
      <c r="AU147" s="10">
        <f>COUNTIFS(Table4[[#This Row],[Rectangular Field Dimension: Length - m ]],Methods_Dimensions!J$17,Table4[[#This Row],[Rectangular Field Dimension: Width - m ]],Methods_Dimensions!H$17)</f>
        <v>0</v>
      </c>
      <c r="AV147" s="10">
        <f>COUNTIFS(Table4[[#This Row],[Rectangular Field Dimension: Length - m ]],Methods_Dimensions!J$18,Table4[[#This Row],[Rectangular Field Dimension: Width - m ]],Methods_Dimensions!H$18)</f>
        <v>0</v>
      </c>
      <c r="AW147" s="10">
        <f>COUNTIFS(Table4[[#This Row],[Rectangular Field Dimension: Length - m ]],Methods_Dimensions!J$19,Table4[[#This Row],[Rectangular Field Dimension: Width - m ]],Methods_Dimensions!H$19)</f>
        <v>0</v>
      </c>
      <c r="AX147" s="6" t="s">
        <v>387</v>
      </c>
      <c r="AY147" s="6" t="s">
        <v>388</v>
      </c>
    </row>
    <row r="148" spans="1:51" ht="34.799999999999997" x14ac:dyDescent="0.3">
      <c r="A148" s="26" t="s">
        <v>1282</v>
      </c>
      <c r="B148" s="14" t="s">
        <v>673</v>
      </c>
      <c r="C148" s="14" t="s">
        <v>605</v>
      </c>
      <c r="D148" s="14" t="s">
        <v>325</v>
      </c>
      <c r="E148" s="14" t="s">
        <v>1271</v>
      </c>
      <c r="F148" s="14" t="s">
        <v>740</v>
      </c>
      <c r="G148" s="15" t="s">
        <v>159</v>
      </c>
      <c r="H148" s="16">
        <v>118</v>
      </c>
      <c r="I148" s="16">
        <v>71</v>
      </c>
      <c r="J148" s="36">
        <v>8378</v>
      </c>
      <c r="K148" s="16"/>
      <c r="L148" s="16" t="s">
        <v>397</v>
      </c>
      <c r="M148" s="16">
        <v>1</v>
      </c>
      <c r="N148" s="16">
        <v>1</v>
      </c>
      <c r="O148" s="16"/>
      <c r="P148" s="16">
        <v>1</v>
      </c>
      <c r="Q148" s="16">
        <v>1</v>
      </c>
      <c r="R148" s="16">
        <v>1</v>
      </c>
      <c r="S148" s="16"/>
      <c r="T148" s="16"/>
      <c r="U148" s="16"/>
      <c r="V148" s="16"/>
      <c r="W148" s="18"/>
      <c r="X148" s="16">
        <v>1</v>
      </c>
      <c r="Y148" s="16"/>
      <c r="Z148" s="16">
        <v>1</v>
      </c>
      <c r="AA148" s="16" t="s">
        <v>472</v>
      </c>
      <c r="AB148" s="18" t="s">
        <v>383</v>
      </c>
      <c r="AC148" s="18"/>
      <c r="AD148" s="16">
        <v>1</v>
      </c>
      <c r="AE148" s="18" t="s">
        <v>648</v>
      </c>
      <c r="AF148" s="16" t="s">
        <v>385</v>
      </c>
      <c r="AG148" s="18" t="s">
        <v>386</v>
      </c>
      <c r="AH148" s="16"/>
      <c r="AI148" s="16"/>
      <c r="AJ148" s="16">
        <f>SUM(Table4[[#This Row],[Soccer/U7 (Yes=1)]:[Ultimate Frisbee (Yes=1)]])</f>
        <v>7</v>
      </c>
      <c r="AK148" s="10"/>
      <c r="AL148" s="10">
        <v>1</v>
      </c>
      <c r="AM148" s="10">
        <v>1</v>
      </c>
      <c r="AN148" s="10">
        <f>COUNTIFS(Table4[[#This Row],[Rectangular Field Dimension: Length - m ]],Methods_Dimensions!J$10,Table4[[#This Row],[Rectangular Field Dimension: Width - m ]],Methods_Dimensions!H$10)</f>
        <v>1</v>
      </c>
      <c r="AO148" s="10">
        <f>COUNTIFS(Table4[[#This Row],[Rectangular Field Dimension: Length - m ]],Methods_Dimensions!J$11,Table4[[#This Row],[Rectangular Field Dimension: Width - m ]],Methods_Dimensions!H$11)</f>
        <v>1</v>
      </c>
      <c r="AP148" s="10">
        <f>COUNTIFS(Table4[[#This Row],[Rectangular Field Dimension: Length - m ]],Methods_Dimensions!J$12,Table4[[#This Row],[Rectangular Field Dimension: Width - m ]],Methods_Dimensions!H$12)</f>
        <v>1</v>
      </c>
      <c r="AQ148" s="10">
        <f>COUNTIFS(Table4[[#This Row],[Rectangular Field Dimension: Length - m ]],Methods_Dimensions!J$13,Table4[[#This Row],[Rectangular Field Dimension: Width - m ]],Methods_Dimensions!H$13)</f>
        <v>0</v>
      </c>
      <c r="AR148" s="10">
        <f>COUNTIFS(Table4[[#This Row],[Rectangular Field Dimension: Length - m ]],Methods_Dimensions!J$14,Table4[[#This Row],[Rectangular Field Dimension: Width - m ]],Methods_Dimensions!H$14)</f>
        <v>0</v>
      </c>
      <c r="AS148"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8" s="10">
        <f>COUNTIFS(Table4[[#This Row],[Rectangular Field Dimension: Length - m ]],Methods_Dimensions!J$16,Table4[[#This Row],[Rectangular Field Dimension: Width - m ]],Methods_Dimensions!H$16)</f>
        <v>0</v>
      </c>
      <c r="AU148" s="10">
        <f>COUNTIFS(Table4[[#This Row],[Rectangular Field Dimension: Length - m ]],Methods_Dimensions!J$17,Table4[[#This Row],[Rectangular Field Dimension: Width - m ]],Methods_Dimensions!H$17)</f>
        <v>1</v>
      </c>
      <c r="AV148" s="10">
        <f>COUNTIFS(Table4[[#This Row],[Rectangular Field Dimension: Length - m ]],Methods_Dimensions!J$18,Table4[[#This Row],[Rectangular Field Dimension: Width - m ]],Methods_Dimensions!H$18)</f>
        <v>0</v>
      </c>
      <c r="AW148" s="10">
        <f>COUNTIFS(Table4[[#This Row],[Rectangular Field Dimension: Length - m ]],Methods_Dimensions!J$19,Table4[[#This Row],[Rectangular Field Dimension: Width - m ]],Methods_Dimensions!H$19)</f>
        <v>1</v>
      </c>
      <c r="AX148" s="6" t="s">
        <v>674</v>
      </c>
      <c r="AY148" s="6" t="s">
        <v>388</v>
      </c>
    </row>
    <row r="149" spans="1:51" ht="34.799999999999997" x14ac:dyDescent="0.3">
      <c r="A149" s="4" t="s">
        <v>1283</v>
      </c>
      <c r="B149" s="5" t="s">
        <v>673</v>
      </c>
      <c r="C149" s="5" t="s">
        <v>605</v>
      </c>
      <c r="D149" s="5" t="s">
        <v>325</v>
      </c>
      <c r="E149" s="5" t="s">
        <v>1271</v>
      </c>
      <c r="F149" s="5" t="s">
        <v>740</v>
      </c>
      <c r="G149" s="6" t="s">
        <v>159</v>
      </c>
      <c r="H149" s="12">
        <v>118</v>
      </c>
      <c r="I149" s="12">
        <v>64</v>
      </c>
      <c r="J149" s="37">
        <v>7552</v>
      </c>
      <c r="K149" s="12"/>
      <c r="L149" s="12" t="s">
        <v>397</v>
      </c>
      <c r="M149" s="12">
        <v>1</v>
      </c>
      <c r="N149" s="12">
        <v>1</v>
      </c>
      <c r="O149" s="12"/>
      <c r="P149" s="12">
        <v>1</v>
      </c>
      <c r="Q149" s="12">
        <v>1</v>
      </c>
      <c r="R149" s="12">
        <v>1</v>
      </c>
      <c r="S149" s="12"/>
      <c r="T149" s="12"/>
      <c r="U149" s="12"/>
      <c r="V149" s="12"/>
      <c r="W149" s="17"/>
      <c r="X149" s="12">
        <v>1</v>
      </c>
      <c r="Y149" s="12"/>
      <c r="Z149" s="12">
        <v>1</v>
      </c>
      <c r="AA149" s="12" t="s">
        <v>472</v>
      </c>
      <c r="AB149" s="17" t="s">
        <v>383</v>
      </c>
      <c r="AC149" s="17"/>
      <c r="AD149" s="12">
        <v>1</v>
      </c>
      <c r="AE149" s="17" t="s">
        <v>648</v>
      </c>
      <c r="AF149" s="12" t="s">
        <v>385</v>
      </c>
      <c r="AG149" s="17" t="s">
        <v>386</v>
      </c>
      <c r="AH149" s="12"/>
      <c r="AI149" s="12"/>
      <c r="AJ149" s="12">
        <f>SUM(Table4[[#This Row],[Soccer/U7 (Yes=1)]:[Ultimate Frisbee (Yes=1)]])</f>
        <v>6</v>
      </c>
      <c r="AK149" s="10"/>
      <c r="AL149" s="10">
        <v>1</v>
      </c>
      <c r="AM149" s="10">
        <v>1</v>
      </c>
      <c r="AN149" s="10">
        <f>COUNTIFS(Table4[[#This Row],[Rectangular Field Dimension: Length - m ]],Methods_Dimensions!J$10,Table4[[#This Row],[Rectangular Field Dimension: Width - m ]],Methods_Dimensions!H$10)</f>
        <v>1</v>
      </c>
      <c r="AO149" s="10">
        <f>COUNTIFS(Table4[[#This Row],[Rectangular Field Dimension: Length - m ]],Methods_Dimensions!J$11,Table4[[#This Row],[Rectangular Field Dimension: Width - m ]],Methods_Dimensions!H$11)</f>
        <v>1</v>
      </c>
      <c r="AP149" s="10">
        <f>COUNTIFS(Table4[[#This Row],[Rectangular Field Dimension: Length - m ]],Methods_Dimensions!J$12,Table4[[#This Row],[Rectangular Field Dimension: Width - m ]],Methods_Dimensions!H$12)</f>
        <v>1</v>
      </c>
      <c r="AQ149" s="10">
        <f>COUNTIFS(Table4[[#This Row],[Rectangular Field Dimension: Length - m ]],Methods_Dimensions!J$13,Table4[[#This Row],[Rectangular Field Dimension: Width - m ]],Methods_Dimensions!H$13)</f>
        <v>0</v>
      </c>
      <c r="AR149" s="10">
        <f>COUNTIFS(Table4[[#This Row],[Rectangular Field Dimension: Length - m ]],Methods_Dimensions!J$14,Table4[[#This Row],[Rectangular Field Dimension: Width - m ]],Methods_Dimensions!H$14)</f>
        <v>0</v>
      </c>
      <c r="AS149"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49" s="10">
        <f>COUNTIFS(Table4[[#This Row],[Rectangular Field Dimension: Length - m ]],Methods_Dimensions!J$16,Table4[[#This Row],[Rectangular Field Dimension: Width - m ]],Methods_Dimensions!H$16)</f>
        <v>0</v>
      </c>
      <c r="AU149" s="10">
        <f>COUNTIFS(Table4[[#This Row],[Rectangular Field Dimension: Length - m ]],Methods_Dimensions!J$17,Table4[[#This Row],[Rectangular Field Dimension: Width - m ]],Methods_Dimensions!H$17)</f>
        <v>0</v>
      </c>
      <c r="AV149" s="10">
        <f>COUNTIFS(Table4[[#This Row],[Rectangular Field Dimension: Length - m ]],Methods_Dimensions!J$18,Table4[[#This Row],[Rectangular Field Dimension: Width - m ]],Methods_Dimensions!H$18)</f>
        <v>0</v>
      </c>
      <c r="AW149" s="10">
        <f>COUNTIFS(Table4[[#This Row],[Rectangular Field Dimension: Length - m ]],Methods_Dimensions!J$19,Table4[[#This Row],[Rectangular Field Dimension: Width - m ]],Methods_Dimensions!H$19)</f>
        <v>1</v>
      </c>
      <c r="AX149" s="6" t="s">
        <v>674</v>
      </c>
      <c r="AY149" s="6" t="s">
        <v>388</v>
      </c>
    </row>
    <row r="150" spans="1:51" ht="34.799999999999997" x14ac:dyDescent="0.3">
      <c r="A150" s="26" t="s">
        <v>1284</v>
      </c>
      <c r="B150" s="14" t="s">
        <v>673</v>
      </c>
      <c r="C150" s="14" t="s">
        <v>605</v>
      </c>
      <c r="D150" s="14" t="s">
        <v>325</v>
      </c>
      <c r="E150" s="14" t="s">
        <v>1271</v>
      </c>
      <c r="F150" s="14" t="s">
        <v>740</v>
      </c>
      <c r="G150" s="15" t="s">
        <v>159</v>
      </c>
      <c r="H150" s="16">
        <v>137</v>
      </c>
      <c r="I150" s="16">
        <v>88</v>
      </c>
      <c r="J150" s="36">
        <v>12056</v>
      </c>
      <c r="K150" s="16"/>
      <c r="L150" s="16" t="s">
        <v>397</v>
      </c>
      <c r="M150" s="16">
        <v>1</v>
      </c>
      <c r="N150" s="16">
        <v>1</v>
      </c>
      <c r="O150" s="16"/>
      <c r="P150" s="16">
        <v>1</v>
      </c>
      <c r="Q150" s="16">
        <v>1</v>
      </c>
      <c r="R150" s="16">
        <v>1</v>
      </c>
      <c r="S150" s="16"/>
      <c r="T150" s="16"/>
      <c r="U150" s="16"/>
      <c r="V150" s="16"/>
      <c r="W150" s="18"/>
      <c r="X150" s="16">
        <v>1</v>
      </c>
      <c r="Y150" s="16"/>
      <c r="Z150" s="16">
        <v>1</v>
      </c>
      <c r="AA150" s="16" t="s">
        <v>472</v>
      </c>
      <c r="AB150" s="18" t="s">
        <v>383</v>
      </c>
      <c r="AC150" s="18"/>
      <c r="AD150" s="16">
        <v>1</v>
      </c>
      <c r="AE150" s="18" t="s">
        <v>648</v>
      </c>
      <c r="AF150" s="16" t="s">
        <v>385</v>
      </c>
      <c r="AG150" s="18" t="s">
        <v>386</v>
      </c>
      <c r="AH150" s="16"/>
      <c r="AI150" s="16"/>
      <c r="AJ150" s="16">
        <f>SUM(Table4[[#This Row],[Soccer/U7 (Yes=1)]:[Ultimate Frisbee (Yes=1)]])</f>
        <v>7</v>
      </c>
      <c r="AK150" s="10"/>
      <c r="AL150" s="10">
        <v>1</v>
      </c>
      <c r="AM150" s="10">
        <v>1</v>
      </c>
      <c r="AN150" s="10">
        <f>COUNTIFS(Table4[[#This Row],[Rectangular Field Dimension: Length - m ]],Methods_Dimensions!J$10,Table4[[#This Row],[Rectangular Field Dimension: Width - m ]],Methods_Dimensions!H$10)</f>
        <v>1</v>
      </c>
      <c r="AO150" s="10">
        <f>COUNTIFS(Table4[[#This Row],[Rectangular Field Dimension: Length - m ]],Methods_Dimensions!J$11,Table4[[#This Row],[Rectangular Field Dimension: Width - m ]],Methods_Dimensions!H$11)</f>
        <v>1</v>
      </c>
      <c r="AP150" s="10">
        <f>COUNTIFS(Table4[[#This Row],[Rectangular Field Dimension: Length - m ]],Methods_Dimensions!J$12,Table4[[#This Row],[Rectangular Field Dimension: Width - m ]],Methods_Dimensions!H$12)</f>
        <v>1</v>
      </c>
      <c r="AQ150" s="10">
        <f>COUNTIFS(Table4[[#This Row],[Rectangular Field Dimension: Length - m ]],Methods_Dimensions!J$13,Table4[[#This Row],[Rectangular Field Dimension: Width - m ]],Methods_Dimensions!H$13)</f>
        <v>0</v>
      </c>
      <c r="AR150" s="10">
        <f>COUNTIFS(Table4[[#This Row],[Rectangular Field Dimension: Length - m ]],Methods_Dimensions!J$14,Table4[[#This Row],[Rectangular Field Dimension: Width - m ]],Methods_Dimensions!H$14)</f>
        <v>0</v>
      </c>
      <c r="AS150"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50" s="10">
        <f>COUNTIFS(Table4[[#This Row],[Rectangular Field Dimension: Length - m ]],Methods_Dimensions!J$16,Table4[[#This Row],[Rectangular Field Dimension: Width - m ]],Methods_Dimensions!H$16)</f>
        <v>0</v>
      </c>
      <c r="AU150" s="10">
        <f>COUNTIFS(Table4[[#This Row],[Rectangular Field Dimension: Length - m ]],Methods_Dimensions!J$17,Table4[[#This Row],[Rectangular Field Dimension: Width - m ]],Methods_Dimensions!H$17)</f>
        <v>1</v>
      </c>
      <c r="AV150" s="10">
        <f>COUNTIFS(Table4[[#This Row],[Rectangular Field Dimension: Length - m ]],Methods_Dimensions!J$18,Table4[[#This Row],[Rectangular Field Dimension: Width - m ]],Methods_Dimensions!H$18)</f>
        <v>0</v>
      </c>
      <c r="AW150" s="10">
        <f>COUNTIFS(Table4[[#This Row],[Rectangular Field Dimension: Length - m ]],Methods_Dimensions!J$19,Table4[[#This Row],[Rectangular Field Dimension: Width - m ]],Methods_Dimensions!H$19)</f>
        <v>1</v>
      </c>
      <c r="AX150" s="6" t="s">
        <v>675</v>
      </c>
      <c r="AY150" s="6" t="s">
        <v>388</v>
      </c>
    </row>
    <row r="151" spans="1:51" ht="34.799999999999997" x14ac:dyDescent="0.3">
      <c r="A151" s="4" t="s">
        <v>326</v>
      </c>
      <c r="B151" s="5" t="s">
        <v>676</v>
      </c>
      <c r="C151" s="5" t="s">
        <v>502</v>
      </c>
      <c r="D151" s="5" t="s">
        <v>158</v>
      </c>
      <c r="E151" s="5" t="s">
        <v>1272</v>
      </c>
      <c r="F151" s="5" t="s">
        <v>789</v>
      </c>
      <c r="G151" s="6" t="s">
        <v>159</v>
      </c>
      <c r="H151" s="12">
        <v>73</v>
      </c>
      <c r="I151" s="12">
        <v>39</v>
      </c>
      <c r="J151" s="37">
        <v>2847</v>
      </c>
      <c r="K151" s="12">
        <v>1</v>
      </c>
      <c r="L151" s="12" t="s">
        <v>389</v>
      </c>
      <c r="M151" s="12"/>
      <c r="N151" s="12">
        <v>1</v>
      </c>
      <c r="O151" s="12"/>
      <c r="P151" s="12">
        <v>1</v>
      </c>
      <c r="Q151" s="12"/>
      <c r="R151" s="12">
        <v>1</v>
      </c>
      <c r="S151" s="12"/>
      <c r="T151" s="12"/>
      <c r="U151" s="12"/>
      <c r="V151" s="12"/>
      <c r="W151" s="17"/>
      <c r="X151" s="12">
        <v>1</v>
      </c>
      <c r="Y151" s="12"/>
      <c r="Z151" s="12"/>
      <c r="AA151" s="12"/>
      <c r="AB151" s="17" t="s">
        <v>383</v>
      </c>
      <c r="AC151" s="17"/>
      <c r="AD151" s="12">
        <v>1</v>
      </c>
      <c r="AE151" s="17" t="s">
        <v>648</v>
      </c>
      <c r="AF151" s="12" t="s">
        <v>399</v>
      </c>
      <c r="AG151" s="17" t="s">
        <v>416</v>
      </c>
      <c r="AH151" s="12">
        <v>68</v>
      </c>
      <c r="AI151" s="12">
        <v>5</v>
      </c>
      <c r="AJ151" s="112">
        <f>SUM(Table4[[#This Row],[Soccer/U7 (Yes=1)]:[Ultimate Frisbee (Yes=1)]])</f>
        <v>3</v>
      </c>
      <c r="AK151" s="11"/>
      <c r="AL151" s="11">
        <v>1</v>
      </c>
      <c r="AM151" s="11">
        <v>1</v>
      </c>
      <c r="AN151" s="10">
        <f>COUNTIFS(Table4[[#This Row],[Rectangular Field Dimension: Length - m ]],Methods_Dimensions!J$10,Table4[[#This Row],[Rectangular Field Dimension: Width - m ]],Methods_Dimensions!H$10)</f>
        <v>1</v>
      </c>
      <c r="AO151" s="10">
        <f>COUNTIFS(Table4[[#This Row],[Rectangular Field Dimension: Length - m ]],Methods_Dimensions!J$11,Table4[[#This Row],[Rectangular Field Dimension: Width - m ]],Methods_Dimensions!H$11)</f>
        <v>0</v>
      </c>
      <c r="AP151" s="10">
        <f>COUNTIFS(Table4[[#This Row],[Rectangular Field Dimension: Length - m ]],Methods_Dimensions!J$12,Table4[[#This Row],[Rectangular Field Dimension: Width - m ]],Methods_Dimensions!H$12)</f>
        <v>0</v>
      </c>
      <c r="AQ151" s="10">
        <f>COUNTIFS(Table4[[#This Row],[Rectangular Field Dimension: Length - m ]],Methods_Dimensions!J$13,Table4[[#This Row],[Rectangular Field Dimension: Width - m ]],Methods_Dimensions!H$13)</f>
        <v>0</v>
      </c>
      <c r="AR151" s="10">
        <f>COUNTIFS(Table4[[#This Row],[Rectangular Field Dimension: Length - m ]],Methods_Dimensions!J$14,Table4[[#This Row],[Rectangular Field Dimension: Width - m ]],Methods_Dimensions!H$14)</f>
        <v>0</v>
      </c>
      <c r="AS151"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51" s="10">
        <f>COUNTIFS(Table4[[#This Row],[Rectangular Field Dimension: Length - m ]],Methods_Dimensions!J$16,Table4[[#This Row],[Rectangular Field Dimension: Width - m ]],Methods_Dimensions!H$16)</f>
        <v>0</v>
      </c>
      <c r="AU151" s="10">
        <f>COUNTIFS(Table4[[#This Row],[Rectangular Field Dimension: Length - m ]],Methods_Dimensions!J$17,Table4[[#This Row],[Rectangular Field Dimension: Width - m ]],Methods_Dimensions!H$17)</f>
        <v>0</v>
      </c>
      <c r="AV151" s="10">
        <f>COUNTIFS(Table4[[#This Row],[Rectangular Field Dimension: Length - m ]],Methods_Dimensions!J$18,Table4[[#This Row],[Rectangular Field Dimension: Width - m ]],Methods_Dimensions!H$18)</f>
        <v>0</v>
      </c>
      <c r="AW151" s="10">
        <f>COUNTIFS(Table4[[#This Row],[Rectangular Field Dimension: Length - m ]],Methods_Dimensions!J$19,Table4[[#This Row],[Rectangular Field Dimension: Width - m ]],Methods_Dimensions!H$19)</f>
        <v>0</v>
      </c>
      <c r="AX151" s="6" t="s">
        <v>387</v>
      </c>
      <c r="AY151" s="6" t="s">
        <v>388</v>
      </c>
    </row>
    <row r="152" spans="1:51" ht="34.799999999999997" x14ac:dyDescent="0.3">
      <c r="A152" s="30" t="s">
        <v>327</v>
      </c>
      <c r="B152" s="14" t="s">
        <v>676</v>
      </c>
      <c r="C152" s="14" t="s">
        <v>502</v>
      </c>
      <c r="D152" s="14" t="s">
        <v>158</v>
      </c>
      <c r="E152" s="14" t="s">
        <v>1272</v>
      </c>
      <c r="F152" s="14" t="s">
        <v>789</v>
      </c>
      <c r="G152" s="15" t="s">
        <v>159</v>
      </c>
      <c r="H152" s="33">
        <v>70</v>
      </c>
      <c r="I152" s="33">
        <v>39</v>
      </c>
      <c r="J152" s="43">
        <v>2730</v>
      </c>
      <c r="K152" s="33"/>
      <c r="L152" s="33" t="s">
        <v>397</v>
      </c>
      <c r="M152" s="33">
        <v>1</v>
      </c>
      <c r="N152" s="33">
        <v>1</v>
      </c>
      <c r="O152" s="33"/>
      <c r="P152" s="33">
        <v>1</v>
      </c>
      <c r="Q152" s="33"/>
      <c r="R152" s="33">
        <v>1</v>
      </c>
      <c r="S152" s="33"/>
      <c r="T152" s="33"/>
      <c r="U152" s="33"/>
      <c r="V152" s="33"/>
      <c r="W152" s="46"/>
      <c r="X152" s="33">
        <v>1</v>
      </c>
      <c r="Y152" s="33"/>
      <c r="Z152" s="33"/>
      <c r="AA152" s="33"/>
      <c r="AB152" s="18" t="s">
        <v>383</v>
      </c>
      <c r="AC152" s="18"/>
      <c r="AD152" s="33">
        <v>1</v>
      </c>
      <c r="AE152" s="18" t="s">
        <v>648</v>
      </c>
      <c r="AF152" s="16" t="s">
        <v>399</v>
      </c>
      <c r="AG152" s="46" t="s">
        <v>416</v>
      </c>
      <c r="AH152" s="33"/>
      <c r="AI152" s="33"/>
      <c r="AJ152" s="33">
        <f>SUM(Table4[[#This Row],[Soccer/U7 (Yes=1)]:[Ultimate Frisbee (Yes=1)]])</f>
        <v>3</v>
      </c>
      <c r="AK152" s="11"/>
      <c r="AL152" s="11">
        <v>1</v>
      </c>
      <c r="AM152" s="11">
        <v>1</v>
      </c>
      <c r="AN152" s="10">
        <f>COUNTIFS(Table4[[#This Row],[Rectangular Field Dimension: Length - m ]],Methods_Dimensions!J$10,Table4[[#This Row],[Rectangular Field Dimension: Width - m ]],Methods_Dimensions!H$10)</f>
        <v>1</v>
      </c>
      <c r="AO152" s="10">
        <f>COUNTIFS(Table4[[#This Row],[Rectangular Field Dimension: Length - m ]],Methods_Dimensions!J$11,Table4[[#This Row],[Rectangular Field Dimension: Width - m ]],Methods_Dimensions!H$11)</f>
        <v>0</v>
      </c>
      <c r="AP152" s="10">
        <f>COUNTIFS(Table4[[#This Row],[Rectangular Field Dimension: Length - m ]],Methods_Dimensions!J$12,Table4[[#This Row],[Rectangular Field Dimension: Width - m ]],Methods_Dimensions!H$12)</f>
        <v>0</v>
      </c>
      <c r="AQ152" s="10">
        <f>COUNTIFS(Table4[[#This Row],[Rectangular Field Dimension: Length - m ]],Methods_Dimensions!J$13,Table4[[#This Row],[Rectangular Field Dimension: Width - m ]],Methods_Dimensions!H$13)</f>
        <v>0</v>
      </c>
      <c r="AR152" s="10">
        <f>COUNTIFS(Table4[[#This Row],[Rectangular Field Dimension: Length - m ]],Methods_Dimensions!J$14,Table4[[#This Row],[Rectangular Field Dimension: Width - m ]],Methods_Dimensions!H$14)</f>
        <v>0</v>
      </c>
      <c r="AS152" s="10">
        <f>COUNTIFS(Table4[[#This Row],[Rectangular Field Dimension: Length - m ]],Methods_Dimensions!J$15,Table4[[#This Row],[Rectangular Field Dimension: Length - m ]],Methods_Dimensions!I$15,Table4[[#This Row],[Rectangular Field Dimension: Width - m ]],Methods_Dimensions!H$15,Table4[[#This Row],[Rectangular Field Dimension: Width - m ]],Methods_Dimensions!K$15)</f>
        <v>0</v>
      </c>
      <c r="AT152" s="10">
        <f>COUNTIFS(Table4[[#This Row],[Rectangular Field Dimension: Length - m ]],Methods_Dimensions!J$16,Table4[[#This Row],[Rectangular Field Dimension: Width - m ]],Methods_Dimensions!H$16)</f>
        <v>0</v>
      </c>
      <c r="AU152" s="10">
        <f>COUNTIFS(Table4[[#This Row],[Rectangular Field Dimension: Length - m ]],Methods_Dimensions!J$17,Table4[[#This Row],[Rectangular Field Dimension: Width - m ]],Methods_Dimensions!H$17)</f>
        <v>0</v>
      </c>
      <c r="AV152" s="10">
        <f>COUNTIFS(Table4[[#This Row],[Rectangular Field Dimension: Length - m ]],Methods_Dimensions!J$18,Table4[[#This Row],[Rectangular Field Dimension: Width - m ]],Methods_Dimensions!H$18)</f>
        <v>0</v>
      </c>
      <c r="AW152" s="10">
        <f>COUNTIFS(Table4[[#This Row],[Rectangular Field Dimension: Length - m ]],Methods_Dimensions!J$19,Table4[[#This Row],[Rectangular Field Dimension: Width - m ]],Methods_Dimensions!H$19)</f>
        <v>0</v>
      </c>
      <c r="AX152" s="7" t="s">
        <v>387</v>
      </c>
      <c r="AY152" s="7" t="s">
        <v>677</v>
      </c>
    </row>
    <row r="153" spans="1:51" ht="17.399999999999999" x14ac:dyDescent="0.3">
      <c r="A153" s="30"/>
      <c r="B153" s="31"/>
      <c r="C153" s="31"/>
      <c r="D153" s="31"/>
      <c r="E153" s="31"/>
      <c r="F153" s="31"/>
      <c r="G153" s="32"/>
      <c r="H153" s="33"/>
      <c r="I153" s="33"/>
      <c r="J153" s="43"/>
      <c r="K153" s="33"/>
      <c r="L153" s="33"/>
      <c r="M153" s="33"/>
      <c r="N153" s="33"/>
      <c r="O153" s="33"/>
      <c r="P153" s="33"/>
      <c r="Q153" s="33"/>
      <c r="R153" s="33"/>
      <c r="S153" s="33"/>
      <c r="T153" s="33"/>
      <c r="U153" s="33"/>
      <c r="V153" s="33"/>
      <c r="W153" s="34"/>
      <c r="X153" s="33"/>
      <c r="Y153" s="33"/>
      <c r="Z153" s="33"/>
      <c r="AA153" s="33"/>
      <c r="AB153" s="34"/>
      <c r="AC153" s="34"/>
      <c r="AD153" s="33"/>
      <c r="AE153" s="34"/>
      <c r="AF153" s="33"/>
      <c r="AG153" s="34"/>
      <c r="AH153" s="33"/>
      <c r="AI153" s="33"/>
      <c r="AJ153" s="33"/>
      <c r="AK153" s="11"/>
      <c r="AL153" s="11"/>
      <c r="AM153" s="11"/>
      <c r="AN153" s="11">
        <f>SUM(Table4[Soccer/U10 - U11 (Yes=1)])</f>
        <v>137</v>
      </c>
      <c r="AO153" s="11">
        <f>SUM(Table4[Soccer/U12 - U13 9v9 (Yes=1)])</f>
        <v>123</v>
      </c>
      <c r="AP153" s="11">
        <f>SUM(Table4[Soccer/11 v 11 (Yes=1)])</f>
        <v>80</v>
      </c>
      <c r="AQ153" s="11">
        <f>SUM(Table4[Cricket/Oval Infield (Yes=1)])</f>
        <v>3</v>
      </c>
      <c r="AR153" s="11">
        <f>SUM(Table4[CFL (Yes=1)])</f>
        <v>4</v>
      </c>
      <c r="AS153" s="11">
        <f>SUM(Table4[NFL (Yes=1)])</f>
        <v>0</v>
      </c>
      <c r="AT153" s="11">
        <f>SUM(Table4[Gaelic Football (Yes=1)])</f>
        <v>1</v>
      </c>
      <c r="AU153" s="11">
        <f>SUM(Table4[Lacrosse (Yes=1)])</f>
        <v>17</v>
      </c>
      <c r="AV153" s="11">
        <f>SUM(Table4[Rugby  (Yes=1)])</f>
        <v>3</v>
      </c>
      <c r="AW153" s="11">
        <f>SUM(Table4[Ultimate Frisbee (Yes=1)])</f>
        <v>44</v>
      </c>
      <c r="AX153" s="7"/>
      <c r="AY153"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DDB4-F0BF-4734-A7E0-77DE128D9635}">
  <dimension ref="A1:R62"/>
  <sheetViews>
    <sheetView tabSelected="1" topLeftCell="A2" zoomScale="115" zoomScaleNormal="115" workbookViewId="0">
      <selection activeCell="I26" sqref="I26"/>
    </sheetView>
  </sheetViews>
  <sheetFormatPr defaultRowHeight="14.4" x14ac:dyDescent="0.3"/>
  <cols>
    <col min="1" max="1" width="51.33203125" customWidth="1"/>
    <col min="2" max="2" width="10.109375" customWidth="1"/>
    <col min="3" max="3" width="9.33203125" bestFit="1" customWidth="1"/>
    <col min="6" max="6" width="9.44140625" hidden="1" customWidth="1"/>
    <col min="7" max="7" width="9.5546875" hidden="1" customWidth="1"/>
    <col min="8" max="8" width="18.5546875" customWidth="1"/>
    <col min="9" max="9" width="17" style="47" customWidth="1"/>
    <col min="10" max="11" width="8.6640625" style="47"/>
  </cols>
  <sheetData>
    <row r="1" spans="1:18" x14ac:dyDescent="0.3">
      <c r="A1" s="38" t="s">
        <v>1052</v>
      </c>
    </row>
    <row r="2" spans="1:18" ht="138.9" customHeight="1" x14ac:dyDescent="0.3">
      <c r="A2" s="120" t="s">
        <v>1053</v>
      </c>
      <c r="B2" s="120"/>
      <c r="C2" s="120"/>
      <c r="D2" s="120"/>
      <c r="E2" s="120"/>
      <c r="F2" s="120"/>
      <c r="G2" s="120"/>
      <c r="I2" s="48" t="s">
        <v>1054</v>
      </c>
      <c r="J2" s="55" t="s">
        <v>1055</v>
      </c>
      <c r="K2" s="53"/>
      <c r="L2" s="54"/>
      <c r="M2" s="54"/>
      <c r="N2" s="54"/>
      <c r="O2" s="54"/>
      <c r="P2" s="54"/>
      <c r="Q2" s="54"/>
      <c r="R2" s="54"/>
    </row>
    <row r="5" spans="1:18" x14ac:dyDescent="0.3">
      <c r="A5" s="119" t="s">
        <v>1056</v>
      </c>
      <c r="H5" s="121" t="s">
        <v>1057</v>
      </c>
      <c r="I5" s="121"/>
      <c r="J5" s="121"/>
      <c r="K5" s="121"/>
    </row>
    <row r="6" spans="1:18" ht="43.2" x14ac:dyDescent="0.3">
      <c r="A6" s="3" t="s">
        <v>1058</v>
      </c>
      <c r="B6" s="3" t="s">
        <v>1059</v>
      </c>
      <c r="C6" s="3" t="s">
        <v>1060</v>
      </c>
      <c r="D6" s="3"/>
      <c r="E6" s="3"/>
      <c r="F6" s="3" t="s">
        <v>1061</v>
      </c>
      <c r="G6" s="3" t="s">
        <v>1062</v>
      </c>
      <c r="H6" s="49" t="s">
        <v>1063</v>
      </c>
      <c r="I6" s="49" t="s">
        <v>1064</v>
      </c>
      <c r="J6" s="49" t="s">
        <v>1065</v>
      </c>
      <c r="K6" s="49" t="s">
        <v>1066</v>
      </c>
    </row>
    <row r="7" spans="1:18" x14ac:dyDescent="0.3">
      <c r="A7" s="1" t="s">
        <v>1067</v>
      </c>
      <c r="B7" s="1" t="s">
        <v>542</v>
      </c>
      <c r="C7" s="1" t="s">
        <v>542</v>
      </c>
      <c r="D7" s="2"/>
      <c r="E7" s="2"/>
      <c r="F7" s="2"/>
      <c r="G7" s="2"/>
      <c r="H7" s="50"/>
      <c r="I7" s="21"/>
      <c r="J7" s="50"/>
      <c r="K7" s="21"/>
    </row>
    <row r="8" spans="1:18" x14ac:dyDescent="0.3">
      <c r="A8" s="1" t="s">
        <v>1068</v>
      </c>
      <c r="B8" s="1" t="s">
        <v>1069</v>
      </c>
      <c r="C8" s="1" t="s">
        <v>1070</v>
      </c>
      <c r="D8" s="2"/>
      <c r="E8" s="2"/>
      <c r="F8" s="2"/>
      <c r="G8" s="2"/>
      <c r="H8" s="50" t="s">
        <v>1071</v>
      </c>
      <c r="I8" s="21"/>
      <c r="J8" s="50" t="s">
        <v>1072</v>
      </c>
      <c r="K8" s="21"/>
    </row>
    <row r="9" spans="1:18" x14ac:dyDescent="0.3">
      <c r="A9" s="1" t="s">
        <v>1073</v>
      </c>
      <c r="B9" s="1" t="s">
        <v>1074</v>
      </c>
      <c r="C9" s="1" t="s">
        <v>1075</v>
      </c>
      <c r="D9" s="2"/>
      <c r="E9" s="2"/>
      <c r="F9" s="2"/>
      <c r="G9" s="2"/>
      <c r="H9" s="50" t="s">
        <v>1072</v>
      </c>
      <c r="I9" s="21"/>
      <c r="J9" s="50" t="s">
        <v>1076</v>
      </c>
      <c r="K9" s="21"/>
    </row>
    <row r="10" spans="1:18" x14ac:dyDescent="0.3">
      <c r="A10" s="1" t="s">
        <v>1077</v>
      </c>
      <c r="B10" s="1" t="s">
        <v>1075</v>
      </c>
      <c r="C10" s="1" t="s">
        <v>1078</v>
      </c>
      <c r="D10" s="2"/>
      <c r="E10" s="2"/>
      <c r="F10" s="2"/>
      <c r="G10" s="2"/>
      <c r="H10" s="50" t="s">
        <v>1076</v>
      </c>
      <c r="I10" s="21"/>
      <c r="J10" s="50" t="s">
        <v>1079</v>
      </c>
      <c r="K10" s="21"/>
    </row>
    <row r="11" spans="1:18" x14ac:dyDescent="0.3">
      <c r="A11" s="1" t="s">
        <v>1080</v>
      </c>
      <c r="B11" s="1" t="s">
        <v>1081</v>
      </c>
      <c r="C11" s="1" t="s">
        <v>1082</v>
      </c>
      <c r="D11" s="2"/>
      <c r="E11" s="2"/>
      <c r="F11" s="2"/>
      <c r="G11" s="2"/>
      <c r="H11" s="50" t="s">
        <v>1083</v>
      </c>
      <c r="I11" s="21"/>
      <c r="J11" s="50" t="s">
        <v>1084</v>
      </c>
      <c r="K11" s="21"/>
    </row>
    <row r="12" spans="1:18" x14ac:dyDescent="0.3">
      <c r="A12" s="1" t="s">
        <v>1085</v>
      </c>
      <c r="B12" s="1" t="s">
        <v>1086</v>
      </c>
      <c r="C12" s="1" t="s">
        <v>1087</v>
      </c>
      <c r="D12" s="2"/>
      <c r="E12" s="2"/>
      <c r="F12" s="2"/>
      <c r="G12" s="2"/>
      <c r="H12" s="50" t="s">
        <v>1088</v>
      </c>
      <c r="I12" s="21"/>
      <c r="J12" s="50" t="s">
        <v>1089</v>
      </c>
      <c r="K12" s="21"/>
    </row>
    <row r="13" spans="1:18" x14ac:dyDescent="0.3">
      <c r="A13" s="1" t="s">
        <v>1090</v>
      </c>
      <c r="B13" s="1" t="s">
        <v>1091</v>
      </c>
      <c r="C13" s="1" t="s">
        <v>1092</v>
      </c>
      <c r="D13" s="2"/>
      <c r="E13" s="2"/>
      <c r="F13" s="2"/>
      <c r="G13" s="2"/>
      <c r="H13" s="50" t="s">
        <v>1093</v>
      </c>
      <c r="I13" s="21"/>
      <c r="J13" s="50" t="s">
        <v>1094</v>
      </c>
      <c r="K13" s="21"/>
    </row>
    <row r="14" spans="1:18" x14ac:dyDescent="0.3">
      <c r="A14" s="1" t="s">
        <v>1095</v>
      </c>
      <c r="B14" s="1" t="s">
        <v>1096</v>
      </c>
      <c r="C14" s="1" t="s">
        <v>1097</v>
      </c>
      <c r="D14" s="2"/>
      <c r="E14" s="2"/>
      <c r="F14" s="2"/>
      <c r="G14" s="2"/>
      <c r="H14" s="50" t="s">
        <v>1098</v>
      </c>
      <c r="I14" s="21"/>
      <c r="J14" s="50" t="s">
        <v>1099</v>
      </c>
      <c r="K14" s="21"/>
    </row>
    <row r="15" spans="1:18" x14ac:dyDescent="0.3">
      <c r="A15" s="1" t="s">
        <v>1100</v>
      </c>
      <c r="B15" s="1" t="s">
        <v>1101</v>
      </c>
      <c r="C15" s="1" t="s">
        <v>1102</v>
      </c>
      <c r="D15" s="2"/>
      <c r="E15" s="2"/>
      <c r="F15" s="2"/>
      <c r="G15" s="2"/>
      <c r="H15" s="50" t="s">
        <v>1103</v>
      </c>
      <c r="I15" s="21" t="s">
        <v>1104</v>
      </c>
      <c r="J15" s="50" t="s">
        <v>1105</v>
      </c>
      <c r="K15" s="21" t="s">
        <v>1106</v>
      </c>
    </row>
    <row r="16" spans="1:18" x14ac:dyDescent="0.3">
      <c r="A16" s="1" t="s">
        <v>1107</v>
      </c>
      <c r="B16" s="1" t="s">
        <v>1108</v>
      </c>
      <c r="C16" s="1" t="s">
        <v>1109</v>
      </c>
      <c r="D16" s="2"/>
      <c r="E16" s="2"/>
      <c r="F16" s="2"/>
      <c r="G16" s="2"/>
      <c r="H16" s="50" t="s">
        <v>1110</v>
      </c>
      <c r="I16" s="21"/>
      <c r="J16" s="50" t="s">
        <v>1099</v>
      </c>
      <c r="K16" s="21"/>
    </row>
    <row r="17" spans="1:11" x14ac:dyDescent="0.3">
      <c r="A17" s="1" t="s">
        <v>1111</v>
      </c>
      <c r="B17" s="1" t="s">
        <v>1112</v>
      </c>
      <c r="C17" s="1" t="s">
        <v>1113</v>
      </c>
      <c r="D17" s="2"/>
      <c r="E17" s="2"/>
      <c r="F17" s="2"/>
      <c r="G17" s="2"/>
      <c r="H17" s="50" t="s">
        <v>1114</v>
      </c>
      <c r="I17" s="21"/>
      <c r="J17" s="50" t="s">
        <v>1115</v>
      </c>
      <c r="K17" s="21"/>
    </row>
    <row r="18" spans="1:11" x14ac:dyDescent="0.3">
      <c r="A18" s="1" t="s">
        <v>1116</v>
      </c>
      <c r="B18" s="1" t="s">
        <v>1117</v>
      </c>
      <c r="C18" s="1" t="s">
        <v>1118</v>
      </c>
      <c r="D18" s="2"/>
      <c r="E18" s="2"/>
      <c r="F18" s="2"/>
      <c r="G18" s="2"/>
      <c r="H18" s="50" t="s">
        <v>1119</v>
      </c>
      <c r="I18" s="21"/>
      <c r="J18" s="50" t="s">
        <v>1120</v>
      </c>
      <c r="K18" s="21"/>
    </row>
    <row r="19" spans="1:11" x14ac:dyDescent="0.3">
      <c r="A19" s="1" t="s">
        <v>1121</v>
      </c>
      <c r="B19" s="1" t="s">
        <v>1122</v>
      </c>
      <c r="C19" s="1" t="s">
        <v>1123</v>
      </c>
      <c r="D19" s="2"/>
      <c r="E19" s="2"/>
      <c r="F19" s="2"/>
      <c r="G19" s="2"/>
      <c r="H19" s="50" t="s">
        <v>1124</v>
      </c>
      <c r="I19" s="21"/>
      <c r="J19" s="50" t="s">
        <v>1125</v>
      </c>
      <c r="K19" s="21"/>
    </row>
    <row r="20" spans="1:11" s="47" customFormat="1" ht="72" x14ac:dyDescent="0.3">
      <c r="A20" s="51"/>
      <c r="B20" s="51"/>
      <c r="C20" s="51"/>
      <c r="D20" s="52" t="s">
        <v>1126</v>
      </c>
      <c r="E20" s="52" t="s">
        <v>1127</v>
      </c>
      <c r="F20" s="51"/>
      <c r="G20" s="51"/>
      <c r="H20" s="49" t="s">
        <v>1128</v>
      </c>
      <c r="I20" s="49" t="s">
        <v>1129</v>
      </c>
      <c r="J20" s="49" t="s">
        <v>1130</v>
      </c>
      <c r="K20" s="49" t="s">
        <v>1131</v>
      </c>
    </row>
    <row r="21" spans="1:11" x14ac:dyDescent="0.3">
      <c r="A21" s="1" t="s">
        <v>1132</v>
      </c>
      <c r="B21" s="2"/>
      <c r="C21" s="2"/>
      <c r="D21" s="1" t="s">
        <v>1133</v>
      </c>
      <c r="E21" s="1" t="s">
        <v>1134</v>
      </c>
      <c r="F21" s="1" t="s">
        <v>1135</v>
      </c>
      <c r="G21" s="1" t="s">
        <v>1136</v>
      </c>
      <c r="H21" s="50" t="s">
        <v>1137</v>
      </c>
      <c r="I21" s="21" t="s">
        <v>1138</v>
      </c>
      <c r="J21" s="50" t="s">
        <v>1139</v>
      </c>
      <c r="K21" s="21" t="s">
        <v>1140</v>
      </c>
    </row>
    <row r="22" spans="1:11" x14ac:dyDescent="0.3">
      <c r="A22" s="1" t="s">
        <v>1141</v>
      </c>
      <c r="B22" s="2"/>
      <c r="C22" s="2"/>
      <c r="D22" s="1" t="s">
        <v>1142</v>
      </c>
      <c r="E22" s="1" t="s">
        <v>1134</v>
      </c>
      <c r="F22" s="1" t="s">
        <v>1143</v>
      </c>
      <c r="G22" s="1" t="s">
        <v>1144</v>
      </c>
      <c r="H22" s="50" t="s">
        <v>1145</v>
      </c>
      <c r="I22" s="50" t="s">
        <v>1146</v>
      </c>
      <c r="J22" s="50" t="s">
        <v>1139</v>
      </c>
      <c r="K22" s="21" t="s">
        <v>1140</v>
      </c>
    </row>
    <row r="23" spans="1:11" x14ac:dyDescent="0.3">
      <c r="A23" s="96" t="s">
        <v>1147</v>
      </c>
      <c r="B23" s="96"/>
      <c r="C23" s="96"/>
      <c r="D23" s="96" t="s">
        <v>1148</v>
      </c>
      <c r="E23" s="96" t="s">
        <v>1149</v>
      </c>
      <c r="F23" s="96" t="s">
        <v>1150</v>
      </c>
      <c r="G23" s="96" t="s">
        <v>1135</v>
      </c>
      <c r="H23" s="97" t="s">
        <v>1151</v>
      </c>
      <c r="I23" s="97" t="s">
        <v>1152</v>
      </c>
      <c r="J23" s="97" t="s">
        <v>1153</v>
      </c>
      <c r="K23" s="97" t="s">
        <v>1154</v>
      </c>
    </row>
    <row r="24" spans="1:11" x14ac:dyDescent="0.3">
      <c r="A24" s="96" t="s">
        <v>1155</v>
      </c>
      <c r="B24" s="96"/>
      <c r="C24" s="96"/>
      <c r="D24" s="96" t="s">
        <v>1156</v>
      </c>
      <c r="E24" s="96" t="s">
        <v>1157</v>
      </c>
      <c r="F24" s="96" t="s">
        <v>1158</v>
      </c>
      <c r="G24" s="96" t="s">
        <v>1135</v>
      </c>
      <c r="H24" s="97" t="s">
        <v>1159</v>
      </c>
      <c r="I24" s="97" t="s">
        <v>1160</v>
      </c>
      <c r="J24" s="97" t="s">
        <v>1161</v>
      </c>
      <c r="K24" s="97" t="s">
        <v>1162</v>
      </c>
    </row>
    <row r="25" spans="1:11" x14ac:dyDescent="0.3">
      <c r="A25" s="96" t="s">
        <v>1163</v>
      </c>
      <c r="B25" s="96"/>
      <c r="C25" s="96"/>
      <c r="D25" s="96" t="s">
        <v>1164</v>
      </c>
      <c r="E25" s="96" t="s">
        <v>1157</v>
      </c>
      <c r="F25" s="96" t="s">
        <v>1158</v>
      </c>
      <c r="G25" s="96" t="s">
        <v>1135</v>
      </c>
      <c r="H25" s="97" t="s">
        <v>1165</v>
      </c>
      <c r="I25" s="97" t="s">
        <v>1166</v>
      </c>
      <c r="J25" s="97" t="s">
        <v>1161</v>
      </c>
      <c r="K25" s="97" t="s">
        <v>1162</v>
      </c>
    </row>
    <row r="26" spans="1:11" x14ac:dyDescent="0.3">
      <c r="A26" s="1" t="s">
        <v>1020</v>
      </c>
      <c r="B26" s="2"/>
      <c r="C26" s="2"/>
      <c r="D26" s="1" t="s">
        <v>1167</v>
      </c>
      <c r="E26" s="1" t="s">
        <v>1168</v>
      </c>
      <c r="F26" s="1" t="s">
        <v>1143</v>
      </c>
      <c r="G26" s="1" t="s">
        <v>1135</v>
      </c>
      <c r="H26" s="50" t="s">
        <v>1169</v>
      </c>
      <c r="I26" s="50" t="s">
        <v>1170</v>
      </c>
      <c r="J26" s="50" t="s">
        <v>1139</v>
      </c>
      <c r="K26" s="21" t="s">
        <v>1140</v>
      </c>
    </row>
    <row r="27" spans="1:11" x14ac:dyDescent="0.3">
      <c r="A27" s="1" t="s">
        <v>1171</v>
      </c>
      <c r="B27" s="2"/>
      <c r="C27" s="2"/>
      <c r="D27" s="1" t="s">
        <v>1167</v>
      </c>
      <c r="E27" s="1" t="s">
        <v>1168</v>
      </c>
      <c r="F27" s="1" t="s">
        <v>1172</v>
      </c>
      <c r="G27" s="1" t="s">
        <v>1173</v>
      </c>
      <c r="H27" s="50" t="s">
        <v>1169</v>
      </c>
      <c r="I27" s="50" t="s">
        <v>1170</v>
      </c>
      <c r="J27" s="50" t="s">
        <v>1139</v>
      </c>
      <c r="K27" s="21" t="s">
        <v>1140</v>
      </c>
    </row>
    <row r="28" spans="1:11" x14ac:dyDescent="0.3">
      <c r="A28" s="1" t="s">
        <v>1174</v>
      </c>
      <c r="B28" s="2"/>
      <c r="C28" s="2"/>
      <c r="D28" s="1" t="s">
        <v>1175</v>
      </c>
      <c r="E28" s="1" t="s">
        <v>1168</v>
      </c>
      <c r="F28" s="1" t="s">
        <v>1176</v>
      </c>
      <c r="G28" s="1" t="s">
        <v>1143</v>
      </c>
      <c r="H28" s="50" t="s">
        <v>1177</v>
      </c>
      <c r="I28" s="50" t="s">
        <v>1178</v>
      </c>
      <c r="J28" s="50" t="s">
        <v>1139</v>
      </c>
      <c r="K28" s="21" t="s">
        <v>1140</v>
      </c>
    </row>
    <row r="29" spans="1:11" x14ac:dyDescent="0.3">
      <c r="A29" s="1" t="s">
        <v>1179</v>
      </c>
      <c r="B29" s="2"/>
      <c r="C29" s="2"/>
      <c r="D29" s="1" t="s">
        <v>1167</v>
      </c>
      <c r="E29" s="1" t="s">
        <v>1168</v>
      </c>
      <c r="F29" s="1" t="s">
        <v>1176</v>
      </c>
      <c r="G29" s="1" t="s">
        <v>1180</v>
      </c>
      <c r="H29" s="50" t="s">
        <v>1169</v>
      </c>
      <c r="I29" s="50" t="s">
        <v>1170</v>
      </c>
      <c r="J29" s="50" t="s">
        <v>1139</v>
      </c>
      <c r="K29" s="21" t="s">
        <v>1140</v>
      </c>
    </row>
    <row r="30" spans="1:11" x14ac:dyDescent="0.3">
      <c r="A30" s="1" t="s">
        <v>1181</v>
      </c>
      <c r="B30" s="2"/>
      <c r="C30" s="2"/>
      <c r="D30" s="1" t="s">
        <v>1167</v>
      </c>
      <c r="E30" s="1" t="s">
        <v>1168</v>
      </c>
      <c r="F30" s="1" t="s">
        <v>1176</v>
      </c>
      <c r="G30" s="1" t="s">
        <v>1182</v>
      </c>
      <c r="H30" s="50" t="s">
        <v>1169</v>
      </c>
      <c r="I30" s="50" t="s">
        <v>1170</v>
      </c>
      <c r="J30" s="50" t="s">
        <v>1139</v>
      </c>
      <c r="K30" s="21" t="s">
        <v>1140</v>
      </c>
    </row>
    <row r="31" spans="1:11" x14ac:dyDescent="0.3">
      <c r="A31" s="1" t="s">
        <v>1183</v>
      </c>
      <c r="B31" s="2"/>
      <c r="C31" s="2"/>
      <c r="D31" s="1" t="s">
        <v>1167</v>
      </c>
      <c r="E31" s="1" t="s">
        <v>1168</v>
      </c>
      <c r="F31" s="1" t="s">
        <v>1176</v>
      </c>
      <c r="G31" s="1" t="s">
        <v>1184</v>
      </c>
      <c r="H31" s="50" t="s">
        <v>1169</v>
      </c>
      <c r="I31" s="50" t="s">
        <v>1170</v>
      </c>
      <c r="J31" s="50" t="s">
        <v>1139</v>
      </c>
      <c r="K31" s="21" t="s">
        <v>1140</v>
      </c>
    </row>
    <row r="32" spans="1:11" x14ac:dyDescent="0.3">
      <c r="A32" s="1" t="s">
        <v>1185</v>
      </c>
      <c r="B32" s="2"/>
      <c r="C32" s="2"/>
      <c r="D32" s="1" t="s">
        <v>1175</v>
      </c>
      <c r="E32" s="1" t="s">
        <v>1168</v>
      </c>
      <c r="F32" s="1" t="s">
        <v>1150</v>
      </c>
      <c r="G32" s="1" t="s">
        <v>1186</v>
      </c>
      <c r="H32" s="50" t="s">
        <v>1177</v>
      </c>
      <c r="I32" s="50" t="s">
        <v>1178</v>
      </c>
      <c r="J32" s="50" t="s">
        <v>1139</v>
      </c>
      <c r="K32" s="21" t="s">
        <v>1140</v>
      </c>
    </row>
    <row r="33" spans="1:11" x14ac:dyDescent="0.3">
      <c r="A33" s="1" t="s">
        <v>1187</v>
      </c>
      <c r="B33" s="2"/>
      <c r="C33" s="2"/>
      <c r="D33" s="1" t="s">
        <v>1188</v>
      </c>
      <c r="E33" s="1" t="s">
        <v>1189</v>
      </c>
      <c r="F33" s="1" t="s">
        <v>1158</v>
      </c>
      <c r="G33" s="1" t="s">
        <v>1190</v>
      </c>
      <c r="H33" s="50" t="s">
        <v>1191</v>
      </c>
      <c r="I33" s="50" t="s">
        <v>1192</v>
      </c>
      <c r="J33" s="50" t="s">
        <v>1193</v>
      </c>
      <c r="K33" s="50" t="s">
        <v>1194</v>
      </c>
    </row>
    <row r="34" spans="1:11" x14ac:dyDescent="0.3">
      <c r="A34" s="1" t="s">
        <v>1195</v>
      </c>
      <c r="B34" s="2"/>
      <c r="C34" s="2"/>
      <c r="D34" s="1" t="s">
        <v>1196</v>
      </c>
      <c r="E34" s="1" t="s">
        <v>1157</v>
      </c>
      <c r="F34" s="1" t="s">
        <v>1197</v>
      </c>
      <c r="G34" s="1" t="s">
        <v>1198</v>
      </c>
      <c r="H34" s="50" t="s">
        <v>1199</v>
      </c>
      <c r="I34" s="50" t="s">
        <v>1200</v>
      </c>
      <c r="J34" s="50" t="s">
        <v>1201</v>
      </c>
      <c r="K34" s="50" t="s">
        <v>1162</v>
      </c>
    </row>
    <row r="35" spans="1:11" x14ac:dyDescent="0.3">
      <c r="A35" s="1" t="s">
        <v>1202</v>
      </c>
      <c r="B35" s="2"/>
      <c r="C35" s="2"/>
      <c r="D35" s="1" t="s">
        <v>1164</v>
      </c>
      <c r="E35" s="1" t="s">
        <v>1157</v>
      </c>
      <c r="F35" s="1" t="s">
        <v>1197</v>
      </c>
      <c r="G35" s="1" t="s">
        <v>1143</v>
      </c>
      <c r="H35" s="50" t="s">
        <v>1203</v>
      </c>
      <c r="I35" s="50" t="s">
        <v>1166</v>
      </c>
      <c r="J35" s="50" t="s">
        <v>1201</v>
      </c>
      <c r="K35" s="50" t="s">
        <v>1162</v>
      </c>
    </row>
    <row r="36" spans="1:11" x14ac:dyDescent="0.3">
      <c r="A36" s="1" t="s">
        <v>1204</v>
      </c>
      <c r="B36" s="2"/>
      <c r="C36" s="2"/>
      <c r="D36" s="1" t="s">
        <v>1205</v>
      </c>
      <c r="E36" s="1" t="s">
        <v>1206</v>
      </c>
      <c r="F36" s="1" t="s">
        <v>1207</v>
      </c>
      <c r="G36" s="1" t="s">
        <v>1208</v>
      </c>
      <c r="H36" s="50" t="s">
        <v>1209</v>
      </c>
      <c r="I36" s="50" t="s">
        <v>1210</v>
      </c>
      <c r="J36" s="50" t="s">
        <v>1211</v>
      </c>
      <c r="K36" s="50" t="s">
        <v>1212</v>
      </c>
    </row>
    <row r="37" spans="1:11" x14ac:dyDescent="0.3">
      <c r="A37" s="1" t="s">
        <v>1213</v>
      </c>
      <c r="B37" s="2"/>
      <c r="C37" s="2"/>
      <c r="D37" s="1" t="s">
        <v>1205</v>
      </c>
      <c r="E37" s="1" t="s">
        <v>1214</v>
      </c>
      <c r="F37" s="1" t="s">
        <v>1135</v>
      </c>
      <c r="G37" s="1" t="s">
        <v>1215</v>
      </c>
      <c r="H37" s="50" t="s">
        <v>1209</v>
      </c>
      <c r="I37" s="50" t="s">
        <v>1210</v>
      </c>
      <c r="J37" s="21" t="s">
        <v>1216</v>
      </c>
      <c r="K37" s="21" t="s">
        <v>1217</v>
      </c>
    </row>
    <row r="38" spans="1:11" x14ac:dyDescent="0.3">
      <c r="A38" s="1" t="s">
        <v>1218</v>
      </c>
      <c r="B38" s="2"/>
      <c r="C38" s="2"/>
      <c r="D38" s="1" t="s">
        <v>1205</v>
      </c>
      <c r="E38" s="1" t="s">
        <v>1214</v>
      </c>
      <c r="F38" s="1" t="s">
        <v>1219</v>
      </c>
      <c r="G38" s="1" t="s">
        <v>1220</v>
      </c>
      <c r="H38" s="50" t="s">
        <v>1209</v>
      </c>
      <c r="I38" s="50" t="s">
        <v>1210</v>
      </c>
      <c r="J38" s="21" t="s">
        <v>1216</v>
      </c>
      <c r="K38" s="21" t="s">
        <v>1217</v>
      </c>
    </row>
    <row r="39" spans="1:11" x14ac:dyDescent="0.3">
      <c r="A39" s="1" t="s">
        <v>1221</v>
      </c>
      <c r="B39" s="2"/>
      <c r="C39" s="2"/>
      <c r="D39" s="1" t="s">
        <v>1222</v>
      </c>
      <c r="E39" s="1" t="s">
        <v>1223</v>
      </c>
      <c r="F39" s="1" t="s">
        <v>1224</v>
      </c>
      <c r="G39" s="1" t="s">
        <v>1225</v>
      </c>
      <c r="H39" s="50" t="s">
        <v>1226</v>
      </c>
      <c r="I39" s="50" t="s">
        <v>1227</v>
      </c>
      <c r="J39" s="21" t="s">
        <v>1228</v>
      </c>
      <c r="K39" s="21" t="s">
        <v>1229</v>
      </c>
    </row>
    <row r="40" spans="1:11" x14ac:dyDescent="0.3">
      <c r="A40" s="1" t="s">
        <v>1230</v>
      </c>
      <c r="B40" s="2"/>
      <c r="C40" s="2"/>
      <c r="D40" s="1" t="s">
        <v>1231</v>
      </c>
      <c r="E40" s="1" t="s">
        <v>1232</v>
      </c>
      <c r="F40" s="1" t="s">
        <v>1233</v>
      </c>
      <c r="G40" s="1" t="s">
        <v>1207</v>
      </c>
      <c r="H40" s="10" t="s">
        <v>1234</v>
      </c>
      <c r="I40" s="21" t="s">
        <v>1235</v>
      </c>
      <c r="J40" s="21" t="s">
        <v>1236</v>
      </c>
      <c r="K40" s="21" t="s">
        <v>1237</v>
      </c>
    </row>
    <row r="41" spans="1:11" x14ac:dyDescent="0.3">
      <c r="A41" s="1" t="s">
        <v>1238</v>
      </c>
      <c r="B41" s="2"/>
      <c r="C41" s="2"/>
      <c r="D41" s="1" t="s">
        <v>1239</v>
      </c>
      <c r="E41" s="1" t="s">
        <v>1240</v>
      </c>
      <c r="F41" s="1" t="s">
        <v>1135</v>
      </c>
      <c r="G41" s="1" t="s">
        <v>1241</v>
      </c>
      <c r="H41" s="10" t="s">
        <v>1242</v>
      </c>
      <c r="I41" s="21" t="s">
        <v>1243</v>
      </c>
      <c r="J41" s="21" t="s">
        <v>1244</v>
      </c>
      <c r="K41" s="21" t="s">
        <v>1245</v>
      </c>
    </row>
    <row r="42" spans="1:11" x14ac:dyDescent="0.3">
      <c r="A42" s="1" t="s">
        <v>1246</v>
      </c>
      <c r="B42" s="2"/>
      <c r="C42" s="2"/>
      <c r="D42" s="1" t="s">
        <v>1133</v>
      </c>
      <c r="E42" s="1" t="s">
        <v>1168</v>
      </c>
      <c r="F42" s="1" t="s">
        <v>1247</v>
      </c>
      <c r="G42" s="1" t="s">
        <v>1176</v>
      </c>
      <c r="H42" s="10" t="s">
        <v>1137</v>
      </c>
      <c r="I42" s="21" t="s">
        <v>1138</v>
      </c>
      <c r="J42" s="21" t="s">
        <v>1248</v>
      </c>
      <c r="K42" s="21" t="s">
        <v>1249</v>
      </c>
    </row>
    <row r="43" spans="1:11" x14ac:dyDescent="0.3">
      <c r="A43" s="1" t="s">
        <v>1037</v>
      </c>
      <c r="B43" s="2"/>
      <c r="C43" s="2"/>
      <c r="D43" s="1" t="s">
        <v>1250</v>
      </c>
      <c r="E43" s="1" t="s">
        <v>1168</v>
      </c>
      <c r="F43" s="1" t="s">
        <v>1197</v>
      </c>
      <c r="G43" s="1" t="s">
        <v>1176</v>
      </c>
      <c r="H43" s="10" t="s">
        <v>1137</v>
      </c>
      <c r="I43" s="21" t="s">
        <v>1138</v>
      </c>
      <c r="J43" s="21" t="s">
        <v>1248</v>
      </c>
      <c r="K43" s="21" t="s">
        <v>1249</v>
      </c>
    </row>
    <row r="44" spans="1:11" x14ac:dyDescent="0.3">
      <c r="A44" s="1" t="s">
        <v>1037</v>
      </c>
      <c r="B44" s="2"/>
      <c r="C44" s="2"/>
      <c r="D44" s="1" t="s">
        <v>1251</v>
      </c>
      <c r="E44" s="1" t="s">
        <v>1168</v>
      </c>
      <c r="F44" s="1" t="s">
        <v>1197</v>
      </c>
      <c r="G44" s="1" t="s">
        <v>1176</v>
      </c>
      <c r="H44" s="10" t="s">
        <v>1145</v>
      </c>
      <c r="I44" s="21" t="s">
        <v>1146</v>
      </c>
      <c r="J44" s="21" t="s">
        <v>1248</v>
      </c>
      <c r="K44" s="21" t="s">
        <v>1249</v>
      </c>
    </row>
    <row r="45" spans="1:11" x14ac:dyDescent="0.3">
      <c r="A45" s="1" t="s">
        <v>1252</v>
      </c>
      <c r="B45" s="2"/>
      <c r="C45" s="2"/>
      <c r="D45" s="1" t="s">
        <v>1253</v>
      </c>
      <c r="E45" s="1" t="s">
        <v>1205</v>
      </c>
      <c r="F45" s="1" t="s">
        <v>1197</v>
      </c>
      <c r="G45" s="1" t="s">
        <v>1176</v>
      </c>
      <c r="H45" s="10" t="s">
        <v>1254</v>
      </c>
      <c r="I45" s="21" t="s">
        <v>1255</v>
      </c>
      <c r="J45" s="21" t="s">
        <v>1256</v>
      </c>
      <c r="K45" s="21" t="s">
        <v>1210</v>
      </c>
    </row>
    <row r="47" spans="1:11" ht="28.8" x14ac:dyDescent="0.3">
      <c r="A47" s="41" t="s">
        <v>1257</v>
      </c>
      <c r="B47" s="42" t="s">
        <v>1258</v>
      </c>
    </row>
    <row r="48" spans="1:11" x14ac:dyDescent="0.3">
      <c r="A48" s="39" t="s">
        <v>1259</v>
      </c>
    </row>
    <row r="49" spans="1:2" x14ac:dyDescent="0.3">
      <c r="A49" t="s">
        <v>1260</v>
      </c>
      <c r="B49" t="s">
        <v>1261</v>
      </c>
    </row>
    <row r="50" spans="1:2" x14ac:dyDescent="0.3">
      <c r="A50" t="s">
        <v>334</v>
      </c>
      <c r="B50" t="s">
        <v>1262</v>
      </c>
    </row>
    <row r="51" spans="1:2" x14ac:dyDescent="0.3">
      <c r="A51" t="s">
        <v>335</v>
      </c>
      <c r="B51" t="s">
        <v>1262</v>
      </c>
    </row>
    <row r="52" spans="1:2" x14ac:dyDescent="0.3">
      <c r="A52" t="s">
        <v>376</v>
      </c>
      <c r="B52" t="s">
        <v>1263</v>
      </c>
    </row>
    <row r="53" spans="1:2" x14ac:dyDescent="0.3">
      <c r="A53" s="40" t="s">
        <v>1264</v>
      </c>
    </row>
    <row r="54" spans="1:2" x14ac:dyDescent="0.3">
      <c r="A54" t="s">
        <v>706</v>
      </c>
      <c r="B54" t="s">
        <v>1265</v>
      </c>
    </row>
    <row r="55" spans="1:2" x14ac:dyDescent="0.3">
      <c r="A55" t="s">
        <v>709</v>
      </c>
      <c r="B55" t="s">
        <v>1265</v>
      </c>
    </row>
    <row r="56" spans="1:2" x14ac:dyDescent="0.3">
      <c r="A56" t="s">
        <v>710</v>
      </c>
      <c r="B56" t="s">
        <v>1266</v>
      </c>
    </row>
    <row r="57" spans="1:2" x14ac:dyDescent="0.3">
      <c r="A57" t="s">
        <v>1267</v>
      </c>
      <c r="B57" t="s">
        <v>1268</v>
      </c>
    </row>
    <row r="58" spans="1:2" x14ac:dyDescent="0.3">
      <c r="A58" t="s">
        <v>376</v>
      </c>
      <c r="B58" t="s">
        <v>1263</v>
      </c>
    </row>
    <row r="61" spans="1:2" x14ac:dyDescent="0.3">
      <c r="A61" s="44" t="s">
        <v>1269</v>
      </c>
    </row>
    <row r="62" spans="1:2" ht="57.6" x14ac:dyDescent="0.3">
      <c r="A62" s="19" t="s">
        <v>1270</v>
      </c>
    </row>
  </sheetData>
  <mergeCells count="2">
    <mergeCell ref="A2:G2"/>
    <mergeCell ref="H5:K5"/>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6c54a1a-76c2-44bf-96bd-cf8202a58889">
      <Terms xmlns="http://schemas.microsoft.com/office/infopath/2007/PartnerControls"/>
    </lcf76f155ced4ddcb4097134ff3c332f>
    <TaxCatchAll xmlns="3756dc49-9806-4e3e-b542-ac0fb4aac48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43BD6A346CA84BA5FBEB9D7412D7B0" ma:contentTypeVersion="14" ma:contentTypeDescription="Create a new document." ma:contentTypeScope="" ma:versionID="d39ff90ab5f26f61882002551a2bd440">
  <xsd:schema xmlns:xsd="http://www.w3.org/2001/XMLSchema" xmlns:xs="http://www.w3.org/2001/XMLSchema" xmlns:p="http://schemas.microsoft.com/office/2006/metadata/properties" xmlns:ns2="36c54a1a-76c2-44bf-96bd-cf8202a58889" xmlns:ns3="3756dc49-9806-4e3e-b542-ac0fb4aac48b" targetNamespace="http://schemas.microsoft.com/office/2006/metadata/properties" ma:root="true" ma:fieldsID="788c3e8ef9c3d3a316c356a1c9e5a026" ns2:_="" ns3:_="">
    <xsd:import namespace="36c54a1a-76c2-44bf-96bd-cf8202a58889"/>
    <xsd:import namespace="3756dc49-9806-4e3e-b542-ac0fb4aac48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c54a1a-76c2-44bf-96bd-cf8202a588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5ea3bb0-829f-4086-a285-fcc3a08720b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756dc49-9806-4e3e-b542-ac0fb4aac48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8dcca-ca11-4f24-bddf-4c389d9fe350}" ma:internalName="TaxCatchAll" ma:showField="CatchAllData" ma:web="3756dc49-9806-4e3e-b542-ac0fb4aac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55379C-332D-41F3-B2BA-4B7C9BD807D9}">
  <ds:schemaRefs>
    <ds:schemaRef ds:uri="http://schemas.microsoft.com/sharepoint/v3/contenttype/forms"/>
  </ds:schemaRefs>
</ds:datastoreItem>
</file>

<file path=customXml/itemProps2.xml><?xml version="1.0" encoding="utf-8"?>
<ds:datastoreItem xmlns:ds="http://schemas.openxmlformats.org/officeDocument/2006/customXml" ds:itemID="{339ADE75-98D5-4352-BB40-192412A34271}">
  <ds:schemaRefs>
    <ds:schemaRef ds:uri="http://schemas.microsoft.com/office/2006/metadata/properties"/>
    <ds:schemaRef ds:uri="http://schemas.microsoft.com/office/infopath/2007/PartnerControls"/>
    <ds:schemaRef ds:uri="e6b8d181-6737-4414-8ca5-6152c5b4c9b0"/>
  </ds:schemaRefs>
</ds:datastoreItem>
</file>

<file path=customXml/itemProps3.xml><?xml version="1.0" encoding="utf-8"?>
<ds:datastoreItem xmlns:ds="http://schemas.openxmlformats.org/officeDocument/2006/customXml" ds:itemID="{2DEC5959-FD7F-4B50-9989-402725C447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diamond adult analysis</vt:lpstr>
      <vt:lpstr>Diamond_Info</vt:lpstr>
      <vt:lpstr>Rec_Field_Info</vt:lpstr>
      <vt:lpstr>Methods_Dimensions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Devon Jenkins</dc:creator>
  <cp:keywords/>
  <dc:description/>
  <cp:lastModifiedBy>Macdonald, Eliana</cp:lastModifiedBy>
  <cp:revision/>
  <dcterms:created xsi:type="dcterms:W3CDTF">2024-09-13T16:55:29Z</dcterms:created>
  <dcterms:modified xsi:type="dcterms:W3CDTF">2025-10-09T18:36:27Z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0x0101007943BD6A346CA84BA5FBEB9D7412D7B0</vt:lpwstr>
  </property>
  <property fmtid="{D5CDD505-2E9C-101B-9397-08002B2CF9AE}" pid="3" name="MediaServiceImageTags">
    <vt:lpwstr/>
  </property>
</Properties>
</file>