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Formatted Form Data" sheetId="2" r:id="rId5"/>
    <sheet state="visible" name="Jef Dagboek" sheetId="3" r:id="rId6"/>
  </sheets>
  <definedNames/>
  <calcPr/>
</workbook>
</file>

<file path=xl/sharedStrings.xml><?xml version="1.0" encoding="utf-8"?>
<sst xmlns="http://schemas.openxmlformats.org/spreadsheetml/2006/main" count="187" uniqueCount="90">
  <si>
    <t>Timestamp</t>
  </si>
  <si>
    <t>Datum</t>
  </si>
  <si>
    <t>Type Training</t>
  </si>
  <si>
    <t>Duur Training</t>
  </si>
  <si>
    <t>Training Intensity</t>
  </si>
  <si>
    <t>Meest Gebruikte Grip Type</t>
  </si>
  <si>
    <t>Vingers meest gebruikt</t>
  </si>
  <si>
    <t>Type van spelen (Technieken)</t>
  </si>
  <si>
    <t>Type van spelen (Toepassing)</t>
  </si>
  <si>
    <t>Duur spelen</t>
  </si>
  <si>
    <t>Moeilijkheid spelen</t>
  </si>
  <si>
    <t>Vinger fatigue tijdens het spelen</t>
  </si>
  <si>
    <t>Overall fatigue</t>
  </si>
  <si>
    <t>Vinger pijn/stijfheid</t>
  </si>
  <si>
    <t>Welke vingers doen pijn?</t>
  </si>
  <si>
    <t>Pijn omschrijving</t>
  </si>
  <si>
    <t>Recovery actions taken</t>
  </si>
  <si>
    <t>Subjectieve notes</t>
  </si>
  <si>
    <t>Boulderen - Zware Sessie (Hoge intensiteit, projecteren, maximale kracht)</t>
  </si>
  <si>
    <t>Open hand grip, Half-crimp grip, Volledige crimp grip, Sloper grip (/Open grip op hellende grepen), Pinch grip (Knijpgrip op pinches), Pockets (2 vingers), Slopers met compressie (Samendrukken van slopers met beide handen), Gaston grip (Zijwaartse duwende grip, zoals bij gaston-bewegingen), Undercling grip (Onderhands trekken aan grepen), Sidepull grip (Zijwaarts trekken aan grepen)</t>
  </si>
  <si>
    <t>Middle</t>
  </si>
  <si>
    <t>Improvisatie</t>
  </si>
  <si>
    <t>Boulderen - Gemiddelde Sessie (Algemeen klimmen, matige moeilijkheid)</t>
  </si>
  <si>
    <t>Open hand grip, Half-crimp grip, Volledige crimp grip, Sloper grip (/Open grip op hellende grepen), Pinch grip (Knijpgrip op pinches), Slopers met compressie (Samendrukken van slopers met beide handen), Gaston grip (Zijwaartse duwende grip, zoals bij gaston-bewegingen), Undercling grip (Onderhands trekken aan grepen), Sidepull grip (Zijwaarts trekken aan grepen)</t>
  </si>
  <si>
    <t>Componeren / Songwriting, Opnamesessie</t>
  </si>
  <si>
    <t>Middle, Ring</t>
  </si>
  <si>
    <t>Stretching</t>
  </si>
  <si>
    <t>Volledige Rustdag (Geen training)</t>
  </si>
  <si>
    <t>Improvisatie, Componeren / Songwriting, Technische oefening, Bladmuziek lezen / Covers spelen</t>
  </si>
  <si>
    <t>Stretching, Rustdag genomen</t>
  </si>
  <si>
    <t>Actief Herstel (Licht klimmen, lage intensiteit)</t>
  </si>
  <si>
    <t>Half-crimp grip, Sloper grip (/Open grip op hellende grepen), Sidepull grip (Zijwaarts trekken aan grepen)</t>
  </si>
  <si>
    <t>Componeren / Songwriting, Technische oefening</t>
  </si>
  <si>
    <t>Rustdag genomen</t>
  </si>
  <si>
    <t>Componeren / Songwriting, Opnamesessie, Bladmuziek lezen / Covers spelen</t>
  </si>
  <si>
    <t>Half-crimp grip, Volledige crimp grip, Sloper grip (/Open grip op hellende grepen), Slopers met compressie (Samendrukken van slopers met beide handen), Sidepull grip (Zijwaarts trekken aan grepen)</t>
  </si>
  <si>
    <t>Improvisatie, Groove-focused spelen</t>
  </si>
  <si>
    <t>Technische oefening</t>
  </si>
  <si>
    <t>steken middelste kootje, stijf</t>
  </si>
  <si>
    <t>Stretching, Lichter spelen / Alternatieve speeltechniek geprobeerd</t>
  </si>
  <si>
    <t>Componeren / Songwriting</t>
  </si>
  <si>
    <t>Hangboard - Uithouding (Langere hangs, lage tot matige intensiteit)</t>
  </si>
  <si>
    <t>Half-crimp grip, Volledige crimp grip</t>
  </si>
  <si>
    <t>Improvisatie, Componeren / Songwriting</t>
  </si>
  <si>
    <t>Stretching, Massage/Zelfmassage, Lichter spelen / Alternatieve speeltechniek geprobeerd</t>
  </si>
  <si>
    <t>Improvisatie, Componeren / Songwriting, Opnamesessie, Repetitie met band</t>
  </si>
  <si>
    <t>Open hand grip, Half-crimp grip, Volledige crimp grip, Sloper grip (/Open grip op hellende grepen), Pinch grip (Knijpgrip op pinches), Undercling grip (Onderhands trekken aan grepen), Sidepull grip (Zijwaarts trekken aan grepen)</t>
  </si>
  <si>
    <t>Componeren / Songwriting, Technische oefening, Groove-focused spelen</t>
  </si>
  <si>
    <t>Componeren / Songwriting, Live optreden, Bladmuziek lezen / Covers spelen</t>
  </si>
  <si>
    <t>Lichter spelen / Alternatieve speeltechniek geprobeerd</t>
  </si>
  <si>
    <t>Open hand grip, Half-crimp grip, Volledige crimp grip</t>
  </si>
  <si>
    <t>Componeren / Songwriting, Repetitie met band</t>
  </si>
  <si>
    <t>Improvisatie, Componeren / Songwriting, Technische oefening, Groove-focused spelen</t>
  </si>
  <si>
    <t>Componeren / Songwriting, Technische oefening, Bladmuziek lezen / Covers spelen, Groove-focused spelen</t>
  </si>
  <si>
    <t>Index, Middle, Ring</t>
  </si>
  <si>
    <t>Boulderen - Uithoudingssessie (Lange routes, continue belasting)</t>
  </si>
  <si>
    <t>Open hand grip, Half-crimp grip, Volledige crimp grip, Sloper grip (/Open grip op hellende grepen), Pinch grip (Knijpgrip op pinches), Pockets (2 vingers), Pockets (3 vingers), Undercling grip (Onderhands trekken aan grepen), Sidepull grip (Zijwaarts trekken aan grepen)</t>
  </si>
  <si>
    <t>Componeren / Songwriting, Technische oefening, Bladmuziek lezen / Covers spelen</t>
  </si>
  <si>
    <t>Open hand grip, Half-crimp grip, Volledige crimp grip, Sloper grip (/Open grip op hellende grepen), Pinch grip (Knijpgrip op pinches), Pockets (2 vingers), Pockets (3 vingers), Slopers met compressie (Samendrukken van slopers met beide handen), Gaston grip (Zijwaartse duwende grip, zoals bij gaston-bewegingen), Undercling grip (Onderhands trekken aan grepen), Sidepull grip (Zijwaarts trekken aan grepen)</t>
  </si>
  <si>
    <t>Open hand grip, Half-crimp grip, Volledige crimp grip, Sloper grip (/Open grip op hellende grepen), Undercling grip (Onderhands trekken aan grepen), Sidepull grip (Zijwaarts trekken aan grepen)</t>
  </si>
  <si>
    <t>Massage/Zelfmassage</t>
  </si>
  <si>
    <t>TrainingIntensiteit (1-10)</t>
  </si>
  <si>
    <t>Griptype</t>
  </si>
  <si>
    <t>Belaste Vingers</t>
  </si>
  <si>
    <t>Type Spel</t>
  </si>
  <si>
    <t>Duur Spel</t>
  </si>
  <si>
    <t>SpelMoeilijkheid (1-10)</t>
  </si>
  <si>
    <t>Vingerbelasting Spel (1-10)</t>
  </si>
  <si>
    <t>Vermoeidheid Algemeen (1-10)</t>
  </si>
  <si>
    <t>Pijn/Stijfheid (1-10)</t>
  </si>
  <si>
    <t>Specifieke Vingers</t>
  </si>
  <si>
    <t>Beschrijving Pijn</t>
  </si>
  <si>
    <t>Herstelactie</t>
  </si>
  <si>
    <t>Subjectieve Evaluatie</t>
  </si>
  <si>
    <t>Bouldersessie</t>
  </si>
  <si>
    <t>3u</t>
  </si>
  <si>
    <t>N/A</t>
  </si>
  <si>
    <t>Instant compositie, niet technisch uitdagend</t>
  </si>
  <si>
    <t>2u</t>
  </si>
  <si>
    <t>Sterke sessie, vinger intensief, soft projecting</t>
  </si>
  <si>
    <t>Hangboard 15m Bouldersessie</t>
  </si>
  <si>
    <t>2u30</t>
  </si>
  <si>
    <t>Opnamesessie Better ITM bij Ruben</t>
  </si>
  <si>
    <t>Zwakke sessie, moeite met rood, 1x7a op kilter</t>
  </si>
  <si>
    <t>voelde goed, kleine stijfheid weg na 15 min spelen</t>
  </si>
  <si>
    <t>Rustdag</t>
  </si>
  <si>
    <t>1u</t>
  </si>
  <si>
    <t>Bach partita #3, holdover</t>
  </si>
  <si>
    <t>middeste knokkel van middel- en ringvinger beide handen stijf</t>
  </si>
  <si>
    <t>linker hand kwam snel los, rechter hand middelvinger bleef gevoelig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</si>
</sst>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dd/MM/yyyy"/>
  </numFmts>
  <fonts count="2">
    <font>
      <sz val="10.0"/>
      <color rgb="FF000000"/>
      <name val="Arial"/>
      <scheme val="minor"/>
    </font>
    <font>
      <color theme="1"/>
      <name val="Arial"/>
      <scheme val="minor"/>
    </font>
  </fonts>
  <fills count="2">
    <fill>
      <patternFill patternType="none"/>
    </fill>
    <fill>
      <patternFill patternType="lightGray"/>
    </fill>
  </fills>
  <borders count="2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3E4791"/>
      </left>
      <right style="thin">
        <color rgb="FF535FC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3E4791"/>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3E4791"/>
      </right>
      <top style="thin">
        <color rgb="FFF6F8F9"/>
      </top>
      <bottom style="thin">
        <color rgb="FFF6F8F9"/>
      </bottom>
    </border>
    <border>
      <left style="thin">
        <color rgb="FF3E4791"/>
      </left>
      <right style="thin">
        <color rgb="FFFFFFFF"/>
      </right>
      <top style="thin">
        <color rgb="FFFFFFFF"/>
      </top>
      <bottom style="thin">
        <color rgb="FF3E4791"/>
      </bottom>
    </border>
    <border>
      <left style="thin">
        <color rgb="FFFFFFFF"/>
      </left>
      <right style="thin">
        <color rgb="FFFFFFFF"/>
      </right>
      <top style="thin">
        <color rgb="FFFFFFFF"/>
      </top>
      <bottom style="thin">
        <color rgb="FF3E4791"/>
      </bottom>
    </border>
    <border>
      <left style="thin">
        <color rgb="FFFFFFFF"/>
      </left>
      <right style="thin">
        <color rgb="FF3E4791"/>
      </right>
      <top style="thin">
        <color rgb="FFFFFFFF"/>
      </top>
      <bottom style="thin">
        <color rgb="FF3E4791"/>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46" xfId="0" applyAlignment="1" applyBorder="1" applyFont="1" applyNumberForma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1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46" xfId="0" applyAlignment="1" applyBorder="1" applyFont="1" applyNumberFormat="1">
      <alignment readingOrder="0" shrinkToFit="0" vertical="center" wrapText="0"/>
    </xf>
    <xf borderId="4" fillId="0" fontId="1" numFmtId="164" xfId="0" applyAlignment="1" applyBorder="1" applyFont="1" applyNumberFormat="1">
      <alignment readingOrder="0" shrinkToFit="0" vertical="center" wrapText="0"/>
    </xf>
    <xf borderId="5" fillId="0" fontId="1" numFmtId="1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46" xfId="0" applyAlignment="1" applyBorder="1" applyFont="1" applyNumberFormat="1">
      <alignment readingOrder="0" shrinkToFit="0" vertical="center" wrapText="0"/>
    </xf>
    <xf borderId="9" fillId="0" fontId="1" numFmtId="164" xfId="0" applyAlignment="1" applyBorder="1" applyFont="1" applyNumberFormat="1">
      <alignment readingOrder="0" shrinkToFit="0" vertical="center" wrapText="0"/>
    </xf>
    <xf borderId="10" fillId="0" fontId="1" numFmtId="1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xf borderId="10" fillId="0" fontId="1" numFmtId="46" xfId="0" applyAlignment="1" applyBorder="1" applyFont="1" applyNumberFormat="1">
      <alignment readingOrder="0" shrinkToFit="0" vertical="center" wrapText="0"/>
    </xf>
    <xf borderId="0" fillId="0" fontId="1" numFmtId="0" xfId="0" applyFont="1"/>
    <xf borderId="0" fillId="0" fontId="1" numFmtId="14" xfId="0" applyFont="1" applyNumberFormat="1"/>
    <xf borderId="0" fillId="0" fontId="1" numFmtId="46" xfId="0" applyFont="1" applyNumberFormat="1"/>
    <xf borderId="11" fillId="0" fontId="1" numFmtId="0" xfId="0" applyAlignment="1" applyBorder="1" applyFont="1">
      <alignment horizontal="left" readingOrder="0" shrinkToFit="0" vertical="center" wrapText="1"/>
    </xf>
    <xf borderId="12" fillId="0" fontId="1" numFmtId="0" xfId="0" applyAlignment="1" applyBorder="1" applyFont="1">
      <alignment horizontal="left" readingOrder="0" shrinkToFit="0" vertical="center" wrapText="1"/>
    </xf>
    <xf borderId="13" fillId="0" fontId="1" numFmtId="0" xfId="0" applyAlignment="1" applyBorder="1" applyFont="1">
      <alignment horizontal="left" readingOrder="0" shrinkToFit="0" vertical="center" wrapText="1"/>
    </xf>
    <xf borderId="14" fillId="0" fontId="1" numFmtId="165" xfId="0" applyAlignment="1" applyBorder="1" applyFont="1" applyNumberFormat="1">
      <alignment shrinkToFit="0" vertical="center" wrapText="1"/>
    </xf>
    <xf borderId="5" fillId="0" fontId="1" numFmtId="0" xfId="0" applyAlignment="1" applyBorder="1" applyFont="1">
      <alignment shrinkToFit="0" vertical="center" wrapText="1"/>
    </xf>
    <xf borderId="15" fillId="0" fontId="1" numFmtId="0" xfId="0" applyAlignment="1" applyBorder="1" applyFont="1">
      <alignment shrinkToFit="0" vertical="center" wrapText="1"/>
    </xf>
    <xf borderId="16" fillId="0" fontId="1" numFmtId="165" xfId="0" applyAlignment="1" applyBorder="1" applyFont="1" applyNumberFormat="1">
      <alignment shrinkToFit="0" vertical="center" wrapText="1"/>
    </xf>
    <xf borderId="17" fillId="0" fontId="1" numFmtId="0" xfId="0" applyAlignment="1" applyBorder="1" applyFont="1">
      <alignment shrinkToFit="0" vertical="center" wrapText="1"/>
    </xf>
    <xf borderId="18" fillId="0" fontId="1" numFmtId="0" xfId="0" applyAlignment="1" applyBorder="1" applyFont="1">
      <alignment shrinkToFit="0" vertical="center" wrapText="1"/>
    </xf>
    <xf borderId="19" fillId="0" fontId="1" numFmtId="165" xfId="0" applyAlignment="1" applyBorder="1" applyFont="1" applyNumberFormat="1">
      <alignment shrinkToFit="0" vertical="center" wrapText="1"/>
    </xf>
    <xf borderId="20" fillId="0" fontId="1" numFmtId="0" xfId="0" applyAlignment="1" applyBorder="1" applyFont="1">
      <alignment shrinkToFit="0" vertical="center" wrapText="1"/>
    </xf>
    <xf borderId="21" fillId="0" fontId="1" numFmtId="0" xfId="0" applyAlignment="1" applyBorder="1" applyFont="1">
      <alignment shrinkToFit="0" vertical="center" wrapText="1"/>
    </xf>
  </cellXfs>
  <cellStyles count="1">
    <cellStyle xfId="0" name="Normal" builtinId="0"/>
  </cellStyles>
  <dxfs count="6">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535FC1"/>
          <bgColor rgb="FF535FC1"/>
        </patternFill>
      </fill>
      <border/>
    </dxf>
    <dxf>
      <font/>
      <fill>
        <patternFill patternType="solid">
          <fgColor rgb="FFF6F8F9"/>
          <bgColor rgb="FFF6F8F9"/>
        </patternFill>
      </fill>
      <border/>
    </dxf>
  </dxfs>
  <tableStyles count="2">
    <tableStyle count="3" pivot="0" name="Form responses 1-style">
      <tableStyleElement dxfId="1" type="headerRow"/>
      <tableStyleElement dxfId="2" type="firstRowStripe"/>
      <tableStyleElement dxfId="3" type="secondRowStripe"/>
    </tableStyle>
    <tableStyle count="3" pivot="0" name="Jef Dagboek-style">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R30" displayName="Form_Responses1" name="Form_Responses1" id="1">
  <tableColumns count="18">
    <tableColumn name="Timestamp" id="1"/>
    <tableColumn name="Datum" id="2"/>
    <tableColumn name="Type Training" id="3"/>
    <tableColumn name="Duur Training" id="4"/>
    <tableColumn name="Training Intensity" id="5"/>
    <tableColumn name="Meest Gebruikte Grip Type" id="6"/>
    <tableColumn name="Vingers meest gebruikt" id="7"/>
    <tableColumn name="Type van spelen (Technieken)" id="8"/>
    <tableColumn name="Type van spelen (Toepassing)" id="9"/>
    <tableColumn name="Duur spelen" id="10"/>
    <tableColumn name="Moeilijkheid spelen" id="11"/>
    <tableColumn name="Vinger fatigue tijdens het spelen" id="12"/>
    <tableColumn name="Overall fatigue" id="13"/>
    <tableColumn name="Vinger pijn/stijfheid" id="14"/>
    <tableColumn name="Welke vingers doen pijn?" id="15"/>
    <tableColumn name="Pijn omschrijving" id="16"/>
    <tableColumn name="Recovery actions taken" id="17"/>
    <tableColumn name="Subjectieve notes" id="18"/>
  </tableColumns>
  <tableStyleInfo name="Form responses 1-style" showColumnStripes="0" showFirstColumn="1" showLastColumn="1" showRowStripes="1"/>
</table>
</file>

<file path=xl/tables/table2.xml><?xml version="1.0" encoding="utf-8"?>
<table xmlns="http://schemas.openxmlformats.org/spreadsheetml/2006/main" ref="A1:P4" displayName="Jef_Dagboek" name="Jef_Dagboek" id="2">
  <tableColumns count="16">
    <tableColumn name="Datum" id="1"/>
    <tableColumn name="Type Training" id="2"/>
    <tableColumn name="Duur Training" id="3"/>
    <tableColumn name="TrainingIntensiteit (1-10)" id="4"/>
    <tableColumn name="Griptype" id="5"/>
    <tableColumn name="Belaste Vingers" id="6"/>
    <tableColumn name="Type Spel" id="7"/>
    <tableColumn name="Duur Spel" id="8"/>
    <tableColumn name="SpelMoeilijkheid (1-10)" id="9"/>
    <tableColumn name="Vingerbelasting Spel (1-10)" id="10"/>
    <tableColumn name="Vermoeidheid Algemeen (1-10)" id="11"/>
    <tableColumn name="Pijn/Stijfheid (1-10)" id="12"/>
    <tableColumn name="Specifieke Vingers" id="13"/>
    <tableColumn name="Beschrijving Pijn" id="14"/>
    <tableColumn name="Herstelactie" id="15"/>
    <tableColumn name="Subjectieve Evaluatie" id="16"/>
  </tableColumns>
  <tableStyleInfo name="Jef Dagboe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 width="18.88"/>
    <col customWidth="1" min="7" max="7" width="22.13"/>
    <col customWidth="1" min="8" max="8" width="26.75"/>
    <col customWidth="1" min="9" max="9" width="26.88"/>
    <col customWidth="1" min="10" max="10" width="18.88"/>
    <col customWidth="1" min="11" max="11" width="19.25"/>
    <col customWidth="1" min="12" max="12" width="28.63"/>
    <col customWidth="1" min="13" max="13" width="18.88"/>
    <col customWidth="1" min="14" max="14" width="19.5"/>
    <col customWidth="1" min="15" max="15" width="23.13"/>
    <col customWidth="1" min="16" max="16" width="18.88"/>
    <col customWidth="1" min="17" max="17" width="22.13"/>
    <col customWidth="1" min="18" max="24" width="18.88"/>
  </cols>
  <sheetData>
    <row r="1">
      <c r="A1" s="1" t="s">
        <v>0</v>
      </c>
      <c r="B1" s="2" t="s">
        <v>1</v>
      </c>
      <c r="C1" s="3" t="s">
        <v>2</v>
      </c>
      <c r="D1" s="2" t="s">
        <v>3</v>
      </c>
      <c r="E1" s="2" t="s">
        <v>4</v>
      </c>
      <c r="F1" s="3" t="s">
        <v>5</v>
      </c>
      <c r="G1" s="3" t="s">
        <v>6</v>
      </c>
      <c r="H1" s="2" t="s">
        <v>7</v>
      </c>
      <c r="I1" s="2" t="s">
        <v>8</v>
      </c>
      <c r="J1" s="2" t="s">
        <v>9</v>
      </c>
      <c r="K1" s="2" t="s">
        <v>10</v>
      </c>
      <c r="L1" s="2" t="s">
        <v>11</v>
      </c>
      <c r="M1" s="2" t="s">
        <v>12</v>
      </c>
      <c r="N1" s="2" t="s">
        <v>13</v>
      </c>
      <c r="O1" s="2" t="s">
        <v>14</v>
      </c>
      <c r="P1" s="2" t="s">
        <v>15</v>
      </c>
      <c r="Q1" s="2" t="s">
        <v>16</v>
      </c>
      <c r="R1" s="4" t="s">
        <v>17</v>
      </c>
    </row>
    <row r="2">
      <c r="A2" s="5">
        <v>45732.6601517824</v>
      </c>
      <c r="B2" s="6">
        <v>45729.0</v>
      </c>
      <c r="C2" s="7" t="s">
        <v>18</v>
      </c>
      <c r="D2" s="8">
        <v>0.125</v>
      </c>
      <c r="E2" s="7">
        <v>8.0</v>
      </c>
      <c r="F2" s="7" t="s">
        <v>19</v>
      </c>
      <c r="G2" s="7" t="s">
        <v>20</v>
      </c>
      <c r="H2" s="9"/>
      <c r="I2" s="7" t="s">
        <v>21</v>
      </c>
      <c r="J2" s="8">
        <v>0.08333333333575865</v>
      </c>
      <c r="K2" s="7">
        <v>5.0</v>
      </c>
      <c r="L2" s="7">
        <v>2.0</v>
      </c>
      <c r="M2" s="7">
        <v>2.0</v>
      </c>
      <c r="N2" s="7">
        <v>1.0</v>
      </c>
      <c r="O2" s="9"/>
      <c r="P2" s="9"/>
      <c r="Q2" s="9"/>
      <c r="R2" s="10"/>
    </row>
    <row r="3">
      <c r="A3" s="11">
        <v>45732.66165013889</v>
      </c>
      <c r="B3" s="12">
        <v>45730.0</v>
      </c>
      <c r="C3" s="13" t="s">
        <v>22</v>
      </c>
      <c r="D3" s="14">
        <v>0.10416666666424135</v>
      </c>
      <c r="E3" s="13">
        <v>7.0</v>
      </c>
      <c r="F3" s="13" t="s">
        <v>23</v>
      </c>
      <c r="G3" s="13" t="s">
        <v>20</v>
      </c>
      <c r="I3" s="13" t="s">
        <v>24</v>
      </c>
      <c r="J3" s="14">
        <v>0.125</v>
      </c>
      <c r="K3" s="13">
        <v>7.0</v>
      </c>
      <c r="L3" s="13">
        <v>4.0</v>
      </c>
      <c r="M3" s="13">
        <v>3.0</v>
      </c>
      <c r="N3" s="13">
        <v>5.0</v>
      </c>
      <c r="O3" s="13" t="s">
        <v>25</v>
      </c>
      <c r="Q3" s="13" t="s">
        <v>26</v>
      </c>
    </row>
    <row r="4">
      <c r="A4" s="15">
        <v>45732.67064321759</v>
      </c>
      <c r="B4" s="16">
        <v>45731.0</v>
      </c>
      <c r="C4" s="17" t="s">
        <v>27</v>
      </c>
      <c r="I4" s="17" t="s">
        <v>28</v>
      </c>
      <c r="J4" s="18">
        <v>0.08333333333575865</v>
      </c>
      <c r="K4" s="17">
        <v>5.0</v>
      </c>
      <c r="L4" s="17">
        <v>4.0</v>
      </c>
      <c r="M4" s="17">
        <v>2.0</v>
      </c>
      <c r="N4" s="17">
        <v>7.0</v>
      </c>
      <c r="O4" s="17" t="s">
        <v>20</v>
      </c>
      <c r="Q4" s="17" t="s">
        <v>29</v>
      </c>
    </row>
    <row r="5">
      <c r="A5" s="11">
        <v>45733.80865560185</v>
      </c>
      <c r="B5" s="12">
        <v>45732.0</v>
      </c>
      <c r="C5" s="13" t="s">
        <v>30</v>
      </c>
      <c r="D5" s="14">
        <v>0.03125</v>
      </c>
      <c r="E5" s="13">
        <v>2.0</v>
      </c>
      <c r="F5" s="13" t="s">
        <v>31</v>
      </c>
      <c r="G5" s="13" t="s">
        <v>20</v>
      </c>
      <c r="I5" s="13" t="s">
        <v>32</v>
      </c>
      <c r="J5" s="14">
        <v>0.08333333333575865</v>
      </c>
      <c r="K5" s="13">
        <v>3.0</v>
      </c>
      <c r="L5" s="13">
        <v>2.0</v>
      </c>
      <c r="M5" s="13">
        <v>3.0</v>
      </c>
      <c r="N5" s="13">
        <v>1.0</v>
      </c>
    </row>
    <row r="6">
      <c r="A6" s="15">
        <v>45737.504141701385</v>
      </c>
      <c r="B6" s="16">
        <v>45733.0</v>
      </c>
      <c r="C6" s="17" t="s">
        <v>27</v>
      </c>
      <c r="D6" s="18">
        <v>0.0</v>
      </c>
      <c r="I6" s="17" t="s">
        <v>32</v>
      </c>
      <c r="J6" s="18">
        <v>0.04166666666424135</v>
      </c>
      <c r="K6" s="17">
        <v>2.0</v>
      </c>
      <c r="L6" s="17">
        <v>1.0</v>
      </c>
      <c r="M6" s="17">
        <v>2.0</v>
      </c>
      <c r="N6" s="17">
        <v>1.0</v>
      </c>
      <c r="Q6" s="17" t="s">
        <v>33</v>
      </c>
    </row>
    <row r="7">
      <c r="A7" s="11">
        <v>45737.500398715274</v>
      </c>
      <c r="B7" s="12">
        <v>45734.0</v>
      </c>
      <c r="C7" s="13" t="s">
        <v>27</v>
      </c>
      <c r="D7" s="14">
        <v>0.0</v>
      </c>
      <c r="I7" s="13" t="s">
        <v>34</v>
      </c>
      <c r="J7" s="14">
        <v>0.1875</v>
      </c>
      <c r="K7" s="13">
        <v>3.0</v>
      </c>
      <c r="L7" s="13">
        <v>2.0</v>
      </c>
      <c r="M7" s="13">
        <v>5.0</v>
      </c>
      <c r="N7" s="13">
        <v>1.0</v>
      </c>
      <c r="Q7" s="13" t="s">
        <v>33</v>
      </c>
    </row>
    <row r="8">
      <c r="A8" s="15">
        <v>45737.50182232639</v>
      </c>
      <c r="B8" s="16">
        <v>45735.0</v>
      </c>
      <c r="C8" s="17" t="s">
        <v>18</v>
      </c>
      <c r="D8" s="18">
        <v>0.14583333333575865</v>
      </c>
      <c r="E8" s="17">
        <v>7.0</v>
      </c>
      <c r="F8" s="17" t="s">
        <v>35</v>
      </c>
      <c r="G8" s="17" t="s">
        <v>20</v>
      </c>
      <c r="I8" s="17" t="s">
        <v>36</v>
      </c>
      <c r="J8" s="18">
        <v>0.20833333333575865</v>
      </c>
      <c r="K8" s="17">
        <v>2.0</v>
      </c>
      <c r="L8" s="17">
        <v>2.0</v>
      </c>
      <c r="M8" s="17">
        <v>3.0</v>
      </c>
      <c r="N8" s="17">
        <v>1.0</v>
      </c>
    </row>
    <row r="9">
      <c r="A9" s="11">
        <v>45737.50298887731</v>
      </c>
      <c r="B9" s="12">
        <v>45736.0</v>
      </c>
      <c r="C9" s="13" t="s">
        <v>27</v>
      </c>
      <c r="D9" s="14">
        <v>0.0</v>
      </c>
      <c r="I9" s="13" t="s">
        <v>37</v>
      </c>
      <c r="J9" s="14">
        <v>0.020833333335758653</v>
      </c>
      <c r="K9" s="13">
        <v>3.0</v>
      </c>
      <c r="L9" s="13">
        <v>2.0</v>
      </c>
      <c r="M9" s="13">
        <v>3.0</v>
      </c>
      <c r="N9" s="13">
        <v>4.0</v>
      </c>
      <c r="O9" s="13" t="s">
        <v>25</v>
      </c>
      <c r="P9" s="13" t="s">
        <v>38</v>
      </c>
      <c r="Q9" s="13" t="s">
        <v>39</v>
      </c>
    </row>
    <row r="10">
      <c r="A10" s="15">
        <v>45742.79506556713</v>
      </c>
      <c r="B10" s="16">
        <v>45737.0</v>
      </c>
      <c r="C10" s="17" t="s">
        <v>18</v>
      </c>
      <c r="D10" s="18">
        <v>0.16666666666424135</v>
      </c>
      <c r="E10" s="17">
        <v>8.0</v>
      </c>
      <c r="F10" s="17" t="s">
        <v>23</v>
      </c>
      <c r="G10" s="17" t="s">
        <v>20</v>
      </c>
      <c r="I10" s="17" t="s">
        <v>40</v>
      </c>
      <c r="J10" s="18">
        <v>0.04166666666424135</v>
      </c>
      <c r="K10" s="17">
        <v>3.0</v>
      </c>
      <c r="L10" s="17">
        <v>1.0</v>
      </c>
      <c r="M10" s="17">
        <v>3.0</v>
      </c>
      <c r="N10" s="17">
        <v>1.0</v>
      </c>
      <c r="Q10" s="17" t="s">
        <v>33</v>
      </c>
    </row>
    <row r="11">
      <c r="A11" s="11">
        <v>45742.79688887732</v>
      </c>
      <c r="B11" s="12">
        <v>45738.0</v>
      </c>
      <c r="C11" s="13" t="s">
        <v>41</v>
      </c>
      <c r="D11" s="14">
        <v>0.010416666664241347</v>
      </c>
      <c r="E11" s="13">
        <v>1.0</v>
      </c>
      <c r="F11" s="13" t="s">
        <v>42</v>
      </c>
      <c r="G11" s="13" t="s">
        <v>20</v>
      </c>
      <c r="I11" s="13" t="s">
        <v>43</v>
      </c>
      <c r="J11" s="14">
        <v>0.08333333333575865</v>
      </c>
      <c r="K11" s="13">
        <v>3.0</v>
      </c>
      <c r="L11" s="13">
        <v>6.0</v>
      </c>
      <c r="M11" s="13">
        <v>5.0</v>
      </c>
      <c r="N11" s="13">
        <v>7.0</v>
      </c>
      <c r="O11" s="13" t="s">
        <v>20</v>
      </c>
      <c r="Q11" s="13" t="s">
        <v>44</v>
      </c>
    </row>
    <row r="12">
      <c r="A12" s="15">
        <v>45742.797292187504</v>
      </c>
      <c r="B12" s="16">
        <v>45739.0</v>
      </c>
      <c r="C12" s="17" t="s">
        <v>27</v>
      </c>
      <c r="D12" s="18">
        <v>0.0</v>
      </c>
      <c r="Q12" s="17" t="s">
        <v>33</v>
      </c>
    </row>
    <row r="13">
      <c r="A13" s="11">
        <v>45742.79812969908</v>
      </c>
      <c r="B13" s="12">
        <v>45740.0</v>
      </c>
      <c r="C13" s="13" t="s">
        <v>41</v>
      </c>
      <c r="D13" s="14">
        <v>0.010416666664241347</v>
      </c>
      <c r="E13" s="13">
        <v>1.0</v>
      </c>
      <c r="F13" s="13" t="s">
        <v>42</v>
      </c>
      <c r="G13" s="13" t="s">
        <v>20</v>
      </c>
      <c r="I13" s="13" t="s">
        <v>32</v>
      </c>
      <c r="J13" s="14">
        <v>0.04166666666424135</v>
      </c>
      <c r="K13" s="13">
        <v>2.0</v>
      </c>
      <c r="L13" s="13">
        <v>2.0</v>
      </c>
      <c r="M13" s="13">
        <v>3.0</v>
      </c>
      <c r="N13" s="13">
        <v>1.0</v>
      </c>
    </row>
    <row r="14">
      <c r="A14" s="15">
        <v>45742.799085011575</v>
      </c>
      <c r="B14" s="16">
        <v>45741.0</v>
      </c>
      <c r="C14" s="17" t="s">
        <v>27</v>
      </c>
      <c r="I14" s="17" t="s">
        <v>45</v>
      </c>
      <c r="J14" s="18">
        <v>0.33333333333575865</v>
      </c>
      <c r="K14" s="17">
        <v>6.0</v>
      </c>
      <c r="L14" s="17">
        <v>5.0</v>
      </c>
      <c r="M14" s="17">
        <v>9.0</v>
      </c>
      <c r="N14" s="17">
        <v>2.0</v>
      </c>
    </row>
    <row r="15">
      <c r="A15" s="11">
        <v>45752.45853836805</v>
      </c>
      <c r="B15" s="12">
        <v>45742.0</v>
      </c>
      <c r="C15" s="13" t="s">
        <v>27</v>
      </c>
      <c r="I15" s="13" t="s">
        <v>40</v>
      </c>
      <c r="J15" s="14">
        <v>0.04166666666424135</v>
      </c>
      <c r="K15" s="13">
        <v>2.0</v>
      </c>
      <c r="L15" s="13">
        <v>1.0</v>
      </c>
      <c r="M15" s="13">
        <v>4.0</v>
      </c>
      <c r="N15" s="13">
        <v>1.0</v>
      </c>
    </row>
    <row r="16">
      <c r="A16" s="15">
        <v>45752.45912491898</v>
      </c>
      <c r="B16" s="16">
        <v>45743.0</v>
      </c>
      <c r="C16" s="17" t="s">
        <v>27</v>
      </c>
      <c r="I16" s="17" t="s">
        <v>40</v>
      </c>
      <c r="J16" s="18">
        <v>0.0625</v>
      </c>
      <c r="K16" s="17">
        <v>2.0</v>
      </c>
      <c r="L16" s="17">
        <v>1.0</v>
      </c>
      <c r="M16" s="17">
        <v>2.0</v>
      </c>
      <c r="N16" s="17">
        <v>1.0</v>
      </c>
    </row>
    <row r="17">
      <c r="A17" s="11">
        <v>45752.460268622686</v>
      </c>
      <c r="B17" s="12">
        <v>45776.0</v>
      </c>
      <c r="C17" s="13" t="s">
        <v>22</v>
      </c>
      <c r="D17" s="14">
        <v>0.10416666666424135</v>
      </c>
      <c r="E17" s="13">
        <v>6.0</v>
      </c>
      <c r="F17" s="13" t="s">
        <v>46</v>
      </c>
      <c r="G17" s="13" t="s">
        <v>20</v>
      </c>
      <c r="I17" s="13" t="s">
        <v>47</v>
      </c>
      <c r="J17" s="14">
        <v>0.08333333333575865</v>
      </c>
      <c r="K17" s="13">
        <v>2.0</v>
      </c>
      <c r="L17" s="13">
        <v>1.0</v>
      </c>
      <c r="M17" s="13">
        <v>1.0</v>
      </c>
      <c r="N17" s="13">
        <v>1.0</v>
      </c>
    </row>
    <row r="18">
      <c r="A18" s="15">
        <v>45752.46108826389</v>
      </c>
      <c r="B18" s="16">
        <v>45745.0</v>
      </c>
      <c r="C18" s="17" t="s">
        <v>27</v>
      </c>
      <c r="I18" s="17" t="s">
        <v>48</v>
      </c>
      <c r="J18" s="18">
        <v>0.125</v>
      </c>
      <c r="K18" s="17">
        <v>7.0</v>
      </c>
      <c r="L18" s="17">
        <v>8.0</v>
      </c>
      <c r="M18" s="17">
        <v>4.0</v>
      </c>
      <c r="N18" s="17">
        <v>1.0</v>
      </c>
      <c r="Q18" s="17" t="s">
        <v>49</v>
      </c>
    </row>
    <row r="19">
      <c r="A19" s="11">
        <v>45752.46221681713</v>
      </c>
      <c r="B19" s="12">
        <v>45746.0</v>
      </c>
      <c r="C19" s="13" t="s">
        <v>41</v>
      </c>
      <c r="D19" s="14">
        <v>0.010416666664241347</v>
      </c>
      <c r="E19" s="13">
        <v>3.0</v>
      </c>
      <c r="F19" s="13" t="s">
        <v>50</v>
      </c>
      <c r="G19" s="13" t="s">
        <v>20</v>
      </c>
      <c r="I19" s="13" t="s">
        <v>51</v>
      </c>
      <c r="J19" s="14">
        <v>0.125</v>
      </c>
      <c r="K19" s="13">
        <v>2.0</v>
      </c>
      <c r="L19" s="13">
        <v>3.0</v>
      </c>
      <c r="M19" s="13">
        <v>5.0</v>
      </c>
      <c r="N19" s="13">
        <v>1.0</v>
      </c>
    </row>
    <row r="20">
      <c r="A20" s="15">
        <v>45752.4628868287</v>
      </c>
      <c r="B20" s="16">
        <v>45747.0</v>
      </c>
      <c r="C20" s="17" t="s">
        <v>27</v>
      </c>
      <c r="D20" s="18">
        <v>0.0</v>
      </c>
      <c r="I20" s="17" t="s">
        <v>52</v>
      </c>
      <c r="J20" s="18">
        <v>0.04166666666424135</v>
      </c>
      <c r="K20" s="17">
        <v>1.0</v>
      </c>
      <c r="L20" s="17">
        <v>1.0</v>
      </c>
      <c r="M20" s="17">
        <v>1.0</v>
      </c>
      <c r="N20" s="17">
        <v>1.0</v>
      </c>
    </row>
    <row r="21">
      <c r="A21" s="11">
        <v>45752.463342048606</v>
      </c>
      <c r="B21" s="12">
        <v>45748.0</v>
      </c>
      <c r="C21" s="13" t="s">
        <v>27</v>
      </c>
      <c r="D21" s="14">
        <v>0.0</v>
      </c>
      <c r="J21" s="14">
        <v>0.0</v>
      </c>
      <c r="Q21" s="13" t="s">
        <v>33</v>
      </c>
    </row>
    <row r="22">
      <c r="A22" s="15">
        <v>45752.46535513889</v>
      </c>
      <c r="B22" s="16">
        <v>45749.0</v>
      </c>
      <c r="C22" s="17" t="s">
        <v>18</v>
      </c>
      <c r="D22" s="18">
        <v>0.1875</v>
      </c>
      <c r="E22" s="17">
        <v>9.0</v>
      </c>
      <c r="F22" s="17" t="s">
        <v>23</v>
      </c>
      <c r="G22" s="17" t="s">
        <v>20</v>
      </c>
      <c r="I22" s="17" t="s">
        <v>53</v>
      </c>
      <c r="J22" s="18">
        <v>0.08333333333575865</v>
      </c>
      <c r="K22" s="17">
        <v>2.0</v>
      </c>
      <c r="L22" s="17">
        <v>1.0</v>
      </c>
      <c r="M22" s="17">
        <v>1.0</v>
      </c>
      <c r="N22" s="17">
        <v>1.0</v>
      </c>
    </row>
    <row r="23">
      <c r="A23" s="11">
        <v>45752.46614334491</v>
      </c>
      <c r="B23" s="12">
        <v>45750.0</v>
      </c>
      <c r="C23" s="13" t="s">
        <v>27</v>
      </c>
      <c r="D23" s="14">
        <v>0.0</v>
      </c>
      <c r="I23" s="13" t="s">
        <v>47</v>
      </c>
      <c r="J23" s="14">
        <v>0.125</v>
      </c>
      <c r="K23" s="13">
        <v>4.0</v>
      </c>
      <c r="L23" s="13">
        <v>7.0</v>
      </c>
      <c r="M23" s="13">
        <v>4.0</v>
      </c>
      <c r="N23" s="13">
        <v>5.0</v>
      </c>
      <c r="O23" s="13" t="s">
        <v>54</v>
      </c>
      <c r="Q23" s="13" t="s">
        <v>39</v>
      </c>
    </row>
    <row r="24">
      <c r="A24" s="15">
        <v>45752.467276400464</v>
      </c>
      <c r="B24" s="16">
        <v>45751.0</v>
      </c>
      <c r="C24" s="17" t="s">
        <v>55</v>
      </c>
      <c r="D24" s="18">
        <v>0.08333333333575865</v>
      </c>
      <c r="E24" s="17">
        <v>5.0</v>
      </c>
      <c r="F24" s="17" t="s">
        <v>56</v>
      </c>
      <c r="G24" s="17" t="s">
        <v>20</v>
      </c>
      <c r="I24" s="17" t="s">
        <v>32</v>
      </c>
      <c r="J24" s="18">
        <v>0.125</v>
      </c>
      <c r="K24" s="17">
        <v>3.0</v>
      </c>
      <c r="L24" s="17">
        <v>2.0</v>
      </c>
      <c r="M24" s="17">
        <v>3.0</v>
      </c>
      <c r="N24" s="17">
        <v>1.0</v>
      </c>
    </row>
    <row r="25">
      <c r="A25" s="11">
        <v>45758.68543844907</v>
      </c>
      <c r="B25" s="12">
        <v>45752.0</v>
      </c>
      <c r="C25" s="13" t="s">
        <v>27</v>
      </c>
      <c r="D25" s="14">
        <v>0.0</v>
      </c>
      <c r="I25" s="13" t="s">
        <v>43</v>
      </c>
      <c r="J25" s="14">
        <v>0.08333333333575865</v>
      </c>
      <c r="K25" s="13">
        <v>2.0</v>
      </c>
      <c r="L25" s="13">
        <v>2.0</v>
      </c>
      <c r="M25" s="13">
        <v>2.0</v>
      </c>
      <c r="N25" s="13">
        <v>2.0</v>
      </c>
      <c r="O25" s="13" t="s">
        <v>20</v>
      </c>
      <c r="Q25" s="13" t="s">
        <v>26</v>
      </c>
    </row>
    <row r="26">
      <c r="A26" s="15">
        <v>45758.686296203705</v>
      </c>
      <c r="B26" s="16">
        <v>45753.0</v>
      </c>
      <c r="C26" s="17" t="s">
        <v>18</v>
      </c>
      <c r="D26" s="18">
        <v>0.10416666666424135</v>
      </c>
      <c r="E26" s="17">
        <v>6.0</v>
      </c>
      <c r="F26" s="17" t="s">
        <v>23</v>
      </c>
      <c r="G26" s="17" t="s">
        <v>20</v>
      </c>
      <c r="I26" s="17" t="s">
        <v>57</v>
      </c>
      <c r="J26" s="18">
        <v>0.08333333333575865</v>
      </c>
      <c r="K26" s="17">
        <v>3.0</v>
      </c>
      <c r="L26" s="17">
        <v>1.0</v>
      </c>
      <c r="M26" s="17">
        <v>3.0</v>
      </c>
      <c r="N26" s="17">
        <v>1.0</v>
      </c>
    </row>
    <row r="27">
      <c r="A27" s="11">
        <v>45758.68737115741</v>
      </c>
      <c r="B27" s="12">
        <v>45754.0</v>
      </c>
      <c r="C27" s="13" t="s">
        <v>18</v>
      </c>
      <c r="D27" s="14">
        <v>0.125</v>
      </c>
      <c r="E27" s="13">
        <v>7.0</v>
      </c>
      <c r="F27" s="13" t="s">
        <v>58</v>
      </c>
      <c r="G27" s="13" t="s">
        <v>20</v>
      </c>
      <c r="I27" s="13" t="s">
        <v>28</v>
      </c>
      <c r="J27" s="14">
        <v>0.125</v>
      </c>
      <c r="K27" s="13">
        <v>3.0</v>
      </c>
      <c r="L27" s="13">
        <v>4.0</v>
      </c>
      <c r="M27" s="13">
        <v>5.0</v>
      </c>
      <c r="N27" s="13">
        <v>4.0</v>
      </c>
      <c r="O27" s="13" t="s">
        <v>20</v>
      </c>
      <c r="Q27" s="13" t="s">
        <v>39</v>
      </c>
    </row>
    <row r="28">
      <c r="A28" s="15">
        <v>45758.68825041667</v>
      </c>
      <c r="B28" s="16">
        <v>45755.0</v>
      </c>
      <c r="C28" s="17" t="s">
        <v>22</v>
      </c>
      <c r="D28" s="18">
        <v>0.0625</v>
      </c>
      <c r="E28" s="17">
        <v>4.0</v>
      </c>
      <c r="F28" s="17" t="s">
        <v>59</v>
      </c>
      <c r="G28" s="17" t="s">
        <v>20</v>
      </c>
      <c r="J28" s="18">
        <v>0.0</v>
      </c>
      <c r="Q28" s="17" t="s">
        <v>33</v>
      </c>
    </row>
    <row r="29">
      <c r="A29" s="11">
        <v>45758.68932815972</v>
      </c>
      <c r="B29" s="12">
        <v>45756.0</v>
      </c>
      <c r="C29" s="13" t="s">
        <v>27</v>
      </c>
      <c r="D29" s="14">
        <v>0.0</v>
      </c>
      <c r="I29" s="13" t="s">
        <v>57</v>
      </c>
      <c r="J29" s="14">
        <v>0.16666666666424135</v>
      </c>
      <c r="K29" s="13">
        <v>4.0</v>
      </c>
      <c r="L29" s="13">
        <v>3.0</v>
      </c>
      <c r="M29" s="13">
        <v>5.0</v>
      </c>
      <c r="N29" s="13">
        <v>2.0</v>
      </c>
      <c r="Q29" s="13" t="s">
        <v>60</v>
      </c>
    </row>
    <row r="30">
      <c r="A30" s="19">
        <v>45758.69031561342</v>
      </c>
      <c r="B30" s="20">
        <v>45757.0</v>
      </c>
      <c r="C30" s="21" t="s">
        <v>18</v>
      </c>
      <c r="D30" s="22">
        <v>0.20833333333575865</v>
      </c>
      <c r="E30" s="21">
        <v>9.0</v>
      </c>
      <c r="F30" s="21" t="s">
        <v>58</v>
      </c>
      <c r="G30" s="21" t="s">
        <v>20</v>
      </c>
      <c r="J30" s="22">
        <v>0.0</v>
      </c>
      <c r="Q30" s="21" t="s">
        <v>33</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tr">
        <f>IFERROR(__xludf.DUMMYFUNCTION("QUERY('Form responses 1'!B:R, 
""SELECT B, C, D, E, F, G, H, I, J, K, L, M, N, O, P, Q, R 
 WHERE B IS NOT NULL 
 ORDER BY B ASC"", 1)
"),"Datum")</f>
        <v>Datum</v>
      </c>
      <c r="B1" s="23" t="str">
        <f>IFERROR(__xludf.DUMMYFUNCTION("""COMPUTED_VALUE"""),"Type Training")</f>
        <v>Type Training</v>
      </c>
      <c r="C1" s="23" t="str">
        <f>IFERROR(__xludf.DUMMYFUNCTION("""COMPUTED_VALUE"""),"Duur Training")</f>
        <v>Duur Training</v>
      </c>
      <c r="D1" s="23" t="str">
        <f>IFERROR(__xludf.DUMMYFUNCTION("""COMPUTED_VALUE"""),"Training Intensity")</f>
        <v>Training Intensity</v>
      </c>
      <c r="E1" s="23" t="str">
        <f>IFERROR(__xludf.DUMMYFUNCTION("""COMPUTED_VALUE"""),"Meest Gebruikte Grip Type")</f>
        <v>Meest Gebruikte Grip Type</v>
      </c>
      <c r="F1" s="23" t="str">
        <f>IFERROR(__xludf.DUMMYFUNCTION("""COMPUTED_VALUE"""),"Vingers meest gebruikt")</f>
        <v>Vingers meest gebruikt</v>
      </c>
      <c r="G1" s="23" t="str">
        <f>IFERROR(__xludf.DUMMYFUNCTION("""COMPUTED_VALUE"""),"Type van spelen (Technieken)")</f>
        <v>Type van spelen (Technieken)</v>
      </c>
      <c r="H1" s="23" t="str">
        <f>IFERROR(__xludf.DUMMYFUNCTION("""COMPUTED_VALUE"""),"Type van spelen (Toepassing)")</f>
        <v>Type van spelen (Toepassing)</v>
      </c>
      <c r="I1" s="23" t="str">
        <f>IFERROR(__xludf.DUMMYFUNCTION("""COMPUTED_VALUE"""),"Duur spelen")</f>
        <v>Duur spelen</v>
      </c>
      <c r="J1" s="23" t="str">
        <f>IFERROR(__xludf.DUMMYFUNCTION("""COMPUTED_VALUE"""),"Moeilijkheid spelen")</f>
        <v>Moeilijkheid spelen</v>
      </c>
      <c r="K1" s="23" t="str">
        <f>IFERROR(__xludf.DUMMYFUNCTION("""COMPUTED_VALUE"""),"Vinger fatigue tijdens het spelen")</f>
        <v>Vinger fatigue tijdens het spelen</v>
      </c>
      <c r="L1" s="23" t="str">
        <f>IFERROR(__xludf.DUMMYFUNCTION("""COMPUTED_VALUE"""),"Overall fatigue")</f>
        <v>Overall fatigue</v>
      </c>
      <c r="M1" s="23" t="str">
        <f>IFERROR(__xludf.DUMMYFUNCTION("""COMPUTED_VALUE"""),"Vinger pijn/stijfheid")</f>
        <v>Vinger pijn/stijfheid</v>
      </c>
      <c r="N1" s="23" t="str">
        <f>IFERROR(__xludf.DUMMYFUNCTION("""COMPUTED_VALUE"""),"Welke vingers doen pijn?")</f>
        <v>Welke vingers doen pijn?</v>
      </c>
      <c r="O1" s="23" t="str">
        <f>IFERROR(__xludf.DUMMYFUNCTION("""COMPUTED_VALUE"""),"Pijn omschrijving")</f>
        <v>Pijn omschrijving</v>
      </c>
      <c r="P1" s="23" t="str">
        <f>IFERROR(__xludf.DUMMYFUNCTION("""COMPUTED_VALUE"""),"Recovery actions taken")</f>
        <v>Recovery actions taken</v>
      </c>
      <c r="Q1" s="23" t="str">
        <f>IFERROR(__xludf.DUMMYFUNCTION("""COMPUTED_VALUE"""),"Subjectieve notes")</f>
        <v>Subjectieve notes</v>
      </c>
    </row>
    <row r="2">
      <c r="A2" s="24">
        <f>IFERROR(__xludf.DUMMYFUNCTION("""COMPUTED_VALUE"""),45729.0)</f>
        <v>45729</v>
      </c>
      <c r="B2" s="23" t="str">
        <f>IFERROR(__xludf.DUMMYFUNCTION("""COMPUTED_VALUE"""),"Boulderen - Zware Sessie (Hoge intensiteit, projecteren, maximale kracht)")</f>
        <v>Boulderen - Zware Sessie (Hoge intensiteit, projecteren, maximale kracht)</v>
      </c>
      <c r="C2" s="25">
        <f>IFERROR(__xludf.DUMMYFUNCTION("""COMPUTED_VALUE"""),0.125)</f>
        <v>0.125</v>
      </c>
      <c r="D2" s="23">
        <f>IFERROR(__xludf.DUMMYFUNCTION("""COMPUTED_VALUE"""),8.0)</f>
        <v>8</v>
      </c>
      <c r="E2" s="23" t="str">
        <f>IFERROR(__xludf.DUMMYFUNCTION("""COMPUTED_VALUE"""),"Open hand grip, Half-crimp grip, Volledige crimp grip, Sloper grip (/Open grip op hellende grepen), Pinch grip (Knijpgrip op pinches), Pockets (2 vingers), Slopers met compressie (Samendrukken van slopers met beide handen), Gaston grip (Zijwaartse duwende"&amp;" grip, zoals bij gaston-bewegingen), Undercling grip (Onderhands trekken aan grepen), Sidepull grip (Zijwaarts trekken aan grepen)")</f>
        <v>Open hand grip, Half-crimp grip, Volledige crimp grip, Sloper grip (/Open grip op hellende grepen), Pinch grip (Knijpgrip op pinches), Pockets (2 vingers), Slopers met compressie (Samendrukken van slopers met beide handen), Gaston grip (Zijwaartse duwende grip, zoals bij gaston-bewegingen), Undercling grip (Onderhands trekken aan grepen), Sidepull grip (Zijwaarts trekken aan grepen)</v>
      </c>
      <c r="F2" s="23" t="str">
        <f>IFERROR(__xludf.DUMMYFUNCTION("""COMPUTED_VALUE"""),"Middle")</f>
        <v>Middle</v>
      </c>
      <c r="G2" s="23"/>
      <c r="H2" s="23" t="str">
        <f>IFERROR(__xludf.DUMMYFUNCTION("""COMPUTED_VALUE"""),"Improvisatie")</f>
        <v>Improvisatie</v>
      </c>
      <c r="I2" s="25">
        <f>IFERROR(__xludf.DUMMYFUNCTION("""COMPUTED_VALUE"""),0.08333333333212067)</f>
        <v>0.08333333333</v>
      </c>
      <c r="J2" s="23">
        <f>IFERROR(__xludf.DUMMYFUNCTION("""COMPUTED_VALUE"""),5.0)</f>
        <v>5</v>
      </c>
      <c r="K2" s="23">
        <f>IFERROR(__xludf.DUMMYFUNCTION("""COMPUTED_VALUE"""),2.0)</f>
        <v>2</v>
      </c>
      <c r="L2" s="23">
        <f>IFERROR(__xludf.DUMMYFUNCTION("""COMPUTED_VALUE"""),2.0)</f>
        <v>2</v>
      </c>
      <c r="M2" s="23">
        <f>IFERROR(__xludf.DUMMYFUNCTION("""COMPUTED_VALUE"""),1.0)</f>
        <v>1</v>
      </c>
      <c r="N2" s="23"/>
      <c r="O2" s="23"/>
      <c r="P2" s="23"/>
      <c r="Q2" s="23"/>
    </row>
    <row r="3">
      <c r="A3" s="24">
        <f>IFERROR(__xludf.DUMMYFUNCTION("""COMPUTED_VALUE"""),45730.0)</f>
        <v>45730</v>
      </c>
      <c r="B3" s="23" t="str">
        <f>IFERROR(__xludf.DUMMYFUNCTION("""COMPUTED_VALUE"""),"Boulderen - Gemiddelde Sessie (Algemeen klimmen, matige moeilijkheid)")</f>
        <v>Boulderen - Gemiddelde Sessie (Algemeen klimmen, matige moeilijkheid)</v>
      </c>
      <c r="C3" s="25">
        <f>IFERROR(__xludf.DUMMYFUNCTION("""COMPUTED_VALUE"""),0.10416666666787933)</f>
        <v>0.1041666667</v>
      </c>
      <c r="D3" s="23">
        <f>IFERROR(__xludf.DUMMYFUNCTION("""COMPUTED_VALUE"""),7.0)</f>
        <v>7</v>
      </c>
      <c r="E3" s="23" t="str">
        <f>IFERROR(__xludf.DUMMYFUNCTION("""COMPUTED_VALUE"""),"Open hand grip, Half-crimp grip, Volledige crimp grip, Sloper grip (/Open grip op hellende grepen), Pinch grip (Knijpgrip op pinches), Slopers met compressie (Samendrukken van slopers met beide handen), Gaston grip (Zijwaartse duwende grip, zoals bij gast"&amp;"on-bewegingen), Undercling grip (Onderhands trekken aan grepen), Sidepull grip (Zijwaarts trekken aan grepen)")</f>
        <v>Open hand grip, Half-crimp grip, Volledige crimp grip, Sloper grip (/Open grip op hellende grepen), Pinch grip (Knijpgrip op pinches), Slopers met compressie (Samendrukken van slopers met beide handen), Gaston grip (Zijwaartse duwende grip, zoals bij gaston-bewegingen), Undercling grip (Onderhands trekken aan grepen), Sidepull grip (Zijwaarts trekken aan grepen)</v>
      </c>
      <c r="F3" s="23" t="str">
        <f>IFERROR(__xludf.DUMMYFUNCTION("""COMPUTED_VALUE"""),"Middle")</f>
        <v>Middle</v>
      </c>
      <c r="G3" s="23"/>
      <c r="H3" s="23" t="str">
        <f>IFERROR(__xludf.DUMMYFUNCTION("""COMPUTED_VALUE"""),"Componeren / Songwriting, Opnamesessie")</f>
        <v>Componeren / Songwriting, Opnamesessie</v>
      </c>
      <c r="I3" s="25">
        <f>IFERROR(__xludf.DUMMYFUNCTION("""COMPUTED_VALUE"""),0.125)</f>
        <v>0.125</v>
      </c>
      <c r="J3" s="23">
        <f>IFERROR(__xludf.DUMMYFUNCTION("""COMPUTED_VALUE"""),7.0)</f>
        <v>7</v>
      </c>
      <c r="K3" s="23">
        <f>IFERROR(__xludf.DUMMYFUNCTION("""COMPUTED_VALUE"""),4.0)</f>
        <v>4</v>
      </c>
      <c r="L3" s="23">
        <f>IFERROR(__xludf.DUMMYFUNCTION("""COMPUTED_VALUE"""),3.0)</f>
        <v>3</v>
      </c>
      <c r="M3" s="23">
        <f>IFERROR(__xludf.DUMMYFUNCTION("""COMPUTED_VALUE"""),5.0)</f>
        <v>5</v>
      </c>
      <c r="N3" s="23" t="str">
        <f>IFERROR(__xludf.DUMMYFUNCTION("""COMPUTED_VALUE"""),"Middle, Ring")</f>
        <v>Middle, Ring</v>
      </c>
      <c r="O3" s="23"/>
      <c r="P3" s="23" t="str">
        <f>IFERROR(__xludf.DUMMYFUNCTION("""COMPUTED_VALUE"""),"Stretching")</f>
        <v>Stretching</v>
      </c>
      <c r="Q3" s="23"/>
    </row>
    <row r="4">
      <c r="A4" s="24">
        <f>IFERROR(__xludf.DUMMYFUNCTION("""COMPUTED_VALUE"""),45731.0)</f>
        <v>45731</v>
      </c>
      <c r="B4" s="23" t="str">
        <f>IFERROR(__xludf.DUMMYFUNCTION("""COMPUTED_VALUE"""),"Volledige Rustdag (Geen training)")</f>
        <v>Volledige Rustdag (Geen training)</v>
      </c>
      <c r="C4" s="25"/>
      <c r="D4" s="23"/>
      <c r="E4" s="23"/>
      <c r="F4" s="23"/>
      <c r="G4" s="23"/>
      <c r="H4" s="23" t="str">
        <f>IFERROR(__xludf.DUMMYFUNCTION("""COMPUTED_VALUE"""),"Improvisatie, Componeren / Songwriting, Technische oefening, Bladmuziek lezen / Covers spelen")</f>
        <v>Improvisatie, Componeren / Songwriting, Technische oefening, Bladmuziek lezen / Covers spelen</v>
      </c>
      <c r="I4" s="25">
        <f>IFERROR(__xludf.DUMMYFUNCTION("""COMPUTED_VALUE"""),0.08333333333212067)</f>
        <v>0.08333333333</v>
      </c>
      <c r="J4" s="23">
        <f>IFERROR(__xludf.DUMMYFUNCTION("""COMPUTED_VALUE"""),5.0)</f>
        <v>5</v>
      </c>
      <c r="K4" s="23">
        <f>IFERROR(__xludf.DUMMYFUNCTION("""COMPUTED_VALUE"""),4.0)</f>
        <v>4</v>
      </c>
      <c r="L4" s="23">
        <f>IFERROR(__xludf.DUMMYFUNCTION("""COMPUTED_VALUE"""),2.0)</f>
        <v>2</v>
      </c>
      <c r="M4" s="23">
        <f>IFERROR(__xludf.DUMMYFUNCTION("""COMPUTED_VALUE"""),7.0)</f>
        <v>7</v>
      </c>
      <c r="N4" s="23" t="str">
        <f>IFERROR(__xludf.DUMMYFUNCTION("""COMPUTED_VALUE"""),"Middle")</f>
        <v>Middle</v>
      </c>
      <c r="O4" s="23"/>
      <c r="P4" s="23" t="str">
        <f>IFERROR(__xludf.DUMMYFUNCTION("""COMPUTED_VALUE"""),"Stretching, Rustdag genomen")</f>
        <v>Stretching, Rustdag genomen</v>
      </c>
      <c r="Q4" s="23"/>
    </row>
    <row r="5">
      <c r="A5" s="24">
        <f>IFERROR(__xludf.DUMMYFUNCTION("""COMPUTED_VALUE"""),45732.0)</f>
        <v>45732</v>
      </c>
      <c r="B5" s="23" t="str">
        <f>IFERROR(__xludf.DUMMYFUNCTION("""COMPUTED_VALUE"""),"Actief Herstel (Licht klimmen, lage intensiteit)")</f>
        <v>Actief Herstel (Licht klimmen, lage intensiteit)</v>
      </c>
      <c r="C5" s="25">
        <f>IFERROR(__xludf.DUMMYFUNCTION("""COMPUTED_VALUE"""),0.03125)</f>
        <v>0.03125</v>
      </c>
      <c r="D5" s="23">
        <f>IFERROR(__xludf.DUMMYFUNCTION("""COMPUTED_VALUE"""),2.0)</f>
        <v>2</v>
      </c>
      <c r="E5" s="23" t="str">
        <f>IFERROR(__xludf.DUMMYFUNCTION("""COMPUTED_VALUE"""),"Half-crimp grip, Sloper grip (/Open grip op hellende grepen), Sidepull grip (Zijwaarts trekken aan grepen)")</f>
        <v>Half-crimp grip, Sloper grip (/Open grip op hellende grepen), Sidepull grip (Zijwaarts trekken aan grepen)</v>
      </c>
      <c r="F5" s="23" t="str">
        <f>IFERROR(__xludf.DUMMYFUNCTION("""COMPUTED_VALUE"""),"Middle")</f>
        <v>Middle</v>
      </c>
      <c r="G5" s="23"/>
      <c r="H5" s="23" t="str">
        <f>IFERROR(__xludf.DUMMYFUNCTION("""COMPUTED_VALUE"""),"Componeren / Songwriting, Technische oefening")</f>
        <v>Componeren / Songwriting, Technische oefening</v>
      </c>
      <c r="I5" s="25">
        <f>IFERROR(__xludf.DUMMYFUNCTION("""COMPUTED_VALUE"""),0.08333333333212067)</f>
        <v>0.08333333333</v>
      </c>
      <c r="J5" s="23">
        <f>IFERROR(__xludf.DUMMYFUNCTION("""COMPUTED_VALUE"""),3.0)</f>
        <v>3</v>
      </c>
      <c r="K5" s="23">
        <f>IFERROR(__xludf.DUMMYFUNCTION("""COMPUTED_VALUE"""),2.0)</f>
        <v>2</v>
      </c>
      <c r="L5" s="23">
        <f>IFERROR(__xludf.DUMMYFUNCTION("""COMPUTED_VALUE"""),3.0)</f>
        <v>3</v>
      </c>
      <c r="M5" s="23">
        <f>IFERROR(__xludf.DUMMYFUNCTION("""COMPUTED_VALUE"""),1.0)</f>
        <v>1</v>
      </c>
      <c r="N5" s="23"/>
      <c r="O5" s="23"/>
      <c r="P5" s="23"/>
      <c r="Q5" s="23"/>
    </row>
    <row r="6">
      <c r="A6" s="24">
        <f>IFERROR(__xludf.DUMMYFUNCTION("""COMPUTED_VALUE"""),45733.0)</f>
        <v>45733</v>
      </c>
      <c r="B6" s="23" t="str">
        <f>IFERROR(__xludf.DUMMYFUNCTION("""COMPUTED_VALUE"""),"Volledige Rustdag (Geen training)")</f>
        <v>Volledige Rustdag (Geen training)</v>
      </c>
      <c r="C6" s="25">
        <f>IFERROR(__xludf.DUMMYFUNCTION("""COMPUTED_VALUE"""),0.0)</f>
        <v>0</v>
      </c>
      <c r="D6" s="23"/>
      <c r="E6" s="23"/>
      <c r="F6" s="23"/>
      <c r="G6" s="23"/>
      <c r="H6" s="23" t="str">
        <f>IFERROR(__xludf.DUMMYFUNCTION("""COMPUTED_VALUE"""),"Componeren / Songwriting, Technische oefening")</f>
        <v>Componeren / Songwriting, Technische oefening</v>
      </c>
      <c r="I6" s="25">
        <f>IFERROR(__xludf.DUMMYFUNCTION("""COMPUTED_VALUE"""),0.041666666667879326)</f>
        <v>0.04166666667</v>
      </c>
      <c r="J6" s="23">
        <f>IFERROR(__xludf.DUMMYFUNCTION("""COMPUTED_VALUE"""),2.0)</f>
        <v>2</v>
      </c>
      <c r="K6" s="23">
        <f>IFERROR(__xludf.DUMMYFUNCTION("""COMPUTED_VALUE"""),1.0)</f>
        <v>1</v>
      </c>
      <c r="L6" s="23">
        <f>IFERROR(__xludf.DUMMYFUNCTION("""COMPUTED_VALUE"""),2.0)</f>
        <v>2</v>
      </c>
      <c r="M6" s="23">
        <f>IFERROR(__xludf.DUMMYFUNCTION("""COMPUTED_VALUE"""),1.0)</f>
        <v>1</v>
      </c>
      <c r="N6" s="23"/>
      <c r="O6" s="23"/>
      <c r="P6" s="23" t="str">
        <f>IFERROR(__xludf.DUMMYFUNCTION("""COMPUTED_VALUE"""),"Rustdag genomen")</f>
        <v>Rustdag genomen</v>
      </c>
      <c r="Q6" s="23"/>
    </row>
    <row r="7">
      <c r="A7" s="24">
        <f>IFERROR(__xludf.DUMMYFUNCTION("""COMPUTED_VALUE"""),45734.0)</f>
        <v>45734</v>
      </c>
      <c r="B7" s="23" t="str">
        <f>IFERROR(__xludf.DUMMYFUNCTION("""COMPUTED_VALUE"""),"Volledige Rustdag (Geen training)")</f>
        <v>Volledige Rustdag (Geen training)</v>
      </c>
      <c r="C7" s="25">
        <f>IFERROR(__xludf.DUMMYFUNCTION("""COMPUTED_VALUE"""),0.0)</f>
        <v>0</v>
      </c>
      <c r="D7" s="23"/>
      <c r="E7" s="23"/>
      <c r="F7" s="23"/>
      <c r="G7" s="23"/>
      <c r="H7" s="23" t="str">
        <f>IFERROR(__xludf.DUMMYFUNCTION("""COMPUTED_VALUE"""),"Componeren / Songwriting, Opnamesessie, Bladmuziek lezen / Covers spelen")</f>
        <v>Componeren / Songwriting, Opnamesessie, Bladmuziek lezen / Covers spelen</v>
      </c>
      <c r="I7" s="25">
        <f>IFERROR(__xludf.DUMMYFUNCTION("""COMPUTED_VALUE"""),0.1875)</f>
        <v>0.1875</v>
      </c>
      <c r="J7" s="23">
        <f>IFERROR(__xludf.DUMMYFUNCTION("""COMPUTED_VALUE"""),3.0)</f>
        <v>3</v>
      </c>
      <c r="K7" s="23">
        <f>IFERROR(__xludf.DUMMYFUNCTION("""COMPUTED_VALUE"""),2.0)</f>
        <v>2</v>
      </c>
      <c r="L7" s="23">
        <f>IFERROR(__xludf.DUMMYFUNCTION("""COMPUTED_VALUE"""),5.0)</f>
        <v>5</v>
      </c>
      <c r="M7" s="23">
        <f>IFERROR(__xludf.DUMMYFUNCTION("""COMPUTED_VALUE"""),1.0)</f>
        <v>1</v>
      </c>
      <c r="N7" s="23"/>
      <c r="O7" s="23"/>
      <c r="P7" s="23" t="str">
        <f>IFERROR(__xludf.DUMMYFUNCTION("""COMPUTED_VALUE"""),"Rustdag genomen")</f>
        <v>Rustdag genomen</v>
      </c>
      <c r="Q7" s="23"/>
    </row>
    <row r="8">
      <c r="A8" s="24">
        <f>IFERROR(__xludf.DUMMYFUNCTION("""COMPUTED_VALUE"""),45735.0)</f>
        <v>45735</v>
      </c>
      <c r="B8" s="23" t="str">
        <f>IFERROR(__xludf.DUMMYFUNCTION("""COMPUTED_VALUE"""),"Boulderen - Zware Sessie (Hoge intensiteit, projecteren, maximale kracht)")</f>
        <v>Boulderen - Zware Sessie (Hoge intensiteit, projecteren, maximale kracht)</v>
      </c>
      <c r="C8" s="25">
        <f>IFERROR(__xludf.DUMMYFUNCTION("""COMPUTED_VALUE"""),0.14583333333212067)</f>
        <v>0.1458333333</v>
      </c>
      <c r="D8" s="23">
        <f>IFERROR(__xludf.DUMMYFUNCTION("""COMPUTED_VALUE"""),7.0)</f>
        <v>7</v>
      </c>
      <c r="E8" s="23" t="str">
        <f>IFERROR(__xludf.DUMMYFUNCTION("""COMPUTED_VALUE"""),"Half-crimp grip, Volledige crimp grip, Sloper grip (/Open grip op hellende grepen), Slopers met compressie (Samendrukken van slopers met beide handen), Sidepull grip (Zijwaarts trekken aan grepen)")</f>
        <v>Half-crimp grip, Volledige crimp grip, Sloper grip (/Open grip op hellende grepen), Slopers met compressie (Samendrukken van slopers met beide handen), Sidepull grip (Zijwaarts trekken aan grepen)</v>
      </c>
      <c r="F8" s="23" t="str">
        <f>IFERROR(__xludf.DUMMYFUNCTION("""COMPUTED_VALUE"""),"Middle")</f>
        <v>Middle</v>
      </c>
      <c r="G8" s="23"/>
      <c r="H8" s="23" t="str">
        <f>IFERROR(__xludf.DUMMYFUNCTION("""COMPUTED_VALUE"""),"Improvisatie, Groove-focused spelen")</f>
        <v>Improvisatie, Groove-focused spelen</v>
      </c>
      <c r="I8" s="25">
        <f>IFERROR(__xludf.DUMMYFUNCTION("""COMPUTED_VALUE"""),0.20833333333212067)</f>
        <v>0.2083333333</v>
      </c>
      <c r="J8" s="23">
        <f>IFERROR(__xludf.DUMMYFUNCTION("""COMPUTED_VALUE"""),2.0)</f>
        <v>2</v>
      </c>
      <c r="K8" s="23">
        <f>IFERROR(__xludf.DUMMYFUNCTION("""COMPUTED_VALUE"""),2.0)</f>
        <v>2</v>
      </c>
      <c r="L8" s="23">
        <f>IFERROR(__xludf.DUMMYFUNCTION("""COMPUTED_VALUE"""),3.0)</f>
        <v>3</v>
      </c>
      <c r="M8" s="23">
        <f>IFERROR(__xludf.DUMMYFUNCTION("""COMPUTED_VALUE"""),1.0)</f>
        <v>1</v>
      </c>
      <c r="N8" s="23"/>
      <c r="O8" s="23"/>
      <c r="P8" s="23"/>
      <c r="Q8" s="23"/>
    </row>
    <row r="9">
      <c r="A9" s="24">
        <f>IFERROR(__xludf.DUMMYFUNCTION("""COMPUTED_VALUE"""),45736.0)</f>
        <v>45736</v>
      </c>
      <c r="B9" s="23" t="str">
        <f>IFERROR(__xludf.DUMMYFUNCTION("""COMPUTED_VALUE"""),"Volledige Rustdag (Geen training)")</f>
        <v>Volledige Rustdag (Geen training)</v>
      </c>
      <c r="C9" s="25">
        <f>IFERROR(__xludf.DUMMYFUNCTION("""COMPUTED_VALUE"""),0.0)</f>
        <v>0</v>
      </c>
      <c r="D9" s="23"/>
      <c r="E9" s="23"/>
      <c r="F9" s="23"/>
      <c r="G9" s="23"/>
      <c r="H9" s="23" t="str">
        <f>IFERROR(__xludf.DUMMYFUNCTION("""COMPUTED_VALUE"""),"Technische oefening")</f>
        <v>Technische oefening</v>
      </c>
      <c r="I9" s="25">
        <f>IFERROR(__xludf.DUMMYFUNCTION("""COMPUTED_VALUE"""),0.020833333332120674)</f>
        <v>0.02083333333</v>
      </c>
      <c r="J9" s="23">
        <f>IFERROR(__xludf.DUMMYFUNCTION("""COMPUTED_VALUE"""),3.0)</f>
        <v>3</v>
      </c>
      <c r="K9" s="23">
        <f>IFERROR(__xludf.DUMMYFUNCTION("""COMPUTED_VALUE"""),2.0)</f>
        <v>2</v>
      </c>
      <c r="L9" s="23">
        <f>IFERROR(__xludf.DUMMYFUNCTION("""COMPUTED_VALUE"""),3.0)</f>
        <v>3</v>
      </c>
      <c r="M9" s="23">
        <f>IFERROR(__xludf.DUMMYFUNCTION("""COMPUTED_VALUE"""),4.0)</f>
        <v>4</v>
      </c>
      <c r="N9" s="23" t="str">
        <f>IFERROR(__xludf.DUMMYFUNCTION("""COMPUTED_VALUE"""),"Middle, Ring")</f>
        <v>Middle, Ring</v>
      </c>
      <c r="O9" s="23" t="str">
        <f>IFERROR(__xludf.DUMMYFUNCTION("""COMPUTED_VALUE"""),"steken middelste kootje, stijf")</f>
        <v>steken middelste kootje, stijf</v>
      </c>
      <c r="P9" s="23" t="str">
        <f>IFERROR(__xludf.DUMMYFUNCTION("""COMPUTED_VALUE"""),"Stretching, Lichter spelen / Alternatieve speeltechniek geprobeerd")</f>
        <v>Stretching, Lichter spelen / Alternatieve speeltechniek geprobeerd</v>
      </c>
      <c r="Q9" s="23"/>
    </row>
    <row r="10">
      <c r="A10" s="24">
        <f>IFERROR(__xludf.DUMMYFUNCTION("""COMPUTED_VALUE"""),45737.0)</f>
        <v>45737</v>
      </c>
      <c r="B10" s="23" t="str">
        <f>IFERROR(__xludf.DUMMYFUNCTION("""COMPUTED_VALUE"""),"Boulderen - Zware Sessie (Hoge intensiteit, projecteren, maximale kracht)")</f>
        <v>Boulderen - Zware Sessie (Hoge intensiteit, projecteren, maximale kracht)</v>
      </c>
      <c r="C10" s="25">
        <f>IFERROR(__xludf.DUMMYFUNCTION("""COMPUTED_VALUE"""),0.16666666666787933)</f>
        <v>0.1666666667</v>
      </c>
      <c r="D10" s="23">
        <f>IFERROR(__xludf.DUMMYFUNCTION("""COMPUTED_VALUE"""),8.0)</f>
        <v>8</v>
      </c>
      <c r="E10" s="23" t="str">
        <f>IFERROR(__xludf.DUMMYFUNCTION("""COMPUTED_VALUE"""),"Open hand grip, Half-crimp grip, Volledige crimp grip, Sloper grip (/Open grip op hellende grepen), Pinch grip (Knijpgrip op pinches), Slopers met compressie (Samendrukken van slopers met beide handen), Gaston grip (Zijwaartse duwende grip, zoals bij gast"&amp;"on-bewegingen), Undercling grip (Onderhands trekken aan grepen), Sidepull grip (Zijwaarts trekken aan grepen)")</f>
        <v>Open hand grip, Half-crimp grip, Volledige crimp grip, Sloper grip (/Open grip op hellende grepen), Pinch grip (Knijpgrip op pinches), Slopers met compressie (Samendrukken van slopers met beide handen), Gaston grip (Zijwaartse duwende grip, zoals bij gaston-bewegingen), Undercling grip (Onderhands trekken aan grepen), Sidepull grip (Zijwaarts trekken aan grepen)</v>
      </c>
      <c r="F10" s="23" t="str">
        <f>IFERROR(__xludf.DUMMYFUNCTION("""COMPUTED_VALUE"""),"Middle")</f>
        <v>Middle</v>
      </c>
      <c r="G10" s="23"/>
      <c r="H10" s="23" t="str">
        <f>IFERROR(__xludf.DUMMYFUNCTION("""COMPUTED_VALUE"""),"Componeren / Songwriting")</f>
        <v>Componeren / Songwriting</v>
      </c>
      <c r="I10" s="25">
        <f>IFERROR(__xludf.DUMMYFUNCTION("""COMPUTED_VALUE"""),0.041666666667879326)</f>
        <v>0.04166666667</v>
      </c>
      <c r="J10" s="23">
        <f>IFERROR(__xludf.DUMMYFUNCTION("""COMPUTED_VALUE"""),3.0)</f>
        <v>3</v>
      </c>
      <c r="K10" s="23">
        <f>IFERROR(__xludf.DUMMYFUNCTION("""COMPUTED_VALUE"""),1.0)</f>
        <v>1</v>
      </c>
      <c r="L10" s="23">
        <f>IFERROR(__xludf.DUMMYFUNCTION("""COMPUTED_VALUE"""),3.0)</f>
        <v>3</v>
      </c>
      <c r="M10" s="23">
        <f>IFERROR(__xludf.DUMMYFUNCTION("""COMPUTED_VALUE"""),1.0)</f>
        <v>1</v>
      </c>
      <c r="N10" s="23"/>
      <c r="O10" s="23"/>
      <c r="P10" s="23" t="str">
        <f>IFERROR(__xludf.DUMMYFUNCTION("""COMPUTED_VALUE"""),"Rustdag genomen")</f>
        <v>Rustdag genomen</v>
      </c>
      <c r="Q10" s="23"/>
    </row>
    <row r="11">
      <c r="A11" s="24">
        <f>IFERROR(__xludf.DUMMYFUNCTION("""COMPUTED_VALUE"""),45738.0)</f>
        <v>45738</v>
      </c>
      <c r="B11" s="23" t="str">
        <f>IFERROR(__xludf.DUMMYFUNCTION("""COMPUTED_VALUE"""),"Hangboard - Uithouding (Langere hangs, lage tot matige intensiteit)")</f>
        <v>Hangboard - Uithouding (Langere hangs, lage tot matige intensiteit)</v>
      </c>
      <c r="C11" s="25">
        <f>IFERROR(__xludf.DUMMYFUNCTION("""COMPUTED_VALUE"""),0.010416666667879326)</f>
        <v>0.01041666667</v>
      </c>
      <c r="D11" s="23">
        <f>IFERROR(__xludf.DUMMYFUNCTION("""COMPUTED_VALUE"""),1.0)</f>
        <v>1</v>
      </c>
      <c r="E11" s="23" t="str">
        <f>IFERROR(__xludf.DUMMYFUNCTION("""COMPUTED_VALUE"""),"Half-crimp grip, Volledige crimp grip")</f>
        <v>Half-crimp grip, Volledige crimp grip</v>
      </c>
      <c r="F11" s="23" t="str">
        <f>IFERROR(__xludf.DUMMYFUNCTION("""COMPUTED_VALUE"""),"Middle")</f>
        <v>Middle</v>
      </c>
      <c r="G11" s="23"/>
      <c r="H11" s="23" t="str">
        <f>IFERROR(__xludf.DUMMYFUNCTION("""COMPUTED_VALUE"""),"Improvisatie, Componeren / Songwriting")</f>
        <v>Improvisatie, Componeren / Songwriting</v>
      </c>
      <c r="I11" s="25">
        <f>IFERROR(__xludf.DUMMYFUNCTION("""COMPUTED_VALUE"""),0.08333333333212067)</f>
        <v>0.08333333333</v>
      </c>
      <c r="J11" s="23">
        <f>IFERROR(__xludf.DUMMYFUNCTION("""COMPUTED_VALUE"""),3.0)</f>
        <v>3</v>
      </c>
      <c r="K11" s="23">
        <f>IFERROR(__xludf.DUMMYFUNCTION("""COMPUTED_VALUE"""),6.0)</f>
        <v>6</v>
      </c>
      <c r="L11" s="23">
        <f>IFERROR(__xludf.DUMMYFUNCTION("""COMPUTED_VALUE"""),5.0)</f>
        <v>5</v>
      </c>
      <c r="M11" s="23">
        <f>IFERROR(__xludf.DUMMYFUNCTION("""COMPUTED_VALUE"""),7.0)</f>
        <v>7</v>
      </c>
      <c r="N11" s="23" t="str">
        <f>IFERROR(__xludf.DUMMYFUNCTION("""COMPUTED_VALUE"""),"Middle")</f>
        <v>Middle</v>
      </c>
      <c r="O11" s="23"/>
      <c r="P11" s="23" t="str">
        <f>IFERROR(__xludf.DUMMYFUNCTION("""COMPUTED_VALUE"""),"Stretching, Massage/Zelfmassage, Lichter spelen / Alternatieve speeltechniek geprobeerd")</f>
        <v>Stretching, Massage/Zelfmassage, Lichter spelen / Alternatieve speeltechniek geprobeerd</v>
      </c>
      <c r="Q11" s="23"/>
    </row>
    <row r="12">
      <c r="A12" s="24">
        <f>IFERROR(__xludf.DUMMYFUNCTION("""COMPUTED_VALUE"""),45739.0)</f>
        <v>45739</v>
      </c>
      <c r="B12" s="23" t="str">
        <f>IFERROR(__xludf.DUMMYFUNCTION("""COMPUTED_VALUE"""),"Volledige Rustdag (Geen training)")</f>
        <v>Volledige Rustdag (Geen training)</v>
      </c>
      <c r="C12" s="25">
        <f>IFERROR(__xludf.DUMMYFUNCTION("""COMPUTED_VALUE"""),0.0)</f>
        <v>0</v>
      </c>
      <c r="D12" s="23"/>
      <c r="E12" s="23"/>
      <c r="F12" s="23"/>
      <c r="G12" s="23"/>
      <c r="H12" s="23"/>
      <c r="I12" s="25"/>
      <c r="J12" s="23"/>
      <c r="K12" s="23"/>
      <c r="L12" s="23"/>
      <c r="M12" s="23"/>
      <c r="N12" s="23"/>
      <c r="O12" s="23"/>
      <c r="P12" s="23" t="str">
        <f>IFERROR(__xludf.DUMMYFUNCTION("""COMPUTED_VALUE"""),"Rustdag genomen")</f>
        <v>Rustdag genomen</v>
      </c>
      <c r="Q12" s="23"/>
    </row>
    <row r="13">
      <c r="A13" s="24">
        <f>IFERROR(__xludf.DUMMYFUNCTION("""COMPUTED_VALUE"""),45740.0)</f>
        <v>45740</v>
      </c>
      <c r="B13" s="23" t="str">
        <f>IFERROR(__xludf.DUMMYFUNCTION("""COMPUTED_VALUE"""),"Hangboard - Uithouding (Langere hangs, lage tot matige intensiteit)")</f>
        <v>Hangboard - Uithouding (Langere hangs, lage tot matige intensiteit)</v>
      </c>
      <c r="C13" s="25">
        <f>IFERROR(__xludf.DUMMYFUNCTION("""COMPUTED_VALUE"""),0.010416666667879326)</f>
        <v>0.01041666667</v>
      </c>
      <c r="D13" s="23">
        <f>IFERROR(__xludf.DUMMYFUNCTION("""COMPUTED_VALUE"""),1.0)</f>
        <v>1</v>
      </c>
      <c r="E13" s="23" t="str">
        <f>IFERROR(__xludf.DUMMYFUNCTION("""COMPUTED_VALUE"""),"Half-crimp grip, Volledige crimp grip")</f>
        <v>Half-crimp grip, Volledige crimp grip</v>
      </c>
      <c r="F13" s="23" t="str">
        <f>IFERROR(__xludf.DUMMYFUNCTION("""COMPUTED_VALUE"""),"Middle")</f>
        <v>Middle</v>
      </c>
      <c r="G13" s="23"/>
      <c r="H13" s="23" t="str">
        <f>IFERROR(__xludf.DUMMYFUNCTION("""COMPUTED_VALUE"""),"Componeren / Songwriting, Technische oefening")</f>
        <v>Componeren / Songwriting, Technische oefening</v>
      </c>
      <c r="I13" s="25">
        <f>IFERROR(__xludf.DUMMYFUNCTION("""COMPUTED_VALUE"""),0.041666666667879326)</f>
        <v>0.04166666667</v>
      </c>
      <c r="J13" s="23">
        <f>IFERROR(__xludf.DUMMYFUNCTION("""COMPUTED_VALUE"""),2.0)</f>
        <v>2</v>
      </c>
      <c r="K13" s="23">
        <f>IFERROR(__xludf.DUMMYFUNCTION("""COMPUTED_VALUE"""),2.0)</f>
        <v>2</v>
      </c>
      <c r="L13" s="23">
        <f>IFERROR(__xludf.DUMMYFUNCTION("""COMPUTED_VALUE"""),3.0)</f>
        <v>3</v>
      </c>
      <c r="M13" s="23">
        <f>IFERROR(__xludf.DUMMYFUNCTION("""COMPUTED_VALUE"""),1.0)</f>
        <v>1</v>
      </c>
      <c r="N13" s="23"/>
      <c r="O13" s="23"/>
      <c r="P13" s="23"/>
      <c r="Q13" s="23"/>
    </row>
    <row r="14">
      <c r="A14" s="24">
        <f>IFERROR(__xludf.DUMMYFUNCTION("""COMPUTED_VALUE"""),45741.0)</f>
        <v>45741</v>
      </c>
      <c r="B14" s="23" t="str">
        <f>IFERROR(__xludf.DUMMYFUNCTION("""COMPUTED_VALUE"""),"Volledige Rustdag (Geen training)")</f>
        <v>Volledige Rustdag (Geen training)</v>
      </c>
      <c r="C14" s="25"/>
      <c r="D14" s="23"/>
      <c r="E14" s="23"/>
      <c r="F14" s="23"/>
      <c r="G14" s="23"/>
      <c r="H14" s="23" t="str">
        <f>IFERROR(__xludf.DUMMYFUNCTION("""COMPUTED_VALUE"""),"Improvisatie, Componeren / Songwriting, Opnamesessie, Repetitie met band")</f>
        <v>Improvisatie, Componeren / Songwriting, Opnamesessie, Repetitie met band</v>
      </c>
      <c r="I14" s="25">
        <f>IFERROR(__xludf.DUMMYFUNCTION("""COMPUTED_VALUE"""),0.3333333333321207)</f>
        <v>0.3333333333</v>
      </c>
      <c r="J14" s="23">
        <f>IFERROR(__xludf.DUMMYFUNCTION("""COMPUTED_VALUE"""),6.0)</f>
        <v>6</v>
      </c>
      <c r="K14" s="23">
        <f>IFERROR(__xludf.DUMMYFUNCTION("""COMPUTED_VALUE"""),5.0)</f>
        <v>5</v>
      </c>
      <c r="L14" s="23">
        <f>IFERROR(__xludf.DUMMYFUNCTION("""COMPUTED_VALUE"""),9.0)</f>
        <v>9</v>
      </c>
      <c r="M14" s="23">
        <f>IFERROR(__xludf.DUMMYFUNCTION("""COMPUTED_VALUE"""),2.0)</f>
        <v>2</v>
      </c>
      <c r="N14" s="23"/>
      <c r="O14" s="23"/>
      <c r="P14" s="23"/>
      <c r="Q14" s="23"/>
    </row>
    <row r="15">
      <c r="A15" s="24">
        <f>IFERROR(__xludf.DUMMYFUNCTION("""COMPUTED_VALUE"""),45742.0)</f>
        <v>45742</v>
      </c>
      <c r="B15" s="23" t="str">
        <f>IFERROR(__xludf.DUMMYFUNCTION("""COMPUTED_VALUE"""),"Volledige Rustdag (Geen training)")</f>
        <v>Volledige Rustdag (Geen training)</v>
      </c>
      <c r="C15" s="25"/>
      <c r="D15" s="23"/>
      <c r="E15" s="23"/>
      <c r="F15" s="23"/>
      <c r="G15" s="23"/>
      <c r="H15" s="23" t="str">
        <f>IFERROR(__xludf.DUMMYFUNCTION("""COMPUTED_VALUE"""),"Componeren / Songwriting")</f>
        <v>Componeren / Songwriting</v>
      </c>
      <c r="I15" s="25">
        <f>IFERROR(__xludf.DUMMYFUNCTION("""COMPUTED_VALUE"""),0.041666666667879326)</f>
        <v>0.04166666667</v>
      </c>
      <c r="J15" s="23">
        <f>IFERROR(__xludf.DUMMYFUNCTION("""COMPUTED_VALUE"""),2.0)</f>
        <v>2</v>
      </c>
      <c r="K15" s="23">
        <f>IFERROR(__xludf.DUMMYFUNCTION("""COMPUTED_VALUE"""),1.0)</f>
        <v>1</v>
      </c>
      <c r="L15" s="23">
        <f>IFERROR(__xludf.DUMMYFUNCTION("""COMPUTED_VALUE"""),4.0)</f>
        <v>4</v>
      </c>
      <c r="M15" s="23">
        <f>IFERROR(__xludf.DUMMYFUNCTION("""COMPUTED_VALUE"""),1.0)</f>
        <v>1</v>
      </c>
      <c r="N15" s="23"/>
      <c r="O15" s="23"/>
      <c r="P15" s="23"/>
      <c r="Q15" s="23"/>
    </row>
    <row r="16">
      <c r="A16" s="24">
        <f>IFERROR(__xludf.DUMMYFUNCTION("""COMPUTED_VALUE"""),45743.0)</f>
        <v>45743</v>
      </c>
      <c r="B16" s="23" t="str">
        <f>IFERROR(__xludf.DUMMYFUNCTION("""COMPUTED_VALUE"""),"Volledige Rustdag (Geen training)")</f>
        <v>Volledige Rustdag (Geen training)</v>
      </c>
      <c r="C16" s="25"/>
      <c r="D16" s="23"/>
      <c r="E16" s="23"/>
      <c r="F16" s="23"/>
      <c r="G16" s="23"/>
      <c r="H16" s="23" t="str">
        <f>IFERROR(__xludf.DUMMYFUNCTION("""COMPUTED_VALUE"""),"Componeren / Songwriting")</f>
        <v>Componeren / Songwriting</v>
      </c>
      <c r="I16" s="25">
        <f>IFERROR(__xludf.DUMMYFUNCTION("""COMPUTED_VALUE"""),0.0625)</f>
        <v>0.0625</v>
      </c>
      <c r="J16" s="23">
        <f>IFERROR(__xludf.DUMMYFUNCTION("""COMPUTED_VALUE"""),2.0)</f>
        <v>2</v>
      </c>
      <c r="K16" s="23">
        <f>IFERROR(__xludf.DUMMYFUNCTION("""COMPUTED_VALUE"""),1.0)</f>
        <v>1</v>
      </c>
      <c r="L16" s="23">
        <f>IFERROR(__xludf.DUMMYFUNCTION("""COMPUTED_VALUE"""),2.0)</f>
        <v>2</v>
      </c>
      <c r="M16" s="23">
        <f>IFERROR(__xludf.DUMMYFUNCTION("""COMPUTED_VALUE"""),1.0)</f>
        <v>1</v>
      </c>
      <c r="N16" s="23"/>
      <c r="O16" s="23"/>
      <c r="P16" s="23"/>
      <c r="Q16" s="23"/>
    </row>
    <row r="17">
      <c r="A17" s="24">
        <f>IFERROR(__xludf.DUMMYFUNCTION("""COMPUTED_VALUE"""),45745.0)</f>
        <v>45745</v>
      </c>
      <c r="B17" s="23" t="str">
        <f>IFERROR(__xludf.DUMMYFUNCTION("""COMPUTED_VALUE"""),"Volledige Rustdag (Geen training)")</f>
        <v>Volledige Rustdag (Geen training)</v>
      </c>
      <c r="C17" s="25"/>
      <c r="D17" s="23"/>
      <c r="E17" s="23"/>
      <c r="F17" s="23"/>
      <c r="G17" s="23"/>
      <c r="H17" s="23" t="str">
        <f>IFERROR(__xludf.DUMMYFUNCTION("""COMPUTED_VALUE"""),"Componeren / Songwriting, Live optreden, Bladmuziek lezen / Covers spelen")</f>
        <v>Componeren / Songwriting, Live optreden, Bladmuziek lezen / Covers spelen</v>
      </c>
      <c r="I17" s="25">
        <f>IFERROR(__xludf.DUMMYFUNCTION("""COMPUTED_VALUE"""),0.125)</f>
        <v>0.125</v>
      </c>
      <c r="J17" s="23">
        <f>IFERROR(__xludf.DUMMYFUNCTION("""COMPUTED_VALUE"""),7.0)</f>
        <v>7</v>
      </c>
      <c r="K17" s="23">
        <f>IFERROR(__xludf.DUMMYFUNCTION("""COMPUTED_VALUE"""),8.0)</f>
        <v>8</v>
      </c>
      <c r="L17" s="23">
        <f>IFERROR(__xludf.DUMMYFUNCTION("""COMPUTED_VALUE"""),4.0)</f>
        <v>4</v>
      </c>
      <c r="M17" s="23">
        <f>IFERROR(__xludf.DUMMYFUNCTION("""COMPUTED_VALUE"""),1.0)</f>
        <v>1</v>
      </c>
      <c r="N17" s="23"/>
      <c r="O17" s="23"/>
      <c r="P17" s="23" t="str">
        <f>IFERROR(__xludf.DUMMYFUNCTION("""COMPUTED_VALUE"""),"Lichter spelen / Alternatieve speeltechniek geprobeerd")</f>
        <v>Lichter spelen / Alternatieve speeltechniek geprobeerd</v>
      </c>
      <c r="Q17" s="23"/>
    </row>
    <row r="18">
      <c r="A18" s="24">
        <f>IFERROR(__xludf.DUMMYFUNCTION("""COMPUTED_VALUE"""),45746.0)</f>
        <v>45746</v>
      </c>
      <c r="B18" s="23" t="str">
        <f>IFERROR(__xludf.DUMMYFUNCTION("""COMPUTED_VALUE"""),"Hangboard - Uithouding (Langere hangs, lage tot matige intensiteit)")</f>
        <v>Hangboard - Uithouding (Langere hangs, lage tot matige intensiteit)</v>
      </c>
      <c r="C18" s="25">
        <f>IFERROR(__xludf.DUMMYFUNCTION("""COMPUTED_VALUE"""),0.010416666667879326)</f>
        <v>0.01041666667</v>
      </c>
      <c r="D18" s="23">
        <f>IFERROR(__xludf.DUMMYFUNCTION("""COMPUTED_VALUE"""),3.0)</f>
        <v>3</v>
      </c>
      <c r="E18" s="23" t="str">
        <f>IFERROR(__xludf.DUMMYFUNCTION("""COMPUTED_VALUE"""),"Open hand grip, Half-crimp grip, Volledige crimp grip")</f>
        <v>Open hand grip, Half-crimp grip, Volledige crimp grip</v>
      </c>
      <c r="F18" s="23" t="str">
        <f>IFERROR(__xludf.DUMMYFUNCTION("""COMPUTED_VALUE"""),"Middle")</f>
        <v>Middle</v>
      </c>
      <c r="G18" s="23"/>
      <c r="H18" s="23" t="str">
        <f>IFERROR(__xludf.DUMMYFUNCTION("""COMPUTED_VALUE"""),"Componeren / Songwriting, Repetitie met band")</f>
        <v>Componeren / Songwriting, Repetitie met band</v>
      </c>
      <c r="I18" s="25">
        <f>IFERROR(__xludf.DUMMYFUNCTION("""COMPUTED_VALUE"""),0.125)</f>
        <v>0.125</v>
      </c>
      <c r="J18" s="23">
        <f>IFERROR(__xludf.DUMMYFUNCTION("""COMPUTED_VALUE"""),2.0)</f>
        <v>2</v>
      </c>
      <c r="K18" s="23">
        <f>IFERROR(__xludf.DUMMYFUNCTION("""COMPUTED_VALUE"""),3.0)</f>
        <v>3</v>
      </c>
      <c r="L18" s="23">
        <f>IFERROR(__xludf.DUMMYFUNCTION("""COMPUTED_VALUE"""),5.0)</f>
        <v>5</v>
      </c>
      <c r="M18" s="23">
        <f>IFERROR(__xludf.DUMMYFUNCTION("""COMPUTED_VALUE"""),1.0)</f>
        <v>1</v>
      </c>
      <c r="N18" s="23"/>
      <c r="O18" s="23"/>
      <c r="P18" s="23"/>
      <c r="Q18" s="23"/>
    </row>
    <row r="19">
      <c r="A19" s="24">
        <f>IFERROR(__xludf.DUMMYFUNCTION("""COMPUTED_VALUE"""),45747.0)</f>
        <v>45747</v>
      </c>
      <c r="B19" s="23" t="str">
        <f>IFERROR(__xludf.DUMMYFUNCTION("""COMPUTED_VALUE"""),"Volledige Rustdag (Geen training)")</f>
        <v>Volledige Rustdag (Geen training)</v>
      </c>
      <c r="C19" s="25">
        <f>IFERROR(__xludf.DUMMYFUNCTION("""COMPUTED_VALUE"""),0.0)</f>
        <v>0</v>
      </c>
      <c r="D19" s="23"/>
      <c r="E19" s="23"/>
      <c r="F19" s="23"/>
      <c r="G19" s="23"/>
      <c r="H19" s="23" t="str">
        <f>IFERROR(__xludf.DUMMYFUNCTION("""COMPUTED_VALUE"""),"Improvisatie, Componeren / Songwriting, Technische oefening, Groove-focused spelen")</f>
        <v>Improvisatie, Componeren / Songwriting, Technische oefening, Groove-focused spelen</v>
      </c>
      <c r="I19" s="25">
        <f>IFERROR(__xludf.DUMMYFUNCTION("""COMPUTED_VALUE"""),0.041666666667879326)</f>
        <v>0.04166666667</v>
      </c>
      <c r="J19" s="23">
        <f>IFERROR(__xludf.DUMMYFUNCTION("""COMPUTED_VALUE"""),1.0)</f>
        <v>1</v>
      </c>
      <c r="K19" s="23">
        <f>IFERROR(__xludf.DUMMYFUNCTION("""COMPUTED_VALUE"""),1.0)</f>
        <v>1</v>
      </c>
      <c r="L19" s="23">
        <f>IFERROR(__xludf.DUMMYFUNCTION("""COMPUTED_VALUE"""),1.0)</f>
        <v>1</v>
      </c>
      <c r="M19" s="23">
        <f>IFERROR(__xludf.DUMMYFUNCTION("""COMPUTED_VALUE"""),1.0)</f>
        <v>1</v>
      </c>
      <c r="N19" s="23"/>
      <c r="O19" s="23"/>
      <c r="P19" s="23"/>
      <c r="Q19" s="23"/>
    </row>
    <row r="20">
      <c r="A20" s="24">
        <f>IFERROR(__xludf.DUMMYFUNCTION("""COMPUTED_VALUE"""),45748.0)</f>
        <v>45748</v>
      </c>
      <c r="B20" s="23" t="str">
        <f>IFERROR(__xludf.DUMMYFUNCTION("""COMPUTED_VALUE"""),"Volledige Rustdag (Geen training)")</f>
        <v>Volledige Rustdag (Geen training)</v>
      </c>
      <c r="C20" s="25">
        <f>IFERROR(__xludf.DUMMYFUNCTION("""COMPUTED_VALUE"""),0.0)</f>
        <v>0</v>
      </c>
      <c r="D20" s="23"/>
      <c r="E20" s="23"/>
      <c r="F20" s="23"/>
      <c r="G20" s="23"/>
      <c r="H20" s="23"/>
      <c r="I20" s="25">
        <f>IFERROR(__xludf.DUMMYFUNCTION("""COMPUTED_VALUE"""),0.0)</f>
        <v>0</v>
      </c>
      <c r="J20" s="23"/>
      <c r="K20" s="23"/>
      <c r="L20" s="23"/>
      <c r="M20" s="23"/>
      <c r="N20" s="23"/>
      <c r="O20" s="23"/>
      <c r="P20" s="23" t="str">
        <f>IFERROR(__xludf.DUMMYFUNCTION("""COMPUTED_VALUE"""),"Rustdag genomen")</f>
        <v>Rustdag genomen</v>
      </c>
      <c r="Q20" s="23"/>
    </row>
    <row r="21">
      <c r="A21" s="24">
        <f>IFERROR(__xludf.DUMMYFUNCTION("""COMPUTED_VALUE"""),45749.0)</f>
        <v>45749</v>
      </c>
      <c r="B21" s="23" t="str">
        <f>IFERROR(__xludf.DUMMYFUNCTION("""COMPUTED_VALUE"""),"Boulderen - Zware Sessie (Hoge intensiteit, projecteren, maximale kracht)")</f>
        <v>Boulderen - Zware Sessie (Hoge intensiteit, projecteren, maximale kracht)</v>
      </c>
      <c r="C21" s="25">
        <f>IFERROR(__xludf.DUMMYFUNCTION("""COMPUTED_VALUE"""),0.1875)</f>
        <v>0.1875</v>
      </c>
      <c r="D21" s="23">
        <f>IFERROR(__xludf.DUMMYFUNCTION("""COMPUTED_VALUE"""),9.0)</f>
        <v>9</v>
      </c>
      <c r="E21" s="23" t="str">
        <f>IFERROR(__xludf.DUMMYFUNCTION("""COMPUTED_VALUE"""),"Open hand grip, Half-crimp grip, Volledige crimp grip, Sloper grip (/Open grip op hellende grepen), Pinch grip (Knijpgrip op pinches), Slopers met compressie (Samendrukken van slopers met beide handen), Gaston grip (Zijwaartse duwende grip, zoals bij gast"&amp;"on-bewegingen), Undercling grip (Onderhands trekken aan grepen), Sidepull grip (Zijwaarts trekken aan grepen)")</f>
        <v>Open hand grip, Half-crimp grip, Volledige crimp grip, Sloper grip (/Open grip op hellende grepen), Pinch grip (Knijpgrip op pinches), Slopers met compressie (Samendrukken van slopers met beide handen), Gaston grip (Zijwaartse duwende grip, zoals bij gaston-bewegingen), Undercling grip (Onderhands trekken aan grepen), Sidepull grip (Zijwaarts trekken aan grepen)</v>
      </c>
      <c r="F21" s="23" t="str">
        <f>IFERROR(__xludf.DUMMYFUNCTION("""COMPUTED_VALUE"""),"Middle")</f>
        <v>Middle</v>
      </c>
      <c r="G21" s="23"/>
      <c r="H21" s="23" t="str">
        <f>IFERROR(__xludf.DUMMYFUNCTION("""COMPUTED_VALUE"""),"Componeren / Songwriting, Technische oefening, Bladmuziek lezen / Covers spelen, Groove-focused spelen")</f>
        <v>Componeren / Songwriting, Technische oefening, Bladmuziek lezen / Covers spelen, Groove-focused spelen</v>
      </c>
      <c r="I21" s="25">
        <f>IFERROR(__xludf.DUMMYFUNCTION("""COMPUTED_VALUE"""),0.08333333333212067)</f>
        <v>0.08333333333</v>
      </c>
      <c r="J21" s="23">
        <f>IFERROR(__xludf.DUMMYFUNCTION("""COMPUTED_VALUE"""),2.0)</f>
        <v>2</v>
      </c>
      <c r="K21" s="23">
        <f>IFERROR(__xludf.DUMMYFUNCTION("""COMPUTED_VALUE"""),1.0)</f>
        <v>1</v>
      </c>
      <c r="L21" s="23">
        <f>IFERROR(__xludf.DUMMYFUNCTION("""COMPUTED_VALUE"""),1.0)</f>
        <v>1</v>
      </c>
      <c r="M21" s="23">
        <f>IFERROR(__xludf.DUMMYFUNCTION("""COMPUTED_VALUE"""),1.0)</f>
        <v>1</v>
      </c>
      <c r="N21" s="23"/>
      <c r="O21" s="23"/>
      <c r="P21" s="23"/>
      <c r="Q21" s="23"/>
    </row>
    <row r="22">
      <c r="A22" s="24">
        <f>IFERROR(__xludf.DUMMYFUNCTION("""COMPUTED_VALUE"""),45750.0)</f>
        <v>45750</v>
      </c>
      <c r="B22" s="23" t="str">
        <f>IFERROR(__xludf.DUMMYFUNCTION("""COMPUTED_VALUE"""),"Volledige Rustdag (Geen training)")</f>
        <v>Volledige Rustdag (Geen training)</v>
      </c>
      <c r="C22" s="25">
        <f>IFERROR(__xludf.DUMMYFUNCTION("""COMPUTED_VALUE"""),0.0)</f>
        <v>0</v>
      </c>
      <c r="D22" s="23"/>
      <c r="E22" s="23"/>
      <c r="F22" s="23"/>
      <c r="G22" s="23"/>
      <c r="H22" s="23" t="str">
        <f>IFERROR(__xludf.DUMMYFUNCTION("""COMPUTED_VALUE"""),"Componeren / Songwriting, Technische oefening, Groove-focused spelen")</f>
        <v>Componeren / Songwriting, Technische oefening, Groove-focused spelen</v>
      </c>
      <c r="I22" s="25">
        <f>IFERROR(__xludf.DUMMYFUNCTION("""COMPUTED_VALUE"""),0.125)</f>
        <v>0.125</v>
      </c>
      <c r="J22" s="23">
        <f>IFERROR(__xludf.DUMMYFUNCTION("""COMPUTED_VALUE"""),4.0)</f>
        <v>4</v>
      </c>
      <c r="K22" s="23">
        <f>IFERROR(__xludf.DUMMYFUNCTION("""COMPUTED_VALUE"""),7.0)</f>
        <v>7</v>
      </c>
      <c r="L22" s="23">
        <f>IFERROR(__xludf.DUMMYFUNCTION("""COMPUTED_VALUE"""),4.0)</f>
        <v>4</v>
      </c>
      <c r="M22" s="23">
        <f>IFERROR(__xludf.DUMMYFUNCTION("""COMPUTED_VALUE"""),5.0)</f>
        <v>5</v>
      </c>
      <c r="N22" s="23" t="str">
        <f>IFERROR(__xludf.DUMMYFUNCTION("""COMPUTED_VALUE"""),"Index, Middle, Ring")</f>
        <v>Index, Middle, Ring</v>
      </c>
      <c r="O22" s="23"/>
      <c r="P22" s="23" t="str">
        <f>IFERROR(__xludf.DUMMYFUNCTION("""COMPUTED_VALUE"""),"Stretching, Lichter spelen / Alternatieve speeltechniek geprobeerd")</f>
        <v>Stretching, Lichter spelen / Alternatieve speeltechniek geprobeerd</v>
      </c>
      <c r="Q22" s="23"/>
    </row>
    <row r="23">
      <c r="A23" s="24">
        <f>IFERROR(__xludf.DUMMYFUNCTION("""COMPUTED_VALUE"""),45751.0)</f>
        <v>45751</v>
      </c>
      <c r="B23" s="23" t="str">
        <f>IFERROR(__xludf.DUMMYFUNCTION("""COMPUTED_VALUE"""),"Boulderen - Uithoudingssessie (Lange routes, continue belasting)")</f>
        <v>Boulderen - Uithoudingssessie (Lange routes, continue belasting)</v>
      </c>
      <c r="C23" s="25">
        <f>IFERROR(__xludf.DUMMYFUNCTION("""COMPUTED_VALUE"""),0.08333333333212067)</f>
        <v>0.08333333333</v>
      </c>
      <c r="D23" s="23">
        <f>IFERROR(__xludf.DUMMYFUNCTION("""COMPUTED_VALUE"""),5.0)</f>
        <v>5</v>
      </c>
      <c r="E23" s="23" t="str">
        <f>IFERROR(__xludf.DUMMYFUNCTION("""COMPUTED_VALUE"""),"Open hand grip, Half-crimp grip, Volledige crimp grip, Sloper grip (/Open grip op hellende grepen), Pinch grip (Knijpgrip op pinches), Pockets (2 vingers), Pockets (3 vingers), Undercling grip (Onderhands trekken aan grepen), Sidepull grip (Zijwaarts trek"&amp;"ken aan grepen)")</f>
        <v>Open hand grip, Half-crimp grip, Volledige crimp grip, Sloper grip (/Open grip op hellende grepen), Pinch grip (Knijpgrip op pinches), Pockets (2 vingers), Pockets (3 vingers), Undercling grip (Onderhands trekken aan grepen), Sidepull grip (Zijwaarts trekken aan grepen)</v>
      </c>
      <c r="F23" s="23" t="str">
        <f>IFERROR(__xludf.DUMMYFUNCTION("""COMPUTED_VALUE"""),"Middle")</f>
        <v>Middle</v>
      </c>
      <c r="G23" s="23"/>
      <c r="H23" s="23" t="str">
        <f>IFERROR(__xludf.DUMMYFUNCTION("""COMPUTED_VALUE"""),"Componeren / Songwriting, Technische oefening")</f>
        <v>Componeren / Songwriting, Technische oefening</v>
      </c>
      <c r="I23" s="25">
        <f>IFERROR(__xludf.DUMMYFUNCTION("""COMPUTED_VALUE"""),0.125)</f>
        <v>0.125</v>
      </c>
      <c r="J23" s="23">
        <f>IFERROR(__xludf.DUMMYFUNCTION("""COMPUTED_VALUE"""),3.0)</f>
        <v>3</v>
      </c>
      <c r="K23" s="23">
        <f>IFERROR(__xludf.DUMMYFUNCTION("""COMPUTED_VALUE"""),2.0)</f>
        <v>2</v>
      </c>
      <c r="L23" s="23">
        <f>IFERROR(__xludf.DUMMYFUNCTION("""COMPUTED_VALUE"""),3.0)</f>
        <v>3</v>
      </c>
      <c r="M23" s="23">
        <f>IFERROR(__xludf.DUMMYFUNCTION("""COMPUTED_VALUE"""),1.0)</f>
        <v>1</v>
      </c>
      <c r="N23" s="23"/>
      <c r="O23" s="23"/>
      <c r="P23" s="23"/>
      <c r="Q23" s="23"/>
    </row>
    <row r="24">
      <c r="A24" s="24">
        <f>IFERROR(__xludf.DUMMYFUNCTION("""COMPUTED_VALUE"""),45752.0)</f>
        <v>45752</v>
      </c>
      <c r="B24" s="23" t="str">
        <f>IFERROR(__xludf.DUMMYFUNCTION("""COMPUTED_VALUE"""),"Volledige Rustdag (Geen training)")</f>
        <v>Volledige Rustdag (Geen training)</v>
      </c>
      <c r="C24" s="25">
        <f>IFERROR(__xludf.DUMMYFUNCTION("""COMPUTED_VALUE"""),0.0)</f>
        <v>0</v>
      </c>
      <c r="D24" s="23"/>
      <c r="E24" s="23"/>
      <c r="F24" s="23"/>
      <c r="G24" s="23"/>
      <c r="H24" s="23" t="str">
        <f>IFERROR(__xludf.DUMMYFUNCTION("""COMPUTED_VALUE"""),"Improvisatie, Componeren / Songwriting")</f>
        <v>Improvisatie, Componeren / Songwriting</v>
      </c>
      <c r="I24" s="25">
        <f>IFERROR(__xludf.DUMMYFUNCTION("""COMPUTED_VALUE"""),0.08333333333212067)</f>
        <v>0.08333333333</v>
      </c>
      <c r="J24" s="23">
        <f>IFERROR(__xludf.DUMMYFUNCTION("""COMPUTED_VALUE"""),2.0)</f>
        <v>2</v>
      </c>
      <c r="K24" s="23">
        <f>IFERROR(__xludf.DUMMYFUNCTION("""COMPUTED_VALUE"""),2.0)</f>
        <v>2</v>
      </c>
      <c r="L24" s="23">
        <f>IFERROR(__xludf.DUMMYFUNCTION("""COMPUTED_VALUE"""),2.0)</f>
        <v>2</v>
      </c>
      <c r="M24" s="23">
        <f>IFERROR(__xludf.DUMMYFUNCTION("""COMPUTED_VALUE"""),2.0)</f>
        <v>2</v>
      </c>
      <c r="N24" s="23" t="str">
        <f>IFERROR(__xludf.DUMMYFUNCTION("""COMPUTED_VALUE"""),"Middle")</f>
        <v>Middle</v>
      </c>
      <c r="O24" s="23"/>
      <c r="P24" s="23" t="str">
        <f>IFERROR(__xludf.DUMMYFUNCTION("""COMPUTED_VALUE"""),"Stretching")</f>
        <v>Stretching</v>
      </c>
      <c r="Q24" s="23"/>
    </row>
    <row r="25">
      <c r="A25" s="24">
        <f>IFERROR(__xludf.DUMMYFUNCTION("""COMPUTED_VALUE"""),45753.0)</f>
        <v>45753</v>
      </c>
      <c r="B25" s="23" t="str">
        <f>IFERROR(__xludf.DUMMYFUNCTION("""COMPUTED_VALUE"""),"Boulderen - Zware Sessie (Hoge intensiteit, projecteren, maximale kracht)")</f>
        <v>Boulderen - Zware Sessie (Hoge intensiteit, projecteren, maximale kracht)</v>
      </c>
      <c r="C25" s="25">
        <f>IFERROR(__xludf.DUMMYFUNCTION("""COMPUTED_VALUE"""),0.10416666666787933)</f>
        <v>0.1041666667</v>
      </c>
      <c r="D25" s="23">
        <f>IFERROR(__xludf.DUMMYFUNCTION("""COMPUTED_VALUE"""),6.0)</f>
        <v>6</v>
      </c>
      <c r="E25" s="23" t="str">
        <f>IFERROR(__xludf.DUMMYFUNCTION("""COMPUTED_VALUE"""),"Open hand grip, Half-crimp grip, Volledige crimp grip, Sloper grip (/Open grip op hellende grepen), Pinch grip (Knijpgrip op pinches), Slopers met compressie (Samendrukken van slopers met beide handen), Gaston grip (Zijwaartse duwende grip, zoals bij gast"&amp;"on-bewegingen), Undercling grip (Onderhands trekken aan grepen), Sidepull grip (Zijwaarts trekken aan grepen)")</f>
        <v>Open hand grip, Half-crimp grip, Volledige crimp grip, Sloper grip (/Open grip op hellende grepen), Pinch grip (Knijpgrip op pinches), Slopers met compressie (Samendrukken van slopers met beide handen), Gaston grip (Zijwaartse duwende grip, zoals bij gaston-bewegingen), Undercling grip (Onderhands trekken aan grepen), Sidepull grip (Zijwaarts trekken aan grepen)</v>
      </c>
      <c r="F25" s="23" t="str">
        <f>IFERROR(__xludf.DUMMYFUNCTION("""COMPUTED_VALUE"""),"Middle")</f>
        <v>Middle</v>
      </c>
      <c r="G25" s="23"/>
      <c r="H25" s="23" t="str">
        <f>IFERROR(__xludf.DUMMYFUNCTION("""COMPUTED_VALUE"""),"Componeren / Songwriting, Technische oefening, Bladmuziek lezen / Covers spelen")</f>
        <v>Componeren / Songwriting, Technische oefening, Bladmuziek lezen / Covers spelen</v>
      </c>
      <c r="I25" s="25">
        <f>IFERROR(__xludf.DUMMYFUNCTION("""COMPUTED_VALUE"""),0.08333333333212067)</f>
        <v>0.08333333333</v>
      </c>
      <c r="J25" s="23">
        <f>IFERROR(__xludf.DUMMYFUNCTION("""COMPUTED_VALUE"""),3.0)</f>
        <v>3</v>
      </c>
      <c r="K25" s="23">
        <f>IFERROR(__xludf.DUMMYFUNCTION("""COMPUTED_VALUE"""),1.0)</f>
        <v>1</v>
      </c>
      <c r="L25" s="23">
        <f>IFERROR(__xludf.DUMMYFUNCTION("""COMPUTED_VALUE"""),3.0)</f>
        <v>3</v>
      </c>
      <c r="M25" s="23">
        <f>IFERROR(__xludf.DUMMYFUNCTION("""COMPUTED_VALUE"""),1.0)</f>
        <v>1</v>
      </c>
      <c r="N25" s="23"/>
      <c r="O25" s="23"/>
      <c r="P25" s="23"/>
      <c r="Q25" s="23"/>
    </row>
    <row r="26">
      <c r="A26" s="24">
        <f>IFERROR(__xludf.DUMMYFUNCTION("""COMPUTED_VALUE"""),45754.0)</f>
        <v>45754</v>
      </c>
      <c r="B26" s="23" t="str">
        <f>IFERROR(__xludf.DUMMYFUNCTION("""COMPUTED_VALUE"""),"Boulderen - Zware Sessie (Hoge intensiteit, projecteren, maximale kracht)")</f>
        <v>Boulderen - Zware Sessie (Hoge intensiteit, projecteren, maximale kracht)</v>
      </c>
      <c r="C26" s="25">
        <f>IFERROR(__xludf.DUMMYFUNCTION("""COMPUTED_VALUE"""),0.125)</f>
        <v>0.125</v>
      </c>
      <c r="D26" s="23">
        <f>IFERROR(__xludf.DUMMYFUNCTION("""COMPUTED_VALUE"""),7.0)</f>
        <v>7</v>
      </c>
      <c r="E26" s="23" t="str">
        <f>IFERROR(__xludf.DUMMYFUNCTION("""COMPUTED_VALUE"""),"Open hand grip, Half-crimp grip, Volledige crimp grip, Sloper grip (/Open grip op hellende grepen), Pinch grip (Knijpgrip op pinches), Pockets (2 vingers), Pockets (3 vingers), Slopers met compressie (Samendrukken van slopers met beide handen), Gaston gri"&amp;"p (Zijwaartse duwende grip, zoals bij gaston-bewegingen), Undercling grip (Onderhands trekken aan grepen), Sidepull grip (Zijwaarts trekken aan grepen)")</f>
        <v>Open hand grip, Half-crimp grip, Volledige crimp grip, Sloper grip (/Open grip op hellende grepen), Pinch grip (Knijpgrip op pinches), Pockets (2 vingers), Pockets (3 vingers), Slopers met compressie (Samendrukken van slopers met beide handen), Gaston grip (Zijwaartse duwende grip, zoals bij gaston-bewegingen), Undercling grip (Onderhands trekken aan grepen), Sidepull grip (Zijwaarts trekken aan grepen)</v>
      </c>
      <c r="F26" s="23" t="str">
        <f>IFERROR(__xludf.DUMMYFUNCTION("""COMPUTED_VALUE"""),"Middle")</f>
        <v>Middle</v>
      </c>
      <c r="G26" s="23"/>
      <c r="H26" s="23" t="str">
        <f>IFERROR(__xludf.DUMMYFUNCTION("""COMPUTED_VALUE"""),"Improvisatie, Componeren / Songwriting, Technische oefening, Bladmuziek lezen / Covers spelen")</f>
        <v>Improvisatie, Componeren / Songwriting, Technische oefening, Bladmuziek lezen / Covers spelen</v>
      </c>
      <c r="I26" s="25">
        <f>IFERROR(__xludf.DUMMYFUNCTION("""COMPUTED_VALUE"""),0.125)</f>
        <v>0.125</v>
      </c>
      <c r="J26" s="23">
        <f>IFERROR(__xludf.DUMMYFUNCTION("""COMPUTED_VALUE"""),3.0)</f>
        <v>3</v>
      </c>
      <c r="K26" s="23">
        <f>IFERROR(__xludf.DUMMYFUNCTION("""COMPUTED_VALUE"""),4.0)</f>
        <v>4</v>
      </c>
      <c r="L26" s="23">
        <f>IFERROR(__xludf.DUMMYFUNCTION("""COMPUTED_VALUE"""),5.0)</f>
        <v>5</v>
      </c>
      <c r="M26" s="23">
        <f>IFERROR(__xludf.DUMMYFUNCTION("""COMPUTED_VALUE"""),4.0)</f>
        <v>4</v>
      </c>
      <c r="N26" s="23" t="str">
        <f>IFERROR(__xludf.DUMMYFUNCTION("""COMPUTED_VALUE"""),"Middle")</f>
        <v>Middle</v>
      </c>
      <c r="O26" s="23"/>
      <c r="P26" s="23" t="str">
        <f>IFERROR(__xludf.DUMMYFUNCTION("""COMPUTED_VALUE"""),"Stretching, Lichter spelen / Alternatieve speeltechniek geprobeerd")</f>
        <v>Stretching, Lichter spelen / Alternatieve speeltechniek geprobeerd</v>
      </c>
      <c r="Q26" s="23"/>
    </row>
    <row r="27">
      <c r="A27" s="24">
        <f>IFERROR(__xludf.DUMMYFUNCTION("""COMPUTED_VALUE"""),45755.0)</f>
        <v>45755</v>
      </c>
      <c r="B27" s="23" t="str">
        <f>IFERROR(__xludf.DUMMYFUNCTION("""COMPUTED_VALUE"""),"Boulderen - Gemiddelde Sessie (Algemeen klimmen, matige moeilijkheid)")</f>
        <v>Boulderen - Gemiddelde Sessie (Algemeen klimmen, matige moeilijkheid)</v>
      </c>
      <c r="C27" s="25">
        <f>IFERROR(__xludf.DUMMYFUNCTION("""COMPUTED_VALUE"""),0.0625)</f>
        <v>0.0625</v>
      </c>
      <c r="D27" s="23">
        <f>IFERROR(__xludf.DUMMYFUNCTION("""COMPUTED_VALUE"""),4.0)</f>
        <v>4</v>
      </c>
      <c r="E27" s="23" t="str">
        <f>IFERROR(__xludf.DUMMYFUNCTION("""COMPUTED_VALUE"""),"Open hand grip, Half-crimp grip, Volledige crimp grip, Sloper grip (/Open grip op hellende grepen), Undercling grip (Onderhands trekken aan grepen), Sidepull grip (Zijwaarts trekken aan grepen)")</f>
        <v>Open hand grip, Half-crimp grip, Volledige crimp grip, Sloper grip (/Open grip op hellende grepen), Undercling grip (Onderhands trekken aan grepen), Sidepull grip (Zijwaarts trekken aan grepen)</v>
      </c>
      <c r="F27" s="23" t="str">
        <f>IFERROR(__xludf.DUMMYFUNCTION("""COMPUTED_VALUE"""),"Middle")</f>
        <v>Middle</v>
      </c>
      <c r="G27" s="23"/>
      <c r="H27" s="23"/>
      <c r="I27" s="25">
        <f>IFERROR(__xludf.DUMMYFUNCTION("""COMPUTED_VALUE"""),0.0)</f>
        <v>0</v>
      </c>
      <c r="J27" s="23"/>
      <c r="K27" s="23"/>
      <c r="L27" s="23"/>
      <c r="M27" s="23"/>
      <c r="N27" s="23"/>
      <c r="O27" s="23"/>
      <c r="P27" s="23" t="str">
        <f>IFERROR(__xludf.DUMMYFUNCTION("""COMPUTED_VALUE"""),"Rustdag genomen")</f>
        <v>Rustdag genomen</v>
      </c>
      <c r="Q27" s="23"/>
    </row>
    <row r="28">
      <c r="A28" s="24">
        <f>IFERROR(__xludf.DUMMYFUNCTION("""COMPUTED_VALUE"""),45756.0)</f>
        <v>45756</v>
      </c>
      <c r="B28" s="23" t="str">
        <f>IFERROR(__xludf.DUMMYFUNCTION("""COMPUTED_VALUE"""),"Volledige Rustdag (Geen training)")</f>
        <v>Volledige Rustdag (Geen training)</v>
      </c>
      <c r="C28" s="25">
        <f>IFERROR(__xludf.DUMMYFUNCTION("""COMPUTED_VALUE"""),0.0)</f>
        <v>0</v>
      </c>
      <c r="D28" s="23"/>
      <c r="E28" s="23"/>
      <c r="F28" s="23"/>
      <c r="G28" s="23"/>
      <c r="H28" s="23" t="str">
        <f>IFERROR(__xludf.DUMMYFUNCTION("""COMPUTED_VALUE"""),"Componeren / Songwriting, Technische oefening, Bladmuziek lezen / Covers spelen")</f>
        <v>Componeren / Songwriting, Technische oefening, Bladmuziek lezen / Covers spelen</v>
      </c>
      <c r="I28" s="25">
        <f>IFERROR(__xludf.DUMMYFUNCTION("""COMPUTED_VALUE"""),0.16666666666787933)</f>
        <v>0.1666666667</v>
      </c>
      <c r="J28" s="23">
        <f>IFERROR(__xludf.DUMMYFUNCTION("""COMPUTED_VALUE"""),4.0)</f>
        <v>4</v>
      </c>
      <c r="K28" s="23">
        <f>IFERROR(__xludf.DUMMYFUNCTION("""COMPUTED_VALUE"""),3.0)</f>
        <v>3</v>
      </c>
      <c r="L28" s="23">
        <f>IFERROR(__xludf.DUMMYFUNCTION("""COMPUTED_VALUE"""),5.0)</f>
        <v>5</v>
      </c>
      <c r="M28" s="23">
        <f>IFERROR(__xludf.DUMMYFUNCTION("""COMPUTED_VALUE"""),2.0)</f>
        <v>2</v>
      </c>
      <c r="N28" s="23"/>
      <c r="O28" s="23"/>
      <c r="P28" s="23" t="str">
        <f>IFERROR(__xludf.DUMMYFUNCTION("""COMPUTED_VALUE"""),"Massage/Zelfmassage")</f>
        <v>Massage/Zelfmassage</v>
      </c>
      <c r="Q28" s="23"/>
    </row>
    <row r="29">
      <c r="A29" s="24">
        <f>IFERROR(__xludf.DUMMYFUNCTION("""COMPUTED_VALUE"""),45757.0)</f>
        <v>45757</v>
      </c>
      <c r="B29" s="23" t="str">
        <f>IFERROR(__xludf.DUMMYFUNCTION("""COMPUTED_VALUE"""),"Boulderen - Zware Sessie (Hoge intensiteit, projecteren, maximale kracht)")</f>
        <v>Boulderen - Zware Sessie (Hoge intensiteit, projecteren, maximale kracht)</v>
      </c>
      <c r="C29" s="25">
        <f>IFERROR(__xludf.DUMMYFUNCTION("""COMPUTED_VALUE"""),0.20833333333212067)</f>
        <v>0.2083333333</v>
      </c>
      <c r="D29" s="23">
        <f>IFERROR(__xludf.DUMMYFUNCTION("""COMPUTED_VALUE"""),9.0)</f>
        <v>9</v>
      </c>
      <c r="E29" s="23" t="str">
        <f>IFERROR(__xludf.DUMMYFUNCTION("""COMPUTED_VALUE"""),"Open hand grip, Half-crimp grip, Volledige crimp grip, Sloper grip (/Open grip op hellende grepen), Pinch grip (Knijpgrip op pinches), Pockets (2 vingers), Pockets (3 vingers), Slopers met compressie (Samendrukken van slopers met beide handen), Gaston gri"&amp;"p (Zijwaartse duwende grip, zoals bij gaston-bewegingen), Undercling grip (Onderhands trekken aan grepen), Sidepull grip (Zijwaarts trekken aan grepen)")</f>
        <v>Open hand grip, Half-crimp grip, Volledige crimp grip, Sloper grip (/Open grip op hellende grepen), Pinch grip (Knijpgrip op pinches), Pockets (2 vingers), Pockets (3 vingers), Slopers met compressie (Samendrukken van slopers met beide handen), Gaston grip (Zijwaartse duwende grip, zoals bij gaston-bewegingen), Undercling grip (Onderhands trekken aan grepen), Sidepull grip (Zijwaarts trekken aan grepen)</v>
      </c>
      <c r="F29" s="23" t="str">
        <f>IFERROR(__xludf.DUMMYFUNCTION("""COMPUTED_VALUE"""),"Middle")</f>
        <v>Middle</v>
      </c>
      <c r="G29" s="23"/>
      <c r="H29" s="23"/>
      <c r="I29" s="25">
        <f>IFERROR(__xludf.DUMMYFUNCTION("""COMPUTED_VALUE"""),0.0)</f>
        <v>0</v>
      </c>
      <c r="J29" s="23"/>
      <c r="K29" s="23"/>
      <c r="L29" s="23"/>
      <c r="M29" s="23"/>
      <c r="N29" s="23"/>
      <c r="O29" s="23"/>
      <c r="P29" s="23" t="str">
        <f>IFERROR(__xludf.DUMMYFUNCTION("""COMPUTED_VALUE"""),"Rustdag genomen")</f>
        <v>Rustdag genomen</v>
      </c>
      <c r="Q29" s="23"/>
    </row>
    <row r="30">
      <c r="A30" s="24">
        <f>IFERROR(__xludf.DUMMYFUNCTION("""COMPUTED_VALUE"""),45776.0)</f>
        <v>45776</v>
      </c>
      <c r="B30" s="23" t="str">
        <f>IFERROR(__xludf.DUMMYFUNCTION("""COMPUTED_VALUE"""),"Boulderen - Gemiddelde Sessie (Algemeen klimmen, matige moeilijkheid)")</f>
        <v>Boulderen - Gemiddelde Sessie (Algemeen klimmen, matige moeilijkheid)</v>
      </c>
      <c r="C30" s="25">
        <f>IFERROR(__xludf.DUMMYFUNCTION("""COMPUTED_VALUE"""),0.10416666666787933)</f>
        <v>0.1041666667</v>
      </c>
      <c r="D30" s="23">
        <f>IFERROR(__xludf.DUMMYFUNCTION("""COMPUTED_VALUE"""),6.0)</f>
        <v>6</v>
      </c>
      <c r="E30" s="23" t="str">
        <f>IFERROR(__xludf.DUMMYFUNCTION("""COMPUTED_VALUE"""),"Open hand grip, Half-crimp grip, Volledige crimp grip, Sloper grip (/Open grip op hellende grepen), Pinch grip (Knijpgrip op pinches), Undercling grip (Onderhands trekken aan grepen), Sidepull grip (Zijwaarts trekken aan grepen)")</f>
        <v>Open hand grip, Half-crimp grip, Volledige crimp grip, Sloper grip (/Open grip op hellende grepen), Pinch grip (Knijpgrip op pinches), Undercling grip (Onderhands trekken aan grepen), Sidepull grip (Zijwaarts trekken aan grepen)</v>
      </c>
      <c r="F30" s="23" t="str">
        <f>IFERROR(__xludf.DUMMYFUNCTION("""COMPUTED_VALUE"""),"Middle")</f>
        <v>Middle</v>
      </c>
      <c r="G30" s="23"/>
      <c r="H30" s="23" t="str">
        <f>IFERROR(__xludf.DUMMYFUNCTION("""COMPUTED_VALUE"""),"Componeren / Songwriting, Technische oefening, Groove-focused spelen")</f>
        <v>Componeren / Songwriting, Technische oefening, Groove-focused spelen</v>
      </c>
      <c r="I30" s="25">
        <f>IFERROR(__xludf.DUMMYFUNCTION("""COMPUTED_VALUE"""),0.08333333333212067)</f>
        <v>0.08333333333</v>
      </c>
      <c r="J30" s="23">
        <f>IFERROR(__xludf.DUMMYFUNCTION("""COMPUTED_VALUE"""),2.0)</f>
        <v>2</v>
      </c>
      <c r="K30" s="23">
        <f>IFERROR(__xludf.DUMMYFUNCTION("""COMPUTED_VALUE"""),1.0)</f>
        <v>1</v>
      </c>
      <c r="L30" s="23">
        <f>IFERROR(__xludf.DUMMYFUNCTION("""COMPUTED_VALUE"""),1.0)</f>
        <v>1</v>
      </c>
      <c r="M30" s="23">
        <f>IFERROR(__xludf.DUMMYFUNCTION("""COMPUTED_VALUE"""),1.0)</f>
        <v>1</v>
      </c>
      <c r="N30" s="23"/>
      <c r="O30" s="23"/>
      <c r="P30" s="23"/>
      <c r="Q30"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16.0"/>
    <col customWidth="1" min="3" max="3" width="14.88"/>
    <col customWidth="1" min="4" max="4" width="18.5"/>
    <col customWidth="1" min="5" max="5" width="14.38"/>
    <col customWidth="1" min="6" max="6" width="16.88"/>
    <col customWidth="1" min="7" max="7" width="18.38"/>
    <col customWidth="1" min="8" max="8" width="14.38"/>
    <col customWidth="1" min="9" max="9" width="17.75"/>
    <col customWidth="1" min="10" max="11" width="18.0"/>
    <col customWidth="1" min="12" max="12" width="16.0"/>
    <col customWidth="1" min="13" max="13" width="15.88"/>
    <col customWidth="1" min="14" max="14" width="17.63"/>
    <col customWidth="1" min="15" max="15" width="14.13"/>
    <col customWidth="1" min="16" max="16" width="22.63"/>
  </cols>
  <sheetData>
    <row r="1">
      <c r="A1" s="26" t="s">
        <v>1</v>
      </c>
      <c r="B1" s="27" t="s">
        <v>2</v>
      </c>
      <c r="C1" s="27" t="s">
        <v>3</v>
      </c>
      <c r="D1" s="27" t="s">
        <v>61</v>
      </c>
      <c r="E1" s="27" t="s">
        <v>62</v>
      </c>
      <c r="F1" s="27" t="s">
        <v>63</v>
      </c>
      <c r="G1" s="27" t="s">
        <v>64</v>
      </c>
      <c r="H1" s="27" t="s">
        <v>65</v>
      </c>
      <c r="I1" s="27" t="s">
        <v>66</v>
      </c>
      <c r="J1" s="27" t="s">
        <v>67</v>
      </c>
      <c r="K1" s="27" t="s">
        <v>68</v>
      </c>
      <c r="L1" s="27" t="s">
        <v>69</v>
      </c>
      <c r="M1" s="27" t="s">
        <v>70</v>
      </c>
      <c r="N1" s="27" t="s">
        <v>71</v>
      </c>
      <c r="O1" s="27" t="s">
        <v>72</v>
      </c>
      <c r="P1" s="28" t="s">
        <v>73</v>
      </c>
    </row>
    <row r="2">
      <c r="A2" s="29">
        <v>45729.0</v>
      </c>
      <c r="B2" s="30" t="s">
        <v>74</v>
      </c>
      <c r="C2" s="30" t="s">
        <v>75</v>
      </c>
      <c r="D2" s="30" t="s">
        <v>76</v>
      </c>
      <c r="E2" s="30" t="s">
        <v>76</v>
      </c>
      <c r="F2" s="30" t="s">
        <v>76</v>
      </c>
      <c r="G2" s="30" t="s">
        <v>77</v>
      </c>
      <c r="H2" s="30" t="s">
        <v>78</v>
      </c>
      <c r="I2" s="30" t="s">
        <v>76</v>
      </c>
      <c r="J2" s="30" t="s">
        <v>76</v>
      </c>
      <c r="K2" s="30" t="s">
        <v>76</v>
      </c>
      <c r="L2" s="30" t="s">
        <v>76</v>
      </c>
      <c r="M2" s="30" t="s">
        <v>76</v>
      </c>
      <c r="N2" s="30" t="s">
        <v>79</v>
      </c>
      <c r="O2" s="30" t="s">
        <v>76</v>
      </c>
      <c r="P2" s="31" t="s">
        <v>76</v>
      </c>
    </row>
    <row r="3">
      <c r="A3" s="32">
        <v>45730.0</v>
      </c>
      <c r="B3" s="33" t="s">
        <v>80</v>
      </c>
      <c r="C3" s="33" t="s">
        <v>81</v>
      </c>
      <c r="D3" s="33" t="s">
        <v>76</v>
      </c>
      <c r="E3" s="33" t="s">
        <v>76</v>
      </c>
      <c r="F3" s="33" t="s">
        <v>76</v>
      </c>
      <c r="G3" s="33" t="s">
        <v>82</v>
      </c>
      <c r="H3" s="33" t="s">
        <v>78</v>
      </c>
      <c r="I3" s="33" t="s">
        <v>76</v>
      </c>
      <c r="J3" s="33" t="s">
        <v>76</v>
      </c>
      <c r="K3" s="33" t="s">
        <v>76</v>
      </c>
      <c r="L3" s="33" t="s">
        <v>76</v>
      </c>
      <c r="M3" s="33" t="s">
        <v>76</v>
      </c>
      <c r="N3" s="33" t="s">
        <v>83</v>
      </c>
      <c r="O3" s="33" t="s">
        <v>76</v>
      </c>
      <c r="P3" s="34" t="s">
        <v>84</v>
      </c>
    </row>
    <row r="4">
      <c r="A4" s="35">
        <v>45731.0</v>
      </c>
      <c r="B4" s="36" t="s">
        <v>85</v>
      </c>
      <c r="C4" s="36" t="s">
        <v>86</v>
      </c>
      <c r="D4" s="36" t="s">
        <v>76</v>
      </c>
      <c r="E4" s="36" t="s">
        <v>76</v>
      </c>
      <c r="F4" s="36" t="s">
        <v>76</v>
      </c>
      <c r="G4" s="36" t="s">
        <v>87</v>
      </c>
      <c r="H4" s="36" t="s">
        <v>86</v>
      </c>
      <c r="I4" s="36" t="s">
        <v>76</v>
      </c>
      <c r="J4" s="36" t="s">
        <v>76</v>
      </c>
      <c r="K4" s="36" t="s">
        <v>76</v>
      </c>
      <c r="L4" s="36" t="s">
        <v>76</v>
      </c>
      <c r="M4" s="36" t="s">
        <v>76</v>
      </c>
      <c r="N4" s="36" t="s">
        <v>88</v>
      </c>
      <c r="O4" s="36" t="s">
        <v>76</v>
      </c>
      <c r="P4" s="37" t="s">
        <v>89</v>
      </c>
    </row>
  </sheetData>
  <dataValidations>
    <dataValidation type="custom" allowBlank="1" showDropDown="1" sqref="A2:A4">
      <formula1>OR(NOT(ISERROR(DATEVALUE(A2))), AND(ISNUMBER(A2), LEFT(CELL("format", A2))="D"))</formula1>
    </dataValidation>
  </dataValidations>
  <drawing r:id="rId1"/>
  <tableParts count="1">
    <tablePart r:id="rId3"/>
  </tableParts>
</worksheet>
</file>