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5.xml" ContentType="application/vnd.openxmlformats-officedocument.drawingml.chartshapes+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embeddings/oleObject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35e76677dc642f04/바탕 화면/"/>
    </mc:Choice>
  </mc:AlternateContent>
  <xr:revisionPtr revIDLastSave="9" documentId="13_ncr:1_{73F1ED23-53E6-473C-A94C-AFA4F644FF92}" xr6:coauthVersionLast="47" xr6:coauthVersionMax="47" xr10:uidLastSave="{676CF0C4-F6C3-42CD-8B66-E3FA2A5E1F93}"/>
  <bookViews>
    <workbookView xWindow="-108" yWindow="-108" windowWidth="23256" windowHeight="13896" xr2:uid="{00000000-000D-0000-FFFF-FFFF00000000}"/>
  </bookViews>
  <sheets>
    <sheet name="0. Introduction" sheetId="1" r:id="rId1"/>
    <sheet name="1. Description" sheetId="2" r:id="rId2"/>
    <sheet name="2. Process flow" sheetId="3" r:id="rId3"/>
    <sheet name="3. Inputs &amp; results" sheetId="5" r:id="rId4"/>
    <sheet name="4. Material &amp; energy balance" sheetId="4" r:id="rId5"/>
    <sheet name="5. Equipment price" sheetId="7" r:id="rId6"/>
    <sheet name="6-1. Economic evaluation" sheetId="12" r:id="rId7"/>
    <sheet name="6-2. Economic evaluation" sheetId="6" r:id="rId8"/>
    <sheet name="7. Environmental evaluation" sheetId="8" r:id="rId9"/>
    <sheet name="8. Future work" sheetId="9" r:id="rId10"/>
  </sheets>
  <externalReferences>
    <externalReference r:id="rId11"/>
    <externalReference r:id="rId12"/>
  </externalReferences>
  <definedNames>
    <definedName name="_xlchart.v1.0" hidden="1">'6-2. Economic evaluation'!$B$93</definedName>
    <definedName name="_xlchart.v1.1" hidden="1">'6-2. Economic evaluation'!$B$94:$B$104</definedName>
    <definedName name="_xlchart.v1.2" hidden="1">'6-2. Economic evaluation'!$C$94:$C$104</definedName>
    <definedName name="_xlchart.v1.3" hidden="1">'6-2. Economic evaluation'!$B$93</definedName>
    <definedName name="_xlchart.v1.4" hidden="1">'6-2. Economic evaluation'!$B$94:$B$104</definedName>
    <definedName name="_xlchart.v1.5" hidden="1">'6-2. Economic evaluation'!$C$94:$C$104</definedName>
    <definedName name="Coaltype">'3. Inputs &amp; results'!$T$49:$T$64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5" l="1"/>
  <c r="H28" i="5"/>
  <c r="H31" i="5"/>
  <c r="H41" i="5"/>
  <c r="AD18" i="7"/>
  <c r="AE11" i="7"/>
  <c r="B71" i="4" l="1"/>
  <c r="B65" i="4"/>
  <c r="B59" i="4"/>
  <c r="B53" i="4"/>
  <c r="B45" i="4"/>
  <c r="B39" i="4"/>
  <c r="B33" i="4"/>
  <c r="B27" i="4"/>
  <c r="B21" i="4"/>
  <c r="B13" i="4"/>
  <c r="B6" i="4"/>
  <c r="CX32" i="6"/>
  <c r="C47" i="8"/>
  <c r="C45" i="8"/>
  <c r="C48" i="8"/>
  <c r="D27" i="8"/>
  <c r="B27" i="8"/>
  <c r="I24" i="8"/>
  <c r="G24" i="8"/>
  <c r="D24" i="8"/>
  <c r="B24" i="8"/>
  <c r="C84" i="6"/>
  <c r="C83" i="6"/>
  <c r="C82" i="6"/>
  <c r="C81" i="6"/>
  <c r="C86" i="6"/>
  <c r="C80" i="6"/>
  <c r="C79" i="6"/>
  <c r="C78" i="6"/>
  <c r="C77" i="6"/>
  <c r="C76" i="6"/>
  <c r="C75" i="6"/>
  <c r="C74" i="6"/>
  <c r="C73" i="6"/>
  <c r="C72" i="6"/>
  <c r="C85" i="6"/>
  <c r="CX31" i="6"/>
  <c r="CX26" i="6"/>
  <c r="U22" i="12"/>
  <c r="D19" i="12"/>
  <c r="U16" i="12"/>
  <c r="U11" i="12"/>
  <c r="K74" i="7"/>
  <c r="K71" i="7"/>
  <c r="K68" i="7"/>
  <c r="K19" i="7"/>
  <c r="L8" i="7"/>
  <c r="K8" i="7" s="1"/>
  <c r="O15" i="4"/>
  <c r="O14" i="4"/>
  <c r="O11" i="4"/>
  <c r="P9" i="4"/>
  <c r="G9" i="4"/>
  <c r="Z8" i="4"/>
  <c r="W8" i="4" s="1"/>
  <c r="O7" i="4"/>
  <c r="U64" i="5"/>
  <c r="U63" i="5"/>
  <c r="U62" i="5"/>
  <c r="U61" i="5"/>
  <c r="U60" i="5"/>
  <c r="U59" i="5"/>
  <c r="U58" i="5"/>
  <c r="U57" i="5"/>
  <c r="U56" i="5"/>
  <c r="U55" i="5"/>
  <c r="U54" i="5"/>
  <c r="U53" i="5"/>
  <c r="U52" i="5"/>
  <c r="U51" i="5"/>
  <c r="U50" i="5"/>
  <c r="H53" i="5"/>
  <c r="C46" i="8" s="1"/>
  <c r="U49" i="5"/>
  <c r="CW37" i="6"/>
  <c r="H32" i="5"/>
  <c r="CX25" i="6" s="1"/>
  <c r="U14" i="12"/>
  <c r="H29" i="5"/>
  <c r="CX22" i="6" s="1"/>
  <c r="CX21" i="6"/>
  <c r="U13" i="12"/>
  <c r="T32" i="12" l="1"/>
  <c r="V32" i="12" s="1"/>
  <c r="U12" i="12"/>
  <c r="U15" i="12"/>
  <c r="CX23" i="6"/>
  <c r="CX24" i="6"/>
  <c r="U23" i="12"/>
  <c r="T8" i="7"/>
  <c r="E6" i="7" s="1"/>
  <c r="E8" i="7" s="1"/>
  <c r="W7" i="4"/>
  <c r="C9" i="4"/>
  <c r="F9" i="4"/>
  <c r="AA33" i="4"/>
  <c r="V38" i="4"/>
  <c r="Z7" i="4"/>
  <c r="Z33" i="4"/>
  <c r="Z32" i="4" s="1"/>
  <c r="Z34" i="4" s="1"/>
  <c r="V16" i="4"/>
  <c r="V15" i="4" s="1"/>
  <c r="V17" i="4" s="1"/>
  <c r="V8" i="4"/>
  <c r="S8" i="7" s="1"/>
  <c r="W33" i="4"/>
  <c r="W32" i="4" s="1"/>
  <c r="W34" i="4" s="1"/>
  <c r="Y16" i="4"/>
  <c r="Y15" i="4" s="1"/>
  <c r="Y17" i="4" s="1"/>
  <c r="Y8" i="4"/>
  <c r="W16" i="4"/>
  <c r="W15" i="4" s="1"/>
  <c r="W17" i="4" s="1"/>
  <c r="V33" i="4"/>
  <c r="V32" i="4" s="1"/>
  <c r="V34" i="4" s="1"/>
  <c r="G8" i="4"/>
  <c r="D9" i="4"/>
  <c r="Z16" i="4"/>
  <c r="Z15" i="4" s="1"/>
  <c r="Z17" i="4" s="1"/>
  <c r="X33" i="4"/>
  <c r="X32" i="4" s="1"/>
  <c r="X34" i="4" s="1"/>
  <c r="G10" i="4" l="1"/>
  <c r="F8" i="4"/>
  <c r="C16" i="4"/>
  <c r="W7" i="7"/>
  <c r="Z9" i="4"/>
  <c r="K9" i="4"/>
  <c r="K8" i="4" s="1"/>
  <c r="K10" i="4" s="1"/>
  <c r="C8" i="4"/>
  <c r="P7" i="4"/>
  <c r="Q7" i="4" s="1"/>
  <c r="R7" i="4" s="1"/>
  <c r="D6" i="7"/>
  <c r="V7" i="4"/>
  <c r="S7" i="7" s="1"/>
  <c r="S9" i="7" s="1"/>
  <c r="Y38" i="4"/>
  <c r="Y37" i="4" s="1"/>
  <c r="Y39" i="4" s="1"/>
  <c r="X38" i="4"/>
  <c r="V37" i="4"/>
  <c r="V39" i="4" s="1"/>
  <c r="Z38" i="4"/>
  <c r="Z37" i="4" s="1"/>
  <c r="Z39" i="4" s="1"/>
  <c r="C27" i="8"/>
  <c r="T7" i="7"/>
  <c r="T9" i="7" s="1"/>
  <c r="W9" i="4"/>
  <c r="Q9" i="4"/>
  <c r="R9" i="4" s="1"/>
  <c r="D8" i="4"/>
  <c r="L9" i="4"/>
  <c r="L8" i="4" s="1"/>
  <c r="L10" i="4" s="1"/>
  <c r="V8" i="7"/>
  <c r="S14" i="7" s="1"/>
  <c r="Y7" i="4"/>
  <c r="AA32" i="4"/>
  <c r="AA34" i="4" s="1"/>
  <c r="V43" i="4"/>
  <c r="D10" i="4" l="1"/>
  <c r="O9" i="4" s="1"/>
  <c r="CW21" i="6"/>
  <c r="CY21" i="6" s="1"/>
  <c r="T11" i="12"/>
  <c r="V11" i="12" s="1"/>
  <c r="C10" i="4"/>
  <c r="F16" i="4"/>
  <c r="K16" i="4"/>
  <c r="K15" i="4" s="1"/>
  <c r="K17" i="4" s="1"/>
  <c r="D16" i="4"/>
  <c r="G16" i="4"/>
  <c r="G15" i="4" s="1"/>
  <c r="V7" i="7"/>
  <c r="S13" i="7" s="1"/>
  <c r="S15" i="7" s="1"/>
  <c r="Y9" i="4"/>
  <c r="C24" i="8"/>
  <c r="V9" i="4"/>
  <c r="C15" i="4"/>
  <c r="F10" i="4"/>
  <c r="C17" i="4" s="1"/>
  <c r="T14" i="7"/>
  <c r="D8" i="7"/>
  <c r="F6" i="7"/>
  <c r="Y43" i="4"/>
  <c r="Y42" i="4" s="1"/>
  <c r="Y44" i="4" s="1"/>
  <c r="V42" i="4"/>
  <c r="V44" i="4" s="1"/>
  <c r="W43" i="4"/>
  <c r="AA43" i="4"/>
  <c r="AA42" i="4" s="1"/>
  <c r="AA44" i="4" s="1"/>
  <c r="Z43" i="4"/>
  <c r="W70" i="4"/>
  <c r="W55" i="4"/>
  <c r="X37" i="4"/>
  <c r="P14" i="4"/>
  <c r="Q14" i="4" s="1"/>
  <c r="R14" i="4" s="1"/>
  <c r="W9" i="7"/>
  <c r="W8" i="7"/>
  <c r="F8" i="7" l="1"/>
  <c r="AC9" i="7"/>
  <c r="B29" i="8"/>
  <c r="W69" i="4"/>
  <c r="X39" i="4"/>
  <c r="W54" i="4"/>
  <c r="D15" i="4"/>
  <c r="L16" i="4"/>
  <c r="L15" i="4" s="1"/>
  <c r="L17" i="4" s="1"/>
  <c r="V55" i="4"/>
  <c r="V54" i="4" s="1"/>
  <c r="V56" i="4" s="1"/>
  <c r="Y55" i="4"/>
  <c r="W42" i="4"/>
  <c r="W44" i="4" s="1"/>
  <c r="Y28" i="4"/>
  <c r="E10" i="7"/>
  <c r="E12" i="7" s="1"/>
  <c r="T13" i="7"/>
  <c r="T15" i="7" s="1"/>
  <c r="V9" i="7"/>
  <c r="C11" i="8"/>
  <c r="H11" i="8"/>
  <c r="F15" i="4"/>
  <c r="E36" i="4"/>
  <c r="Z42" i="4"/>
  <c r="Z44" i="4" s="1"/>
  <c r="P15" i="4"/>
  <c r="Q15" i="4" s="1"/>
  <c r="R15" i="4" s="1"/>
  <c r="V14" i="7"/>
  <c r="W14" i="7"/>
  <c r="D10" i="7"/>
  <c r="G17" i="4"/>
  <c r="CW32" i="6"/>
  <c r="CY32" i="6" s="1"/>
  <c r="T23" i="12"/>
  <c r="V23" i="12" s="1"/>
  <c r="K9" i="7" l="1"/>
  <c r="AD12" i="7"/>
  <c r="AD13" i="7" s="1"/>
  <c r="C29" i="8"/>
  <c r="B32" i="8" s="1"/>
  <c r="B34" i="8" s="1"/>
  <c r="B36" i="8" s="1"/>
  <c r="C36" i="8" s="1"/>
  <c r="B38" i="8" s="1"/>
  <c r="C38" i="8" s="1"/>
  <c r="D38" i="8" s="1"/>
  <c r="L6" i="7"/>
  <c r="K6" i="7" s="1"/>
  <c r="AE9" i="7"/>
  <c r="D12" i="7"/>
  <c r="F10" i="7"/>
  <c r="W13" i="7"/>
  <c r="W15" i="7" s="1"/>
  <c r="E14" i="7"/>
  <c r="E16" i="7" s="1"/>
  <c r="I8" i="8"/>
  <c r="D8" i="8"/>
  <c r="D36" i="4"/>
  <c r="L36" i="4"/>
  <c r="L35" i="4" s="1"/>
  <c r="L37" i="4" s="1"/>
  <c r="G36" i="4"/>
  <c r="C36" i="4"/>
  <c r="H36" i="4"/>
  <c r="W28" i="4"/>
  <c r="W27" i="4" s="1"/>
  <c r="W29" i="4" s="1"/>
  <c r="Y27" i="4"/>
  <c r="Y29" i="4" s="1"/>
  <c r="V28" i="4"/>
  <c r="U32" i="7"/>
  <c r="S32" i="7" s="1"/>
  <c r="S31" i="7" s="1"/>
  <c r="S33" i="7" s="1"/>
  <c r="V13" i="7"/>
  <c r="D14" i="7"/>
  <c r="C10" i="8"/>
  <c r="H10" i="8"/>
  <c r="F17" i="4"/>
  <c r="E35" i="4"/>
  <c r="W71" i="4"/>
  <c r="W56" i="4"/>
  <c r="AA55" i="4"/>
  <c r="AA54" i="4" s="1"/>
  <c r="AA56" i="4" s="1"/>
  <c r="Y54" i="4"/>
  <c r="V60" i="4"/>
  <c r="Z55" i="4"/>
  <c r="Z54" i="4" s="1"/>
  <c r="Z56" i="4" s="1"/>
  <c r="AB55" i="4"/>
  <c r="AB54" i="4" s="1"/>
  <c r="AB56" i="4" s="1"/>
  <c r="D17" i="4"/>
  <c r="F12" i="7" l="1"/>
  <c r="AC10" i="7"/>
  <c r="V15" i="7"/>
  <c r="U31" i="7"/>
  <c r="W60" i="4"/>
  <c r="V65" i="4"/>
  <c r="T32" i="7"/>
  <c r="T31" i="7" s="1"/>
  <c r="W32" i="7"/>
  <c r="S37" i="7" s="1"/>
  <c r="S36" i="7" s="1"/>
  <c r="S38" i="7" s="1"/>
  <c r="X32" i="7"/>
  <c r="S42" i="7" s="1"/>
  <c r="S41" i="7" s="1"/>
  <c r="S43" i="7" s="1"/>
  <c r="C48" i="4"/>
  <c r="H35" i="4"/>
  <c r="H37" i="4" s="1"/>
  <c r="D35" i="4"/>
  <c r="D37" i="4" s="1"/>
  <c r="K36" i="4"/>
  <c r="K35" i="4" s="1"/>
  <c r="K37" i="4" s="1"/>
  <c r="V59" i="4"/>
  <c r="Y56" i="4"/>
  <c r="V61" i="4" s="1"/>
  <c r="V27" i="4"/>
  <c r="V29" i="4" s="1"/>
  <c r="Y23" i="4"/>
  <c r="J36" i="4"/>
  <c r="J35" i="4" s="1"/>
  <c r="J37" i="4" s="1"/>
  <c r="C35" i="4"/>
  <c r="C12" i="8"/>
  <c r="H12" i="8"/>
  <c r="E37" i="4"/>
  <c r="D7" i="8"/>
  <c r="I7" i="8"/>
  <c r="D16" i="7"/>
  <c r="F14" i="7"/>
  <c r="C42" i="4"/>
  <c r="G35" i="4"/>
  <c r="F16" i="7" l="1"/>
  <c r="AC11" i="7"/>
  <c r="L7" i="7"/>
  <c r="K7" i="7" s="1"/>
  <c r="AE10" i="7"/>
  <c r="AE13" i="7" s="1"/>
  <c r="C41" i="4"/>
  <c r="G37" i="4"/>
  <c r="C43" i="4" s="1"/>
  <c r="E50" i="7"/>
  <c r="E51" i="7" s="1"/>
  <c r="X31" i="7"/>
  <c r="X33" i="7" s="1"/>
  <c r="L42" i="4"/>
  <c r="L41" i="4" s="1"/>
  <c r="L43" i="4" s="1"/>
  <c r="G42" i="4"/>
  <c r="G41" i="4" s="1"/>
  <c r="G43" i="4" s="1"/>
  <c r="F42" i="4"/>
  <c r="F41" i="4" s="1"/>
  <c r="F43" i="4" s="1"/>
  <c r="E42" i="4"/>
  <c r="CW24" i="6"/>
  <c r="CY24" i="6" s="1"/>
  <c r="T14" i="12"/>
  <c r="V14" i="12" s="1"/>
  <c r="C37" i="4"/>
  <c r="D26" i="7"/>
  <c r="AA65" i="4"/>
  <c r="AA64" i="4" s="1"/>
  <c r="AA66" i="4" s="1"/>
  <c r="Z65" i="4"/>
  <c r="Z64" i="4" s="1"/>
  <c r="Z66" i="4" s="1"/>
  <c r="Y65" i="4"/>
  <c r="W65" i="4"/>
  <c r="W64" i="4" s="1"/>
  <c r="W66" i="4" s="1"/>
  <c r="D9" i="8"/>
  <c r="I9" i="8"/>
  <c r="V66" i="4"/>
  <c r="D50" i="7"/>
  <c r="W31" i="7"/>
  <c r="W59" i="4"/>
  <c r="W61" i="4" s="1"/>
  <c r="Y61" i="4" s="1"/>
  <c r="Y60" i="4"/>
  <c r="V23" i="4"/>
  <c r="X23" i="4"/>
  <c r="V64" i="4"/>
  <c r="K48" i="4"/>
  <c r="K47" i="4" s="1"/>
  <c r="K49" i="4" s="1"/>
  <c r="C47" i="4"/>
  <c r="C49" i="4" s="1"/>
  <c r="H48" i="4"/>
  <c r="H47" i="4" s="1"/>
  <c r="H49" i="4" s="1"/>
  <c r="G48" i="4"/>
  <c r="G47" i="4" s="1"/>
  <c r="G49" i="4" s="1"/>
  <c r="F48" i="4"/>
  <c r="F47" i="4" s="1"/>
  <c r="D48" i="4"/>
  <c r="T33" i="7"/>
  <c r="E26" i="7"/>
  <c r="E27" i="7" s="1"/>
  <c r="F26" i="7"/>
  <c r="F27" i="7" s="1"/>
  <c r="U33" i="7"/>
  <c r="F50" i="7" l="1"/>
  <c r="D51" i="7"/>
  <c r="F30" i="4"/>
  <c r="L48" i="4"/>
  <c r="L47" i="4" s="1"/>
  <c r="L49" i="4" s="1"/>
  <c r="D47" i="4"/>
  <c r="D49" i="4" s="1"/>
  <c r="X22" i="4"/>
  <c r="X24" i="4" s="1"/>
  <c r="Y22" i="4"/>
  <c r="Y24" i="4" s="1"/>
  <c r="CW25" i="6"/>
  <c r="CY25" i="6" s="1"/>
  <c r="T15" i="12"/>
  <c r="V15" i="12" s="1"/>
  <c r="F49" i="4"/>
  <c r="P11" i="4"/>
  <c r="Q11" i="4" s="1"/>
  <c r="R11" i="4" s="1"/>
  <c r="O17" i="4" s="1"/>
  <c r="V22" i="4"/>
  <c r="W33" i="7"/>
  <c r="D29" i="7"/>
  <c r="V70" i="4"/>
  <c r="Y64" i="4"/>
  <c r="G26" i="7"/>
  <c r="D27" i="7"/>
  <c r="D74" i="4"/>
  <c r="L74" i="4" s="1"/>
  <c r="L73" i="4" s="1"/>
  <c r="L75" i="4" s="1"/>
  <c r="E41" i="4"/>
  <c r="D56" i="4"/>
  <c r="Y59" i="4"/>
  <c r="V37" i="7"/>
  <c r="V36" i="7" s="1"/>
  <c r="S47" i="7"/>
  <c r="W37" i="7"/>
  <c r="W36" i="7" s="1"/>
  <c r="U37" i="7"/>
  <c r="W42" i="7"/>
  <c r="W41" i="7" s="1"/>
  <c r="T42" i="7"/>
  <c r="V42" i="7"/>
  <c r="V41" i="7" s="1"/>
  <c r="D32" i="7"/>
  <c r="X42" i="7"/>
  <c r="X41" i="7" s="1"/>
  <c r="G27" i="7" l="1"/>
  <c r="AC21" i="7"/>
  <c r="AD22" i="7"/>
  <c r="AC22" i="7"/>
  <c r="F51" i="7"/>
  <c r="L35" i="7" s="1"/>
  <c r="K35" i="7" s="1"/>
  <c r="AC29" i="7"/>
  <c r="AC30" i="7"/>
  <c r="D35" i="7"/>
  <c r="T47" i="7"/>
  <c r="W47" i="7"/>
  <c r="S46" i="7"/>
  <c r="S48" i="7" s="1"/>
  <c r="F56" i="7"/>
  <c r="F57" i="7" s="1"/>
  <c r="X43" i="7"/>
  <c r="E56" i="7"/>
  <c r="E57" i="7" s="1"/>
  <c r="W43" i="7"/>
  <c r="D73" i="4"/>
  <c r="D55" i="4"/>
  <c r="E43" i="4"/>
  <c r="Y66" i="4"/>
  <c r="V71" i="4" s="1"/>
  <c r="V69" i="4"/>
  <c r="H24" i="8"/>
  <c r="G26" i="8" s="1"/>
  <c r="V24" i="4"/>
  <c r="V43" i="7"/>
  <c r="D56" i="7"/>
  <c r="D57" i="7" s="1"/>
  <c r="W38" i="7"/>
  <c r="F53" i="7"/>
  <c r="F54" i="7" s="1"/>
  <c r="D30" i="7"/>
  <c r="K25" i="7"/>
  <c r="T41" i="7"/>
  <c r="T43" i="7" s="1"/>
  <c r="E32" i="7" s="1"/>
  <c r="E33" i="7" s="1"/>
  <c r="V27" i="7"/>
  <c r="S27" i="7" s="1"/>
  <c r="S26" i="7" s="1"/>
  <c r="S28" i="7" s="1"/>
  <c r="F56" i="4"/>
  <c r="C56" i="4"/>
  <c r="L56" i="4"/>
  <c r="L55" i="4" s="1"/>
  <c r="L57" i="4" s="1"/>
  <c r="D33" i="7"/>
  <c r="T78" i="7"/>
  <c r="T77" i="7" s="1"/>
  <c r="T79" i="7" s="1"/>
  <c r="E74" i="7" s="1"/>
  <c r="E75" i="7" s="1"/>
  <c r="T63" i="7"/>
  <c r="U36" i="7"/>
  <c r="E53" i="7"/>
  <c r="E54" i="7" s="1"/>
  <c r="V38" i="7"/>
  <c r="Z70" i="4"/>
  <c r="Z69" i="4" s="1"/>
  <c r="Z71" i="4" s="1"/>
  <c r="Y70" i="4"/>
  <c r="Y69" i="4" s="1"/>
  <c r="Y71" i="4" s="1"/>
  <c r="S32" i="12"/>
  <c r="CV37" i="6"/>
  <c r="CX37" i="6" s="1"/>
  <c r="CY37" i="6" s="1"/>
  <c r="CY38" i="6" s="1"/>
  <c r="D85" i="7" s="1"/>
  <c r="F29" i="4"/>
  <c r="F31" i="4" s="1"/>
  <c r="C30" i="4"/>
  <c r="D30" i="4"/>
  <c r="L34" i="7" l="1"/>
  <c r="K34" i="7" s="1"/>
  <c r="AC23" i="7"/>
  <c r="AC32" i="7"/>
  <c r="AE30" i="7"/>
  <c r="AE29" i="7"/>
  <c r="H26" i="8"/>
  <c r="G32" i="8" s="1"/>
  <c r="G34" i="8" s="1"/>
  <c r="G36" i="8" s="1"/>
  <c r="H36" i="8" s="1"/>
  <c r="G38" i="8" s="1"/>
  <c r="H38" i="8" s="1"/>
  <c r="I38" i="8" s="1"/>
  <c r="C20" i="8" s="1"/>
  <c r="Q24" i="5" s="1"/>
  <c r="K20" i="7"/>
  <c r="AD19" i="7"/>
  <c r="K23" i="7"/>
  <c r="AD21" i="7"/>
  <c r="F32" i="7"/>
  <c r="F33" i="7"/>
  <c r="L30" i="4"/>
  <c r="L29" i="4" s="1"/>
  <c r="L31" i="4" s="1"/>
  <c r="D29" i="4"/>
  <c r="G56" i="4"/>
  <c r="G55" i="4" s="1"/>
  <c r="G57" i="4" s="1"/>
  <c r="I56" i="4"/>
  <c r="I55" i="4" s="1"/>
  <c r="I57" i="4" s="1"/>
  <c r="C62" i="4"/>
  <c r="H56" i="4"/>
  <c r="H55" i="4" s="1"/>
  <c r="H57" i="4" s="1"/>
  <c r="F55" i="4"/>
  <c r="C29" i="4"/>
  <c r="C31" i="4" s="1"/>
  <c r="F24" i="4"/>
  <c r="K30" i="4"/>
  <c r="K29" i="4" s="1"/>
  <c r="K31" i="4" s="1"/>
  <c r="D75" i="4"/>
  <c r="D57" i="4"/>
  <c r="D44" i="7"/>
  <c r="W46" i="7"/>
  <c r="W48" i="7" s="1"/>
  <c r="T46" i="7"/>
  <c r="T48" i="7" s="1"/>
  <c r="E35" i="7"/>
  <c r="E36" i="7" s="1"/>
  <c r="U38" i="7"/>
  <c r="D53" i="7"/>
  <c r="D54" i="7" s="1"/>
  <c r="D47" i="7"/>
  <c r="V26" i="7"/>
  <c r="V28" i="7" s="1"/>
  <c r="T27" i="7"/>
  <c r="T26" i="7" s="1"/>
  <c r="V63" i="7"/>
  <c r="T62" i="7"/>
  <c r="S63" i="7"/>
  <c r="S62" i="7" s="1"/>
  <c r="N14" i="12"/>
  <c r="D43" i="6"/>
  <c r="K56" i="4"/>
  <c r="K55" i="4" s="1"/>
  <c r="K57" i="4" s="1"/>
  <c r="C55" i="4"/>
  <c r="C57" i="4" s="1"/>
  <c r="G57" i="7"/>
  <c r="D36" i="7"/>
  <c r="K27" i="7" l="1"/>
  <c r="AD23" i="7"/>
  <c r="G54" i="7"/>
  <c r="AC31" i="7"/>
  <c r="AC24" i="7"/>
  <c r="L37" i="7"/>
  <c r="K37" i="7" s="1"/>
  <c r="AE32" i="7"/>
  <c r="F36" i="7"/>
  <c r="F35" i="7"/>
  <c r="D31" i="4"/>
  <c r="CW22" i="6"/>
  <c r="CY22" i="6" s="1"/>
  <c r="T12" i="12"/>
  <c r="V12" i="12" s="1"/>
  <c r="D62" i="7"/>
  <c r="S64" i="7"/>
  <c r="T64" i="7"/>
  <c r="E62" i="7"/>
  <c r="E63" i="7" s="1"/>
  <c r="V22" i="7"/>
  <c r="S22" i="7" s="1"/>
  <c r="S21" i="7" s="1"/>
  <c r="S23" i="7" s="1"/>
  <c r="T28" i="7"/>
  <c r="E23" i="7"/>
  <c r="E24" i="7" s="1"/>
  <c r="D45" i="7"/>
  <c r="E24" i="4"/>
  <c r="C24" i="4"/>
  <c r="K62" i="4"/>
  <c r="K61" i="4" s="1"/>
  <c r="K63" i="4" s="1"/>
  <c r="D62" i="4"/>
  <c r="C68" i="4"/>
  <c r="W63" i="7"/>
  <c r="W62" i="7" s="1"/>
  <c r="W64" i="7" s="1"/>
  <c r="E65" i="7" s="1"/>
  <c r="E66" i="7" s="1"/>
  <c r="X63" i="7"/>
  <c r="X62" i="7" s="1"/>
  <c r="X64" i="7" s="1"/>
  <c r="F65" i="7" s="1"/>
  <c r="F66" i="7" s="1"/>
  <c r="V62" i="7"/>
  <c r="S68" i="7"/>
  <c r="Y63" i="7"/>
  <c r="Y62" i="7" s="1"/>
  <c r="Y64" i="7" s="1"/>
  <c r="G65" i="7" s="1"/>
  <c r="G66" i="7" s="1"/>
  <c r="D48" i="7"/>
  <c r="C61" i="4"/>
  <c r="F57" i="4"/>
  <c r="C63" i="4" s="1"/>
  <c r="AC28" i="7" l="1"/>
  <c r="E48" i="7"/>
  <c r="AE28" i="7"/>
  <c r="K29" i="7"/>
  <c r="AD24" i="7"/>
  <c r="L36" i="7"/>
  <c r="K36" i="7" s="1"/>
  <c r="AE31" i="7"/>
  <c r="AC27" i="7"/>
  <c r="E45" i="7"/>
  <c r="AE27" i="7"/>
  <c r="G68" i="4"/>
  <c r="G67" i="4" s="1"/>
  <c r="G69" i="4" s="1"/>
  <c r="K68" i="4"/>
  <c r="K67" i="4" s="1"/>
  <c r="K69" i="4" s="1"/>
  <c r="C67" i="4"/>
  <c r="C69" i="4" s="1"/>
  <c r="D68" i="4"/>
  <c r="H68" i="4"/>
  <c r="V64" i="7"/>
  <c r="S67" i="7"/>
  <c r="F62" i="4"/>
  <c r="F61" i="4" s="1"/>
  <c r="F63" i="4" s="1"/>
  <c r="D61" i="4"/>
  <c r="D63" i="4" s="1"/>
  <c r="L62" i="4"/>
  <c r="L61" i="4" s="1"/>
  <c r="L63" i="4" s="1"/>
  <c r="U22" i="7"/>
  <c r="E38" i="7"/>
  <c r="E39" i="7" s="1"/>
  <c r="L33" i="7"/>
  <c r="K33" i="7" s="1"/>
  <c r="L32" i="7"/>
  <c r="K32" i="7" s="1"/>
  <c r="D41" i="7"/>
  <c r="D42" i="7" s="1"/>
  <c r="D23" i="7"/>
  <c r="F62" i="7"/>
  <c r="D63" i="7"/>
  <c r="T68" i="7"/>
  <c r="S73" i="7"/>
  <c r="I11" i="8"/>
  <c r="D11" i="8"/>
  <c r="F23" i="4"/>
  <c r="F25" i="4" s="1"/>
  <c r="E23" i="4"/>
  <c r="L24" i="4"/>
  <c r="L23" i="4" s="1"/>
  <c r="L25" i="4" s="1"/>
  <c r="C23" i="4"/>
  <c r="F63" i="7" l="1"/>
  <c r="AC38" i="7"/>
  <c r="L31" i="7"/>
  <c r="K31" i="7" s="1"/>
  <c r="AC26" i="7"/>
  <c r="F42" i="7"/>
  <c r="AE26" i="7"/>
  <c r="D38" i="7"/>
  <c r="U21" i="7"/>
  <c r="U23" i="7" s="1"/>
  <c r="V21" i="7"/>
  <c r="V23" i="7" s="1"/>
  <c r="V68" i="7"/>
  <c r="T67" i="7"/>
  <c r="T69" i="7" s="1"/>
  <c r="E68" i="7" s="1"/>
  <c r="E69" i="7" s="1"/>
  <c r="D20" i="7"/>
  <c r="S72" i="7"/>
  <c r="L68" i="4"/>
  <c r="L67" i="4" s="1"/>
  <c r="L69" i="4" s="1"/>
  <c r="F68" i="4"/>
  <c r="D67" i="4"/>
  <c r="D10" i="8"/>
  <c r="I10" i="8"/>
  <c r="E25" i="4"/>
  <c r="W73" i="7"/>
  <c r="W72" i="7" s="1"/>
  <c r="W74" i="7" s="1"/>
  <c r="V73" i="7"/>
  <c r="X73" i="7"/>
  <c r="X72" i="7" s="1"/>
  <c r="X74" i="7" s="1"/>
  <c r="T73" i="7"/>
  <c r="T72" i="7" s="1"/>
  <c r="T74" i="7" s="1"/>
  <c r="E71" i="7" s="1"/>
  <c r="E72" i="7" s="1"/>
  <c r="D24" i="7"/>
  <c r="F23" i="7"/>
  <c r="E11" i="8"/>
  <c r="C15" i="8" s="1"/>
  <c r="J11" i="8"/>
  <c r="H15" i="8" s="1"/>
  <c r="H67" i="4"/>
  <c r="CW23" i="6"/>
  <c r="CY23" i="6" s="1"/>
  <c r="C25" i="4"/>
  <c r="T13" i="12"/>
  <c r="V13" i="12" s="1"/>
  <c r="D65" i="7"/>
  <c r="S69" i="7"/>
  <c r="D21" i="7" l="1"/>
  <c r="AC18" i="7"/>
  <c r="K21" i="7"/>
  <c r="AD20" i="7"/>
  <c r="AD33" i="7" s="1"/>
  <c r="F24" i="7"/>
  <c r="AC20" i="7"/>
  <c r="V67" i="7"/>
  <c r="D12" i="8"/>
  <c r="I12" i="8"/>
  <c r="F67" i="4"/>
  <c r="C74" i="4"/>
  <c r="H65" i="7"/>
  <c r="D66" i="7"/>
  <c r="V69" i="7"/>
  <c r="D68" i="7"/>
  <c r="S74" i="7"/>
  <c r="D71" i="7" s="1"/>
  <c r="S78" i="7"/>
  <c r="V72" i="7"/>
  <c r="F38" i="7"/>
  <c r="D39" i="7"/>
  <c r="E10" i="8"/>
  <c r="C14" i="8" s="1"/>
  <c r="J10" i="8"/>
  <c r="H14" i="8" s="1"/>
  <c r="H69" i="4"/>
  <c r="CW26" i="6"/>
  <c r="CY26" i="6" s="1"/>
  <c r="CY27" i="6" s="1"/>
  <c r="D83" i="7" s="1"/>
  <c r="T16" i="12"/>
  <c r="V16" i="12" s="1"/>
  <c r="V17" i="12" s="1"/>
  <c r="D69" i="4"/>
  <c r="H66" i="7" l="1"/>
  <c r="AC39" i="7"/>
  <c r="F39" i="7"/>
  <c r="AC25" i="7"/>
  <c r="D40" i="6"/>
  <c r="N11" i="12"/>
  <c r="F69" i="4"/>
  <c r="C75" i="4" s="1"/>
  <c r="C73" i="4"/>
  <c r="V74" i="7"/>
  <c r="S79" i="7" s="1"/>
  <c r="D74" i="7" s="1"/>
  <c r="S77" i="7"/>
  <c r="E12" i="8"/>
  <c r="C16" i="8" s="1"/>
  <c r="J12" i="8"/>
  <c r="H16" i="8" s="1"/>
  <c r="Q22" i="5" s="1"/>
  <c r="F68" i="7"/>
  <c r="D69" i="7"/>
  <c r="G74" i="4"/>
  <c r="G73" i="4" s="1"/>
  <c r="G75" i="4" s="1"/>
  <c r="K74" i="4"/>
  <c r="K73" i="4" s="1"/>
  <c r="K75" i="4" s="1"/>
  <c r="F74" i="4"/>
  <c r="F73" i="4" s="1"/>
  <c r="C4" i="8"/>
  <c r="Q23" i="5" s="1"/>
  <c r="V78" i="7"/>
  <c r="V77" i="7" s="1"/>
  <c r="V79" i="7" s="1"/>
  <c r="W78" i="7"/>
  <c r="W77" i="7" s="1"/>
  <c r="W79" i="7" s="1"/>
  <c r="D72" i="7"/>
  <c r="F71" i="7"/>
  <c r="F69" i="7" l="1"/>
  <c r="AC40" i="7"/>
  <c r="F72" i="7"/>
  <c r="AC41" i="7"/>
  <c r="L30" i="7"/>
  <c r="AE25" i="7"/>
  <c r="AE33" i="7" s="1"/>
  <c r="AE47" i="7" s="1"/>
  <c r="AD39" i="7"/>
  <c r="K66" i="7"/>
  <c r="T22" i="12"/>
  <c r="V22" i="12" s="1"/>
  <c r="V24" i="12" s="1"/>
  <c r="F75" i="4"/>
  <c r="CW31" i="6"/>
  <c r="F74" i="7"/>
  <c r="D75" i="7"/>
  <c r="F75" i="7" l="1"/>
  <c r="AC42" i="7"/>
  <c r="K30" i="7"/>
  <c r="D31" i="6"/>
  <c r="CW70" i="6" s="1"/>
  <c r="F32" i="12"/>
  <c r="K72" i="7"/>
  <c r="AD41" i="7"/>
  <c r="AD40" i="7"/>
  <c r="K69" i="7"/>
  <c r="CY31" i="6"/>
  <c r="CY33" i="6" s="1"/>
  <c r="D84" i="7" s="1"/>
  <c r="Q9" i="5"/>
  <c r="K75" i="7" l="1"/>
  <c r="F11" i="12" s="1"/>
  <c r="F18" i="12" s="1"/>
  <c r="AD42" i="7"/>
  <c r="AD43" i="7" s="1"/>
  <c r="AD47" i="7" s="1"/>
  <c r="F16" i="12" l="1"/>
  <c r="F13" i="12"/>
  <c r="F17" i="12"/>
  <c r="F14" i="12"/>
  <c r="F12" i="12"/>
  <c r="D17" i="6"/>
  <c r="D24" i="6" l="1"/>
  <c r="F15" i="12"/>
  <c r="F19" i="12" s="1"/>
  <c r="F33" i="12" s="1"/>
  <c r="N26" i="12" s="1"/>
  <c r="D23" i="6"/>
  <c r="D22" i="6"/>
  <c r="D19" i="6"/>
  <c r="D18" i="6"/>
  <c r="D20" i="6"/>
  <c r="D21" i="6"/>
  <c r="F35" i="12" l="1"/>
  <c r="F34" i="12" s="1"/>
  <c r="N25" i="12"/>
  <c r="D25" i="6"/>
  <c r="CW68" i="6" s="1"/>
  <c r="D26" i="6" l="1"/>
  <c r="D32" i="6" s="1"/>
  <c r="D51" i="6" s="1"/>
  <c r="CW71" i="6" l="1"/>
  <c r="D50" i="6"/>
  <c r="D34" i="6"/>
  <c r="C94" i="6" s="1"/>
  <c r="D27" i="6"/>
  <c r="D29" i="6"/>
  <c r="D28" i="6"/>
  <c r="N15" i="12"/>
  <c r="N16" i="12" s="1"/>
  <c r="D44" i="6"/>
  <c r="D45" i="6" s="1"/>
  <c r="D30" i="6" l="1"/>
  <c r="CW69" i="6" s="1"/>
  <c r="D49" i="6"/>
  <c r="D54" i="6" s="1"/>
  <c r="D62" i="6" s="1"/>
  <c r="D33" i="6"/>
  <c r="CW72" i="6" s="1"/>
  <c r="N24" i="12"/>
  <c r="N29" i="12" s="1"/>
  <c r="N48" i="12" s="1"/>
  <c r="N40" i="12" s="1"/>
  <c r="CW59" i="6" l="1"/>
  <c r="N17" i="12"/>
  <c r="N39" i="12"/>
  <c r="N18" i="12"/>
  <c r="N38" i="12"/>
  <c r="N33" i="12"/>
  <c r="N13" i="12"/>
  <c r="N12" i="12"/>
  <c r="E85" i="6"/>
  <c r="D59" i="6"/>
  <c r="D46" i="6"/>
  <c r="D47" i="6"/>
  <c r="D41" i="6"/>
  <c r="D42" i="6"/>
  <c r="D58" i="6"/>
  <c r="D55" i="6"/>
  <c r="CW60" i="6" s="1"/>
  <c r="D60" i="6"/>
  <c r="C6" i="6"/>
  <c r="N41" i="12" l="1"/>
  <c r="N47" i="12" s="1"/>
  <c r="N19" i="12"/>
  <c r="N46" i="12" s="1"/>
  <c r="D61" i="6"/>
  <c r="CW61" i="6" s="1"/>
  <c r="D48" i="6"/>
  <c r="C8" i="6"/>
  <c r="C7" i="6"/>
  <c r="Q15" i="5" l="1"/>
  <c r="C9" i="6"/>
  <c r="Q13" i="5"/>
  <c r="CW58" i="6"/>
  <c r="C12" i="6"/>
  <c r="D56" i="6"/>
  <c r="Q14" i="5"/>
  <c r="CW46" i="6"/>
  <c r="CW49" i="6"/>
  <c r="CW45" i="6"/>
  <c r="CW52" i="6"/>
  <c r="C10" i="6"/>
  <c r="CW50" i="6"/>
  <c r="C11" i="6"/>
  <c r="Q17" i="5" s="1"/>
  <c r="CW48" i="6"/>
  <c r="CW47" i="6"/>
  <c r="CW51" i="6"/>
  <c r="Q16" i="5"/>
  <c r="CW54" i="6"/>
  <c r="CW53" i="6"/>
  <c r="CX49" i="6" l="1"/>
  <c r="CX50" i="6"/>
  <c r="C100" i="6"/>
  <c r="C102" i="6"/>
  <c r="CX53" i="6"/>
  <c r="C97" i="6"/>
  <c r="CX46" i="6"/>
  <c r="C99" i="6"/>
  <c r="CX54" i="6"/>
  <c r="CX52" i="6"/>
  <c r="CX51" i="6"/>
  <c r="CX47" i="6"/>
  <c r="C95" i="6"/>
  <c r="C104" i="6"/>
  <c r="CX48" i="6"/>
  <c r="C103" i="6"/>
  <c r="C101" i="6"/>
  <c r="C96" i="6"/>
  <c r="C98" i="6"/>
  <c r="CX45" i="6"/>
  <c r="E78" i="6"/>
  <c r="E84" i="6"/>
  <c r="E77" i="6"/>
  <c r="E76" i="6"/>
  <c r="E86" i="6"/>
  <c r="E80" i="6"/>
  <c r="D68" i="6"/>
  <c r="E82" i="6"/>
  <c r="D69" i="6"/>
  <c r="E73" i="6"/>
  <c r="E75" i="6"/>
  <c r="Q18" i="5"/>
  <c r="E83" i="6"/>
  <c r="E79" i="6"/>
  <c r="D70" i="6"/>
  <c r="E74" i="6"/>
  <c r="E87" i="6" l="1"/>
  <c r="E47" i="7"/>
  <c r="E44" i="7"/>
</calcChain>
</file>

<file path=xl/sharedStrings.xml><?xml version="1.0" encoding="utf-8"?>
<sst xmlns="http://schemas.openxmlformats.org/spreadsheetml/2006/main" count="1298" uniqueCount="514">
  <si>
    <t>Title:</t>
  </si>
  <si>
    <t>Team:</t>
  </si>
  <si>
    <t>화공연화(花工年華)</t>
  </si>
  <si>
    <t>Team members:</t>
  </si>
  <si>
    <t>Koo Younguk, Jang Yewon, Jeong Sumin, Jeong Yeonghun, Joo Yeongeun</t>
  </si>
  <si>
    <t>E-mail:</t>
  </si>
  <si>
    <t>wjdtnals37@gmail.com</t>
  </si>
  <si>
    <t>Date:</t>
  </si>
  <si>
    <t>Web site:</t>
  </si>
  <si>
    <t>Primary product feedstock source:</t>
  </si>
  <si>
    <t>Industrial natural gas</t>
  </si>
  <si>
    <t>Process energy source:</t>
  </si>
  <si>
    <t>Standard fossil energy sources and power energy</t>
  </si>
  <si>
    <t>Conversion technology:</t>
  </si>
  <si>
    <t>Assumed plant location:</t>
  </si>
  <si>
    <t>1. Near an existing plant (e.g. near a hydrogen production plant)
2. New plant construction</t>
  </si>
  <si>
    <t>Purpose:</t>
  </si>
  <si>
    <t>System description:</t>
  </si>
  <si>
    <t>Analysis methodology summary:</t>
  </si>
  <si>
    <t>References:</t>
  </si>
  <si>
    <t>Inputs</t>
  </si>
  <si>
    <t>Base</t>
  </si>
  <si>
    <t>Units</t>
  </si>
  <si>
    <t>Results</t>
  </si>
  <si>
    <t>Design plant hydrogen production</t>
  </si>
  <si>
    <t>ton/yr</t>
  </si>
  <si>
    <t>Design plant lithium carbonate production</t>
  </si>
  <si>
    <t>Conversion rate</t>
  </si>
  <si>
    <t>Economic evaluation results</t>
  </si>
  <si>
    <t>Net profit</t>
  </si>
  <si>
    <t>$/yr</t>
  </si>
  <si>
    <r>
      <t>CO + H</t>
    </r>
    <r>
      <rPr>
        <vertAlign val="subscript"/>
        <sz val="11"/>
        <color rgb="FF000000"/>
        <rFont val="Arial"/>
        <family val="2"/>
      </rPr>
      <t>2</t>
    </r>
    <r>
      <rPr>
        <sz val="11"/>
        <color rgb="FF000000"/>
        <rFont val="Arial"/>
        <family val="2"/>
      </rPr>
      <t>O → CO</t>
    </r>
    <r>
      <rPr>
        <vertAlign val="subscript"/>
        <sz val="11"/>
        <color rgb="FF000000"/>
        <rFont val="Arial"/>
        <family val="2"/>
      </rPr>
      <t xml:space="preserve">2 </t>
    </r>
    <r>
      <rPr>
        <sz val="11"/>
        <color rgb="FF000000"/>
        <rFont val="Arial"/>
        <family val="2"/>
      </rPr>
      <t>+ H</t>
    </r>
    <r>
      <rPr>
        <vertAlign val="subscript"/>
        <sz val="11"/>
        <color rgb="FF000000"/>
        <rFont val="Arial"/>
        <family val="2"/>
      </rPr>
      <t>2</t>
    </r>
  </si>
  <si>
    <t>Cash flow</t>
  </si>
  <si>
    <t>ROI</t>
  </si>
  <si>
    <t>%</t>
  </si>
  <si>
    <r>
      <t>CaO + H</t>
    </r>
    <r>
      <rPr>
        <vertAlign val="subscript"/>
        <sz val="11"/>
        <color rgb="FF000000"/>
        <rFont val="Arial"/>
        <family val="2"/>
      </rPr>
      <t>2</t>
    </r>
    <r>
      <rPr>
        <sz val="11"/>
        <color rgb="FF000000"/>
        <rFont val="Arial"/>
        <family val="2"/>
      </rPr>
      <t>O → Ca(OH)</t>
    </r>
    <r>
      <rPr>
        <vertAlign val="subscript"/>
        <sz val="11"/>
        <color rgb="FF000000"/>
        <rFont val="Arial"/>
        <family val="2"/>
      </rPr>
      <t>2</t>
    </r>
  </si>
  <si>
    <t>PBP</t>
  </si>
  <si>
    <r>
      <t>NaCl + NH</t>
    </r>
    <r>
      <rPr>
        <vertAlign val="subscript"/>
        <sz val="11"/>
        <color rgb="FF000000"/>
        <rFont val="Arial"/>
        <family val="2"/>
      </rPr>
      <t>4</t>
    </r>
    <r>
      <rPr>
        <sz val="11"/>
        <color rgb="FF000000"/>
        <rFont val="Arial"/>
        <family val="2"/>
      </rPr>
      <t>OH + CO</t>
    </r>
    <r>
      <rPr>
        <vertAlign val="subscript"/>
        <sz val="11"/>
        <color rgb="FF000000"/>
        <rFont val="Arial"/>
        <family val="2"/>
      </rPr>
      <t>2</t>
    </r>
    <r>
      <rPr>
        <sz val="11"/>
        <color rgb="FF000000"/>
        <rFont val="Arial"/>
        <family val="2"/>
      </rPr>
      <t xml:space="preserve"> → NaHCO</t>
    </r>
    <r>
      <rPr>
        <vertAlign val="subscript"/>
        <sz val="11"/>
        <color rgb="FF000000"/>
        <rFont val="Arial"/>
        <family val="2"/>
      </rPr>
      <t xml:space="preserve">3 </t>
    </r>
    <r>
      <rPr>
        <sz val="11"/>
        <color rgb="FF000000"/>
        <rFont val="Arial"/>
        <family val="2"/>
      </rPr>
      <t>+ NH</t>
    </r>
    <r>
      <rPr>
        <vertAlign val="subscript"/>
        <sz val="11"/>
        <color rgb="FF000000"/>
        <rFont val="Arial"/>
        <family val="2"/>
      </rPr>
      <t>4</t>
    </r>
    <r>
      <rPr>
        <sz val="11"/>
        <color rgb="FF000000"/>
        <rFont val="Arial"/>
        <family val="2"/>
      </rPr>
      <t>Cl</t>
    </r>
  </si>
  <si>
    <t>Break-even point</t>
  </si>
  <si>
    <t>Environment evaluation results</t>
  </si>
  <si>
    <t>CO₂ emissions</t>
  </si>
  <si>
    <t>CO₂ reduction rate (%)</t>
  </si>
  <si>
    <t>Raw material price</t>
  </si>
  <si>
    <t>$/kg</t>
  </si>
  <si>
    <t>HCl</t>
  </si>
  <si>
    <t>NaCl</t>
  </si>
  <si>
    <t>Product price</t>
  </si>
  <si>
    <t>Utility cost</t>
  </si>
  <si>
    <t>Electricity cost</t>
  </si>
  <si>
    <t>$/kWh</t>
  </si>
  <si>
    <t>Financial input values</t>
  </si>
  <si>
    <t>Depreciation Schedule Length</t>
  </si>
  <si>
    <t>year</t>
  </si>
  <si>
    <t>Operating day</t>
  </si>
  <si>
    <t>day/yr</t>
  </si>
  <si>
    <t>Tax Rate</t>
  </si>
  <si>
    <t>evaluation period</t>
  </si>
  <si>
    <t>compound interest rate</t>
  </si>
  <si>
    <t>Type of coal</t>
  </si>
  <si>
    <t>NOx Concentration</t>
  </si>
  <si>
    <t>Coal type</t>
  </si>
  <si>
    <t>Cloud</t>
  </si>
  <si>
    <t>Anglo</t>
  </si>
  <si>
    <t>ppmv</t>
  </si>
  <si>
    <t>Clermont</t>
  </si>
  <si>
    <t>Peak</t>
  </si>
  <si>
    <t>Flame</t>
  </si>
  <si>
    <t>Glencore</t>
  </si>
  <si>
    <t>Indominco</t>
  </si>
  <si>
    <t>Lanna</t>
  </si>
  <si>
    <t>Macquarie</t>
  </si>
  <si>
    <t>Mercurai</t>
  </si>
  <si>
    <t>Moolarben</t>
  </si>
  <si>
    <t>NCA</t>
  </si>
  <si>
    <t>Noble</t>
  </si>
  <si>
    <t>Rio</t>
  </si>
  <si>
    <t>Tugnuisky</t>
  </si>
  <si>
    <t>Vitol</t>
  </si>
  <si>
    <t>Material balance</t>
  </si>
  <si>
    <t>Energy balance</t>
  </si>
  <si>
    <t>SMR(100% conversion)</t>
  </si>
  <si>
    <t>SMR</t>
  </si>
  <si>
    <t>Electricity (kW)</t>
  </si>
  <si>
    <r>
      <t>H</t>
    </r>
    <r>
      <rPr>
        <vertAlign val="subscript"/>
        <sz val="11"/>
        <color rgb="FF000000"/>
        <rFont val="Arial"/>
        <family val="2"/>
      </rPr>
      <t>2</t>
    </r>
    <r>
      <rPr>
        <sz val="11"/>
        <color rgb="FF000000"/>
        <rFont val="Arial"/>
        <family val="2"/>
      </rPr>
      <t>O</t>
    </r>
  </si>
  <si>
    <t>→</t>
  </si>
  <si>
    <t>CO</t>
    <phoneticPr fontId="0" type="noConversion"/>
  </si>
  <si>
    <t>unreacted material</t>
  </si>
  <si>
    <r>
      <t>CH</t>
    </r>
    <r>
      <rPr>
        <vertAlign val="subscript"/>
        <sz val="11"/>
        <color theme="1" tint="0.499984740745262"/>
        <rFont val="Arial"/>
        <family val="2"/>
      </rPr>
      <t>4</t>
    </r>
  </si>
  <si>
    <r>
      <t>H</t>
    </r>
    <r>
      <rPr>
        <vertAlign val="subscript"/>
        <sz val="11"/>
        <color theme="1" tint="0.499984740745262"/>
        <rFont val="Arial"/>
        <family val="2"/>
      </rPr>
      <t>2</t>
    </r>
    <r>
      <rPr>
        <sz val="11"/>
        <color theme="1" tint="0.499984740745262"/>
        <rFont val="Arial"/>
        <family val="2"/>
      </rPr>
      <t>O</t>
    </r>
  </si>
  <si>
    <t>kg/yr</t>
    <phoneticPr fontId="0" type="noConversion"/>
  </si>
  <si>
    <t>Flowrate (ton/s)</t>
  </si>
  <si>
    <t>Flowrate (mol/s)</t>
  </si>
  <si>
    <t>kmol/yr</t>
    <phoneticPr fontId="0" type="noConversion"/>
  </si>
  <si>
    <t>Water pretreatment for SMR</t>
  </si>
  <si>
    <t>ton/yr</t>
    <phoneticPr fontId="0" type="noConversion"/>
  </si>
  <si>
    <t>WGS</t>
  </si>
  <si>
    <t>Enthalpy of exothermic reaction is not considered as power.</t>
  </si>
  <si>
    <t>WGS(100% conversion)</t>
  </si>
  <si>
    <r>
      <t>CO</t>
    </r>
    <r>
      <rPr>
        <vertAlign val="subscript"/>
        <sz val="11"/>
        <color rgb="FF000000"/>
        <rFont val="Arial"/>
        <family val="2"/>
      </rPr>
      <t>2</t>
    </r>
  </si>
  <si>
    <r>
      <t>H</t>
    </r>
    <r>
      <rPr>
        <vertAlign val="subscript"/>
        <sz val="11"/>
        <color rgb="FF000000"/>
        <rFont val="Arial"/>
        <family val="2"/>
      </rPr>
      <t>2</t>
    </r>
  </si>
  <si>
    <t>Total Electricity (kW)</t>
  </si>
  <si>
    <t>Solvay</t>
    <phoneticPr fontId="0" type="noConversion"/>
  </si>
  <si>
    <t>Solvay(100% conversion)</t>
  </si>
  <si>
    <r>
      <t>CaCO</t>
    </r>
    <r>
      <rPr>
        <vertAlign val="subscript"/>
        <sz val="11"/>
        <color rgb="FF000000"/>
        <rFont val="Arial"/>
        <family val="2"/>
      </rPr>
      <t>3</t>
    </r>
  </si>
  <si>
    <t>CaO</t>
    <phoneticPr fontId="0" type="noConversion"/>
  </si>
  <si>
    <r>
      <t>CaCO</t>
    </r>
    <r>
      <rPr>
        <vertAlign val="subscript"/>
        <sz val="11"/>
        <color theme="1" tint="0.499984740745262"/>
        <rFont val="Arial"/>
        <family val="2"/>
      </rPr>
      <t>3</t>
    </r>
  </si>
  <si>
    <r>
      <t>Ca(OH)</t>
    </r>
    <r>
      <rPr>
        <vertAlign val="subscript"/>
        <sz val="11"/>
        <color rgb="FF000000"/>
        <rFont val="Arial"/>
        <family val="2"/>
      </rPr>
      <t>2</t>
    </r>
  </si>
  <si>
    <t>NaCl</t>
    <phoneticPr fontId="0" type="noConversion"/>
  </si>
  <si>
    <r>
      <t>NH</t>
    </r>
    <r>
      <rPr>
        <vertAlign val="subscript"/>
        <sz val="11"/>
        <color rgb="FF000000"/>
        <rFont val="Arial"/>
        <family val="2"/>
      </rPr>
      <t>4</t>
    </r>
    <r>
      <rPr>
        <sz val="11"/>
        <color rgb="FF000000"/>
        <rFont val="Arial"/>
        <family val="2"/>
      </rPr>
      <t>OH</t>
    </r>
  </si>
  <si>
    <r>
      <t>NaHCO</t>
    </r>
    <r>
      <rPr>
        <vertAlign val="subscript"/>
        <sz val="11"/>
        <color rgb="FF000000"/>
        <rFont val="Arial"/>
        <family val="2"/>
      </rPr>
      <t>3</t>
    </r>
  </si>
  <si>
    <r>
      <t>NH</t>
    </r>
    <r>
      <rPr>
        <vertAlign val="subscript"/>
        <sz val="11"/>
        <color rgb="FF000000"/>
        <rFont val="Arial"/>
        <family val="2"/>
      </rPr>
      <t>4</t>
    </r>
    <r>
      <rPr>
        <sz val="11"/>
        <color rgb="FF000000"/>
        <rFont val="Arial"/>
        <family val="2"/>
      </rPr>
      <t>Cl</t>
    </r>
  </si>
  <si>
    <r>
      <t>NH</t>
    </r>
    <r>
      <rPr>
        <vertAlign val="subscript"/>
        <sz val="11"/>
        <color theme="1" tint="0.499984740745262"/>
        <rFont val="Arial"/>
        <family val="2"/>
      </rPr>
      <t>4</t>
    </r>
    <r>
      <rPr>
        <sz val="11"/>
        <color theme="1" tint="0.499984740745262"/>
        <rFont val="Arial"/>
        <family val="2"/>
      </rPr>
      <t>OH</t>
    </r>
  </si>
  <si>
    <r>
      <t>CO</t>
    </r>
    <r>
      <rPr>
        <vertAlign val="subscript"/>
        <sz val="11"/>
        <color theme="1" tint="0.499984740745262"/>
        <rFont val="Arial"/>
        <family val="2"/>
      </rPr>
      <t>2</t>
    </r>
  </si>
  <si>
    <r>
      <t>2NaHCO</t>
    </r>
    <r>
      <rPr>
        <vertAlign val="subscript"/>
        <sz val="11"/>
        <color rgb="FF000000"/>
        <rFont val="Arial"/>
        <family val="2"/>
      </rPr>
      <t>3</t>
    </r>
  </si>
  <si>
    <r>
      <t>NaHCO</t>
    </r>
    <r>
      <rPr>
        <vertAlign val="subscript"/>
        <sz val="11"/>
        <color theme="1" tint="0.499984740745262"/>
        <rFont val="Arial"/>
        <family val="2"/>
      </rPr>
      <t>3</t>
    </r>
  </si>
  <si>
    <r>
      <t>2NH</t>
    </r>
    <r>
      <rPr>
        <vertAlign val="subscript"/>
        <sz val="11"/>
        <color rgb="FF000000"/>
        <rFont val="Arial"/>
        <family val="2"/>
      </rPr>
      <t>4</t>
    </r>
    <r>
      <rPr>
        <sz val="11"/>
        <color rgb="FF000000"/>
        <rFont val="Arial"/>
        <family val="2"/>
      </rPr>
      <t>Cl</t>
    </r>
  </si>
  <si>
    <r>
      <t>2NH</t>
    </r>
    <r>
      <rPr>
        <vertAlign val="subscript"/>
        <sz val="11"/>
        <color rgb="FF000000"/>
        <rFont val="Arial"/>
        <family val="2"/>
      </rPr>
      <t>3</t>
    </r>
  </si>
  <si>
    <r>
      <t>CaCl</t>
    </r>
    <r>
      <rPr>
        <vertAlign val="subscript"/>
        <sz val="11"/>
        <color rgb="FF000000"/>
        <rFont val="Arial"/>
        <family val="2"/>
      </rPr>
      <t>2</t>
    </r>
  </si>
  <si>
    <r>
      <t>NH</t>
    </r>
    <r>
      <rPr>
        <vertAlign val="subscript"/>
        <sz val="11"/>
        <color theme="1" tint="0.499984740745262"/>
        <rFont val="Arial"/>
        <family val="2"/>
      </rPr>
      <t>4</t>
    </r>
    <r>
      <rPr>
        <sz val="11"/>
        <color theme="1" tint="0.499984740745262"/>
        <rFont val="Arial"/>
        <family val="2"/>
      </rPr>
      <t>Cl</t>
    </r>
  </si>
  <si>
    <r>
      <t>Ca(OH)</t>
    </r>
    <r>
      <rPr>
        <vertAlign val="subscript"/>
        <sz val="11"/>
        <color theme="1" tint="0.499984740745262"/>
        <rFont val="Arial"/>
        <family val="2"/>
      </rPr>
      <t>2</t>
    </r>
  </si>
  <si>
    <t>Anode material waste lithium extraction</t>
  </si>
  <si>
    <t>Anode material waste lithium extraction (100% conversion)</t>
  </si>
  <si>
    <t>CoO</t>
    <phoneticPr fontId="0" type="noConversion"/>
  </si>
  <si>
    <t>CoO</t>
    <phoneticPr fontId="12" type="noConversion"/>
  </si>
  <si>
    <r>
      <t>2LiCoO</t>
    </r>
    <r>
      <rPr>
        <vertAlign val="subscript"/>
        <sz val="11"/>
        <color theme="1" tint="0.499984740745262"/>
        <rFont val="Arial"/>
        <family val="2"/>
      </rPr>
      <t>2</t>
    </r>
  </si>
  <si>
    <r>
      <t>Na</t>
    </r>
    <r>
      <rPr>
        <vertAlign val="subscript"/>
        <sz val="11"/>
        <color theme="1" tint="0.499984740745262"/>
        <rFont val="Arial"/>
        <family val="2"/>
      </rPr>
      <t>2</t>
    </r>
    <r>
      <rPr>
        <sz val="11"/>
        <color theme="1" tint="0.499984740745262"/>
        <rFont val="Arial"/>
        <family val="2"/>
      </rPr>
      <t>CO</t>
    </r>
    <r>
      <rPr>
        <vertAlign val="subscript"/>
        <sz val="11"/>
        <color theme="1" tint="0.499984740745262"/>
        <rFont val="Arial"/>
        <family val="2"/>
      </rPr>
      <t>3</t>
    </r>
  </si>
  <si>
    <t>kg/yr</t>
    <phoneticPr fontId="12" type="noConversion"/>
  </si>
  <si>
    <t>kmol/yr</t>
    <phoneticPr fontId="12" type="noConversion"/>
  </si>
  <si>
    <t>ton/yr</t>
    <phoneticPr fontId="12" type="noConversion"/>
  </si>
  <si>
    <r>
      <t>Li</t>
    </r>
    <r>
      <rPr>
        <vertAlign val="subscript"/>
        <sz val="11"/>
        <color theme="1" tint="0.499984740745262"/>
        <rFont val="Arial"/>
        <family val="2"/>
      </rPr>
      <t>2</t>
    </r>
    <r>
      <rPr>
        <sz val="11"/>
        <color theme="1" tint="0.499984740745262"/>
        <rFont val="Arial"/>
        <family val="2"/>
      </rPr>
      <t>CO</t>
    </r>
    <r>
      <rPr>
        <vertAlign val="subscript"/>
        <sz val="11"/>
        <color theme="1" tint="0.499984740745262"/>
        <rFont val="Arial"/>
        <family val="2"/>
      </rPr>
      <t>3</t>
    </r>
  </si>
  <si>
    <r>
      <t>Li</t>
    </r>
    <r>
      <rPr>
        <vertAlign val="subscript"/>
        <sz val="11"/>
        <color rgb="FF000000"/>
        <rFont val="Arial"/>
        <family val="2"/>
      </rPr>
      <t>2</t>
    </r>
    <r>
      <rPr>
        <sz val="11"/>
        <color rgb="FF000000"/>
        <rFont val="Arial"/>
        <family val="2"/>
      </rPr>
      <t>CO</t>
    </r>
    <r>
      <rPr>
        <vertAlign val="subscript"/>
        <sz val="11"/>
        <color rgb="FF000000"/>
        <rFont val="Arial"/>
        <family val="2"/>
      </rPr>
      <t>3</t>
    </r>
  </si>
  <si>
    <t>2HCl</t>
  </si>
  <si>
    <t>2LiCl</t>
  </si>
  <si>
    <t>NaCl(l)</t>
  </si>
  <si>
    <t>SMR Reactor</t>
  </si>
  <si>
    <t>Total</t>
    <phoneticPr fontId="1" type="noConversion"/>
  </si>
  <si>
    <t>Equipment</t>
  </si>
  <si>
    <t>Equipment Cost($)</t>
  </si>
  <si>
    <t>FCI($)</t>
    <phoneticPr fontId="1" type="noConversion"/>
  </si>
  <si>
    <t>SMR</t>
    <phoneticPr fontId="1" type="noConversion"/>
  </si>
  <si>
    <t>Total flow(kmol/day)</t>
  </si>
  <si>
    <t>CO</t>
    <phoneticPr fontId="1" type="noConversion"/>
  </si>
  <si>
    <t>Total flow(L/day)</t>
  </si>
  <si>
    <t>WGS Reactor</t>
  </si>
  <si>
    <t>kg/yr</t>
    <phoneticPr fontId="1" type="noConversion"/>
  </si>
  <si>
    <t>PSA</t>
    <phoneticPr fontId="1" type="noConversion"/>
  </si>
  <si>
    <t>kmol/yr</t>
    <phoneticPr fontId="1" type="noConversion"/>
  </si>
  <si>
    <t>Furnace (SMR)</t>
    <phoneticPr fontId="1" type="noConversion"/>
  </si>
  <si>
    <t>ton/yr</t>
    <phoneticPr fontId="1" type="noConversion"/>
  </si>
  <si>
    <t>WGS</t>
    <phoneticPr fontId="1" type="noConversion"/>
  </si>
  <si>
    <t>PSA Column</t>
  </si>
  <si>
    <t>Lime klin</t>
  </si>
  <si>
    <t>Solvay</t>
    <phoneticPr fontId="1" type="noConversion"/>
  </si>
  <si>
    <t>kg/day</t>
  </si>
  <si>
    <t>Furnace (Solvay)</t>
    <phoneticPr fontId="1" type="noConversion"/>
  </si>
  <si>
    <t>CaO</t>
    <phoneticPr fontId="1" type="noConversion"/>
  </si>
  <si>
    <t>Slaker</t>
  </si>
  <si>
    <t>CaO</t>
  </si>
  <si>
    <t>kg/day</t>
    <phoneticPr fontId="1" type="noConversion"/>
  </si>
  <si>
    <t>Carbonating tower</t>
  </si>
  <si>
    <t>Calciner</t>
  </si>
  <si>
    <t>Ammonia distiller</t>
    <phoneticPr fontId="1" type="noConversion"/>
  </si>
  <si>
    <t>Ammonia absorber</t>
    <phoneticPr fontId="1" type="noConversion"/>
  </si>
  <si>
    <t>NaCl</t>
    <phoneticPr fontId="1" type="noConversion"/>
  </si>
  <si>
    <t>Ammonia distiller</t>
  </si>
  <si>
    <t>ton/day</t>
    <phoneticPr fontId="1" type="noConversion"/>
  </si>
  <si>
    <t>Ammonia absorber</t>
  </si>
  <si>
    <t>kmol/day</t>
    <phoneticPr fontId="1" type="noConversion"/>
  </si>
  <si>
    <t>Seperator 1</t>
  </si>
  <si>
    <t>Separator 2</t>
  </si>
  <si>
    <t>-</t>
  </si>
  <si>
    <t>Separator 3</t>
  </si>
  <si>
    <t>Separator 4</t>
  </si>
  <si>
    <t>Separator 5, 6</t>
  </si>
  <si>
    <t>Separator 7</t>
  </si>
  <si>
    <t>Separator 8</t>
  </si>
  <si>
    <t>Rotary kiln</t>
  </si>
  <si>
    <t>CoO</t>
  </si>
  <si>
    <t>Wet grinder</t>
  </si>
  <si>
    <t>Mixer</t>
  </si>
  <si>
    <t>Large heat stirrer</t>
  </si>
  <si>
    <t>Stirred reactor</t>
  </si>
  <si>
    <t>Total feed cost</t>
    <phoneticPr fontId="1" type="noConversion"/>
  </si>
  <si>
    <t>Total income</t>
    <phoneticPr fontId="1" type="noConversion"/>
  </si>
  <si>
    <t>Total electricity cost</t>
    <phoneticPr fontId="1" type="noConversion"/>
  </si>
  <si>
    <t>Economic evaluation</t>
  </si>
  <si>
    <t>Estimation of capital investment cost</t>
  </si>
  <si>
    <t>Gross earning cost ($/yr)</t>
  </si>
  <si>
    <t>Cost Item</t>
  </si>
  <si>
    <t>Total Cost ($)</t>
  </si>
  <si>
    <t>Direct Capital</t>
  </si>
  <si>
    <t>(except FCI) Eqiupment</t>
  </si>
  <si>
    <t>% of (except FCI) Equipment</t>
  </si>
  <si>
    <t>Purchased equipments installation cost</t>
  </si>
  <si>
    <t>Instrumentation and Control</t>
  </si>
  <si>
    <t>Piping</t>
  </si>
  <si>
    <t>electrical installation cost</t>
  </si>
  <si>
    <t>buildings, process, auxiliary</t>
  </si>
  <si>
    <t>Feed cost</t>
    <phoneticPr fontId="12" type="noConversion"/>
  </si>
  <si>
    <t>Service facilities and yard improvement</t>
  </si>
  <si>
    <t>Feed type</t>
    <phoneticPr fontId="0" type="noConversion"/>
  </si>
  <si>
    <t>Flow rate (kg/yr)</t>
    <phoneticPr fontId="0" type="noConversion"/>
  </si>
  <si>
    <t>Feed price ($/kg)</t>
    <phoneticPr fontId="0" type="noConversion"/>
  </si>
  <si>
    <t>Feed cost ($/yr)</t>
    <phoneticPr fontId="0" type="noConversion"/>
  </si>
  <si>
    <t>(except FCI) Equipment</t>
  </si>
  <si>
    <t>Land</t>
  </si>
  <si>
    <t>Total Direct</t>
  </si>
  <si>
    <t>Instrumentation and control</t>
  </si>
  <si>
    <t xml:space="preserve">  </t>
  </si>
  <si>
    <t>Electrical installation cost</t>
  </si>
  <si>
    <t>Buildings, process, auxiliary</t>
    <phoneticPr fontId="1" type="noConversion"/>
  </si>
  <si>
    <t>Indirect Capital</t>
  </si>
  <si>
    <t>Service facilities and yard improvements</t>
  </si>
  <si>
    <t>Engineering and Supervision</t>
  </si>
  <si>
    <t>% of Total Direct</t>
  </si>
  <si>
    <t>Total feed cost</t>
    <phoneticPr fontId="12" type="noConversion"/>
  </si>
  <si>
    <t>Legal expenses</t>
  </si>
  <si>
    <t>% of Fixed capital investment</t>
  </si>
  <si>
    <t>Construction expense and constractor's fee</t>
  </si>
  <si>
    <t>Product income</t>
  </si>
  <si>
    <t>Engineering and supervision</t>
  </si>
  <si>
    <t>Contingency</t>
  </si>
  <si>
    <t>Product type</t>
    <phoneticPr fontId="0" type="noConversion"/>
  </si>
  <si>
    <t>Product price ($/kg)</t>
    <phoneticPr fontId="0" type="noConversion"/>
  </si>
  <si>
    <t>Product income ($/yr)</t>
  </si>
  <si>
    <t>Total Indirect</t>
  </si>
  <si>
    <t>Total product income</t>
  </si>
  <si>
    <t>Plant overhead costs</t>
  </si>
  <si>
    <t>(included FCI) Equipment</t>
  </si>
  <si>
    <t>Electricity cost</t>
    <phoneticPr fontId="12" type="noConversion"/>
  </si>
  <si>
    <t>Fixed Capital Investment (FCI)</t>
  </si>
  <si>
    <t>Total Fixed Capital Investment (FCI)</t>
  </si>
  <si>
    <t>Total electricity (kW)</t>
    <phoneticPr fontId="0" type="noConversion"/>
  </si>
  <si>
    <t>Electricity cost ($/kWh)</t>
    <phoneticPr fontId="0" type="noConversion"/>
  </si>
  <si>
    <t>electricity (kWh/yr)</t>
    <phoneticPr fontId="0" type="noConversion"/>
  </si>
  <si>
    <t>Total electricity cost ($)</t>
    <phoneticPr fontId="0" type="noConversion"/>
  </si>
  <si>
    <t>Working Capital</t>
  </si>
  <si>
    <t>% of Total Capital Investment</t>
  </si>
  <si>
    <t>Administrative costs</t>
  </si>
  <si>
    <t>Total capital investment (TCI)</t>
  </si>
  <si>
    <t>Total Capital Investment (TCI)</t>
  </si>
  <si>
    <t>Distribution and marketing costs</t>
  </si>
  <si>
    <t>Total electricity cost</t>
    <phoneticPr fontId="12" type="noConversion"/>
  </si>
  <si>
    <t>Research and development costs</t>
  </si>
  <si>
    <t>Variable Cost</t>
  </si>
  <si>
    <t>Raw materials</t>
    <phoneticPr fontId="1" type="noConversion"/>
  </si>
  <si>
    <t>Manufacturing Cost</t>
  </si>
  <si>
    <t>Operating labor</t>
    <phoneticPr fontId="1" type="noConversion"/>
  </si>
  <si>
    <t>% of Total Product Cost</t>
  </si>
  <si>
    <t>Direct Supervisory and clerical labor</t>
    <phoneticPr fontId="1" type="noConversion"/>
  </si>
  <si>
    <t>% of Operating labor</t>
  </si>
  <si>
    <t>Utilities</t>
    <phoneticPr fontId="1" type="noConversion"/>
  </si>
  <si>
    <t>Maintenance and repairs</t>
    <phoneticPr fontId="1" type="noConversion"/>
  </si>
  <si>
    <t>Operating supplies</t>
    <phoneticPr fontId="1" type="noConversion"/>
  </si>
  <si>
    <t>% of Maintenance and repairs</t>
  </si>
  <si>
    <t>Laboratory charges</t>
    <phoneticPr fontId="1" type="noConversion"/>
  </si>
  <si>
    <t>Patents and royal</t>
    <phoneticPr fontId="1" type="noConversion"/>
  </si>
  <si>
    <t>Total variable cost</t>
  </si>
  <si>
    <t>Fixed Cost</t>
  </si>
  <si>
    <t>Depreciation</t>
  </si>
  <si>
    <t>Local taxes</t>
  </si>
  <si>
    <t>Insurance</t>
  </si>
  <si>
    <t>Rent</t>
  </si>
  <si>
    <t>Financing</t>
  </si>
  <si>
    <t>Total fixed cost</t>
  </si>
  <si>
    <t>Total Manufacturing Cost</t>
  </si>
  <si>
    <t>General Expenses</t>
  </si>
  <si>
    <t>Total General Expenses</t>
  </si>
  <si>
    <t>Total product cost ($/yr)</t>
    <phoneticPr fontId="1" type="noConversion"/>
  </si>
  <si>
    <t>General expenses</t>
  </si>
  <si>
    <t>Total Manufacuturing Cost</t>
  </si>
  <si>
    <t>Total Product Cost ($/yr)</t>
  </si>
  <si>
    <t>cash flow</t>
  </si>
  <si>
    <t>total</t>
  </si>
  <si>
    <t>0 year</t>
  </si>
  <si>
    <t>1 year</t>
  </si>
  <si>
    <t>2 year</t>
  </si>
  <si>
    <t>3 year</t>
  </si>
  <si>
    <t>4 year</t>
  </si>
  <si>
    <t>5 year</t>
  </si>
  <si>
    <t>6 year</t>
  </si>
  <si>
    <t>7 year</t>
  </si>
  <si>
    <t>8 year</t>
  </si>
  <si>
    <t>9 year</t>
  </si>
  <si>
    <t>10 year</t>
  </si>
  <si>
    <t>SMR</t>
    <phoneticPr fontId="12" type="noConversion"/>
  </si>
  <si>
    <t>Solvay</t>
    <phoneticPr fontId="12" type="noConversion"/>
  </si>
  <si>
    <t>Extraction of lithium</t>
  </si>
  <si>
    <t>(kmol/yr)</t>
  </si>
  <si>
    <t>(ton/yr)</t>
  </si>
  <si>
    <t>Flowrate (kg/yr)</t>
  </si>
  <si>
    <t>ΔT (℃)</t>
  </si>
  <si>
    <t>Cp (kJ/kg*K)</t>
  </si>
  <si>
    <t>Coal heating value (kcal/kg)</t>
  </si>
  <si>
    <t>Coal flow rate (kg/hr)</t>
  </si>
  <si>
    <t>Combustion gas emissions (L/hr)</t>
  </si>
  <si>
    <t>Constant used</t>
  </si>
  <si>
    <t>Emissions of combustion gas 
per 1 kg of coal (L/kg coal)</t>
  </si>
  <si>
    <r>
      <rPr>
        <sz val="11"/>
        <color rgb="FF000000"/>
        <rFont val="Arial"/>
        <family val="2"/>
      </rPr>
      <t>NO</t>
    </r>
    <r>
      <rPr>
        <sz val="8"/>
        <color rgb="FF000000"/>
        <rFont val="Arial"/>
        <family val="2"/>
      </rPr>
      <t>x</t>
    </r>
    <r>
      <rPr>
        <sz val="11"/>
        <color rgb="FF000000"/>
        <rFont val="Arial"/>
        <family val="2"/>
      </rPr>
      <t xml:space="preserve"> concentration (ppmv)</t>
    </r>
  </si>
  <si>
    <t>NO density (g/L)</t>
  </si>
  <si>
    <t>This is an optimized process scenario by combining the Solvay process of the existing integrated process with the process of making sodium bicarbonate through NaOH. The process of making sodium bicarbonate from carbon dioxide and NaOH has a high conversion rate and has a higher carbon dioxide reduction capacity than existing integrated processes. The NaOH process joins the Solvay process for converting sodium bicarbonate to sodium carbonate. Compared to the existing integrated process, as sodium carbonate production increases, lithium carbonate production increases, which is an economic benefit. However, it is true that the NaOH process is currently difficult to commercialize with the presented process scenario because it is a costly and small-scale process with membrane technology. However, as the membrane technology or the overall process improves, the following scenarios can also be presented.</t>
  </si>
  <si>
    <t>Total revenue at break-even point</t>
    <phoneticPr fontId="1" type="noConversion"/>
  </si>
  <si>
    <t>Total revenue</t>
    <phoneticPr fontId="1" type="noConversion"/>
  </si>
  <si>
    <t>Gross product cost</t>
    <phoneticPr fontId="1" type="noConversion"/>
  </si>
  <si>
    <t>Gross product cost at break-even point</t>
    <phoneticPr fontId="1" type="noConversion"/>
  </si>
  <si>
    <t>cumulative cash flow</t>
    <phoneticPr fontId="1" type="noConversion"/>
  </si>
  <si>
    <t>Revenues ($/yr)</t>
    <phoneticPr fontId="1" type="noConversion"/>
  </si>
  <si>
    <t>Expenses ($/yr)</t>
    <phoneticPr fontId="1" type="noConversion"/>
  </si>
  <si>
    <t>Grayed Titles</t>
    <phoneticPr fontId="1" type="noConversion"/>
  </si>
  <si>
    <t>Feed Cost &amp; Utilities</t>
  </si>
  <si>
    <t>Flow rate (kg/yr)</t>
  </si>
  <si>
    <t>Feed price ($/kg)</t>
  </si>
  <si>
    <t>Feed cost ($/yr)</t>
  </si>
  <si>
    <t>Feed Cost</t>
  </si>
  <si>
    <t>Total feed cost</t>
  </si>
  <si>
    <t>Total electricity (kW)</t>
  </si>
  <si>
    <t>Electricity cost ($/kWh)</t>
  </si>
  <si>
    <t>electricity (kWh/yr)</t>
  </si>
  <si>
    <t>Total electricity cost ($)</t>
  </si>
  <si>
    <r>
      <t>CH</t>
    </r>
    <r>
      <rPr>
        <vertAlign val="subscript"/>
        <sz val="11"/>
        <color rgb="FF000000"/>
        <rFont val="Arial"/>
        <family val="2"/>
      </rPr>
      <t xml:space="preserve">4 </t>
    </r>
    <r>
      <rPr>
        <sz val="11"/>
        <color rgb="FF000000"/>
        <rFont val="Arial"/>
        <family val="2"/>
      </rPr>
      <t>+ H</t>
    </r>
    <r>
      <rPr>
        <vertAlign val="subscript"/>
        <sz val="11"/>
        <color rgb="FF000000"/>
        <rFont val="Arial"/>
        <family val="2"/>
      </rPr>
      <t>2</t>
    </r>
    <r>
      <rPr>
        <sz val="11"/>
        <color rgb="FF000000"/>
        <rFont val="Arial"/>
        <family val="2"/>
      </rPr>
      <t>O → CO + 3H</t>
    </r>
    <r>
      <rPr>
        <vertAlign val="subscript"/>
        <sz val="11"/>
        <color rgb="FF000000"/>
        <rFont val="Arial"/>
        <family val="2"/>
      </rPr>
      <t>2</t>
    </r>
  </si>
  <si>
    <r>
      <t>CaCO</t>
    </r>
    <r>
      <rPr>
        <vertAlign val="subscript"/>
        <sz val="11"/>
        <color rgb="FF000000"/>
        <rFont val="Arial"/>
        <family val="2"/>
      </rPr>
      <t>3</t>
    </r>
    <r>
      <rPr>
        <sz val="11"/>
        <color rgb="FF000000"/>
        <rFont val="Arial"/>
        <family val="2"/>
      </rPr>
      <t xml:space="preserve"> → CO</t>
    </r>
    <r>
      <rPr>
        <vertAlign val="subscript"/>
        <sz val="11"/>
        <color rgb="FF000000"/>
        <rFont val="Arial"/>
        <family val="2"/>
      </rPr>
      <t xml:space="preserve">2 </t>
    </r>
    <r>
      <rPr>
        <sz val="11"/>
        <color rgb="FF000000"/>
        <rFont val="Arial"/>
        <family val="2"/>
      </rPr>
      <t>+ CaO</t>
    </r>
  </si>
  <si>
    <r>
      <t>2NaHCO</t>
    </r>
    <r>
      <rPr>
        <vertAlign val="subscript"/>
        <sz val="11"/>
        <color rgb="FF000000"/>
        <rFont val="Arial"/>
        <family val="2"/>
      </rPr>
      <t>3</t>
    </r>
    <r>
      <rPr>
        <sz val="11"/>
        <color rgb="FF000000"/>
        <rFont val="Arial"/>
        <family val="2"/>
      </rPr>
      <t xml:space="preserve"> → Na</t>
    </r>
    <r>
      <rPr>
        <vertAlign val="subscript"/>
        <sz val="11"/>
        <color rgb="FF000000"/>
        <rFont val="Arial"/>
        <family val="2"/>
      </rPr>
      <t>2</t>
    </r>
    <r>
      <rPr>
        <sz val="11"/>
        <color rgb="FF000000"/>
        <rFont val="Arial"/>
        <family val="2"/>
      </rPr>
      <t>CO</t>
    </r>
    <r>
      <rPr>
        <vertAlign val="subscript"/>
        <sz val="11"/>
        <color rgb="FF000000"/>
        <rFont val="Arial"/>
        <family val="2"/>
      </rPr>
      <t xml:space="preserve">3 </t>
    </r>
    <r>
      <rPr>
        <sz val="11"/>
        <color rgb="FF000000"/>
        <rFont val="Arial"/>
        <family val="2"/>
      </rPr>
      <t>+ H</t>
    </r>
    <r>
      <rPr>
        <vertAlign val="subscript"/>
        <sz val="11"/>
        <color rgb="FF000000"/>
        <rFont val="Arial"/>
        <family val="2"/>
      </rPr>
      <t>2</t>
    </r>
    <r>
      <rPr>
        <sz val="11"/>
        <color rgb="FF000000"/>
        <rFont val="Arial"/>
        <family val="2"/>
      </rPr>
      <t>O + CO</t>
    </r>
    <r>
      <rPr>
        <vertAlign val="subscript"/>
        <sz val="11"/>
        <color rgb="FF000000"/>
        <rFont val="Arial"/>
        <family val="2"/>
      </rPr>
      <t>2</t>
    </r>
  </si>
  <si>
    <r>
      <t>2NH</t>
    </r>
    <r>
      <rPr>
        <vertAlign val="subscript"/>
        <sz val="11"/>
        <color rgb="FF000000"/>
        <rFont val="Arial"/>
        <family val="2"/>
      </rPr>
      <t>4</t>
    </r>
    <r>
      <rPr>
        <sz val="11"/>
        <color rgb="FF000000"/>
        <rFont val="Arial"/>
        <family val="2"/>
      </rPr>
      <t>Cl + Ca(OH)</t>
    </r>
    <r>
      <rPr>
        <vertAlign val="subscript"/>
        <sz val="11"/>
        <color rgb="FF000000"/>
        <rFont val="Arial"/>
        <family val="2"/>
      </rPr>
      <t>2</t>
    </r>
    <r>
      <rPr>
        <sz val="11"/>
        <color rgb="FF000000"/>
        <rFont val="Arial"/>
        <family val="2"/>
      </rPr>
      <t xml:space="preserve"> → 2NH</t>
    </r>
    <r>
      <rPr>
        <vertAlign val="subscript"/>
        <sz val="11"/>
        <color rgb="FF000000"/>
        <rFont val="Arial"/>
        <family val="2"/>
      </rPr>
      <t xml:space="preserve">3 </t>
    </r>
    <r>
      <rPr>
        <sz val="11"/>
        <color rgb="FF000000"/>
        <rFont val="Arial"/>
        <family val="2"/>
      </rPr>
      <t>+ CaCl</t>
    </r>
    <r>
      <rPr>
        <vertAlign val="subscript"/>
        <sz val="11"/>
        <color rgb="FF000000"/>
        <rFont val="Arial"/>
        <family val="2"/>
      </rPr>
      <t xml:space="preserve">2 </t>
    </r>
    <r>
      <rPr>
        <sz val="11"/>
        <color rgb="FF000000"/>
        <rFont val="Arial"/>
        <family val="2"/>
      </rPr>
      <t>+ 2H</t>
    </r>
    <r>
      <rPr>
        <vertAlign val="subscript"/>
        <sz val="11"/>
        <color rgb="FF000000"/>
        <rFont val="Arial"/>
        <family val="2"/>
      </rPr>
      <t>2</t>
    </r>
    <r>
      <rPr>
        <sz val="11"/>
        <color rgb="FF000000"/>
        <rFont val="Arial"/>
        <family val="2"/>
      </rPr>
      <t>O</t>
    </r>
  </si>
  <si>
    <r>
      <t>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(s) + H</t>
    </r>
    <r>
      <rPr>
        <sz val="8"/>
        <color rgb="FF000000"/>
        <rFont val="Arial"/>
        <family val="2"/>
      </rPr>
      <t>2</t>
    </r>
    <r>
      <rPr>
        <sz val="11"/>
        <color rgb="FF000000"/>
        <rFont val="Arial"/>
        <family val="2"/>
      </rPr>
      <t>O → 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(l)·H</t>
    </r>
    <r>
      <rPr>
        <sz val="8"/>
        <color rgb="FF000000"/>
        <rFont val="Arial"/>
        <family val="2"/>
      </rPr>
      <t>2</t>
    </r>
    <r>
      <rPr>
        <sz val="11"/>
        <color rgb="FF000000"/>
        <rFont val="Arial"/>
        <family val="2"/>
      </rPr>
      <t>O</t>
    </r>
  </si>
  <si>
    <r>
      <t>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l) + 2HCl → 2LiCl + H</t>
    </r>
    <r>
      <rPr>
        <sz val="8"/>
        <color rgb="FF000000"/>
        <rFont val="Arial"/>
        <family val="2"/>
      </rPr>
      <t>2</t>
    </r>
    <r>
      <rPr>
        <sz val="11"/>
        <color rgb="FF000000"/>
        <rFont val="Arial"/>
        <family val="2"/>
      </rPr>
      <t>O + CO</t>
    </r>
    <r>
      <rPr>
        <sz val="8"/>
        <color rgb="FF000000"/>
        <rFont val="Arial"/>
        <family val="2"/>
      </rPr>
      <t>2</t>
    </r>
  </si>
  <si>
    <r>
      <t>NO</t>
    </r>
    <r>
      <rPr>
        <sz val="8"/>
        <color rgb="FF000000"/>
        <rFont val="Arial"/>
        <family val="2"/>
      </rPr>
      <t>x</t>
    </r>
    <r>
      <rPr>
        <sz val="11"/>
        <color rgb="FF000000"/>
        <rFont val="Arial"/>
        <family val="2"/>
      </rPr>
      <t xml:space="preserve"> emissions</t>
    </r>
  </si>
  <si>
    <r>
      <t>CaCO</t>
    </r>
    <r>
      <rPr>
        <sz val="8"/>
        <color rgb="FF000000"/>
        <rFont val="Arial"/>
        <family val="2"/>
      </rPr>
      <t>3</t>
    </r>
  </si>
  <si>
    <r>
      <t>CH</t>
    </r>
    <r>
      <rPr>
        <sz val="8"/>
        <color rgb="FF000000"/>
        <rFont val="Arial"/>
        <family val="2"/>
      </rPr>
      <t>4</t>
    </r>
  </si>
  <si>
    <r>
      <t>H</t>
    </r>
    <r>
      <rPr>
        <sz val="8"/>
        <color rgb="FF000000"/>
        <rFont val="Arial"/>
        <family val="2"/>
      </rPr>
      <t>2</t>
    </r>
    <r>
      <rPr>
        <sz val="11"/>
        <color rgb="FF000000"/>
        <rFont val="Arial"/>
        <family val="2"/>
      </rPr>
      <t>O</t>
    </r>
  </si>
  <si>
    <r>
      <t>NH</t>
    </r>
    <r>
      <rPr>
        <sz val="8"/>
        <color rgb="FF000000"/>
        <rFont val="Arial"/>
        <family val="2"/>
      </rPr>
      <t>3</t>
    </r>
  </si>
  <si>
    <r>
      <t>H</t>
    </r>
    <r>
      <rPr>
        <sz val="8"/>
        <color rgb="FF000000"/>
        <rFont val="Arial"/>
        <family val="2"/>
      </rPr>
      <t>2</t>
    </r>
  </si>
  <si>
    <r>
      <t>Li</t>
    </r>
    <r>
      <rPr>
        <sz val="8"/>
        <color rgb="FF000000"/>
        <rFont val="Arial"/>
        <family val="2"/>
      </rPr>
      <t>2</t>
    </r>
    <r>
      <rPr>
        <sz val="11"/>
        <color rgb="FF000000"/>
        <rFont val="Arial"/>
        <family val="2"/>
      </rPr>
      <t>CO</t>
    </r>
    <r>
      <rPr>
        <sz val="8"/>
        <color rgb="FF000000"/>
        <rFont val="Arial"/>
        <family val="2"/>
      </rPr>
      <t>3</t>
    </r>
  </si>
  <si>
    <r>
      <t>NO</t>
    </r>
    <r>
      <rPr>
        <b/>
        <sz val="8"/>
        <color rgb="FF000000"/>
        <rFont val="Arial"/>
        <family val="2"/>
      </rPr>
      <t>x</t>
    </r>
    <r>
      <rPr>
        <b/>
        <sz val="11"/>
        <color rgb="FF000000"/>
        <rFont val="Arial"/>
        <family val="2"/>
      </rPr>
      <t xml:space="preserve"> concentration by type of coal</t>
    </r>
  </si>
  <si>
    <r>
      <rPr>
        <sz val="11"/>
        <color rgb="FF000000"/>
        <rFont val="Arial"/>
        <family val="2"/>
      </rPr>
      <t>NO</t>
    </r>
    <r>
      <rPr>
        <sz val="8"/>
        <color rgb="FF000000"/>
        <rFont val="Arial"/>
        <family val="2"/>
      </rPr>
      <t>x</t>
    </r>
    <r>
      <rPr>
        <sz val="11"/>
        <color rgb="FF000000"/>
        <rFont val="Arial"/>
        <family val="2"/>
      </rPr>
      <t xml:space="preserve"> concentration</t>
    </r>
  </si>
  <si>
    <r>
      <t>We would like to present new processes by integrating existing technologically mature processes and present guidelines for economic and environmental evaluation of those processes. The conventional SMR process of producing hydrogen collects CO</t>
    </r>
    <r>
      <rPr>
        <sz val="8"/>
        <color rgb="FF000000"/>
        <rFont val="Arial"/>
        <family val="2"/>
      </rPr>
      <t>2</t>
    </r>
    <r>
      <rPr>
        <sz val="11"/>
        <color rgb="FF000000"/>
        <rFont val="Arial"/>
        <family val="2"/>
      </rPr>
      <t xml:space="preserve"> emitted from fossil fuels and puts it into the Solvay process. The Solvay process consumes CO</t>
    </r>
    <r>
      <rPr>
        <sz val="8"/>
        <color rgb="FF000000"/>
        <rFont val="Arial"/>
        <family val="2"/>
      </rPr>
      <t>2</t>
    </r>
    <r>
      <rPr>
        <sz val="11"/>
        <color rgb="FF000000"/>
        <rFont val="Arial"/>
        <family val="2"/>
      </rPr>
      <t xml:space="preserve"> and switches to a useful substance called Na</t>
    </r>
    <r>
      <rPr>
        <sz val="8"/>
        <color rgb="FF000000"/>
        <rFont val="Arial"/>
        <family val="2"/>
      </rPr>
      <t>2</t>
    </r>
    <r>
      <rPr>
        <sz val="11"/>
        <color rgb="FF000000"/>
        <rFont val="Arial"/>
        <family val="2"/>
      </rPr>
      <t>CO</t>
    </r>
    <r>
      <rPr>
        <sz val="8"/>
        <color rgb="FF000000"/>
        <rFont val="Arial"/>
        <family val="2"/>
      </rPr>
      <t>3</t>
    </r>
    <r>
      <rPr>
        <sz val="11"/>
        <color rgb="FF000000"/>
        <rFont val="Arial"/>
        <family val="2"/>
      </rPr>
      <t>. Extracting lithium from waste batteries using Na</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is the entire process we designed.</t>
    </r>
  </si>
  <si>
    <r>
      <t>Methane and water and flow into the SMR process at 850℃. At this time, CO and H</t>
    </r>
    <r>
      <rPr>
        <sz val="8"/>
        <color rgb="FF000000"/>
        <rFont val="Arial"/>
        <family val="2"/>
      </rPr>
      <t>2</t>
    </r>
    <r>
      <rPr>
        <sz val="11"/>
        <color rgb="FF000000"/>
        <rFont val="Arial"/>
        <family val="2"/>
      </rPr>
      <t xml:space="preserve"> are produced, and they flow into WGS to produce CO</t>
    </r>
    <r>
      <rPr>
        <sz val="8"/>
        <color rgb="FF000000"/>
        <rFont val="Arial"/>
        <family val="2"/>
      </rPr>
      <t>2</t>
    </r>
    <r>
      <rPr>
        <sz val="11"/>
        <color rgb="FF000000"/>
        <rFont val="Arial"/>
        <family val="2"/>
      </rPr>
      <t xml:space="preserve"> and H</t>
    </r>
    <r>
      <rPr>
        <sz val="8"/>
        <color rgb="FF000000"/>
        <rFont val="Arial"/>
        <family val="2"/>
      </rPr>
      <t>2</t>
    </r>
    <r>
      <rPr>
        <sz val="11"/>
        <color rgb="FF000000"/>
        <rFont val="Arial"/>
        <family val="2"/>
      </rPr>
      <t>. The H</t>
    </r>
    <r>
      <rPr>
        <sz val="8"/>
        <color rgb="FF000000"/>
        <rFont val="Arial"/>
        <family val="2"/>
      </rPr>
      <t>2</t>
    </r>
    <r>
      <rPr>
        <sz val="11"/>
        <color rgb="FF000000"/>
        <rFont val="Arial"/>
        <family val="2"/>
      </rPr>
      <t xml:space="preserve"> separated by the PSA is sold, and the collected CO</t>
    </r>
    <r>
      <rPr>
        <sz val="8"/>
        <color rgb="FF000000"/>
        <rFont val="Arial"/>
        <family val="2"/>
      </rPr>
      <t>2</t>
    </r>
    <r>
      <rPr>
        <sz val="11"/>
        <color rgb="FF000000"/>
        <rFont val="Arial"/>
        <family val="2"/>
      </rPr>
      <t xml:space="preserve"> is integrated with the CO</t>
    </r>
    <r>
      <rPr>
        <sz val="8"/>
        <color rgb="FF000000"/>
        <rFont val="Arial"/>
        <family val="2"/>
      </rPr>
      <t>2</t>
    </r>
    <r>
      <rPr>
        <sz val="11"/>
        <color rgb="FF000000"/>
        <rFont val="Arial"/>
        <family val="2"/>
      </rPr>
      <t xml:space="preserve"> from the lime kiln of the Solvay process. It moves to the carbonating tower and meets NaCl and NH</t>
    </r>
    <r>
      <rPr>
        <sz val="8"/>
        <color rgb="FF000000"/>
        <rFont val="Arial"/>
        <family val="2"/>
      </rPr>
      <t>4</t>
    </r>
    <r>
      <rPr>
        <sz val="11"/>
        <color rgb="FF000000"/>
        <rFont val="Arial"/>
        <family val="2"/>
      </rPr>
      <t>OH at 60℃ to produce NaHCO</t>
    </r>
    <r>
      <rPr>
        <sz val="8"/>
        <color rgb="FF000000"/>
        <rFont val="Arial"/>
        <family val="2"/>
      </rPr>
      <t>3</t>
    </r>
    <r>
      <rPr>
        <sz val="11"/>
        <color rgb="FF000000"/>
        <rFont val="Arial"/>
        <family val="2"/>
      </rPr>
      <t>. This produces Na</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in a 200℃ calciner. Finally, Na</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moves to anode material waste lithium extraction process and reacts with LiCoO</t>
    </r>
    <r>
      <rPr>
        <sz val="8"/>
        <color rgb="FF000000"/>
        <rFont val="Arial"/>
        <family val="2"/>
      </rPr>
      <t>2</t>
    </r>
    <r>
      <rPr>
        <sz val="11"/>
        <color rgb="FF000000"/>
        <rFont val="Arial"/>
        <family val="2"/>
      </rPr>
      <t xml:space="preserve"> separated from the waste battery. As a result, 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is poduced. Water is injected into it to change its phase from solid to liquid. It goes through a water leaching process and finally gets the 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we want to produce.</t>
    </r>
  </si>
  <si>
    <r>
      <rPr>
        <sz val="11"/>
        <color theme="1"/>
        <rFont val="맑은 고딕"/>
        <family val="2"/>
        <charset val="129"/>
      </rPr>
      <t>△</t>
    </r>
    <r>
      <rPr>
        <sz val="11"/>
        <color theme="1"/>
        <rFont val="Arial"/>
        <family val="2"/>
      </rPr>
      <t>H (kJ/yr)</t>
    </r>
  </si>
  <si>
    <r>
      <t>CH</t>
    </r>
    <r>
      <rPr>
        <vertAlign val="subscript"/>
        <sz val="11"/>
        <color rgb="FF000000"/>
        <rFont val="Arial"/>
        <family val="2"/>
      </rPr>
      <t>4</t>
    </r>
  </si>
  <si>
    <r>
      <t>3H</t>
    </r>
    <r>
      <rPr>
        <vertAlign val="subscript"/>
        <sz val="11"/>
        <color rgb="FF000000"/>
        <rFont val="Arial"/>
        <family val="2"/>
      </rPr>
      <t>2</t>
    </r>
  </si>
  <si>
    <r>
      <rPr>
        <sz val="11"/>
        <color theme="1"/>
        <rFont val="맑은 고딕"/>
        <family val="2"/>
        <charset val="129"/>
      </rPr>
      <t>△</t>
    </r>
    <r>
      <rPr>
        <sz val="11"/>
        <color theme="1"/>
        <rFont val="Arial"/>
        <family val="2"/>
      </rPr>
      <t>H (kJ)</t>
    </r>
  </si>
  <si>
    <r>
      <t>Na</t>
    </r>
    <r>
      <rPr>
        <vertAlign val="subscript"/>
        <sz val="11"/>
        <color rgb="FF000000"/>
        <rFont val="Arial"/>
        <family val="2"/>
      </rPr>
      <t>2</t>
    </r>
    <r>
      <rPr>
        <sz val="11"/>
        <color rgb="FF000000"/>
        <rFont val="Arial"/>
        <family val="2"/>
      </rPr>
      <t>CO</t>
    </r>
    <r>
      <rPr>
        <vertAlign val="subscript"/>
        <sz val="11"/>
        <color rgb="FF000000"/>
        <rFont val="Arial"/>
        <family val="2"/>
      </rPr>
      <t>3</t>
    </r>
  </si>
  <si>
    <r>
      <t>2H</t>
    </r>
    <r>
      <rPr>
        <vertAlign val="subscript"/>
        <sz val="11"/>
        <color rgb="FF000000"/>
        <rFont val="Arial"/>
        <family val="2"/>
      </rPr>
      <t>2</t>
    </r>
    <r>
      <rPr>
        <sz val="11"/>
        <color rgb="FF000000"/>
        <rFont val="Arial"/>
        <family val="2"/>
      </rPr>
      <t>O</t>
    </r>
  </si>
  <si>
    <r>
      <t>2LiCoO</t>
    </r>
    <r>
      <rPr>
        <vertAlign val="subscript"/>
        <sz val="11"/>
        <color rgb="FF000000"/>
        <rFont val="Arial"/>
        <family val="2"/>
      </rPr>
      <t>2</t>
    </r>
  </si>
  <si>
    <r>
      <t>Na</t>
    </r>
    <r>
      <rPr>
        <vertAlign val="subscript"/>
        <sz val="11"/>
        <color rgb="FF000000"/>
        <rFont val="Arial"/>
        <family val="2"/>
      </rPr>
      <t>2</t>
    </r>
    <r>
      <rPr>
        <sz val="11"/>
        <color rgb="FF000000"/>
        <rFont val="Arial"/>
        <family val="2"/>
      </rPr>
      <t>O</t>
    </r>
  </si>
  <si>
    <r>
      <t>CoO</t>
    </r>
    <r>
      <rPr>
        <vertAlign val="subscript"/>
        <sz val="11"/>
        <color rgb="FF000000"/>
        <rFont val="Arial"/>
        <family val="2"/>
      </rPr>
      <t>2</t>
    </r>
  </si>
  <si>
    <r>
      <t>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(l)·H</t>
    </r>
    <r>
      <rPr>
        <sz val="8"/>
        <color rgb="FF000000"/>
        <rFont val="Arial"/>
        <family val="2"/>
      </rPr>
      <t>2</t>
    </r>
    <r>
      <rPr>
        <sz val="11"/>
        <color rgb="FF000000"/>
        <rFont val="Arial"/>
        <family val="2"/>
      </rPr>
      <t>O</t>
    </r>
  </si>
  <si>
    <r>
      <t>m</t>
    </r>
    <r>
      <rPr>
        <vertAlign val="superscript"/>
        <sz val="11"/>
        <color theme="1"/>
        <rFont val="Arial"/>
        <family val="2"/>
      </rPr>
      <t>3</t>
    </r>
    <r>
      <rPr>
        <sz val="11"/>
        <color theme="1"/>
        <rFont val="Arial"/>
        <family val="2"/>
      </rPr>
      <t>/day</t>
    </r>
    <phoneticPr fontId="1" type="noConversion"/>
  </si>
  <si>
    <r>
      <t>Total flow(m</t>
    </r>
    <r>
      <rPr>
        <vertAlign val="superscript"/>
        <sz val="11"/>
        <color theme="1"/>
        <rFont val="Arial"/>
        <family val="2"/>
      </rPr>
      <t>3</t>
    </r>
    <r>
      <rPr>
        <sz val="11"/>
        <color theme="1"/>
        <rFont val="Arial"/>
        <family val="2"/>
      </rPr>
      <t>/day)</t>
    </r>
    <phoneticPr fontId="1" type="noConversion"/>
  </si>
  <si>
    <r>
      <rPr>
        <sz val="12"/>
        <color rgb="FF000000"/>
        <rFont val="맑은 고딕"/>
        <family val="3"/>
      </rPr>
      <t>　</t>
    </r>
  </si>
  <si>
    <r>
      <rPr>
        <b/>
        <sz val="12"/>
        <color rgb="FF000000"/>
        <rFont val="맑은 고딕"/>
        <family val="3"/>
      </rPr>
      <t>　</t>
    </r>
  </si>
  <si>
    <r>
      <t>Li</t>
    </r>
    <r>
      <rPr>
        <sz val="8"/>
        <color rgb="FF000000"/>
        <rFont val="Arial"/>
        <family val="2"/>
      </rPr>
      <t>2</t>
    </r>
    <r>
      <rPr>
        <sz val="11"/>
        <color rgb="FF000000"/>
        <rFont val="Arial"/>
        <family val="2"/>
      </rPr>
      <t>CO</t>
    </r>
    <r>
      <rPr>
        <sz val="8"/>
        <color rgb="FF000000"/>
        <rFont val="Arial"/>
        <family val="2"/>
      </rPr>
      <t>3</t>
    </r>
    <r>
      <rPr>
        <sz val="11"/>
        <color rgb="FF000000"/>
        <rFont val="Arial"/>
        <family val="2"/>
      </rPr>
      <t xml:space="preserve"> sales </t>
    </r>
    <phoneticPr fontId="1" type="noConversion"/>
  </si>
  <si>
    <r>
      <t>H</t>
    </r>
    <r>
      <rPr>
        <sz val="8"/>
        <color rgb="FF000000"/>
        <rFont val="Arial"/>
        <family val="2"/>
      </rPr>
      <t>2</t>
    </r>
    <r>
      <rPr>
        <sz val="11"/>
        <color rgb="FF000000"/>
        <rFont val="Arial"/>
        <family val="2"/>
      </rPr>
      <t xml:space="preserve"> sales </t>
    </r>
    <phoneticPr fontId="1" type="noConversion"/>
  </si>
  <si>
    <t>Estimation of Total Cost of Production</t>
    <phoneticPr fontId="1" type="noConversion"/>
  </si>
  <si>
    <t>Separator 2(CaO + unreacted CaCO3)</t>
  </si>
  <si>
    <r>
      <t>CH</t>
    </r>
    <r>
      <rPr>
        <sz val="8"/>
        <color rgb="FF000000"/>
        <rFont val="Arial"/>
        <family val="2"/>
      </rPr>
      <t>4</t>
    </r>
    <phoneticPr fontId="1" type="noConversion"/>
  </si>
  <si>
    <r>
      <t>CH</t>
    </r>
    <r>
      <rPr>
        <vertAlign val="subscript"/>
        <sz val="11"/>
        <color rgb="FF000000"/>
        <rFont val="Arial"/>
        <family val="2"/>
      </rPr>
      <t>4</t>
    </r>
    <phoneticPr fontId="1" type="noConversion"/>
  </si>
  <si>
    <r>
      <t>H</t>
    </r>
    <r>
      <rPr>
        <vertAlign val="subscript"/>
        <sz val="11"/>
        <color rgb="FF000000"/>
        <rFont val="Arial"/>
        <family val="2"/>
      </rPr>
      <t>2</t>
    </r>
    <r>
      <rPr>
        <sz val="11"/>
        <color rgb="FF000000"/>
        <rFont val="Arial"/>
        <family val="2"/>
      </rPr>
      <t>O</t>
    </r>
    <phoneticPr fontId="1" type="noConversion"/>
  </si>
  <si>
    <r>
      <t>CO</t>
    </r>
    <r>
      <rPr>
        <vertAlign val="subscript"/>
        <sz val="11"/>
        <color rgb="FF000000"/>
        <rFont val="Arial"/>
        <family val="2"/>
      </rPr>
      <t>2</t>
    </r>
    <phoneticPr fontId="1" type="noConversion"/>
  </si>
  <si>
    <r>
      <t>H</t>
    </r>
    <r>
      <rPr>
        <vertAlign val="subscript"/>
        <sz val="11"/>
        <color rgb="FF000000"/>
        <rFont val="Arial"/>
        <family val="2"/>
      </rPr>
      <t>2</t>
    </r>
    <phoneticPr fontId="1" type="noConversion"/>
  </si>
  <si>
    <r>
      <t>NH</t>
    </r>
    <r>
      <rPr>
        <vertAlign val="subscript"/>
        <sz val="11"/>
        <color rgb="FF000000"/>
        <rFont val="Arial"/>
        <family val="2"/>
      </rPr>
      <t>4</t>
    </r>
    <r>
      <rPr>
        <sz val="11"/>
        <color rgb="FF000000"/>
        <rFont val="Arial"/>
        <family val="2"/>
      </rPr>
      <t>OH</t>
    </r>
    <phoneticPr fontId="1" type="noConversion"/>
  </si>
  <si>
    <r>
      <t>2NaHCO</t>
    </r>
    <r>
      <rPr>
        <vertAlign val="subscript"/>
        <sz val="11"/>
        <color rgb="FF000000"/>
        <rFont val="Arial"/>
        <family val="2"/>
      </rPr>
      <t>3</t>
    </r>
    <phoneticPr fontId="1" type="noConversion"/>
  </si>
  <si>
    <r>
      <t>2NH</t>
    </r>
    <r>
      <rPr>
        <sz val="11"/>
        <color theme="1"/>
        <rFont val="맑은 고딕"/>
        <family val="2"/>
        <charset val="129"/>
        <scheme val="minor"/>
      </rPr>
      <t>4</t>
    </r>
    <r>
      <rPr>
        <sz val="11"/>
        <color rgb="FF000000"/>
        <rFont val="Arial"/>
        <family val="2"/>
      </rPr>
      <t>Cl</t>
    </r>
    <phoneticPr fontId="1" type="noConversion"/>
  </si>
  <si>
    <r>
      <t>Ca(OH)</t>
    </r>
    <r>
      <rPr>
        <vertAlign val="subscript"/>
        <sz val="11"/>
        <color rgb="FF000000"/>
        <rFont val="Arial"/>
        <family val="2"/>
      </rPr>
      <t>2</t>
    </r>
    <phoneticPr fontId="1" type="noConversion"/>
  </si>
  <si>
    <r>
      <t>NH</t>
    </r>
    <r>
      <rPr>
        <vertAlign val="subscript"/>
        <sz val="11"/>
        <color rgb="FF000000"/>
        <rFont val="Arial"/>
        <family val="2"/>
      </rPr>
      <t>3</t>
    </r>
    <phoneticPr fontId="1" type="noConversion"/>
  </si>
  <si>
    <r>
      <t>CaCO</t>
    </r>
    <r>
      <rPr>
        <vertAlign val="subscript"/>
        <sz val="11"/>
        <color rgb="FF000000"/>
        <rFont val="Arial"/>
        <family val="2"/>
      </rPr>
      <t>3</t>
    </r>
    <phoneticPr fontId="1" type="noConversion"/>
  </si>
  <si>
    <r>
      <t>NaHCO</t>
    </r>
    <r>
      <rPr>
        <vertAlign val="subscript"/>
        <sz val="11"/>
        <color rgb="FF000000"/>
        <rFont val="Arial"/>
        <family val="2"/>
      </rPr>
      <t>3</t>
    </r>
    <phoneticPr fontId="1" type="noConversion"/>
  </si>
  <si>
    <r>
      <t>NH</t>
    </r>
    <r>
      <rPr>
        <vertAlign val="subscript"/>
        <sz val="11"/>
        <color rgb="FF000000"/>
        <rFont val="Arial"/>
        <family val="2"/>
      </rPr>
      <t>4</t>
    </r>
    <r>
      <rPr>
        <sz val="11"/>
        <color rgb="FF000000"/>
        <rFont val="Arial"/>
        <family val="2"/>
      </rPr>
      <t>Cl</t>
    </r>
    <phoneticPr fontId="1" type="noConversion"/>
  </si>
  <si>
    <r>
      <t>Na</t>
    </r>
    <r>
      <rPr>
        <vertAlign val="subscript"/>
        <sz val="11"/>
        <color rgb="FF000000"/>
        <rFont val="Arial"/>
        <family val="2"/>
      </rPr>
      <t>2</t>
    </r>
    <r>
      <rPr>
        <sz val="11"/>
        <color rgb="FF000000"/>
        <rFont val="Arial"/>
        <family val="2"/>
      </rPr>
      <t>CO</t>
    </r>
    <r>
      <rPr>
        <vertAlign val="subscript"/>
        <sz val="11"/>
        <color rgb="FF000000"/>
        <rFont val="Arial"/>
        <family val="2"/>
      </rPr>
      <t>3</t>
    </r>
    <phoneticPr fontId="1" type="noConversion"/>
  </si>
  <si>
    <r>
      <t>CaCl</t>
    </r>
    <r>
      <rPr>
        <vertAlign val="subscript"/>
        <sz val="11"/>
        <color rgb="FF000000"/>
        <rFont val="Arial"/>
        <family val="2"/>
      </rPr>
      <t>2</t>
    </r>
    <phoneticPr fontId="1" type="noConversion"/>
  </si>
  <si>
    <r>
      <t>2LiCoO</t>
    </r>
    <r>
      <rPr>
        <vertAlign val="subscript"/>
        <sz val="11"/>
        <color rgb="FF000000"/>
        <rFont val="Arial"/>
        <family val="2"/>
      </rPr>
      <t>2</t>
    </r>
    <phoneticPr fontId="1" type="noConversion"/>
  </si>
  <si>
    <r>
      <t>Na</t>
    </r>
    <r>
      <rPr>
        <vertAlign val="subscript"/>
        <sz val="11"/>
        <color rgb="FF000000"/>
        <rFont val="Arial"/>
        <family val="2"/>
      </rPr>
      <t>2</t>
    </r>
    <r>
      <rPr>
        <sz val="11"/>
        <color rgb="FF000000"/>
        <rFont val="Arial"/>
        <family val="2"/>
      </rPr>
      <t>O</t>
    </r>
    <phoneticPr fontId="1" type="noConversion"/>
  </si>
  <si>
    <t>CoO</t>
    <phoneticPr fontId="1" type="noConversion"/>
  </si>
  <si>
    <r>
      <t>CoO</t>
    </r>
    <r>
      <rPr>
        <vertAlign val="subscript"/>
        <sz val="11"/>
        <color rgb="FF000000"/>
        <rFont val="Arial"/>
        <family val="2"/>
      </rPr>
      <t>2</t>
    </r>
    <phoneticPr fontId="1" type="noConversion"/>
  </si>
  <si>
    <r>
      <t>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(s)</t>
    </r>
    <phoneticPr fontId="1" type="noConversion"/>
  </si>
  <si>
    <r>
      <t>Separator 1(CaO + CO</t>
    </r>
    <r>
      <rPr>
        <vertAlign val="subscript"/>
        <sz val="11"/>
        <color rgb="FF000000"/>
        <rFont val="Arial"/>
        <family val="2"/>
      </rPr>
      <t>2</t>
    </r>
    <r>
      <rPr>
        <sz val="11"/>
        <color rgb="FF000000"/>
        <rFont val="Arial"/>
        <family val="2"/>
      </rPr>
      <t xml:space="preserve"> + unreacted CaCO</t>
    </r>
    <r>
      <rPr>
        <vertAlign val="subscript"/>
        <sz val="11"/>
        <color rgb="FF000000"/>
        <rFont val="Arial"/>
        <family val="2"/>
      </rPr>
      <t>3</t>
    </r>
    <r>
      <rPr>
        <sz val="11"/>
        <color rgb="FF000000"/>
        <rFont val="Arial"/>
        <family val="2"/>
      </rPr>
      <t>)</t>
    </r>
    <phoneticPr fontId="1" type="noConversion"/>
  </si>
  <si>
    <r>
      <t>Separator 3(NH</t>
    </r>
    <r>
      <rPr>
        <vertAlign val="subscript"/>
        <sz val="11"/>
        <color rgb="FF000000"/>
        <rFont val="Arial"/>
        <family val="2"/>
      </rPr>
      <t>4</t>
    </r>
    <r>
      <rPr>
        <sz val="11"/>
        <color rgb="FF000000"/>
        <rFont val="Arial"/>
        <family val="2"/>
      </rPr>
      <t>OH + NaCl)</t>
    </r>
    <phoneticPr fontId="1" type="noConversion"/>
  </si>
  <si>
    <r>
      <t>Separator 4(Ca(OH)</t>
    </r>
    <r>
      <rPr>
        <vertAlign val="subscript"/>
        <sz val="11"/>
        <color rgb="FF000000"/>
        <rFont val="Arial"/>
        <family val="2"/>
      </rPr>
      <t>2</t>
    </r>
    <r>
      <rPr>
        <sz val="11"/>
        <color rgb="FF000000"/>
        <rFont val="Arial"/>
        <family val="2"/>
      </rPr>
      <t xml:space="preserve"> + Remaining H</t>
    </r>
    <r>
      <rPr>
        <vertAlign val="subscript"/>
        <sz val="11"/>
        <color rgb="FF000000"/>
        <rFont val="Arial"/>
        <family val="2"/>
      </rPr>
      <t>2</t>
    </r>
    <r>
      <rPr>
        <sz val="11"/>
        <color rgb="FF000000"/>
        <rFont val="Arial"/>
        <family val="2"/>
      </rPr>
      <t>O)</t>
    </r>
    <phoneticPr fontId="1" type="noConversion"/>
  </si>
  <si>
    <r>
      <t>Separator 5(NH</t>
    </r>
    <r>
      <rPr>
        <vertAlign val="subscript"/>
        <sz val="11"/>
        <color rgb="FF000000"/>
        <rFont val="Arial"/>
        <family val="2"/>
      </rPr>
      <t>4</t>
    </r>
    <r>
      <rPr>
        <sz val="11"/>
        <color rgb="FF000000"/>
        <rFont val="Arial"/>
        <family val="2"/>
      </rPr>
      <t>Cl + NaHCO</t>
    </r>
    <r>
      <rPr>
        <vertAlign val="subscript"/>
        <sz val="11"/>
        <color rgb="FF000000"/>
        <rFont val="Arial"/>
        <family val="2"/>
      </rPr>
      <t>3</t>
    </r>
    <r>
      <rPr>
        <sz val="11"/>
        <color rgb="FF000000"/>
        <rFont val="Arial"/>
        <family val="2"/>
      </rPr>
      <t xml:space="preserve"> + Residual reactants)</t>
    </r>
    <phoneticPr fontId="1" type="noConversion"/>
  </si>
  <si>
    <r>
      <t>Separator 6(NaHCO</t>
    </r>
    <r>
      <rPr>
        <vertAlign val="subscript"/>
        <sz val="11"/>
        <color rgb="FF000000"/>
        <rFont val="Arial"/>
        <family val="2"/>
      </rPr>
      <t>3</t>
    </r>
    <r>
      <rPr>
        <sz val="11"/>
        <color rgb="FF000000"/>
        <rFont val="Arial"/>
        <family val="2"/>
      </rPr>
      <t xml:space="preserve"> + NH</t>
    </r>
    <r>
      <rPr>
        <vertAlign val="subscript"/>
        <sz val="11"/>
        <color rgb="FF000000"/>
        <rFont val="Arial"/>
        <family val="2"/>
      </rPr>
      <t>4</t>
    </r>
    <r>
      <rPr>
        <sz val="11"/>
        <color rgb="FF000000"/>
        <rFont val="Arial"/>
        <family val="2"/>
      </rPr>
      <t>Cl)</t>
    </r>
    <phoneticPr fontId="1" type="noConversion"/>
  </si>
  <si>
    <r>
      <t>Separator 7(Na</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 xml:space="preserve"> + H</t>
    </r>
    <r>
      <rPr>
        <vertAlign val="subscript"/>
        <sz val="11"/>
        <color rgb="FF000000"/>
        <rFont val="Arial"/>
        <family val="2"/>
      </rPr>
      <t>2</t>
    </r>
    <r>
      <rPr>
        <sz val="11"/>
        <color rgb="FF000000"/>
        <rFont val="Arial"/>
        <family val="2"/>
      </rPr>
      <t>O + CO</t>
    </r>
    <r>
      <rPr>
        <vertAlign val="subscript"/>
        <sz val="11"/>
        <color rgb="FF000000"/>
        <rFont val="Arial"/>
        <family val="2"/>
      </rPr>
      <t>2</t>
    </r>
    <r>
      <rPr>
        <sz val="11"/>
        <color rgb="FF000000"/>
        <rFont val="Arial"/>
        <family val="2"/>
      </rPr>
      <t>)</t>
    </r>
    <phoneticPr fontId="1" type="noConversion"/>
  </si>
  <si>
    <r>
      <t>Separator 8(NH</t>
    </r>
    <r>
      <rPr>
        <vertAlign val="subscript"/>
        <sz val="11"/>
        <color rgb="FF000000"/>
        <rFont val="Arial"/>
        <family val="2"/>
      </rPr>
      <t>3</t>
    </r>
    <r>
      <rPr>
        <sz val="11"/>
        <color rgb="FF000000"/>
        <rFont val="Arial"/>
        <family val="2"/>
      </rPr>
      <t xml:space="preserve"> + CaCl</t>
    </r>
    <r>
      <rPr>
        <vertAlign val="subscript"/>
        <sz val="11"/>
        <color rgb="FF000000"/>
        <rFont val="Arial"/>
        <family val="2"/>
      </rPr>
      <t>2</t>
    </r>
    <r>
      <rPr>
        <sz val="11"/>
        <color rgb="FF000000"/>
        <rFont val="Arial"/>
        <family val="2"/>
      </rPr>
      <t xml:space="preserve"> + H</t>
    </r>
    <r>
      <rPr>
        <vertAlign val="subscript"/>
        <sz val="11"/>
        <color rgb="FF000000"/>
        <rFont val="Arial"/>
        <family val="2"/>
      </rPr>
      <t>2</t>
    </r>
    <r>
      <rPr>
        <sz val="11"/>
        <color rgb="FF000000"/>
        <rFont val="Arial"/>
        <family val="2"/>
      </rPr>
      <t>O)</t>
    </r>
    <phoneticPr fontId="1" type="noConversion"/>
  </si>
  <si>
    <r>
      <t>3H</t>
    </r>
    <r>
      <rPr>
        <vertAlign val="subscript"/>
        <sz val="11"/>
        <color theme="1"/>
        <rFont val="Arial"/>
        <family val="2"/>
      </rPr>
      <t>2</t>
    </r>
    <phoneticPr fontId="1" type="noConversion"/>
  </si>
  <si>
    <r>
      <t>H</t>
    </r>
    <r>
      <rPr>
        <vertAlign val="subscript"/>
        <sz val="11"/>
        <color theme="1"/>
        <rFont val="Arial"/>
        <family val="2"/>
      </rPr>
      <t>2</t>
    </r>
    <phoneticPr fontId="1" type="noConversion"/>
  </si>
  <si>
    <r>
      <t>2NH</t>
    </r>
    <r>
      <rPr>
        <vertAlign val="subscript"/>
        <sz val="11"/>
        <color rgb="FF000000"/>
        <rFont val="Arial"/>
        <family val="2"/>
      </rPr>
      <t>3</t>
    </r>
    <phoneticPr fontId="1" type="noConversion"/>
  </si>
  <si>
    <r>
      <t>2H</t>
    </r>
    <r>
      <rPr>
        <vertAlign val="subscript"/>
        <sz val="11"/>
        <color rgb="FF000000"/>
        <rFont val="Arial"/>
        <family val="2"/>
      </rPr>
      <t>2</t>
    </r>
    <r>
      <rPr>
        <sz val="11"/>
        <color rgb="FF000000"/>
        <rFont val="Arial"/>
        <family val="2"/>
      </rPr>
      <t>O</t>
    </r>
    <phoneticPr fontId="1" type="noConversion"/>
  </si>
  <si>
    <r>
      <t>Li</t>
    </r>
    <r>
      <rPr>
        <vertAlign val="subscript"/>
        <sz val="11"/>
        <color rgb="FF000000"/>
        <rFont val="Arial"/>
        <family val="2"/>
      </rPr>
      <t>2</t>
    </r>
    <r>
      <rPr>
        <sz val="11"/>
        <color rgb="FF000000"/>
        <rFont val="Arial"/>
        <family val="2"/>
      </rPr>
      <t>CO</t>
    </r>
    <r>
      <rPr>
        <vertAlign val="subscript"/>
        <sz val="11"/>
        <color rgb="FF000000"/>
        <rFont val="Arial"/>
        <family val="2"/>
      </rPr>
      <t>3</t>
    </r>
    <phoneticPr fontId="1" type="noConversion"/>
  </si>
  <si>
    <r>
      <t>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(l)·H</t>
    </r>
    <r>
      <rPr>
        <vertAlign val="subscript"/>
        <sz val="11"/>
        <color rgb="FF000000"/>
        <rFont val="Arial"/>
        <family val="2"/>
      </rPr>
      <t>2</t>
    </r>
    <r>
      <rPr>
        <sz val="11"/>
        <color rgb="FF000000"/>
        <rFont val="Arial"/>
        <family val="2"/>
      </rPr>
      <t>O</t>
    </r>
    <phoneticPr fontId="1" type="noConversion"/>
  </si>
  <si>
    <r>
      <t>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l)</t>
    </r>
    <phoneticPr fontId="1" type="noConversion"/>
  </si>
  <si>
    <r>
      <t>2LiCoO</t>
    </r>
    <r>
      <rPr>
        <vertAlign val="subscript"/>
        <sz val="11"/>
        <color rgb="FF000000"/>
        <rFont val="Arial"/>
        <family val="2"/>
      </rPr>
      <t>2</t>
    </r>
    <r>
      <rPr>
        <sz val="11"/>
        <color rgb="FF000000"/>
        <rFont val="Arial"/>
        <family val="2"/>
      </rPr>
      <t xml:space="preserve"> + Na</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 xml:space="preserve"> → 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 xml:space="preserve"> + Na</t>
    </r>
    <r>
      <rPr>
        <vertAlign val="subscript"/>
        <sz val="11"/>
        <color rgb="FF000000"/>
        <rFont val="Arial"/>
        <family val="2"/>
      </rPr>
      <t>2</t>
    </r>
    <r>
      <rPr>
        <sz val="11"/>
        <color rgb="FF000000"/>
        <rFont val="Arial"/>
        <family val="2"/>
      </rPr>
      <t>O + CoO + CoO</t>
    </r>
    <r>
      <rPr>
        <vertAlign val="subscript"/>
        <sz val="11"/>
        <color rgb="FF000000"/>
        <rFont val="Arial"/>
        <family val="2"/>
      </rPr>
      <t>2</t>
    </r>
    <phoneticPr fontId="1" type="noConversion"/>
  </si>
  <si>
    <r>
      <t>2LiCl + NaCO</t>
    </r>
    <r>
      <rPr>
        <vertAlign val="subscript"/>
        <sz val="11"/>
        <color rgb="FF000000"/>
        <rFont val="Arial"/>
        <family val="2"/>
      </rPr>
      <t>3</t>
    </r>
    <r>
      <rPr>
        <sz val="11"/>
        <color rgb="FF000000"/>
        <rFont val="Arial"/>
        <family val="2"/>
      </rPr>
      <t xml:space="preserve"> → Li</t>
    </r>
    <r>
      <rPr>
        <vertAlign val="subscript"/>
        <sz val="11"/>
        <color rgb="FF000000"/>
        <rFont val="Arial"/>
        <family val="2"/>
      </rPr>
      <t>2</t>
    </r>
    <r>
      <rPr>
        <sz val="11"/>
        <color rgb="FF000000"/>
        <rFont val="Arial"/>
        <family val="2"/>
      </rPr>
      <t>CO</t>
    </r>
    <r>
      <rPr>
        <vertAlign val="subscript"/>
        <sz val="11"/>
        <color rgb="FF000000"/>
        <rFont val="Arial"/>
        <family val="2"/>
      </rPr>
      <t>3</t>
    </r>
    <r>
      <rPr>
        <sz val="11"/>
        <color rgb="FF000000"/>
        <rFont val="Arial"/>
        <family val="2"/>
      </rPr>
      <t>(s) + NaCl</t>
    </r>
    <phoneticPr fontId="1" type="noConversion"/>
  </si>
  <si>
    <r>
      <t>H</t>
    </r>
    <r>
      <rPr>
        <vertAlign val="subscript"/>
        <sz val="11"/>
        <color rgb="FF000000"/>
        <rFont val="Arial"/>
        <family val="2"/>
      </rPr>
      <t>2</t>
    </r>
    <r>
      <rPr>
        <sz val="11"/>
        <color rgb="FF000000"/>
        <rFont val="Arial"/>
        <family val="2"/>
      </rPr>
      <t>O</t>
    </r>
    <phoneticPr fontId="1" type="noConversion"/>
  </si>
  <si>
    <t>NPV(10 years)</t>
    <phoneticPr fontId="1" type="noConversion"/>
  </si>
  <si>
    <t>General expenses</t>
    <phoneticPr fontId="1" type="noConversion"/>
  </si>
  <si>
    <t>Variable cost</t>
    <phoneticPr fontId="1" type="noConversion"/>
  </si>
  <si>
    <t>Fixed cost</t>
    <phoneticPr fontId="1" type="noConversion"/>
  </si>
  <si>
    <t>Estimation of total production cost</t>
    <phoneticPr fontId="1" type="noConversion"/>
  </si>
  <si>
    <t xml:space="preserve">Equipment cost
(included FCI) </t>
    <phoneticPr fontId="1" type="noConversion"/>
  </si>
  <si>
    <t>Direct capital
investment cost</t>
    <phoneticPr fontId="1" type="noConversion"/>
  </si>
  <si>
    <t>Indirect capital
investment cost</t>
    <phoneticPr fontId="1" type="noConversion"/>
  </si>
  <si>
    <t>Fixed capital
investment cost</t>
    <phoneticPr fontId="1" type="noConversion"/>
  </si>
  <si>
    <t>Working capital cost</t>
    <phoneticPr fontId="1" type="noConversion"/>
  </si>
  <si>
    <t>https://github.com/HGYH-GNU/S3-process</t>
    <phoneticPr fontId="1" type="noConversion"/>
  </si>
  <si>
    <t xml:space="preserve"> </t>
    <phoneticPr fontId="1" type="noConversion"/>
  </si>
  <si>
    <t>5 year</t>
    <phoneticPr fontId="1" type="noConversion"/>
  </si>
  <si>
    <t>SMR</t>
    <phoneticPr fontId="1" type="noConversion"/>
  </si>
  <si>
    <t>Solvay</t>
    <phoneticPr fontId="1" type="noConversion"/>
  </si>
  <si>
    <t>Spent lithium battery recycling</t>
    <phoneticPr fontId="1" type="noConversion"/>
  </si>
  <si>
    <r>
      <t>Design on a benchmark platform: Integrated S</t>
    </r>
    <r>
      <rPr>
        <b/>
        <vertAlign val="superscript"/>
        <sz val="18"/>
        <color rgb="FF444444"/>
        <rFont val="Arial Black"/>
        <family val="2"/>
      </rPr>
      <t>3</t>
    </r>
    <r>
      <rPr>
        <b/>
        <sz val="18"/>
        <color rgb="FF444444"/>
        <rFont val="Arial Black"/>
        <family val="2"/>
      </rPr>
      <t xml:space="preserve"> process</t>
    </r>
    <phoneticPr fontId="1" type="noConversion"/>
  </si>
  <si>
    <r>
      <t>Design on a benchmarking platform: Integrated S</t>
    </r>
    <r>
      <rPr>
        <b/>
        <vertAlign val="superscript"/>
        <sz val="18"/>
        <color rgb="FF444444"/>
        <rFont val="Arial Black"/>
        <family val="2"/>
      </rPr>
      <t>3</t>
    </r>
    <r>
      <rPr>
        <b/>
        <sz val="18"/>
        <color rgb="FF444444"/>
        <rFont val="Arial Black"/>
        <family val="2"/>
      </rPr>
      <t xml:space="preserve"> process</t>
    </r>
    <phoneticPr fontId="1" type="noConversion"/>
  </si>
  <si>
    <r>
      <t>S</t>
    </r>
    <r>
      <rPr>
        <b/>
        <vertAlign val="superscript"/>
        <sz val="14"/>
        <color theme="1"/>
        <rFont val="Arial"/>
        <family val="2"/>
      </rPr>
      <t>3</t>
    </r>
    <r>
      <rPr>
        <b/>
        <sz val="14"/>
        <color theme="1"/>
        <rFont val="Arial"/>
        <family val="2"/>
      </rPr>
      <t xml:space="preserve"> process</t>
    </r>
    <phoneticPr fontId="1" type="noConversion"/>
  </si>
  <si>
    <t>Inputs &amp; results</t>
    <phoneticPr fontId="1" type="noConversion"/>
  </si>
  <si>
    <t>Before integration</t>
    <phoneticPr fontId="1" type="noConversion"/>
  </si>
  <si>
    <t>After integration</t>
    <phoneticPr fontId="1" type="noConversion"/>
  </si>
  <si>
    <t>NOx emissions (ton/yr)</t>
  </si>
  <si>
    <t>At break-even point</t>
    <phoneticPr fontId="1" type="noConversion"/>
  </si>
  <si>
    <t>year</t>
    <phoneticPr fontId="1" type="noConversion"/>
  </si>
  <si>
    <t>Net profit ($/yr)</t>
    <phoneticPr fontId="1" type="noConversion"/>
  </si>
  <si>
    <t>Cash flow ($/yr)</t>
    <phoneticPr fontId="1" type="noConversion"/>
  </si>
  <si>
    <t>ROI (%)</t>
    <phoneticPr fontId="1" type="noConversion"/>
  </si>
  <si>
    <t>PBP (year)</t>
    <phoneticPr fontId="1" type="noConversion"/>
  </si>
  <si>
    <t>Break-even point (%)</t>
    <phoneticPr fontId="1" type="noConversion"/>
  </si>
  <si>
    <t>$</t>
    <phoneticPr fontId="1" type="noConversion"/>
  </si>
  <si>
    <t>NPW ($)</t>
    <phoneticPr fontId="1" type="noConversion"/>
  </si>
  <si>
    <t>Total product cost</t>
    <phoneticPr fontId="1" type="noConversion"/>
  </si>
  <si>
    <t>Hi :)</t>
    <phoneticPr fontId="1" type="noConversion"/>
  </si>
  <si>
    <t>Equipment Cost</t>
    <phoneticPr fontId="1" type="noConversion"/>
  </si>
  <si>
    <t>Equipment</t>
    <phoneticPr fontId="1" type="noConversion"/>
  </si>
  <si>
    <t>　</t>
    <phoneticPr fontId="1" type="noConversion"/>
  </si>
  <si>
    <t>SMR Reactor</t>
    <phoneticPr fontId="1" type="noConversion"/>
  </si>
  <si>
    <t>WGS Reactor</t>
    <phoneticPr fontId="1" type="noConversion"/>
  </si>
  <si>
    <t>Furnace (SMR reactor)</t>
    <phoneticPr fontId="1" type="noConversion"/>
  </si>
  <si>
    <t>-</t>
    <phoneticPr fontId="1" type="noConversion"/>
  </si>
  <si>
    <t>SMR Total</t>
    <phoneticPr fontId="1" type="noConversion"/>
  </si>
  <si>
    <t>Furnace (Calcium carbonate pyrolysis)</t>
    <phoneticPr fontId="1" type="noConversion"/>
  </si>
  <si>
    <t>Slaker</t>
    <phoneticPr fontId="1" type="noConversion"/>
  </si>
  <si>
    <t>Carbonating tower</t>
    <phoneticPr fontId="1" type="noConversion"/>
  </si>
  <si>
    <t>Calciner</t>
    <phoneticPr fontId="1" type="noConversion"/>
  </si>
  <si>
    <t>Solvay Total</t>
    <phoneticPr fontId="1" type="noConversion"/>
  </si>
  <si>
    <t>Spent lithium battery</t>
    <phoneticPr fontId="1" type="noConversion"/>
  </si>
  <si>
    <t>Rotary kiin</t>
    <phoneticPr fontId="1" type="noConversion"/>
  </si>
  <si>
    <t>Wet grinder</t>
    <phoneticPr fontId="1" type="noConversion"/>
  </si>
  <si>
    <t>Mixer</t>
    <phoneticPr fontId="1" type="noConversion"/>
  </si>
  <si>
    <t>Large heat stirrer</t>
    <phoneticPr fontId="1" type="noConversion"/>
  </si>
  <si>
    <t>Stirred reactor</t>
    <phoneticPr fontId="1" type="noConversion"/>
  </si>
  <si>
    <t>Spent lithium battery Total</t>
    <phoneticPr fontId="1" type="noConversion"/>
  </si>
  <si>
    <t>Total Equipment Cost</t>
    <phoneticPr fontId="1" type="noConversion"/>
  </si>
  <si>
    <t>lico)2</t>
    <phoneticPr fontId="1" type="noConversion"/>
  </si>
  <si>
    <t>-</t>
    <phoneticPr fontId="1" type="noConversion"/>
  </si>
  <si>
    <r>
      <t>Separator 1(CaO + CO</t>
    </r>
    <r>
      <rPr>
        <vertAlign val="subscript"/>
        <sz val="12"/>
        <color theme="1"/>
        <rFont val="Arial"/>
        <family val="2"/>
      </rPr>
      <t>2</t>
    </r>
    <r>
      <rPr>
        <sz val="12"/>
        <color theme="1"/>
        <rFont val="Arial"/>
        <family val="2"/>
      </rPr>
      <t xml:space="preserve"> + unreacted CaCO</t>
    </r>
    <r>
      <rPr>
        <vertAlign val="subscript"/>
        <sz val="12"/>
        <color theme="1"/>
        <rFont val="Arial"/>
        <family val="2"/>
      </rPr>
      <t>3</t>
    </r>
    <r>
      <rPr>
        <sz val="12"/>
        <color theme="1"/>
        <rFont val="Arial"/>
        <family val="2"/>
      </rPr>
      <t>)</t>
    </r>
    <phoneticPr fontId="1" type="noConversion"/>
  </si>
  <si>
    <r>
      <t>Separator 2(CaO + unreacted CaCO</t>
    </r>
    <r>
      <rPr>
        <vertAlign val="subscript"/>
        <sz val="12"/>
        <color theme="1"/>
        <rFont val="Arial"/>
        <family val="2"/>
      </rPr>
      <t>3</t>
    </r>
    <r>
      <rPr>
        <sz val="12"/>
        <color theme="1"/>
        <rFont val="Arial"/>
        <family val="2"/>
      </rPr>
      <t>)</t>
    </r>
    <phoneticPr fontId="1" type="noConversion"/>
  </si>
  <si>
    <r>
      <t>Separator 3(NH</t>
    </r>
    <r>
      <rPr>
        <vertAlign val="subscript"/>
        <sz val="12"/>
        <color theme="1"/>
        <rFont val="Arial"/>
        <family val="2"/>
      </rPr>
      <t>4</t>
    </r>
    <r>
      <rPr>
        <sz val="12"/>
        <color theme="1"/>
        <rFont val="Arial"/>
        <family val="2"/>
      </rPr>
      <t>OH + NaCl)</t>
    </r>
    <phoneticPr fontId="1" type="noConversion"/>
  </si>
  <si>
    <r>
      <t>Separator 4(Ca(OH)</t>
    </r>
    <r>
      <rPr>
        <vertAlign val="subscript"/>
        <sz val="12"/>
        <color theme="1"/>
        <rFont val="Arial"/>
        <family val="2"/>
      </rPr>
      <t>2</t>
    </r>
    <r>
      <rPr>
        <sz val="12"/>
        <color theme="1"/>
        <rFont val="Arial"/>
        <family val="2"/>
      </rPr>
      <t xml:space="preserve"> + Remaining H</t>
    </r>
    <r>
      <rPr>
        <vertAlign val="subscript"/>
        <sz val="12"/>
        <color theme="1"/>
        <rFont val="Arial"/>
        <family val="2"/>
      </rPr>
      <t>2</t>
    </r>
    <r>
      <rPr>
        <sz val="12"/>
        <color theme="1"/>
        <rFont val="Arial"/>
        <family val="2"/>
      </rPr>
      <t>O)</t>
    </r>
    <phoneticPr fontId="1" type="noConversion"/>
  </si>
  <si>
    <r>
      <t>Separator 5(NH</t>
    </r>
    <r>
      <rPr>
        <vertAlign val="subscript"/>
        <sz val="12"/>
        <color theme="1"/>
        <rFont val="Arial"/>
        <family val="2"/>
      </rPr>
      <t>4</t>
    </r>
    <r>
      <rPr>
        <sz val="12"/>
        <color theme="1"/>
        <rFont val="Arial"/>
        <family val="2"/>
      </rPr>
      <t>Cl + NaHCO</t>
    </r>
    <r>
      <rPr>
        <vertAlign val="subscript"/>
        <sz val="12"/>
        <color theme="1"/>
        <rFont val="Arial"/>
        <family val="2"/>
      </rPr>
      <t>3</t>
    </r>
    <r>
      <rPr>
        <sz val="12"/>
        <color theme="1"/>
        <rFont val="Arial"/>
        <family val="2"/>
      </rPr>
      <t xml:space="preserve"> + Residual reactants)</t>
    </r>
    <phoneticPr fontId="1" type="noConversion"/>
  </si>
  <si>
    <r>
      <t>Separator 6(NaHCO</t>
    </r>
    <r>
      <rPr>
        <vertAlign val="subscript"/>
        <sz val="12"/>
        <color theme="1"/>
        <rFont val="Arial"/>
        <family val="2"/>
      </rPr>
      <t>3</t>
    </r>
    <r>
      <rPr>
        <sz val="12"/>
        <color theme="1"/>
        <rFont val="Arial"/>
        <family val="2"/>
      </rPr>
      <t xml:space="preserve"> + NH</t>
    </r>
    <r>
      <rPr>
        <vertAlign val="subscript"/>
        <sz val="12"/>
        <color theme="1"/>
        <rFont val="Arial"/>
        <family val="2"/>
      </rPr>
      <t>4</t>
    </r>
    <r>
      <rPr>
        <sz val="12"/>
        <color theme="1"/>
        <rFont val="Arial"/>
        <family val="2"/>
      </rPr>
      <t>Cl)</t>
    </r>
    <phoneticPr fontId="1" type="noConversion"/>
  </si>
  <si>
    <r>
      <t>Separator 7(Na</t>
    </r>
    <r>
      <rPr>
        <vertAlign val="subscript"/>
        <sz val="12"/>
        <color theme="1"/>
        <rFont val="Arial"/>
        <family val="2"/>
      </rPr>
      <t>2</t>
    </r>
    <r>
      <rPr>
        <sz val="12"/>
        <color theme="1"/>
        <rFont val="Arial"/>
        <family val="2"/>
      </rPr>
      <t>CO</t>
    </r>
    <r>
      <rPr>
        <vertAlign val="subscript"/>
        <sz val="12"/>
        <color theme="1"/>
        <rFont val="Arial"/>
        <family val="2"/>
      </rPr>
      <t>3</t>
    </r>
    <r>
      <rPr>
        <sz val="12"/>
        <color theme="1"/>
        <rFont val="Arial"/>
        <family val="2"/>
      </rPr>
      <t xml:space="preserve"> + H</t>
    </r>
    <r>
      <rPr>
        <vertAlign val="subscript"/>
        <sz val="12"/>
        <color theme="1"/>
        <rFont val="Arial"/>
        <family val="2"/>
      </rPr>
      <t>2</t>
    </r>
    <r>
      <rPr>
        <sz val="12"/>
        <color theme="1"/>
        <rFont val="Arial"/>
        <family val="2"/>
      </rPr>
      <t>O + CO</t>
    </r>
    <r>
      <rPr>
        <vertAlign val="subscript"/>
        <sz val="12"/>
        <color theme="1"/>
        <rFont val="Arial"/>
        <family val="2"/>
      </rPr>
      <t>2</t>
    </r>
    <r>
      <rPr>
        <sz val="12"/>
        <color theme="1"/>
        <rFont val="Arial"/>
        <family val="2"/>
      </rPr>
      <t>)</t>
    </r>
    <phoneticPr fontId="1" type="noConversion"/>
  </si>
  <si>
    <r>
      <t>Separator 8(NH</t>
    </r>
    <r>
      <rPr>
        <vertAlign val="subscript"/>
        <sz val="12"/>
        <color theme="1"/>
        <rFont val="Arial"/>
        <family val="2"/>
      </rPr>
      <t>3</t>
    </r>
    <r>
      <rPr>
        <sz val="12"/>
        <color theme="1"/>
        <rFont val="Arial"/>
        <family val="2"/>
      </rPr>
      <t xml:space="preserve"> + CaCl</t>
    </r>
    <r>
      <rPr>
        <vertAlign val="subscript"/>
        <sz val="12"/>
        <color theme="1"/>
        <rFont val="Arial"/>
        <family val="2"/>
      </rPr>
      <t>2</t>
    </r>
    <r>
      <rPr>
        <sz val="12"/>
        <color theme="1"/>
        <rFont val="Arial"/>
        <family val="2"/>
      </rPr>
      <t xml:space="preserve"> + H</t>
    </r>
    <r>
      <rPr>
        <vertAlign val="subscript"/>
        <sz val="12"/>
        <color theme="1"/>
        <rFont val="Arial"/>
        <family val="2"/>
      </rPr>
      <t>2</t>
    </r>
    <r>
      <rPr>
        <sz val="12"/>
        <color theme="1"/>
        <rFont val="Arial"/>
        <family val="2"/>
      </rPr>
      <t>O)</t>
    </r>
    <phoneticPr fontId="1" type="noConversion"/>
  </si>
  <si>
    <r>
      <t>Flow rate (m</t>
    </r>
    <r>
      <rPr>
        <b/>
        <vertAlign val="superscript"/>
        <sz val="12"/>
        <color theme="1"/>
        <rFont val="Arial"/>
        <family val="2"/>
      </rPr>
      <t>3</t>
    </r>
    <r>
      <rPr>
        <b/>
        <sz val="12"/>
        <color theme="1"/>
        <rFont val="Arial"/>
        <family val="2"/>
      </rPr>
      <t>/day)</t>
    </r>
    <phoneticPr fontId="1" type="noConversion"/>
  </si>
  <si>
    <t>-</t>
    <phoneticPr fontId="1" type="noConversion"/>
  </si>
  <si>
    <t>Excel and AutoCAD were used as methods to examine the performance results presented in this report. The drawing made using AutoCAD was used to easily understand the flow of the process integrating each process. The material balance using Excel can evaluate the economic feasibility by determining the production volume of the desired material and utility . The calculated mass balance was also used to determine the size and cost of major equipment. To consider practicality, conversion rates were estimated using data from existing commercialized processes. In addition, the carbon dioxide reduction rate and nitrous oxide emissions were calculated to evaluate environmental performance before and after integration.</t>
    <phoneticPr fontId="1" type="noConversion"/>
  </si>
  <si>
    <t>Design on a benchmarking platform: Integrated S3 process</t>
    <phoneticPr fontId="1" type="noConversion"/>
  </si>
  <si>
    <r>
      <t>H</t>
    </r>
    <r>
      <rPr>
        <sz val="8"/>
        <color theme="1"/>
        <rFont val="Arial"/>
        <family val="2"/>
      </rPr>
      <t>2</t>
    </r>
    <r>
      <rPr>
        <sz val="11"/>
        <color theme="1"/>
        <rFont val="Arial"/>
        <family val="2"/>
      </rPr>
      <t>O</t>
    </r>
    <phoneticPr fontId="1" type="noConversion"/>
  </si>
  <si>
    <t>Total revenue</t>
    <phoneticPr fontId="1" type="noConversion"/>
  </si>
  <si>
    <t>Gross product cost</t>
    <phoneticPr fontId="1" type="noConversion"/>
  </si>
  <si>
    <t>이원석 외 7명, 2021, 국가 수소공급 인프라 구축을 위한 블루수소의 역할, 한국자원공학회지 58.5, p.503-520</t>
  </si>
  <si>
    <t>박상영, 2023, ‘도시광산’ 폐배터리 재활용…2045년에는 수산화리튬 2만톤 확보</t>
  </si>
  <si>
    <t>김성호, 리튬 이온 배터리 재활용, 한국과학기술정보연구원</t>
  </si>
  <si>
    <t>손정수, 리튬이차전지 재활용 기술동향, 한국지질자원연구원</t>
  </si>
  <si>
    <t>2020, 신재생 에너지백서, 산업통상자원부, 한국에너지공단</t>
  </si>
  <si>
    <t>최병일, 2018, 액체수소 기반 미래 수소사회 인프라 구축 방안, 대한기계학회 춘추학술대회</t>
  </si>
  <si>
    <t>한진석 외 1명, 2023, 전기 자동차용 폐배터리의 처리, 한국전지학회지</t>
  </si>
  <si>
    <t>김희영, 2022, 전기차 배터리 재활용 산업 동향 및 시사점: 중국 사례 중심으로, 한국무엽협회 국제무역통상연구원</t>
  </si>
  <si>
    <t>박재호, 2016, 폐 리튬이온 2차전지의 양극재로부터 리튬을 회수하여 고순도 탄산리튬을 제조하는 방법_특허, 주식회사 재영텍</t>
  </si>
  <si>
    <t>주소영 외 6명, 폐리튬이차전지에서 회수한 탄산리튬으로부터 2-step 침전공정을 이용한 고순도 수산화리튬 분말 제조 연구, 고등기술연구원 융합소재공정센터, 성일하이텍㈜ 부설연구소, 한국생산기술연구원 뿌리산업기술연구소</t>
  </si>
  <si>
    <t>Max S. Peters, Klaus D. Timmerhaus, Ronald E. West, 여영구 등 6명, 2019, 『화학공장설계』, Mc.GrawHill, p.234, 251-252</t>
  </si>
  <si>
    <t>요금 단가표, CNCITY 에너지, https://www.cncityenergy.com/jsp/customer/chargeInfoGas.jsp</t>
  </si>
  <si>
    <t>요금 단가, 한국수자원공사, https://www.kwater.or.kr/cust/sub04/sub01/char/char04Page.do?s_mid=1966</t>
  </si>
  <si>
    <t>한국에너지기술연구원, https://www.kier.re.kr/main</t>
  </si>
  <si>
    <t>Kim G.-M. 외 6명, 2019, Empirical Formula to Predict the NOx Emissions from Coal Power Plant using Lab-Scale and Real-Scale Operating Data, Appl, Sci.9, 2914,  https://doi.org/10.3390/app9142914</t>
  </si>
  <si>
    <t>Khan 외 1명, 2011, CHEMCAD as a tool when teaching Chemical Engineering, diva-portal.org</t>
  </si>
  <si>
    <t>H.P. Loh, 2002, Process Equipment Cost Estimation Final Report</t>
  </si>
  <si>
    <t>Hydrochloric acid Price dollar, https://www.chemanalyst.com/Pricing-data/hydrochloric-acid-61</t>
  </si>
  <si>
    <t>H2A: Hydrogen Analysis Production Models, NREL, https://www.nrel.gov/hydrogen/h2a-production-models.html</t>
  </si>
  <si>
    <t>Price of industrial salt in the United States from 2018 to 2022 by type, https://www.statista.com/statistics/916733/us-salt-prices-by-type/</t>
  </si>
  <si>
    <t>Track real-time price movement of 400+ chemical and petrochemical products for informed purchase decisions, CHEMANALYST, https://www.chemanalyst.com/Pricing-data/lithium-carbonate-1269</t>
  </si>
  <si>
    <t>NREL, https://www.nrel.gov</t>
  </si>
  <si>
    <t>European Environment Agency, https://www.eea.europa.eu/en</t>
  </si>
  <si>
    <t>Equipment Cost ($)</t>
    <phoneticPr fontId="1" type="noConversion"/>
  </si>
  <si>
    <t>FCI ($)</t>
    <phoneticPr fontId="1" type="noConversion"/>
  </si>
  <si>
    <r>
      <rPr>
        <sz val="11"/>
        <color theme="1"/>
        <rFont val="맑은 고딕"/>
        <family val="2"/>
      </rPr>
      <t>△</t>
    </r>
    <r>
      <rPr>
        <sz val="11"/>
        <color theme="1"/>
        <rFont val="Arial"/>
        <family val="2"/>
      </rPr>
      <t>H</t>
    </r>
    <r>
      <rPr>
        <sz val="8"/>
        <color theme="1"/>
        <rFont val="Arial"/>
        <family val="2"/>
      </rPr>
      <t>f</t>
    </r>
    <r>
      <rPr>
        <sz val="11"/>
        <color theme="1"/>
        <rFont val="Arial"/>
        <family val="2"/>
      </rPr>
      <t xml:space="preserve"> (kJ/mol)</t>
    </r>
  </si>
  <si>
    <r>
      <rPr>
        <sz val="11"/>
        <color theme="1"/>
        <rFont val="Calibri"/>
        <family val="2"/>
      </rPr>
      <t>△</t>
    </r>
    <r>
      <rPr>
        <sz val="11"/>
        <color theme="1"/>
        <rFont val="Arial"/>
        <family val="2"/>
      </rPr>
      <t>H (kJ/h)</t>
    </r>
  </si>
  <si>
    <r>
      <t>CaCO</t>
    </r>
    <r>
      <rPr>
        <vertAlign val="subscript"/>
        <sz val="11"/>
        <color theme="1"/>
        <rFont val="Arial"/>
        <family val="2"/>
      </rPr>
      <t>3</t>
    </r>
    <r>
      <rPr>
        <sz val="11"/>
        <color theme="1"/>
        <rFont val="Arial"/>
        <family val="2"/>
      </rPr>
      <t xml:space="preserve"> → CO</t>
    </r>
    <r>
      <rPr>
        <vertAlign val="subscript"/>
        <sz val="11"/>
        <color theme="1"/>
        <rFont val="Arial"/>
        <family val="2"/>
      </rPr>
      <t>2</t>
    </r>
    <r>
      <rPr>
        <sz val="11"/>
        <color theme="1"/>
        <rFont val="Arial"/>
        <family val="2"/>
      </rPr>
      <t>+CaO</t>
    </r>
  </si>
  <si>
    <r>
      <t>CaO + H</t>
    </r>
    <r>
      <rPr>
        <vertAlign val="subscript"/>
        <sz val="11"/>
        <color theme="1"/>
        <rFont val="Arial"/>
        <family val="2"/>
      </rPr>
      <t>2</t>
    </r>
    <r>
      <rPr>
        <sz val="11"/>
        <color theme="1"/>
        <rFont val="Arial"/>
        <family val="2"/>
      </rPr>
      <t>O → Ca(OH)</t>
    </r>
    <r>
      <rPr>
        <vertAlign val="subscript"/>
        <sz val="11"/>
        <color theme="1"/>
        <rFont val="Arial"/>
        <family val="2"/>
      </rPr>
      <t>2</t>
    </r>
  </si>
  <si>
    <r>
      <t>NaCl + NH</t>
    </r>
    <r>
      <rPr>
        <vertAlign val="subscript"/>
        <sz val="11"/>
        <color theme="1"/>
        <rFont val="Arial"/>
        <family val="2"/>
      </rPr>
      <t>4</t>
    </r>
    <r>
      <rPr>
        <sz val="11"/>
        <color theme="1"/>
        <rFont val="Arial"/>
        <family val="2"/>
      </rPr>
      <t>OH + CO</t>
    </r>
    <r>
      <rPr>
        <vertAlign val="subscript"/>
        <sz val="11"/>
        <color theme="1"/>
        <rFont val="Arial"/>
        <family val="2"/>
      </rPr>
      <t>2</t>
    </r>
    <r>
      <rPr>
        <sz val="11"/>
        <color theme="1"/>
        <rFont val="Arial"/>
        <family val="2"/>
      </rPr>
      <t xml:space="preserve"> → NaHCO</t>
    </r>
    <r>
      <rPr>
        <vertAlign val="subscript"/>
        <sz val="11"/>
        <color theme="1"/>
        <rFont val="Arial"/>
        <family val="2"/>
      </rPr>
      <t xml:space="preserve">3 </t>
    </r>
    <r>
      <rPr>
        <sz val="11"/>
        <color theme="1"/>
        <rFont val="Arial"/>
        <family val="2"/>
      </rPr>
      <t>+ NH</t>
    </r>
    <r>
      <rPr>
        <vertAlign val="subscript"/>
        <sz val="11"/>
        <color theme="1"/>
        <rFont val="Arial"/>
        <family val="2"/>
      </rPr>
      <t>4</t>
    </r>
    <r>
      <rPr>
        <sz val="11"/>
        <color theme="1"/>
        <rFont val="Arial"/>
        <family val="2"/>
      </rPr>
      <t>Cl</t>
    </r>
  </si>
  <si>
    <r>
      <t>2NaHCO</t>
    </r>
    <r>
      <rPr>
        <vertAlign val="subscript"/>
        <sz val="11"/>
        <color theme="1"/>
        <rFont val="Arial"/>
        <family val="2"/>
      </rPr>
      <t>3</t>
    </r>
    <r>
      <rPr>
        <sz val="11"/>
        <color theme="1"/>
        <rFont val="Arial"/>
        <family val="2"/>
      </rPr>
      <t xml:space="preserve"> → Na</t>
    </r>
    <r>
      <rPr>
        <vertAlign val="subscript"/>
        <sz val="11"/>
        <color theme="1"/>
        <rFont val="Arial"/>
        <family val="2"/>
      </rPr>
      <t>2</t>
    </r>
    <r>
      <rPr>
        <sz val="11"/>
        <color theme="1"/>
        <rFont val="Arial"/>
        <family val="2"/>
      </rPr>
      <t>CO</t>
    </r>
    <r>
      <rPr>
        <vertAlign val="subscript"/>
        <sz val="11"/>
        <color theme="1"/>
        <rFont val="Arial"/>
        <family val="2"/>
      </rPr>
      <t xml:space="preserve">3 </t>
    </r>
    <r>
      <rPr>
        <sz val="11"/>
        <color theme="1"/>
        <rFont val="Arial"/>
        <family val="2"/>
      </rPr>
      <t>+ H</t>
    </r>
    <r>
      <rPr>
        <vertAlign val="subscript"/>
        <sz val="11"/>
        <color theme="1"/>
        <rFont val="Arial"/>
        <family val="2"/>
      </rPr>
      <t>2</t>
    </r>
    <r>
      <rPr>
        <sz val="11"/>
        <color theme="1"/>
        <rFont val="Arial"/>
        <family val="2"/>
      </rPr>
      <t>O + CO</t>
    </r>
    <r>
      <rPr>
        <vertAlign val="subscript"/>
        <sz val="11"/>
        <color theme="1"/>
        <rFont val="Arial"/>
        <family val="2"/>
      </rPr>
      <t>2</t>
    </r>
  </si>
  <si>
    <r>
      <t>2NH</t>
    </r>
    <r>
      <rPr>
        <vertAlign val="subscript"/>
        <sz val="11"/>
        <color theme="1"/>
        <rFont val="Arial"/>
        <family val="2"/>
      </rPr>
      <t>4</t>
    </r>
    <r>
      <rPr>
        <sz val="11"/>
        <color theme="1"/>
        <rFont val="Arial"/>
        <family val="2"/>
      </rPr>
      <t>Cl + Ca(OH)</t>
    </r>
    <r>
      <rPr>
        <vertAlign val="subscript"/>
        <sz val="11"/>
        <color theme="1"/>
        <rFont val="Arial"/>
        <family val="2"/>
      </rPr>
      <t>2</t>
    </r>
    <r>
      <rPr>
        <sz val="11"/>
        <color theme="1"/>
        <rFont val="Arial"/>
        <family val="2"/>
      </rPr>
      <t xml:space="preserve"> → 2NH</t>
    </r>
    <r>
      <rPr>
        <vertAlign val="subscript"/>
        <sz val="11"/>
        <color theme="1"/>
        <rFont val="Arial"/>
        <family val="2"/>
      </rPr>
      <t xml:space="preserve">3 </t>
    </r>
    <r>
      <rPr>
        <sz val="11"/>
        <color theme="1"/>
        <rFont val="Arial"/>
        <family val="2"/>
      </rPr>
      <t>+ CaCl</t>
    </r>
    <r>
      <rPr>
        <vertAlign val="subscript"/>
        <sz val="11"/>
        <color theme="1"/>
        <rFont val="Arial"/>
        <family val="2"/>
      </rPr>
      <t xml:space="preserve">2 </t>
    </r>
    <r>
      <rPr>
        <sz val="11"/>
        <color theme="1"/>
        <rFont val="Arial"/>
        <family val="2"/>
      </rPr>
      <t>+ 2H</t>
    </r>
    <r>
      <rPr>
        <vertAlign val="subscript"/>
        <sz val="11"/>
        <color theme="1"/>
        <rFont val="Arial"/>
        <family val="2"/>
      </rPr>
      <t>2</t>
    </r>
    <r>
      <rPr>
        <sz val="11"/>
        <color theme="1"/>
        <rFont val="Arial"/>
        <family val="2"/>
      </rPr>
      <t>O</t>
    </r>
  </si>
  <si>
    <r>
      <t>SMR NO</t>
    </r>
    <r>
      <rPr>
        <b/>
        <sz val="8"/>
        <color theme="1"/>
        <rFont val="Arial"/>
        <family val="2"/>
      </rPr>
      <t>x</t>
    </r>
  </si>
  <si>
    <r>
      <t>CH</t>
    </r>
    <r>
      <rPr>
        <sz val="8"/>
        <color theme="1"/>
        <rFont val="Arial"/>
        <family val="2"/>
      </rPr>
      <t>4</t>
    </r>
    <r>
      <rPr>
        <sz val="11"/>
        <color theme="1"/>
        <rFont val="Arial"/>
        <family val="2"/>
      </rPr>
      <t xml:space="preserve"> </t>
    </r>
    <phoneticPr fontId="1" type="noConversion"/>
  </si>
  <si>
    <r>
      <t>C</t>
    </r>
    <r>
      <rPr>
        <sz val="8"/>
        <color theme="1"/>
        <rFont val="Arial"/>
        <family val="2"/>
      </rPr>
      <t>p</t>
    </r>
    <r>
      <rPr>
        <sz val="11"/>
        <color theme="1"/>
        <rFont val="Arial"/>
        <family val="2"/>
      </rPr>
      <t xml:space="preserve"> (kJ/kg*K)</t>
    </r>
  </si>
  <si>
    <r>
      <t>Q</t>
    </r>
    <r>
      <rPr>
        <sz val="8"/>
        <color theme="1"/>
        <rFont val="Arial"/>
        <family val="2"/>
      </rPr>
      <t>t</t>
    </r>
    <r>
      <rPr>
        <sz val="11"/>
        <color theme="1"/>
        <rFont val="Arial"/>
        <family val="2"/>
      </rPr>
      <t xml:space="preserve"> (BTU/hr)</t>
    </r>
  </si>
  <si>
    <r>
      <t>Q</t>
    </r>
    <r>
      <rPr>
        <sz val="8"/>
        <color theme="1"/>
        <rFont val="Arial"/>
        <family val="2"/>
      </rPr>
      <t>t</t>
    </r>
    <r>
      <rPr>
        <sz val="11"/>
        <color theme="1"/>
        <rFont val="Arial"/>
        <family val="2"/>
      </rPr>
      <t xml:space="preserve"> (kcal/hr)</t>
    </r>
  </si>
  <si>
    <r>
      <t>NO</t>
    </r>
    <r>
      <rPr>
        <sz val="8"/>
        <color theme="1"/>
        <rFont val="Arial"/>
        <family val="2"/>
      </rPr>
      <t>x</t>
    </r>
    <r>
      <rPr>
        <sz val="11"/>
        <color theme="1"/>
        <rFont val="Arial"/>
        <family val="2"/>
      </rPr>
      <t xml:space="preserve"> emissions (L/hr)</t>
    </r>
  </si>
  <si>
    <r>
      <t>NO</t>
    </r>
    <r>
      <rPr>
        <sz val="8"/>
        <color theme="1"/>
        <rFont val="Arial"/>
        <family val="2"/>
      </rPr>
      <t>x</t>
    </r>
    <r>
      <rPr>
        <sz val="11"/>
        <color theme="1"/>
        <rFont val="Arial"/>
        <family val="2"/>
      </rPr>
      <t xml:space="preserve"> emissions (L/yr)</t>
    </r>
  </si>
  <si>
    <r>
      <t>NO</t>
    </r>
    <r>
      <rPr>
        <sz val="8"/>
        <color theme="1"/>
        <rFont val="Arial"/>
        <family val="2"/>
      </rPr>
      <t>x</t>
    </r>
    <r>
      <rPr>
        <sz val="11"/>
        <color theme="1"/>
        <rFont val="Arial"/>
        <family val="2"/>
      </rPr>
      <t xml:space="preserve"> emissions (g/yr)</t>
    </r>
  </si>
  <si>
    <r>
      <t>NO</t>
    </r>
    <r>
      <rPr>
        <sz val="8"/>
        <color theme="1"/>
        <rFont val="Arial"/>
        <family val="2"/>
      </rPr>
      <t>x</t>
    </r>
    <r>
      <rPr>
        <sz val="11"/>
        <color theme="1"/>
        <rFont val="Arial"/>
        <family val="2"/>
      </rPr>
      <t xml:space="preserve"> emissions (kg/yr)</t>
    </r>
  </si>
  <si>
    <r>
      <t>NO</t>
    </r>
    <r>
      <rPr>
        <sz val="8"/>
        <color theme="1"/>
        <rFont val="Arial"/>
        <family val="2"/>
      </rPr>
      <t>x</t>
    </r>
    <r>
      <rPr>
        <sz val="11"/>
        <color theme="1"/>
        <rFont val="Arial"/>
        <family val="2"/>
      </rPr>
      <t xml:space="preserve"> emissions (ton/yr)</t>
    </r>
  </si>
  <si>
    <r>
      <t>Solvay NO</t>
    </r>
    <r>
      <rPr>
        <b/>
        <sz val="8"/>
        <color theme="1"/>
        <rFont val="Arial"/>
        <family val="2"/>
      </rPr>
      <t>x</t>
    </r>
  </si>
  <si>
    <r>
      <t>CaCO</t>
    </r>
    <r>
      <rPr>
        <sz val="8"/>
        <color theme="1"/>
        <rFont val="Arial"/>
        <family val="2"/>
      </rPr>
      <t>3</t>
    </r>
  </si>
  <si>
    <t>Consumption                          (kg/yr)</t>
    <phoneticPr fontId="1" type="noConversion"/>
  </si>
  <si>
    <t>Production                               (kg/yr)</t>
    <phoneticPr fontId="1" type="noConversion"/>
  </si>
  <si>
    <t>Total emissions                      (kg/yr)</t>
    <phoneticPr fontId="1" type="noConversion"/>
  </si>
  <si>
    <t>SMR</t>
    <phoneticPr fontId="1" type="noConversion"/>
  </si>
  <si>
    <t>Solvay</t>
    <phoneticPr fontId="1" type="noConversion"/>
  </si>
  <si>
    <t>Extraction of lithium</t>
    <phoneticPr fontId="1" type="noConversion"/>
  </si>
  <si>
    <r>
      <t>Steam-Methane-Reforming, Shift, Pressure Swing Absorption,
CO</t>
    </r>
    <r>
      <rPr>
        <sz val="11"/>
        <color theme="1"/>
        <rFont val="맑은 고딕"/>
        <family val="1"/>
        <charset val="129"/>
      </rPr>
      <t>₂</t>
    </r>
    <r>
      <rPr>
        <sz val="11"/>
        <color theme="1"/>
        <rFont val="Arial"/>
        <family val="2"/>
      </rPr>
      <t xml:space="preserve"> capture, Solvay process, Extraction of lithium from spent battery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</si>
</sst>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26" formatCode="\$#,##0.00_);[Red]\(\$#,##0.00\)"/>
    <numFmt numFmtId="176" formatCode="_(&quot;$&quot;* #,##0_);_(&quot;$&quot;* \(#,##0\);_(&quot;$&quot;* &quot;-&quot;_);_(@_)"/>
    <numFmt numFmtId="177" formatCode="_(* #,##0_);_(* \(#,##0\);_(* &quot;-&quot;_);_(@_)"/>
    <numFmt numFmtId="178" formatCode="#,##0_ "/>
    <numFmt numFmtId="179" formatCode="_-\$* #,##0_ ;_-\$* \-#,##0\ ;_-\$* &quot;-&quot;_ ;_-@_ "/>
    <numFmt numFmtId="180" formatCode="0.0"/>
    <numFmt numFmtId="181" formatCode="_-[$$]* #,##0_-;\-[$$]* #,##0_-;_-[$$]* &quot;-&quot;_-;_-@_-"/>
    <numFmt numFmtId="182" formatCode="_-* #,##0.0_-;\-* #,##0.0_-;_-* &quot;-&quot;?_-;_-@_-"/>
    <numFmt numFmtId="183" formatCode="_([$$-409]* #,##0.00_);_([$$-409]* \(#,##0.00\);_([$$-409]* &quot;-&quot;??_);_(@_)"/>
    <numFmt numFmtId="184" formatCode="_-\$* #,##0.00_ ;_-\$* \-#,##0.00\ ;_-\$* &quot;-&quot;??_ ;_-@_ "/>
    <numFmt numFmtId="185" formatCode="_(&quot;$&quot;* #,##0.00_);_(&quot;$&quot;* \(#,##0.00\);_(&quot;$&quot;* &quot;-&quot;??_);_(@_)"/>
    <numFmt numFmtId="186" formatCode="0.00_ "/>
    <numFmt numFmtId="187" formatCode="#,##0.0_ "/>
    <numFmt numFmtId="188" formatCode="0.0_ "/>
    <numFmt numFmtId="189" formatCode="0.0_);[Red]\(0.0\)"/>
  </numFmts>
  <fonts count="61"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0"/>
      <name val="Arial"/>
      <family val="2"/>
    </font>
    <font>
      <sz val="11"/>
      <color theme="1"/>
      <name val="Arial"/>
      <family val="2"/>
    </font>
    <font>
      <b/>
      <sz val="11"/>
      <color theme="1"/>
      <name val="Arial"/>
      <family val="2"/>
    </font>
    <font>
      <b/>
      <sz val="14"/>
      <color rgb="FF444444"/>
      <name val="Arial Black"/>
      <family val="2"/>
    </font>
    <font>
      <sz val="11"/>
      <color rgb="FF000000"/>
      <name val="맑은 고딕"/>
      <family val="3"/>
      <charset val="129"/>
    </font>
    <font>
      <sz val="11"/>
      <color rgb="FF000000"/>
      <name val="Arial"/>
      <family val="2"/>
    </font>
    <font>
      <vertAlign val="subscript"/>
      <sz val="11"/>
      <color rgb="FF000000"/>
      <name val="Arial"/>
      <family val="2"/>
    </font>
    <font>
      <sz val="11"/>
      <color rgb="FF202124"/>
      <name val="Arial"/>
      <family val="2"/>
    </font>
    <font>
      <sz val="10"/>
      <name val="Arial"/>
      <family val="2"/>
    </font>
    <font>
      <sz val="11"/>
      <color theme="1"/>
      <name val="맑은 고딕"/>
      <family val="2"/>
      <charset val="129"/>
      <scheme val="minor"/>
    </font>
    <font>
      <sz val="11"/>
      <color rgb="FF444444"/>
      <name val="Arial"/>
      <family val="2"/>
    </font>
    <font>
      <sz val="11"/>
      <color theme="1" tint="0.499984740745262"/>
      <name val="Arial"/>
      <family val="2"/>
    </font>
    <font>
      <vertAlign val="subscript"/>
      <sz val="11"/>
      <color theme="1" tint="0.499984740745262"/>
      <name val="Arial"/>
      <family val="2"/>
    </font>
    <font>
      <sz val="12"/>
      <color rgb="FF000000"/>
      <name val="Arial"/>
      <family val="2"/>
    </font>
    <font>
      <b/>
      <i/>
      <sz val="16"/>
      <color rgb="FF000000"/>
      <name val="Arial"/>
      <family val="2"/>
    </font>
    <font>
      <sz val="12"/>
      <color rgb="FF000000"/>
      <name val="맑은 고딕"/>
      <family val="3"/>
    </font>
    <font>
      <b/>
      <sz val="12"/>
      <color rgb="FF000000"/>
      <name val="맑은 고딕"/>
      <family val="3"/>
    </font>
    <font>
      <b/>
      <sz val="11"/>
      <color rgb="FF000000"/>
      <name val="Arial"/>
      <family val="2"/>
    </font>
    <font>
      <sz val="11"/>
      <color rgb="FF000000"/>
      <name val="Arial"/>
      <family val="2"/>
    </font>
    <font>
      <b/>
      <sz val="11"/>
      <color rgb="FF444444"/>
      <name val="Arial"/>
      <family val="2"/>
    </font>
    <font>
      <b/>
      <sz val="11"/>
      <color theme="5" tint="-0.249977111117893"/>
      <name val="Arial"/>
      <family val="2"/>
    </font>
    <font>
      <sz val="8"/>
      <color rgb="FF000000"/>
      <name val="Arial"/>
      <family val="2"/>
    </font>
    <font>
      <b/>
      <sz val="8"/>
      <color rgb="FF000000"/>
      <name val="Arial"/>
      <family val="2"/>
    </font>
    <font>
      <sz val="11"/>
      <color theme="1"/>
      <name val="맑은 고딕"/>
      <family val="2"/>
      <charset val="129"/>
    </font>
    <font>
      <sz val="11"/>
      <color rgb="FFFF0000"/>
      <name val="Arial"/>
      <family val="2"/>
    </font>
    <font>
      <sz val="10"/>
      <color rgb="FF424242"/>
      <name val="Arial"/>
      <family val="2"/>
    </font>
    <font>
      <sz val="11"/>
      <color theme="0" tint="-0.499984740745262"/>
      <name val="Arial"/>
      <family val="2"/>
    </font>
    <font>
      <vertAlign val="superscript"/>
      <sz val="11"/>
      <color theme="1"/>
      <name val="Arial"/>
      <family val="2"/>
    </font>
    <font>
      <b/>
      <sz val="12"/>
      <color rgb="FF000000"/>
      <name val="Arial"/>
      <family val="2"/>
    </font>
    <font>
      <b/>
      <sz val="12"/>
      <color rgb="FF800000"/>
      <name val="Arial"/>
      <family val="2"/>
    </font>
    <font>
      <sz val="12"/>
      <color rgb="FF595959"/>
      <name val="Arial"/>
      <family val="2"/>
    </font>
    <font>
      <b/>
      <sz val="12"/>
      <color rgb="FF595959"/>
      <name val="Arial"/>
      <family val="2"/>
    </font>
    <font>
      <sz val="12"/>
      <color rgb="FFFF0000"/>
      <name val="Arial"/>
      <family val="2"/>
    </font>
    <font>
      <sz val="12"/>
      <color theme="1"/>
      <name val="Arial"/>
      <family val="2"/>
    </font>
    <font>
      <b/>
      <sz val="12"/>
      <color theme="1"/>
      <name val="Arial"/>
      <family val="2"/>
    </font>
    <font>
      <sz val="12"/>
      <color rgb="FF9C0006"/>
      <name val="Arial"/>
      <family val="2"/>
    </font>
    <font>
      <b/>
      <sz val="12"/>
      <color rgb="FFFF0000"/>
      <name val="Arial"/>
      <family val="2"/>
    </font>
    <font>
      <b/>
      <u/>
      <sz val="12"/>
      <color rgb="FF000000"/>
      <name val="Arial"/>
      <family val="2"/>
    </font>
    <font>
      <vertAlign val="subscript"/>
      <sz val="11"/>
      <color theme="1"/>
      <name val="Arial"/>
      <family val="2"/>
    </font>
    <font>
      <b/>
      <sz val="18"/>
      <color rgb="FF444444"/>
      <name val="Arial Black"/>
      <family val="2"/>
    </font>
    <font>
      <b/>
      <vertAlign val="superscript"/>
      <sz val="18"/>
      <color rgb="FF444444"/>
      <name val="Arial Black"/>
      <family val="2"/>
    </font>
    <font>
      <b/>
      <sz val="14"/>
      <color theme="1"/>
      <name val="Arial"/>
      <family val="2"/>
    </font>
    <font>
      <b/>
      <vertAlign val="superscript"/>
      <sz val="14"/>
      <color theme="1"/>
      <name val="Arial"/>
      <family val="2"/>
    </font>
    <font>
      <sz val="18"/>
      <color theme="1"/>
      <name val="Arial"/>
      <family val="2"/>
    </font>
    <font>
      <b/>
      <i/>
      <sz val="14"/>
      <color theme="1"/>
      <name val="Arial"/>
      <family val="2"/>
    </font>
    <font>
      <b/>
      <sz val="12"/>
      <color rgb="FF0070C0"/>
      <name val="Arial"/>
      <family val="2"/>
    </font>
    <font>
      <b/>
      <sz val="12"/>
      <color rgb="FF444444"/>
      <name val="Arial"/>
      <family val="2"/>
    </font>
    <font>
      <sz val="11"/>
      <color rgb="FF000000"/>
      <name val="Arial"/>
      <family val="3"/>
    </font>
    <font>
      <b/>
      <sz val="12"/>
      <name val="Arial"/>
      <family val="2"/>
    </font>
    <font>
      <b/>
      <sz val="11"/>
      <color rgb="FF0070C0"/>
      <name val="Arial"/>
      <family val="2"/>
    </font>
    <font>
      <vertAlign val="subscript"/>
      <sz val="12"/>
      <color theme="1"/>
      <name val="Arial"/>
      <family val="2"/>
    </font>
    <font>
      <b/>
      <vertAlign val="superscript"/>
      <sz val="12"/>
      <color theme="1"/>
      <name val="Arial"/>
      <family val="2"/>
    </font>
    <font>
      <sz val="8"/>
      <color theme="1"/>
      <name val="Arial"/>
      <family val="2"/>
    </font>
    <font>
      <b/>
      <i/>
      <sz val="16"/>
      <color theme="1"/>
      <name val="Arial"/>
      <family val="2"/>
    </font>
    <font>
      <sz val="11"/>
      <color theme="1"/>
      <name val="맑은 고딕"/>
      <family val="2"/>
    </font>
    <font>
      <sz val="11"/>
      <color theme="1"/>
      <name val="Calibri"/>
      <family val="2"/>
    </font>
    <font>
      <b/>
      <sz val="8"/>
      <color theme="1"/>
      <name val="Arial"/>
      <family val="2"/>
    </font>
    <font>
      <sz val="11"/>
      <color theme="1"/>
      <name val="맑은 고딕"/>
      <family val="1"/>
      <charset val="129"/>
    </font>
  </fonts>
  <fills count="24">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99FF99"/>
        <bgColor indexed="64"/>
      </patternFill>
    </fill>
    <fill>
      <patternFill patternType="solid">
        <fgColor rgb="FFFFCCCC"/>
        <bgColor indexed="64"/>
      </patternFill>
    </fill>
    <fill>
      <patternFill patternType="solid">
        <fgColor rgb="FFDAEEF3"/>
        <bgColor rgb="FF000000"/>
      </patternFill>
    </fill>
    <fill>
      <patternFill patternType="solid">
        <fgColor rgb="FFFFFFFF"/>
        <bgColor rgb="FF000000"/>
      </patternFill>
    </fill>
    <fill>
      <patternFill patternType="solid">
        <fgColor rgb="FFD9D9D9"/>
        <bgColor rgb="FF000000"/>
      </patternFill>
    </fill>
    <fill>
      <patternFill patternType="solid">
        <fgColor theme="0" tint="-0.249977111117893"/>
        <bgColor indexed="64"/>
      </patternFill>
    </fill>
    <fill>
      <patternFill patternType="solid">
        <fgColor rgb="FFDAEEF3"/>
        <bgColor indexed="64"/>
      </patternFill>
    </fill>
    <fill>
      <patternFill patternType="solid">
        <fgColor theme="4" tint="0.59999389629810485"/>
        <bgColor indexed="64"/>
      </patternFill>
    </fill>
    <fill>
      <patternFill patternType="solid">
        <fgColor theme="0" tint="-0.14999847407452621"/>
        <bgColor rgb="FF000000"/>
      </patternFill>
    </fill>
    <fill>
      <patternFill patternType="solid">
        <fgColor theme="0"/>
        <bgColor rgb="FF000000"/>
      </patternFill>
    </fill>
    <fill>
      <patternFill patternType="solid">
        <fgColor theme="6" tint="0.59999389629810485"/>
        <bgColor indexed="64"/>
      </patternFill>
    </fill>
  </fills>
  <borders count="70">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style="thin">
        <color indexed="64"/>
      </top>
      <bottom/>
      <diagonal/>
    </border>
    <border>
      <left/>
      <right style="thin">
        <color indexed="64"/>
      </right>
      <top style="thin">
        <color indexed="64"/>
      </top>
      <bottom/>
      <diagonal/>
    </border>
    <border>
      <left/>
      <right/>
      <top style="medium">
        <color rgb="FF000000"/>
      </top>
      <bottom/>
      <diagonal/>
    </border>
    <border>
      <left/>
      <right style="thin">
        <color indexed="64"/>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indexed="64"/>
      </bottom>
      <diagonal/>
    </border>
    <border>
      <left/>
      <right style="thin">
        <color indexed="64"/>
      </right>
      <top/>
      <bottom style="thin">
        <color indexed="64"/>
      </bottom>
      <diagonal/>
    </border>
    <border>
      <left/>
      <right/>
      <top/>
      <bottom style="medium">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bottom style="thin">
        <color indexed="64"/>
      </bottom>
      <diagonal/>
    </border>
    <border>
      <left style="thin">
        <color rgb="FF000000"/>
      </left>
      <right/>
      <top style="thin">
        <color indexed="64"/>
      </top>
      <bottom/>
      <diagonal/>
    </border>
    <border>
      <left style="thin">
        <color rgb="FF000000"/>
      </left>
      <right/>
      <top/>
      <bottom/>
      <diagonal/>
    </border>
    <border>
      <left style="medium">
        <color rgb="FF000000"/>
      </left>
      <right style="medium">
        <color rgb="FF000000"/>
      </right>
      <top style="thin">
        <color rgb="FF000000"/>
      </top>
      <bottom style="medium">
        <color rgb="FF000000"/>
      </bottom>
      <diagonal/>
    </border>
    <border>
      <left/>
      <right style="thin">
        <color rgb="FF000000"/>
      </right>
      <top/>
      <bottom/>
      <diagonal/>
    </border>
    <border>
      <left/>
      <right/>
      <top/>
      <bottom style="thin">
        <color rgb="FF000000"/>
      </bottom>
      <diagonal/>
    </border>
    <border>
      <left/>
      <right style="thin">
        <color indexed="64"/>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rgb="FF000000"/>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diagonal/>
    </border>
    <border>
      <left style="thin">
        <color indexed="64"/>
      </left>
      <right/>
      <top/>
      <bottom/>
      <diagonal/>
    </border>
    <border>
      <left style="medium">
        <color theme="2" tint="-0.499984740745262"/>
      </left>
      <right/>
      <top style="medium">
        <color theme="2" tint="-0.499984740745262"/>
      </top>
      <bottom/>
      <diagonal/>
    </border>
    <border>
      <left/>
      <right style="medium">
        <color theme="2" tint="-0.499984740745262"/>
      </right>
      <top style="medium">
        <color theme="2" tint="-0.499984740745262"/>
      </top>
      <bottom/>
      <diagonal/>
    </border>
    <border>
      <left style="medium">
        <color theme="2" tint="-0.499984740745262"/>
      </left>
      <right/>
      <top/>
      <bottom/>
      <diagonal/>
    </border>
    <border>
      <left/>
      <right style="medium">
        <color theme="2" tint="-0.499984740745262"/>
      </right>
      <top/>
      <bottom/>
      <diagonal/>
    </border>
    <border>
      <left style="medium">
        <color theme="2" tint="-0.499984740745262"/>
      </left>
      <right/>
      <top/>
      <bottom style="medium">
        <color theme="2" tint="-0.499984740745262"/>
      </bottom>
      <diagonal/>
    </border>
    <border>
      <left/>
      <right style="medium">
        <color theme="2" tint="-0.499984740745262"/>
      </right>
      <top/>
      <bottom style="medium">
        <color theme="2" tint="-0.499984740745262"/>
      </bottom>
      <diagonal/>
    </border>
    <border>
      <left/>
      <right/>
      <top style="medium">
        <color theme="2" tint="-0.499984740745262"/>
      </top>
      <bottom/>
      <diagonal/>
    </border>
    <border>
      <left/>
      <right/>
      <top/>
      <bottom style="medium">
        <color theme="2" tint="-0.499984740745262"/>
      </bottom>
      <diagonal/>
    </border>
    <border>
      <left/>
      <right/>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2" tint="-0.499984740745262"/>
      </left>
      <right style="thin">
        <color theme="2" tint="-0.499984740745262"/>
      </right>
      <top style="thin">
        <color indexed="64"/>
      </top>
      <bottom style="thin">
        <color theme="2" tint="-0.499984740745262"/>
      </bottom>
      <diagonal/>
    </border>
  </borders>
  <cellStyleXfs count="4">
    <xf numFmtId="0" fontId="0" fillId="0" borderId="0">
      <alignment vertical="center"/>
    </xf>
    <xf numFmtId="177" fontId="12" fillId="0" borderId="0" applyFont="0" applyFill="0" applyBorder="0" applyAlignment="0" applyProtection="0"/>
    <xf numFmtId="0" fontId="2" fillId="0" borderId="0" applyNumberFormat="0" applyFill="0" applyBorder="0" applyAlignment="0" applyProtection="0">
      <alignment vertical="center"/>
    </xf>
    <xf numFmtId="0" fontId="2" fillId="0" borderId="0" applyNumberFormat="0" applyFill="0" applyBorder="0" applyAlignment="0" applyProtection="0">
      <alignment vertical="center"/>
    </xf>
  </cellStyleXfs>
  <cellXfs count="478">
    <xf numFmtId="0" fontId="0" fillId="0" borderId="0" xfId="0">
      <alignment vertical="center"/>
    </xf>
    <xf numFmtId="0" fontId="4" fillId="0" borderId="0" xfId="0" applyFont="1">
      <alignment vertical="center"/>
    </xf>
    <xf numFmtId="0" fontId="5" fillId="0" borderId="0" xfId="0" applyFont="1" applyAlignment="1">
      <alignment horizontal="right" vertical="center"/>
    </xf>
    <xf numFmtId="0" fontId="7" fillId="0" borderId="0" xfId="0" applyFo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178" fontId="4" fillId="0" borderId="0" xfId="0" applyNumberFormat="1" applyFont="1" applyAlignment="1">
      <alignment horizontal="center" vertical="center"/>
    </xf>
    <xf numFmtId="3" fontId="4" fillId="0" borderId="0" xfId="0" applyNumberFormat="1" applyFont="1" applyAlignment="1">
      <alignment horizontal="center" vertical="center"/>
    </xf>
    <xf numFmtId="0" fontId="8" fillId="3" borderId="0" xfId="0" applyFont="1" applyFill="1" applyAlignment="1">
      <alignment horizontal="center" vertical="center"/>
    </xf>
    <xf numFmtId="0" fontId="8" fillId="0" borderId="0" xfId="0" applyFont="1" applyAlignment="1">
      <alignment horizontal="center" vertical="center"/>
    </xf>
    <xf numFmtId="0" fontId="17" fillId="15" borderId="2" xfId="0" applyFont="1" applyFill="1" applyBorder="1">
      <alignment vertical="center"/>
    </xf>
    <xf numFmtId="0" fontId="17" fillId="15" borderId="12" xfId="0" applyFont="1" applyFill="1" applyBorder="1">
      <alignment vertical="center"/>
    </xf>
    <xf numFmtId="0" fontId="17" fillId="15" borderId="3" xfId="0" applyFont="1" applyFill="1" applyBorder="1">
      <alignment vertical="center"/>
    </xf>
    <xf numFmtId="0" fontId="3" fillId="6" borderId="0" xfId="0" applyFont="1" applyFill="1" applyAlignment="1">
      <alignment wrapText="1"/>
    </xf>
    <xf numFmtId="0" fontId="3" fillId="0" borderId="0" xfId="0" applyFont="1" applyAlignment="1">
      <alignment wrapText="1"/>
    </xf>
    <xf numFmtId="0" fontId="4" fillId="6" borderId="0" xfId="0" applyFont="1" applyFill="1">
      <alignment vertical="center"/>
    </xf>
    <xf numFmtId="0" fontId="5" fillId="0" borderId="0" xfId="0" applyFont="1">
      <alignment vertical="center"/>
    </xf>
    <xf numFmtId="0" fontId="4" fillId="11" borderId="10" xfId="0" applyFont="1" applyFill="1" applyBorder="1" applyAlignment="1">
      <alignment horizontal="center" vertical="center"/>
    </xf>
    <xf numFmtId="0" fontId="8" fillId="11" borderId="11" xfId="0" applyFont="1" applyFill="1" applyBorder="1" applyAlignment="1">
      <alignment horizontal="center" vertical="center"/>
    </xf>
    <xf numFmtId="0" fontId="4" fillId="11" borderId="0" xfId="0" applyFont="1" applyFill="1" applyAlignment="1">
      <alignment horizontal="center" vertical="center"/>
    </xf>
    <xf numFmtId="3" fontId="4" fillId="0" borderId="13" xfId="1" applyNumberFormat="1" applyFont="1" applyBorder="1" applyAlignment="1">
      <alignment horizontal="right" vertical="center"/>
    </xf>
    <xf numFmtId="0" fontId="4" fillId="11" borderId="16" xfId="0" applyFont="1" applyFill="1" applyBorder="1" applyAlignment="1">
      <alignment horizontal="center" vertical="center"/>
    </xf>
    <xf numFmtId="182" fontId="4" fillId="13" borderId="17" xfId="1" applyNumberFormat="1" applyFont="1" applyFill="1" applyBorder="1" applyAlignment="1">
      <alignment horizontal="center" vertical="center"/>
    </xf>
    <xf numFmtId="0" fontId="8" fillId="11" borderId="10" xfId="0" applyFont="1" applyFill="1" applyBorder="1" applyAlignment="1">
      <alignment horizontal="center" vertical="center"/>
    </xf>
    <xf numFmtId="0" fontId="4" fillId="11" borderId="11" xfId="0" applyFont="1" applyFill="1" applyBorder="1" applyAlignment="1">
      <alignment horizontal="center" vertical="center"/>
    </xf>
    <xf numFmtId="3" fontId="4" fillId="0" borderId="0" xfId="1" applyNumberFormat="1" applyFont="1" applyAlignment="1">
      <alignment horizontal="right" vertical="center"/>
    </xf>
    <xf numFmtId="182" fontId="4" fillId="0" borderId="16" xfId="1" applyNumberFormat="1" applyFont="1" applyBorder="1" applyAlignment="1">
      <alignment horizontal="center" vertical="center"/>
    </xf>
    <xf numFmtId="0" fontId="4" fillId="11" borderId="20" xfId="0" applyFont="1" applyFill="1" applyBorder="1" applyAlignment="1">
      <alignment horizontal="center" vertical="center"/>
    </xf>
    <xf numFmtId="0" fontId="8" fillId="11" borderId="21" xfId="0" applyFont="1" applyFill="1" applyBorder="1" applyAlignment="1">
      <alignment horizontal="center" vertical="center"/>
    </xf>
    <xf numFmtId="0" fontId="4" fillId="11" borderId="22" xfId="0" applyFont="1" applyFill="1" applyBorder="1" applyAlignment="1">
      <alignment horizontal="center" vertical="center"/>
    </xf>
    <xf numFmtId="1" fontId="4" fillId="0" borderId="0" xfId="1" applyNumberFormat="1" applyFont="1" applyAlignment="1">
      <alignment vertical="center"/>
    </xf>
    <xf numFmtId="1" fontId="4" fillId="0" borderId="13" xfId="1" applyNumberFormat="1" applyFont="1" applyBorder="1" applyAlignment="1">
      <alignment vertical="center"/>
    </xf>
    <xf numFmtId="182" fontId="4" fillId="0" borderId="16" xfId="1" applyNumberFormat="1" applyFont="1" applyBorder="1" applyAlignment="1">
      <alignment vertical="center"/>
    </xf>
    <xf numFmtId="182" fontId="4" fillId="13" borderId="17" xfId="1" applyNumberFormat="1" applyFont="1" applyFill="1" applyBorder="1" applyAlignment="1">
      <alignment vertical="center"/>
    </xf>
    <xf numFmtId="38" fontId="4" fillId="0" borderId="0" xfId="0" applyNumberFormat="1" applyFont="1">
      <alignment vertical="center"/>
    </xf>
    <xf numFmtId="38" fontId="4" fillId="0" borderId="0" xfId="1" applyNumberFormat="1" applyFont="1" applyAlignment="1">
      <alignment vertical="center"/>
    </xf>
    <xf numFmtId="38" fontId="4" fillId="0" borderId="13" xfId="1" applyNumberFormat="1" applyFont="1" applyBorder="1" applyAlignment="1">
      <alignment vertical="center"/>
    </xf>
    <xf numFmtId="38" fontId="4" fillId="0" borderId="16" xfId="1" applyNumberFormat="1" applyFont="1" applyBorder="1" applyAlignment="1">
      <alignment vertical="center"/>
    </xf>
    <xf numFmtId="38" fontId="4" fillId="0" borderId="16" xfId="0" applyNumberFormat="1" applyFont="1" applyBorder="1">
      <alignment vertical="center"/>
    </xf>
    <xf numFmtId="3" fontId="4" fillId="0" borderId="0" xfId="1" applyNumberFormat="1" applyFont="1" applyAlignment="1">
      <alignment vertical="center"/>
    </xf>
    <xf numFmtId="182" fontId="4" fillId="0" borderId="13" xfId="1" applyNumberFormat="1" applyFont="1" applyBorder="1" applyAlignment="1">
      <alignment vertical="center"/>
    </xf>
    <xf numFmtId="3" fontId="4" fillId="0" borderId="13" xfId="1" applyNumberFormat="1" applyFont="1" applyBorder="1" applyAlignment="1">
      <alignment vertical="center"/>
    </xf>
    <xf numFmtId="182" fontId="4" fillId="0" borderId="26" xfId="1" applyNumberFormat="1" applyFont="1" applyBorder="1" applyAlignment="1">
      <alignment vertical="center"/>
    </xf>
    <xf numFmtId="0" fontId="4" fillId="12" borderId="2" xfId="0" applyFont="1" applyFill="1" applyBorder="1" applyAlignment="1">
      <alignment horizontal="center" vertical="center"/>
    </xf>
    <xf numFmtId="0" fontId="4" fillId="12" borderId="12" xfId="0" applyFont="1" applyFill="1" applyBorder="1" applyAlignment="1">
      <alignment horizontal="center" vertical="center"/>
    </xf>
    <xf numFmtId="0" fontId="4" fillId="12" borderId="3" xfId="0" applyFont="1" applyFill="1" applyBorder="1" applyAlignment="1">
      <alignment horizontal="center" vertical="center"/>
    </xf>
    <xf numFmtId="0" fontId="5" fillId="2" borderId="0" xfId="0" applyFont="1" applyFill="1" applyAlignment="1">
      <alignment horizontal="center" vertical="center"/>
    </xf>
    <xf numFmtId="177" fontId="4" fillId="0" borderId="0" xfId="1" applyFont="1" applyAlignment="1">
      <alignment horizontal="center" vertical="center"/>
    </xf>
    <xf numFmtId="41" fontId="4" fillId="0" borderId="13" xfId="0" applyNumberFormat="1" applyFont="1" applyBorder="1" applyAlignment="1">
      <alignment horizontal="center" vertical="center"/>
    </xf>
    <xf numFmtId="0" fontId="4" fillId="12" borderId="4" xfId="0" applyFont="1" applyFill="1" applyBorder="1" applyAlignment="1">
      <alignment horizontal="center" vertical="center"/>
    </xf>
    <xf numFmtId="181" fontId="4" fillId="0" borderId="0" xfId="0" applyNumberFormat="1" applyFont="1" applyAlignment="1">
      <alignment horizontal="center" vertical="center"/>
    </xf>
    <xf numFmtId="181" fontId="4" fillId="0" borderId="5" xfId="0" applyNumberFormat="1" applyFont="1" applyBorder="1" applyAlignment="1">
      <alignment horizontal="center" vertical="center"/>
    </xf>
    <xf numFmtId="177" fontId="4" fillId="0" borderId="16" xfId="1" applyFont="1" applyBorder="1" applyAlignment="1">
      <alignment horizontal="center" vertical="center"/>
    </xf>
    <xf numFmtId="177" fontId="4" fillId="13" borderId="17" xfId="1" applyFont="1" applyFill="1" applyBorder="1" applyAlignment="1">
      <alignment horizontal="center" vertical="center"/>
    </xf>
    <xf numFmtId="0" fontId="4" fillId="12" borderId="6" xfId="0" applyFont="1" applyFill="1" applyBorder="1" applyAlignment="1">
      <alignment horizontal="center" vertical="center"/>
    </xf>
    <xf numFmtId="181" fontId="4" fillId="0" borderId="18" xfId="0" applyNumberFormat="1" applyFont="1" applyBorder="1" applyAlignment="1">
      <alignment horizontal="center" vertical="center"/>
    </xf>
    <xf numFmtId="181" fontId="4" fillId="0" borderId="7" xfId="0" applyNumberFormat="1" applyFont="1" applyBorder="1" applyAlignment="1">
      <alignment horizontal="center" vertical="center"/>
    </xf>
    <xf numFmtId="41" fontId="4" fillId="13" borderId="17" xfId="0" applyNumberFormat="1" applyFont="1" applyFill="1" applyBorder="1" applyAlignment="1">
      <alignment horizontal="center" vertical="center"/>
    </xf>
    <xf numFmtId="26" fontId="4" fillId="0" borderId="0" xfId="0" applyNumberFormat="1" applyFont="1" applyAlignment="1">
      <alignment horizontal="center" vertical="center"/>
    </xf>
    <xf numFmtId="0" fontId="4" fillId="12" borderId="31" xfId="0" applyFont="1" applyFill="1" applyBorder="1" applyAlignment="1">
      <alignment horizontal="center" vertical="center"/>
    </xf>
    <xf numFmtId="0" fontId="4" fillId="12" borderId="19" xfId="0" applyFont="1" applyFill="1" applyBorder="1" applyAlignment="1">
      <alignment horizontal="center" vertical="center"/>
    </xf>
    <xf numFmtId="176" fontId="4" fillId="0" borderId="0" xfId="0" applyNumberFormat="1" applyFont="1" applyAlignment="1">
      <alignment horizontal="center" vertical="center"/>
    </xf>
    <xf numFmtId="0" fontId="4" fillId="0" borderId="5" xfId="0" applyFont="1" applyBorder="1" applyAlignment="1">
      <alignment horizontal="center" vertical="center"/>
    </xf>
    <xf numFmtId="3" fontId="4" fillId="3" borderId="0" xfId="0" applyNumberFormat="1" applyFont="1" applyFill="1" applyAlignment="1">
      <alignment horizontal="center" vertical="center"/>
    </xf>
    <xf numFmtId="3" fontId="8" fillId="3" borderId="0" xfId="0" applyNumberFormat="1" applyFont="1" applyFill="1" applyAlignment="1">
      <alignment horizontal="center" vertical="center"/>
    </xf>
    <xf numFmtId="0" fontId="8" fillId="12" borderId="19" xfId="0" applyFont="1" applyFill="1" applyBorder="1" applyAlignment="1">
      <alignment horizontal="center" vertical="center"/>
    </xf>
    <xf numFmtId="0" fontId="8" fillId="12" borderId="23" xfId="0" applyFont="1" applyFill="1" applyBorder="1" applyAlignment="1">
      <alignment horizontal="center" vertical="center"/>
    </xf>
    <xf numFmtId="0" fontId="8" fillId="0" borderId="0" xfId="0" applyFont="1">
      <alignment vertical="center"/>
    </xf>
    <xf numFmtId="38" fontId="4" fillId="3" borderId="0" xfId="0" applyNumberFormat="1" applyFont="1" applyFill="1" applyAlignment="1">
      <alignment horizontal="center" vertical="center"/>
    </xf>
    <xf numFmtId="38" fontId="8" fillId="3" borderId="0" xfId="0" applyNumberFormat="1" applyFont="1" applyFill="1" applyAlignment="1">
      <alignment horizontal="center" vertical="center"/>
    </xf>
    <xf numFmtId="38" fontId="4" fillId="0" borderId="0" xfId="0" applyNumberFormat="1" applyFont="1" applyAlignment="1">
      <alignment horizontal="center" vertical="center"/>
    </xf>
    <xf numFmtId="0" fontId="4" fillId="11" borderId="9" xfId="0" applyFont="1" applyFill="1" applyBorder="1" applyAlignment="1">
      <alignment horizontal="center" vertical="center"/>
    </xf>
    <xf numFmtId="0" fontId="4" fillId="11" borderId="27" xfId="0" applyFont="1" applyFill="1" applyBorder="1" applyAlignment="1">
      <alignment horizontal="center" vertical="center"/>
    </xf>
    <xf numFmtId="0" fontId="4" fillId="0" borderId="0" xfId="0" applyFont="1" applyAlignment="1">
      <alignment horizontal="center" vertical="center" wrapText="1"/>
    </xf>
    <xf numFmtId="182" fontId="4" fillId="0" borderId="0" xfId="1" applyNumberFormat="1" applyFont="1" applyAlignment="1">
      <alignment horizontal="center" vertical="center"/>
    </xf>
    <xf numFmtId="0" fontId="4" fillId="0" borderId="24" xfId="0" applyFont="1" applyBorder="1" applyAlignment="1">
      <alignment horizontal="center" vertical="center"/>
    </xf>
    <xf numFmtId="183" fontId="4" fillId="0" borderId="32" xfId="0" applyNumberFormat="1" applyFont="1" applyBorder="1" applyAlignment="1">
      <alignment horizontal="center" vertical="center"/>
    </xf>
    <xf numFmtId="0" fontId="4" fillId="0" borderId="16" xfId="0" applyFont="1" applyBorder="1" applyAlignment="1">
      <alignment horizontal="center" vertical="center"/>
    </xf>
    <xf numFmtId="183" fontId="4" fillId="0" borderId="33" xfId="0" applyNumberFormat="1" applyFont="1" applyBorder="1" applyAlignment="1">
      <alignment horizontal="center" vertical="center"/>
    </xf>
    <xf numFmtId="0" fontId="8" fillId="11" borderId="0" xfId="0" applyFont="1" applyFill="1" applyAlignment="1">
      <alignment horizontal="center" vertical="center"/>
    </xf>
    <xf numFmtId="0" fontId="8" fillId="11" borderId="9" xfId="0" applyFont="1" applyFill="1" applyBorder="1" applyAlignment="1">
      <alignment horizontal="center" vertical="center"/>
    </xf>
    <xf numFmtId="182" fontId="4" fillId="0" borderId="24" xfId="1" applyNumberFormat="1" applyFont="1" applyBorder="1" applyAlignment="1">
      <alignment horizontal="center" vertical="center"/>
    </xf>
    <xf numFmtId="182" fontId="4" fillId="0" borderId="0" xfId="0" applyNumberFormat="1" applyFont="1" applyAlignment="1">
      <alignment horizontal="center" vertical="center"/>
    </xf>
    <xf numFmtId="38" fontId="8" fillId="11" borderId="0" xfId="0" applyNumberFormat="1" applyFont="1" applyFill="1" applyAlignment="1">
      <alignment horizontal="center" vertical="center"/>
    </xf>
    <xf numFmtId="183" fontId="4" fillId="6" borderId="32" xfId="0" applyNumberFormat="1" applyFont="1" applyFill="1" applyBorder="1" applyAlignment="1">
      <alignment horizontal="center" vertical="center"/>
    </xf>
    <xf numFmtId="183" fontId="4" fillId="14" borderId="33" xfId="0" applyNumberFormat="1" applyFont="1" applyFill="1" applyBorder="1" applyAlignment="1">
      <alignment horizontal="center" vertical="center"/>
    </xf>
    <xf numFmtId="38" fontId="4" fillId="11" borderId="0" xfId="0" applyNumberFormat="1" applyFont="1" applyFill="1" applyAlignment="1">
      <alignment horizontal="center"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xf numFmtId="0" fontId="4" fillId="5" borderId="1" xfId="0" applyFont="1" applyFill="1" applyBorder="1" applyAlignment="1">
      <alignment horizontal="center" vertical="center"/>
    </xf>
    <xf numFmtId="176" fontId="4" fillId="0" borderId="1" xfId="0" applyNumberFormat="1" applyFont="1" applyBorder="1" applyAlignment="1">
      <alignment horizontal="center" vertical="center"/>
    </xf>
    <xf numFmtId="179" fontId="4" fillId="0" borderId="0" xfId="0" applyNumberFormat="1" applyFont="1" applyAlignment="1">
      <alignment horizontal="center" vertical="center"/>
    </xf>
    <xf numFmtId="0" fontId="16" fillId="0" borderId="0" xfId="0" applyFont="1">
      <alignment vertical="center"/>
    </xf>
    <xf numFmtId="0" fontId="16" fillId="17" borderId="2" xfId="0" applyFont="1" applyFill="1" applyBorder="1">
      <alignment vertical="center"/>
    </xf>
    <xf numFmtId="0" fontId="16" fillId="17" borderId="12" xfId="0" applyFont="1" applyFill="1" applyBorder="1">
      <alignment vertical="center"/>
    </xf>
    <xf numFmtId="0" fontId="16" fillId="17" borderId="3" xfId="0" applyFont="1" applyFill="1" applyBorder="1">
      <alignment vertical="center"/>
    </xf>
    <xf numFmtId="0" fontId="16" fillId="17" borderId="2" xfId="0" applyFont="1" applyFill="1" applyBorder="1" applyAlignment="1">
      <alignment horizontal="left" vertical="center"/>
    </xf>
    <xf numFmtId="0" fontId="16" fillId="17" borderId="12" xfId="0" applyFont="1" applyFill="1" applyBorder="1" applyAlignment="1">
      <alignment horizontal="left" vertical="center"/>
    </xf>
    <xf numFmtId="0" fontId="16" fillId="17" borderId="3" xfId="0" applyFont="1" applyFill="1" applyBorder="1" applyAlignment="1">
      <alignment horizontal="left" vertical="center"/>
    </xf>
    <xf numFmtId="184" fontId="4" fillId="0" borderId="0" xfId="0" applyNumberFormat="1" applyFont="1">
      <alignment vertical="center"/>
    </xf>
    <xf numFmtId="0" fontId="16" fillId="17" borderId="4" xfId="0" applyFont="1" applyFill="1" applyBorder="1">
      <alignment vertical="center"/>
    </xf>
    <xf numFmtId="0" fontId="31" fillId="17" borderId="0" xfId="0" applyFont="1" applyFill="1">
      <alignment vertical="center"/>
    </xf>
    <xf numFmtId="0" fontId="32" fillId="17" borderId="0" xfId="0" applyFont="1" applyFill="1">
      <alignment vertical="center"/>
    </xf>
    <xf numFmtId="0" fontId="31" fillId="17" borderId="5" xfId="0" applyFont="1" applyFill="1" applyBorder="1">
      <alignment vertical="center"/>
    </xf>
    <xf numFmtId="0" fontId="16" fillId="17" borderId="4" xfId="0" applyFont="1" applyFill="1" applyBorder="1" applyAlignment="1">
      <alignment horizontal="left" vertical="center"/>
    </xf>
    <xf numFmtId="0" fontId="31" fillId="17" borderId="0" xfId="0" applyFont="1" applyFill="1" applyAlignment="1">
      <alignment horizontal="left" vertical="center"/>
    </xf>
    <xf numFmtId="0" fontId="20" fillId="17" borderId="0" xfId="0" applyFont="1" applyFill="1" applyAlignment="1">
      <alignment horizontal="left" vertical="center"/>
    </xf>
    <xf numFmtId="0" fontId="8" fillId="17" borderId="0" xfId="0" applyFont="1" applyFill="1" applyAlignment="1">
      <alignment horizontal="left" vertical="center"/>
    </xf>
    <xf numFmtId="0" fontId="31" fillId="17" borderId="5" xfId="0" applyFont="1" applyFill="1" applyBorder="1" applyAlignment="1">
      <alignment horizontal="left" vertical="center"/>
    </xf>
    <xf numFmtId="0" fontId="16" fillId="17" borderId="0" xfId="0" applyFont="1" applyFill="1">
      <alignment vertical="center"/>
    </xf>
    <xf numFmtId="0" fontId="16" fillId="17" borderId="5" xfId="0" applyFont="1" applyFill="1" applyBorder="1">
      <alignment vertical="center"/>
    </xf>
    <xf numFmtId="0" fontId="16" fillId="17" borderId="0" xfId="0" applyFont="1" applyFill="1" applyAlignment="1">
      <alignment horizontal="left" vertical="center"/>
    </xf>
    <xf numFmtId="0" fontId="16" fillId="17" borderId="5" xfId="0" applyFont="1" applyFill="1" applyBorder="1" applyAlignment="1">
      <alignment horizontal="left" vertical="center"/>
    </xf>
    <xf numFmtId="0" fontId="33" fillId="17" borderId="37" xfId="0" applyFont="1" applyFill="1" applyBorder="1">
      <alignment vertical="center"/>
    </xf>
    <xf numFmtId="176" fontId="4" fillId="11" borderId="5" xfId="0" applyNumberFormat="1" applyFont="1" applyFill="1" applyBorder="1">
      <alignment vertical="center"/>
    </xf>
    <xf numFmtId="3" fontId="8" fillId="16" borderId="1" xfId="0" applyNumberFormat="1" applyFont="1" applyFill="1" applyBorder="1">
      <alignment vertical="center"/>
    </xf>
    <xf numFmtId="3" fontId="8" fillId="0" borderId="1" xfId="0" applyNumberFormat="1" applyFont="1" applyBorder="1">
      <alignment vertical="center"/>
    </xf>
    <xf numFmtId="0" fontId="8" fillId="17" borderId="5" xfId="0" applyFont="1" applyFill="1" applyBorder="1" applyAlignment="1">
      <alignment horizontal="left" vertical="center"/>
    </xf>
    <xf numFmtId="181" fontId="4" fillId="0" borderId="0" xfId="0" applyNumberFormat="1" applyFont="1">
      <alignment vertical="center"/>
    </xf>
    <xf numFmtId="0" fontId="16" fillId="16" borderId="38" xfId="0" applyFont="1" applyFill="1" applyBorder="1">
      <alignment vertical="center"/>
    </xf>
    <xf numFmtId="0" fontId="8" fillId="17" borderId="25" xfId="0" applyFont="1" applyFill="1" applyBorder="1" applyAlignment="1">
      <alignment horizontal="left" vertical="center"/>
    </xf>
    <xf numFmtId="0" fontId="33" fillId="17" borderId="0" xfId="0" applyFont="1" applyFill="1" applyAlignment="1">
      <alignment horizontal="left" vertical="center"/>
    </xf>
    <xf numFmtId="0" fontId="31" fillId="17" borderId="9" xfId="0" applyFont="1" applyFill="1" applyBorder="1">
      <alignment vertical="center"/>
    </xf>
    <xf numFmtId="0" fontId="34" fillId="17" borderId="0" xfId="0" applyFont="1" applyFill="1">
      <alignment vertical="center"/>
    </xf>
    <xf numFmtId="0" fontId="34" fillId="17" borderId="0" xfId="0" applyFont="1" applyFill="1" applyAlignment="1">
      <alignment horizontal="left" vertical="center"/>
    </xf>
    <xf numFmtId="176" fontId="4" fillId="0" borderId="0" xfId="0" applyNumberFormat="1" applyFont="1">
      <alignment vertical="center"/>
    </xf>
    <xf numFmtId="179" fontId="4" fillId="0" borderId="0" xfId="0" applyNumberFormat="1" applyFont="1">
      <alignment vertical="center"/>
    </xf>
    <xf numFmtId="0" fontId="35" fillId="11" borderId="0" xfId="0" applyFont="1" applyFill="1">
      <alignment vertical="center"/>
    </xf>
    <xf numFmtId="0" fontId="33" fillId="17" borderId="0" xfId="0" applyFont="1" applyFill="1">
      <alignment vertical="center"/>
    </xf>
    <xf numFmtId="0" fontId="16" fillId="11" borderId="5" xfId="0" applyFont="1" applyFill="1" applyBorder="1">
      <alignment vertical="center"/>
    </xf>
    <xf numFmtId="0" fontId="35" fillId="17" borderId="0" xfId="0" applyFont="1" applyFill="1" applyAlignment="1">
      <alignment horizontal="left" vertical="center"/>
    </xf>
    <xf numFmtId="0" fontId="4" fillId="11" borderId="0" xfId="0" applyFont="1" applyFill="1">
      <alignment vertical="center"/>
    </xf>
    <xf numFmtId="0" fontId="31" fillId="11" borderId="5" xfId="0" applyFont="1" applyFill="1" applyBorder="1">
      <alignment vertical="center"/>
    </xf>
    <xf numFmtId="3" fontId="8" fillId="0" borderId="37" xfId="0" applyNumberFormat="1" applyFont="1" applyBorder="1">
      <alignment vertical="center"/>
    </xf>
    <xf numFmtId="0" fontId="16" fillId="17" borderId="0" xfId="0" applyFont="1" applyFill="1" applyAlignment="1">
      <alignment horizontal="center" vertical="center"/>
    </xf>
    <xf numFmtId="0" fontId="16" fillId="16" borderId="34" xfId="0" applyFont="1" applyFill="1" applyBorder="1">
      <alignment vertical="center"/>
    </xf>
    <xf numFmtId="181" fontId="16" fillId="11" borderId="5" xfId="0" applyNumberFormat="1" applyFont="1" applyFill="1" applyBorder="1">
      <alignment vertical="center"/>
    </xf>
    <xf numFmtId="0" fontId="16" fillId="16" borderId="35" xfId="0" applyFont="1" applyFill="1" applyBorder="1">
      <alignment vertical="center"/>
    </xf>
    <xf numFmtId="0" fontId="16" fillId="17" borderId="25" xfId="0" applyFont="1" applyFill="1" applyBorder="1">
      <alignment vertical="center"/>
    </xf>
    <xf numFmtId="181" fontId="31" fillId="11" borderId="5" xfId="0" applyNumberFormat="1" applyFont="1" applyFill="1" applyBorder="1">
      <alignment vertical="center"/>
    </xf>
    <xf numFmtId="181" fontId="4" fillId="11" borderId="5" xfId="0" applyNumberFormat="1" applyFont="1" applyFill="1" applyBorder="1">
      <alignment vertical="center"/>
    </xf>
    <xf numFmtId="0" fontId="36" fillId="11" borderId="0" xfId="0" applyFont="1" applyFill="1" applyAlignment="1">
      <alignment horizontal="left" vertical="center"/>
    </xf>
    <xf numFmtId="0" fontId="8" fillId="0" borderId="1" xfId="0" applyFont="1" applyBorder="1">
      <alignment vertical="center"/>
    </xf>
    <xf numFmtId="176" fontId="5" fillId="11" borderId="5" xfId="0" applyNumberFormat="1" applyFont="1" applyFill="1" applyBorder="1">
      <alignment vertical="center"/>
    </xf>
    <xf numFmtId="0" fontId="16" fillId="17" borderId="16" xfId="0" applyFont="1" applyFill="1" applyBorder="1">
      <alignment vertical="center"/>
    </xf>
    <xf numFmtId="0" fontId="16" fillId="0" borderId="36" xfId="0" applyFont="1" applyBorder="1">
      <alignment vertical="center"/>
    </xf>
    <xf numFmtId="176" fontId="5" fillId="0" borderId="0" xfId="0" applyNumberFormat="1" applyFont="1" applyAlignment="1">
      <alignment horizontal="center" vertical="center"/>
    </xf>
    <xf numFmtId="0" fontId="4" fillId="11" borderId="4" xfId="0" applyFont="1" applyFill="1" applyBorder="1">
      <alignment vertical="center"/>
    </xf>
    <xf numFmtId="0" fontId="4" fillId="11" borderId="5" xfId="0" applyFont="1" applyFill="1" applyBorder="1">
      <alignment vertical="center"/>
    </xf>
    <xf numFmtId="0" fontId="4" fillId="11" borderId="6" xfId="0" applyFont="1" applyFill="1" applyBorder="1">
      <alignment vertical="center"/>
    </xf>
    <xf numFmtId="0" fontId="4" fillId="11" borderId="18" xfId="0" applyFont="1" applyFill="1" applyBorder="1">
      <alignment vertical="center"/>
    </xf>
    <xf numFmtId="0" fontId="4" fillId="11" borderId="7" xfId="0" applyFont="1" applyFill="1" applyBorder="1">
      <alignment vertical="center"/>
    </xf>
    <xf numFmtId="0" fontId="8" fillId="17" borderId="6" xfId="0" applyFont="1" applyFill="1" applyBorder="1" applyAlignment="1">
      <alignment horizontal="left" vertical="center"/>
    </xf>
    <xf numFmtId="0" fontId="8" fillId="17" borderId="18" xfId="0" applyFont="1" applyFill="1" applyBorder="1" applyAlignment="1">
      <alignment horizontal="left" vertical="center"/>
    </xf>
    <xf numFmtId="0" fontId="8" fillId="17" borderId="7" xfId="0" applyFont="1" applyFill="1" applyBorder="1" applyAlignment="1">
      <alignment horizontal="left" vertical="center"/>
    </xf>
    <xf numFmtId="0" fontId="33" fillId="11" borderId="0" xfId="0" applyFont="1" applyFill="1">
      <alignment vertical="center"/>
    </xf>
    <xf numFmtId="0" fontId="33" fillId="17" borderId="1" xfId="0" applyFont="1" applyFill="1" applyBorder="1">
      <alignment vertical="center"/>
    </xf>
    <xf numFmtId="0" fontId="16" fillId="16" borderId="1" xfId="0" applyFont="1" applyFill="1" applyBorder="1">
      <alignment vertical="center"/>
    </xf>
    <xf numFmtId="0" fontId="16" fillId="11" borderId="0" xfId="0" applyFont="1" applyFill="1">
      <alignment vertical="center"/>
    </xf>
    <xf numFmtId="0" fontId="33" fillId="17" borderId="38" xfId="0" applyFont="1" applyFill="1" applyBorder="1">
      <alignment vertical="center"/>
    </xf>
    <xf numFmtId="0" fontId="16" fillId="16" borderId="37" xfId="0" applyFont="1" applyFill="1" applyBorder="1">
      <alignment vertical="center"/>
    </xf>
    <xf numFmtId="0" fontId="36" fillId="11" borderId="25" xfId="0" applyFont="1" applyFill="1" applyBorder="1" applyAlignment="1">
      <alignment horizontal="left" vertical="center"/>
    </xf>
    <xf numFmtId="0" fontId="16" fillId="16" borderId="39" xfId="0" applyFont="1" applyFill="1" applyBorder="1">
      <alignment vertical="center"/>
    </xf>
    <xf numFmtId="0" fontId="37" fillId="11" borderId="0" xfId="0" applyFont="1" applyFill="1" applyAlignment="1">
      <alignment horizontal="left" vertical="center"/>
    </xf>
    <xf numFmtId="0" fontId="33" fillId="17" borderId="39" xfId="0" applyFont="1" applyFill="1" applyBorder="1">
      <alignment vertical="center"/>
    </xf>
    <xf numFmtId="0" fontId="31" fillId="17" borderId="25" xfId="0" applyFont="1" applyFill="1" applyBorder="1">
      <alignment vertical="center"/>
    </xf>
    <xf numFmtId="0" fontId="33" fillId="17" borderId="25" xfId="0" applyFont="1" applyFill="1" applyBorder="1">
      <alignment vertical="center"/>
    </xf>
    <xf numFmtId="0" fontId="16" fillId="11" borderId="4" xfId="0" applyFont="1" applyFill="1" applyBorder="1">
      <alignment vertical="center"/>
    </xf>
    <xf numFmtId="0" fontId="4" fillId="11" borderId="0" xfId="0" applyFont="1" applyFill="1" applyAlignment="1">
      <alignment horizontal="left" vertical="center"/>
    </xf>
    <xf numFmtId="0" fontId="31" fillId="11" borderId="0" xfId="0" applyFont="1" applyFill="1">
      <alignment vertical="center"/>
    </xf>
    <xf numFmtId="0" fontId="37" fillId="11" borderId="0" xfId="0" applyFont="1" applyFill="1">
      <alignment vertical="center"/>
    </xf>
    <xf numFmtId="176" fontId="5" fillId="11" borderId="5" xfId="0" applyNumberFormat="1" applyFont="1" applyFill="1" applyBorder="1" applyAlignment="1">
      <alignment horizontal="center" vertical="center"/>
    </xf>
    <xf numFmtId="0" fontId="38" fillId="11" borderId="0" xfId="0" applyFont="1" applyFill="1">
      <alignment vertical="center"/>
    </xf>
    <xf numFmtId="0" fontId="31" fillId="0" borderId="0" xfId="0" applyFont="1">
      <alignment vertical="center"/>
    </xf>
    <xf numFmtId="0" fontId="39" fillId="0" borderId="0" xfId="0" applyFont="1">
      <alignment vertical="center"/>
    </xf>
    <xf numFmtId="0" fontId="37" fillId="11" borderId="0" xfId="0" applyFont="1" applyFill="1" applyAlignment="1">
      <alignment horizontal="center" vertical="center"/>
    </xf>
    <xf numFmtId="0" fontId="40" fillId="11" borderId="0" xfId="0" applyFont="1" applyFill="1">
      <alignment vertical="center"/>
    </xf>
    <xf numFmtId="0" fontId="39" fillId="11" borderId="0" xfId="0" applyFont="1" applyFill="1">
      <alignment vertical="center"/>
    </xf>
    <xf numFmtId="181" fontId="36" fillId="11" borderId="5" xfId="0" applyNumberFormat="1" applyFont="1" applyFill="1" applyBorder="1">
      <alignment vertical="center"/>
    </xf>
    <xf numFmtId="176" fontId="36" fillId="11" borderId="5" xfId="0" applyNumberFormat="1" applyFont="1" applyFill="1" applyBorder="1">
      <alignment vertical="center"/>
    </xf>
    <xf numFmtId="176" fontId="37" fillId="11" borderId="5" xfId="0" applyNumberFormat="1" applyFont="1" applyFill="1" applyBorder="1">
      <alignment vertical="center"/>
    </xf>
    <xf numFmtId="0" fontId="16" fillId="17" borderId="6" xfId="0" applyFont="1" applyFill="1" applyBorder="1">
      <alignment vertical="center"/>
    </xf>
    <xf numFmtId="0" fontId="16" fillId="17" borderId="18" xfId="0" applyFont="1" applyFill="1" applyBorder="1">
      <alignment vertical="center"/>
    </xf>
    <xf numFmtId="0" fontId="16" fillId="17" borderId="7" xfId="0" applyFont="1" applyFill="1" applyBorder="1">
      <alignment vertical="center"/>
    </xf>
    <xf numFmtId="0" fontId="4" fillId="0" borderId="0" xfId="0" applyFont="1" applyAlignment="1"/>
    <xf numFmtId="185" fontId="4" fillId="0" borderId="0" xfId="0" applyNumberFormat="1" applyFont="1" applyAlignment="1"/>
    <xf numFmtId="0" fontId="4" fillId="0" borderId="0" xfId="0" applyFont="1" applyAlignment="1">
      <alignment horizontal="center"/>
    </xf>
    <xf numFmtId="0" fontId="40" fillId="0" borderId="0" xfId="0" applyFont="1">
      <alignment vertical="center"/>
    </xf>
    <xf numFmtId="0" fontId="33" fillId="0" borderId="0" xfId="0" quotePrefix="1" applyFont="1">
      <alignment vertical="center"/>
    </xf>
    <xf numFmtId="0" fontId="33" fillId="0" borderId="0" xfId="0" applyFont="1">
      <alignment vertical="center"/>
    </xf>
    <xf numFmtId="0" fontId="36" fillId="0" borderId="0" xfId="0" applyFont="1" applyAlignment="1">
      <alignment horizontal="center" vertical="center"/>
    </xf>
    <xf numFmtId="179" fontId="4" fillId="0" borderId="41" xfId="0" applyNumberFormat="1" applyFont="1" applyBorder="1" applyAlignment="1">
      <alignment horizontal="center" vertical="center"/>
    </xf>
    <xf numFmtId="38" fontId="4" fillId="0" borderId="0" xfId="1" applyNumberFormat="1" applyFont="1" applyBorder="1" applyAlignment="1">
      <alignment vertical="center"/>
    </xf>
    <xf numFmtId="182" fontId="4" fillId="13" borderId="13" xfId="1" applyNumberFormat="1" applyFont="1" applyFill="1" applyBorder="1" applyAlignment="1">
      <alignment vertical="center"/>
    </xf>
    <xf numFmtId="0" fontId="6" fillId="0" borderId="0" xfId="0" applyFont="1">
      <alignment vertical="center"/>
    </xf>
    <xf numFmtId="0" fontId="4" fillId="0" borderId="0" xfId="0" applyFont="1" applyAlignment="1">
      <alignment vertical="center" wrapText="1"/>
    </xf>
    <xf numFmtId="0" fontId="5" fillId="0" borderId="42" xfId="0" applyFont="1" applyBorder="1" applyAlignment="1">
      <alignment horizontal="right" vertical="center"/>
    </xf>
    <xf numFmtId="0" fontId="4" fillId="0" borderId="43" xfId="0" applyFont="1" applyBorder="1">
      <alignment vertical="center"/>
    </xf>
    <xf numFmtId="0" fontId="5" fillId="0" borderId="44" xfId="0" applyFont="1" applyBorder="1" applyAlignment="1">
      <alignment horizontal="right" vertical="center"/>
    </xf>
    <xf numFmtId="0" fontId="4" fillId="0" borderId="45" xfId="0" applyFont="1" applyBorder="1">
      <alignment vertical="center"/>
    </xf>
    <xf numFmtId="0" fontId="5" fillId="0" borderId="46" xfId="0" applyFont="1" applyBorder="1" applyAlignment="1">
      <alignment horizontal="right" vertical="center"/>
    </xf>
    <xf numFmtId="0" fontId="4" fillId="0" borderId="47" xfId="0" applyFont="1" applyBorder="1">
      <alignment vertical="center"/>
    </xf>
    <xf numFmtId="0" fontId="4" fillId="0" borderId="48" xfId="0" applyFont="1" applyBorder="1" applyAlignment="1">
      <alignment vertical="center" wrapText="1"/>
    </xf>
    <xf numFmtId="0" fontId="2" fillId="0" borderId="0" xfId="2" applyBorder="1">
      <alignment vertical="center"/>
    </xf>
    <xf numFmtId="0" fontId="2" fillId="0" borderId="49" xfId="3" applyBorder="1">
      <alignment vertical="center"/>
    </xf>
    <xf numFmtId="0" fontId="4" fillId="0" borderId="48" xfId="0" applyFont="1" applyBorder="1">
      <alignment vertical="center"/>
    </xf>
    <xf numFmtId="0" fontId="4" fillId="0" borderId="49" xfId="0" applyFont="1" applyBorder="1" applyAlignment="1">
      <alignment vertical="center" wrapText="1"/>
    </xf>
    <xf numFmtId="0" fontId="11" fillId="0" borderId="0" xfId="0" applyFont="1">
      <alignment vertical="center"/>
    </xf>
    <xf numFmtId="0" fontId="42" fillId="0" borderId="0" xfId="0" applyFont="1">
      <alignment vertical="center"/>
    </xf>
    <xf numFmtId="0" fontId="4" fillId="0" borderId="49" xfId="0" applyFont="1" applyBorder="1">
      <alignment vertical="center"/>
    </xf>
    <xf numFmtId="0" fontId="37" fillId="0" borderId="0" xfId="0" applyFont="1" applyAlignment="1">
      <alignment horizontal="center" vertical="center" wrapText="1"/>
    </xf>
    <xf numFmtId="9" fontId="39" fillId="5" borderId="0" xfId="0" applyNumberFormat="1" applyFont="1" applyFill="1" applyAlignment="1">
      <alignment horizontal="center" vertical="center"/>
    </xf>
    <xf numFmtId="0" fontId="4" fillId="7" borderId="0" xfId="0" applyFont="1" applyFill="1" applyAlignment="1">
      <alignment horizontal="center" vertical="center"/>
    </xf>
    <xf numFmtId="3" fontId="0" fillId="0" borderId="0" xfId="0" applyNumberFormat="1">
      <alignment vertical="center"/>
    </xf>
    <xf numFmtId="0" fontId="49" fillId="0" borderId="0" xfId="0" applyFont="1" applyAlignment="1">
      <alignment horizontal="center" vertical="center" wrapText="1"/>
    </xf>
    <xf numFmtId="2" fontId="39" fillId="5" borderId="0" xfId="0" applyNumberFormat="1" applyFont="1" applyFill="1" applyAlignment="1">
      <alignment horizontal="center" vertical="center"/>
    </xf>
    <xf numFmtId="0" fontId="13" fillId="0" borderId="0" xfId="0" applyFont="1" applyAlignment="1">
      <alignment horizontal="center" vertical="center"/>
    </xf>
    <xf numFmtId="180" fontId="4" fillId="0" borderId="0" xfId="0" applyNumberFormat="1" applyFont="1" applyAlignment="1">
      <alignment horizontal="center" vertical="center"/>
    </xf>
    <xf numFmtId="2" fontId="4" fillId="0" borderId="0" xfId="0" applyNumberFormat="1" applyFont="1" applyAlignment="1">
      <alignment horizontal="center" vertical="center"/>
    </xf>
    <xf numFmtId="0" fontId="4" fillId="7" borderId="0" xfId="0" applyFont="1" applyFill="1" applyAlignment="1">
      <alignment horizontal="center" vertical="top" wrapText="1"/>
    </xf>
    <xf numFmtId="0" fontId="21" fillId="7" borderId="0" xfId="0" applyFont="1" applyFill="1" applyAlignment="1">
      <alignment horizontal="center" vertical="top"/>
    </xf>
    <xf numFmtId="0" fontId="4" fillId="7" borderId="0" xfId="0" applyFont="1" applyFill="1" applyAlignment="1">
      <alignment horizontal="center" vertical="top"/>
    </xf>
    <xf numFmtId="0" fontId="4" fillId="3" borderId="0" xfId="0" applyFont="1" applyFill="1">
      <alignment vertical="center"/>
    </xf>
    <xf numFmtId="0" fontId="16" fillId="3" borderId="0" xfId="0" applyFont="1" applyFill="1" applyAlignment="1">
      <alignment horizontal="center" vertical="center"/>
    </xf>
    <xf numFmtId="3" fontId="4" fillId="0" borderId="0" xfId="0" applyNumberFormat="1" applyFont="1">
      <alignment vertical="center"/>
    </xf>
    <xf numFmtId="3" fontId="4" fillId="3" borderId="0" xfId="0" applyNumberFormat="1" applyFont="1" applyFill="1">
      <alignment vertical="center"/>
    </xf>
    <xf numFmtId="0" fontId="10" fillId="2" borderId="0" xfId="0" applyFont="1" applyFill="1" applyAlignment="1">
      <alignment vertical="center" wrapText="1" readingOrder="1"/>
    </xf>
    <xf numFmtId="0" fontId="8" fillId="2" borderId="0" xfId="0" applyFont="1" applyFill="1" applyAlignment="1">
      <alignment vertical="center" wrapText="1"/>
    </xf>
    <xf numFmtId="0" fontId="4" fillId="0" borderId="0" xfId="0" applyFont="1" applyAlignment="1">
      <alignment vertical="top"/>
    </xf>
    <xf numFmtId="15" fontId="4" fillId="0" borderId="0" xfId="0" applyNumberFormat="1" applyFont="1" applyAlignment="1">
      <alignment horizontal="left" vertical="center"/>
    </xf>
    <xf numFmtId="0" fontId="4" fillId="0" borderId="44" xfId="0" applyFont="1" applyBorder="1">
      <alignment vertical="center"/>
    </xf>
    <xf numFmtId="0" fontId="51" fillId="0" borderId="0" xfId="0" applyFont="1">
      <alignment vertical="center"/>
    </xf>
    <xf numFmtId="0" fontId="51" fillId="0" borderId="0" xfId="0" applyFont="1" applyAlignment="1">
      <alignment vertical="top" wrapText="1"/>
    </xf>
    <xf numFmtId="0" fontId="5" fillId="7" borderId="0" xfId="0" applyFont="1" applyFill="1" applyAlignment="1">
      <alignment horizontal="center" vertical="center"/>
    </xf>
    <xf numFmtId="0" fontId="4" fillId="20" borderId="0" xfId="0" applyFont="1" applyFill="1" applyAlignment="1">
      <alignment horizontal="center" vertical="center"/>
    </xf>
    <xf numFmtId="0" fontId="4" fillId="20" borderId="0" xfId="0" applyFont="1" applyFill="1" applyAlignment="1">
      <alignment horizontal="center"/>
    </xf>
    <xf numFmtId="3" fontId="29" fillId="0" borderId="0" xfId="0" applyNumberFormat="1" applyFont="1" applyAlignment="1">
      <alignment horizontal="center" vertical="center"/>
    </xf>
    <xf numFmtId="0" fontId="28" fillId="3" borderId="0" xfId="0" applyFont="1" applyFill="1" applyAlignment="1">
      <alignment horizontal="center" vertical="center"/>
    </xf>
    <xf numFmtId="3" fontId="14" fillId="0" borderId="0" xfId="0" applyNumberFormat="1" applyFont="1" applyAlignment="1">
      <alignment horizontal="center" vertical="center"/>
    </xf>
    <xf numFmtId="0" fontId="14" fillId="0" borderId="0" xfId="0" applyFont="1">
      <alignment vertical="center"/>
    </xf>
    <xf numFmtId="4" fontId="4" fillId="0" borderId="0" xfId="0" applyNumberFormat="1" applyFont="1" applyAlignment="1">
      <alignment horizontal="center" vertical="center"/>
    </xf>
    <xf numFmtId="0" fontId="4" fillId="3" borderId="44" xfId="0" applyFont="1" applyFill="1" applyBorder="1" applyAlignment="1">
      <alignment horizontal="center" vertical="center"/>
    </xf>
    <xf numFmtId="0" fontId="4" fillId="3" borderId="45" xfId="0" applyFont="1" applyFill="1" applyBorder="1" applyAlignment="1">
      <alignment horizontal="center" vertical="center"/>
    </xf>
    <xf numFmtId="178" fontId="4" fillId="0" borderId="45" xfId="0" applyNumberFormat="1" applyFont="1" applyBorder="1" applyAlignment="1">
      <alignment horizontal="center" vertical="center"/>
    </xf>
    <xf numFmtId="0" fontId="4" fillId="0" borderId="45" xfId="0" applyFont="1" applyBorder="1" applyAlignment="1">
      <alignment horizontal="center" vertical="center"/>
    </xf>
    <xf numFmtId="0" fontId="4" fillId="0" borderId="44" xfId="0" applyFont="1" applyBorder="1" applyAlignment="1">
      <alignment horizontal="center" vertical="center"/>
    </xf>
    <xf numFmtId="0" fontId="4" fillId="0" borderId="49" xfId="0" applyFont="1" applyBorder="1" applyAlignment="1">
      <alignment horizontal="center" vertical="center"/>
    </xf>
    <xf numFmtId="0" fontId="4" fillId="0" borderId="47" xfId="0" applyFont="1" applyBorder="1" applyAlignment="1">
      <alignment horizontal="center" vertical="center"/>
    </xf>
    <xf numFmtId="0" fontId="4" fillId="3" borderId="44" xfId="0" applyFont="1" applyFill="1" applyBorder="1">
      <alignment vertical="center"/>
    </xf>
    <xf numFmtId="3" fontId="29" fillId="0" borderId="45" xfId="0" applyNumberFormat="1" applyFont="1" applyBorder="1" applyAlignment="1">
      <alignment horizontal="center" vertical="center"/>
    </xf>
    <xf numFmtId="3" fontId="14" fillId="0" borderId="45" xfId="0" applyNumberFormat="1" applyFont="1" applyBorder="1" applyAlignment="1">
      <alignment horizontal="center" vertical="center"/>
    </xf>
    <xf numFmtId="0" fontId="14" fillId="0" borderId="45" xfId="0" applyFont="1" applyBorder="1">
      <alignment vertical="center"/>
    </xf>
    <xf numFmtId="0" fontId="4" fillId="3" borderId="46" xfId="0" applyFont="1" applyFill="1" applyBorder="1">
      <alignment vertical="center"/>
    </xf>
    <xf numFmtId="3" fontId="4" fillId="0" borderId="49" xfId="0" applyNumberFormat="1" applyFont="1" applyBorder="1" applyAlignment="1">
      <alignment horizontal="center" vertical="center"/>
    </xf>
    <xf numFmtId="3" fontId="4" fillId="0" borderId="49" xfId="0" applyNumberFormat="1" applyFont="1" applyBorder="1">
      <alignment vertical="center"/>
    </xf>
    <xf numFmtId="3" fontId="14" fillId="0" borderId="49" xfId="0" applyNumberFormat="1" applyFont="1" applyBorder="1" applyAlignment="1">
      <alignment horizontal="center" vertical="center"/>
    </xf>
    <xf numFmtId="3" fontId="14" fillId="0" borderId="47" xfId="0" applyNumberFormat="1" applyFont="1" applyBorder="1" applyAlignment="1">
      <alignment horizontal="center" vertical="center"/>
    </xf>
    <xf numFmtId="0" fontId="4" fillId="4" borderId="45" xfId="0" applyFont="1" applyFill="1" applyBorder="1" applyAlignment="1">
      <alignment horizontal="center" vertical="center"/>
    </xf>
    <xf numFmtId="0" fontId="14" fillId="4" borderId="0" xfId="0" applyFont="1" applyFill="1" applyAlignment="1">
      <alignment horizontal="center" vertical="center"/>
    </xf>
    <xf numFmtId="0" fontId="14" fillId="4" borderId="45" xfId="0" applyFont="1" applyFill="1" applyBorder="1" applyAlignment="1">
      <alignment horizontal="center" vertical="center"/>
    </xf>
    <xf numFmtId="0" fontId="4" fillId="4" borderId="0" xfId="0" applyFont="1" applyFill="1">
      <alignment vertical="center"/>
    </xf>
    <xf numFmtId="0" fontId="4" fillId="4" borderId="45" xfId="0" applyFont="1" applyFill="1" applyBorder="1">
      <alignment vertical="center"/>
    </xf>
    <xf numFmtId="0" fontId="14" fillId="4" borderId="0" xfId="0" applyFont="1" applyFill="1">
      <alignment vertical="center"/>
    </xf>
    <xf numFmtId="0" fontId="14" fillId="4" borderId="45" xfId="0" applyFont="1" applyFill="1" applyBorder="1">
      <alignment vertical="center"/>
    </xf>
    <xf numFmtId="0" fontId="29" fillId="4" borderId="0" xfId="0" applyFont="1" applyFill="1" applyAlignment="1">
      <alignment horizontal="center" vertical="center"/>
    </xf>
    <xf numFmtId="0" fontId="28" fillId="4" borderId="0" xfId="0" applyFont="1" applyFill="1" applyAlignment="1">
      <alignment horizontal="center" vertical="center"/>
    </xf>
    <xf numFmtId="0" fontId="4" fillId="2" borderId="46" xfId="0" applyFont="1" applyFill="1" applyBorder="1" applyAlignment="1">
      <alignment horizontal="center" vertical="center"/>
    </xf>
    <xf numFmtId="178" fontId="5" fillId="0" borderId="49" xfId="0" applyNumberFormat="1" applyFont="1" applyBorder="1" applyAlignment="1">
      <alignment horizontal="center" vertical="center"/>
    </xf>
    <xf numFmtId="179" fontId="4" fillId="0" borderId="55" xfId="0" applyNumberFormat="1" applyFont="1" applyBorder="1" applyAlignment="1">
      <alignment horizontal="center" vertical="center"/>
    </xf>
    <xf numFmtId="0" fontId="4" fillId="0" borderId="55" xfId="0" applyFont="1" applyBorder="1" applyAlignment="1">
      <alignment horizontal="right" vertical="center"/>
    </xf>
    <xf numFmtId="179" fontId="4" fillId="0" borderId="55" xfId="0" applyNumberFormat="1" applyFont="1" applyBorder="1" applyAlignment="1">
      <alignment horizontal="right" vertical="center"/>
    </xf>
    <xf numFmtId="10" fontId="4" fillId="0" borderId="57" xfId="0" applyNumberFormat="1" applyFont="1" applyBorder="1" applyAlignment="1">
      <alignment horizontal="right" vertical="center"/>
    </xf>
    <xf numFmtId="176" fontId="4" fillId="0" borderId="55" xfId="0" applyNumberFormat="1" applyFont="1" applyBorder="1" applyAlignment="1">
      <alignment horizontal="center" vertical="center"/>
    </xf>
    <xf numFmtId="0" fontId="4" fillId="7" borderId="54" xfId="0" applyFont="1" applyFill="1" applyBorder="1" applyAlignment="1">
      <alignment horizontal="center" vertical="center"/>
    </xf>
    <xf numFmtId="181" fontId="4" fillId="0" borderId="55" xfId="0" applyNumberFormat="1" applyFont="1" applyBorder="1">
      <alignment vertical="center"/>
    </xf>
    <xf numFmtId="181" fontId="4" fillId="0" borderId="55" xfId="0" applyNumberFormat="1" applyFont="1" applyBorder="1" applyAlignment="1">
      <alignment horizontal="center" vertical="center"/>
    </xf>
    <xf numFmtId="176" fontId="5" fillId="0" borderId="57" xfId="0" applyNumberFormat="1" applyFont="1" applyBorder="1" applyAlignment="1">
      <alignment horizontal="center" vertical="center"/>
    </xf>
    <xf numFmtId="179" fontId="4" fillId="0" borderId="55" xfId="0" applyNumberFormat="1" applyFont="1" applyBorder="1">
      <alignment vertical="center"/>
    </xf>
    <xf numFmtId="181" fontId="5" fillId="0" borderId="57" xfId="0" applyNumberFormat="1" applyFont="1" applyBorder="1" applyAlignment="1">
      <alignment horizontal="center" vertical="center"/>
    </xf>
    <xf numFmtId="0" fontId="5" fillId="7" borderId="55" xfId="0" applyFont="1" applyFill="1" applyBorder="1" applyAlignment="1">
      <alignment horizontal="center" vertical="center"/>
    </xf>
    <xf numFmtId="0" fontId="4" fillId="0" borderId="55" xfId="0" applyFont="1" applyBorder="1" applyAlignment="1">
      <alignment horizontal="center" vertical="center"/>
    </xf>
    <xf numFmtId="0" fontId="4" fillId="0" borderId="55" xfId="0" applyFont="1" applyBorder="1" applyAlignment="1"/>
    <xf numFmtId="0" fontId="4" fillId="0" borderId="55" xfId="0" applyFont="1" applyBorder="1">
      <alignment vertical="center"/>
    </xf>
    <xf numFmtId="0" fontId="4" fillId="7" borderId="56" xfId="0" applyFont="1" applyFill="1" applyBorder="1" applyAlignment="1">
      <alignment horizontal="center" vertical="center"/>
    </xf>
    <xf numFmtId="0" fontId="52" fillId="0" borderId="0" xfId="0" applyFont="1">
      <alignment vertical="center"/>
    </xf>
    <xf numFmtId="179" fontId="36" fillId="6" borderId="41" xfId="0" applyNumberFormat="1" applyFont="1" applyFill="1" applyBorder="1" applyAlignment="1">
      <alignment horizontal="center" vertical="center"/>
    </xf>
    <xf numFmtId="179" fontId="36" fillId="6" borderId="41" xfId="0" applyNumberFormat="1" applyFont="1" applyFill="1" applyBorder="1">
      <alignment vertical="center"/>
    </xf>
    <xf numFmtId="179" fontId="37" fillId="6" borderId="41" xfId="0" applyNumberFormat="1" applyFont="1" applyFill="1" applyBorder="1">
      <alignment vertical="center"/>
    </xf>
    <xf numFmtId="0" fontId="36" fillId="11" borderId="16" xfId="0" applyFont="1" applyFill="1" applyBorder="1">
      <alignment vertical="center"/>
    </xf>
    <xf numFmtId="0" fontId="36" fillId="11" borderId="17" xfId="0" applyFont="1" applyFill="1" applyBorder="1">
      <alignment vertical="center"/>
    </xf>
    <xf numFmtId="188" fontId="16" fillId="21" borderId="41" xfId="0" applyNumberFormat="1" applyFont="1" applyFill="1" applyBorder="1">
      <alignment vertical="center"/>
    </xf>
    <xf numFmtId="188" fontId="36" fillId="11" borderId="41" xfId="0" applyNumberFormat="1" applyFont="1" applyFill="1" applyBorder="1">
      <alignment vertical="center"/>
    </xf>
    <xf numFmtId="189" fontId="16" fillId="21" borderId="41" xfId="0" applyNumberFormat="1" applyFont="1" applyFill="1" applyBorder="1">
      <alignment vertical="center"/>
    </xf>
    <xf numFmtId="189" fontId="36" fillId="11" borderId="41" xfId="0" applyNumberFormat="1" applyFont="1" applyFill="1" applyBorder="1">
      <alignment vertical="center"/>
    </xf>
    <xf numFmtId="0" fontId="37" fillId="17" borderId="0" xfId="0" applyFont="1" applyFill="1">
      <alignment vertical="center"/>
    </xf>
    <xf numFmtId="0" fontId="18" fillId="17" borderId="0" xfId="0" applyFont="1" applyFill="1">
      <alignment vertical="center"/>
    </xf>
    <xf numFmtId="0" fontId="16" fillId="21" borderId="0" xfId="0" applyFont="1" applyFill="1">
      <alignment vertical="center"/>
    </xf>
    <xf numFmtId="0" fontId="33" fillId="21" borderId="0" xfId="0" applyFont="1" applyFill="1">
      <alignment vertical="center"/>
    </xf>
    <xf numFmtId="176" fontId="36" fillId="11" borderId="0" xfId="0" applyNumberFormat="1" applyFont="1" applyFill="1">
      <alignment vertical="center"/>
    </xf>
    <xf numFmtId="0" fontId="36" fillId="11" borderId="0" xfId="0" applyFont="1" applyFill="1">
      <alignment vertical="center"/>
    </xf>
    <xf numFmtId="0" fontId="36" fillId="11" borderId="0" xfId="0" applyFont="1" applyFill="1" applyAlignment="1">
      <alignment horizontal="center" vertical="center"/>
    </xf>
    <xf numFmtId="0" fontId="16" fillId="17" borderId="61" xfId="0" applyFont="1" applyFill="1" applyBorder="1">
      <alignment vertical="center"/>
    </xf>
    <xf numFmtId="0" fontId="16" fillId="17" borderId="62" xfId="0" applyFont="1" applyFill="1" applyBorder="1">
      <alignment vertical="center"/>
    </xf>
    <xf numFmtId="0" fontId="16" fillId="17" borderId="63" xfId="0" applyFont="1" applyFill="1" applyBorder="1">
      <alignment vertical="center"/>
    </xf>
    <xf numFmtId="0" fontId="16" fillId="17" borderId="64" xfId="0" applyFont="1" applyFill="1" applyBorder="1">
      <alignment vertical="center"/>
    </xf>
    <xf numFmtId="0" fontId="31" fillId="17" borderId="65" xfId="0" applyFont="1" applyFill="1" applyBorder="1">
      <alignment vertical="center"/>
    </xf>
    <xf numFmtId="0" fontId="16" fillId="17" borderId="65" xfId="0" applyFont="1" applyFill="1" applyBorder="1">
      <alignment vertical="center"/>
    </xf>
    <xf numFmtId="176" fontId="36" fillId="11" borderId="65" xfId="0" applyNumberFormat="1" applyFont="1" applyFill="1" applyBorder="1">
      <alignment vertical="center"/>
    </xf>
    <xf numFmtId="176" fontId="37" fillId="11" borderId="65" xfId="0" applyNumberFormat="1" applyFont="1" applyFill="1" applyBorder="1">
      <alignment vertical="center"/>
    </xf>
    <xf numFmtId="0" fontId="16" fillId="21" borderId="65" xfId="0" applyFont="1" applyFill="1" applyBorder="1">
      <alignment vertical="center"/>
    </xf>
    <xf numFmtId="181" fontId="16" fillId="11" borderId="65" xfId="0" applyNumberFormat="1" applyFont="1" applyFill="1" applyBorder="1">
      <alignment vertical="center"/>
    </xf>
    <xf numFmtId="0" fontId="36" fillId="11" borderId="65" xfId="0" applyFont="1" applyFill="1" applyBorder="1">
      <alignment vertical="center"/>
    </xf>
    <xf numFmtId="0" fontId="31" fillId="21" borderId="65" xfId="0" applyFont="1" applyFill="1" applyBorder="1">
      <alignment vertical="center"/>
    </xf>
    <xf numFmtId="0" fontId="16" fillId="21" borderId="64" xfId="0" applyFont="1" applyFill="1" applyBorder="1">
      <alignment vertical="center"/>
    </xf>
    <xf numFmtId="181" fontId="36" fillId="11" borderId="65" xfId="0" applyNumberFormat="1" applyFont="1" applyFill="1" applyBorder="1">
      <alignment vertical="center"/>
    </xf>
    <xf numFmtId="0" fontId="36" fillId="11" borderId="64" xfId="0" applyFont="1" applyFill="1" applyBorder="1">
      <alignment vertical="center"/>
    </xf>
    <xf numFmtId="0" fontId="36" fillId="11" borderId="66" xfId="0" applyFont="1" applyFill="1" applyBorder="1">
      <alignment vertical="center"/>
    </xf>
    <xf numFmtId="0" fontId="36" fillId="11" borderId="67" xfId="0" applyFont="1" applyFill="1" applyBorder="1">
      <alignment vertical="center"/>
    </xf>
    <xf numFmtId="0" fontId="36" fillId="11" borderId="68" xfId="0" applyFont="1" applyFill="1" applyBorder="1">
      <alignment vertical="center"/>
    </xf>
    <xf numFmtId="182" fontId="4" fillId="13" borderId="60" xfId="1" applyNumberFormat="1" applyFont="1" applyFill="1" applyBorder="1" applyAlignment="1">
      <alignment vertical="center"/>
    </xf>
    <xf numFmtId="179" fontId="36" fillId="22" borderId="41" xfId="0" applyNumberFormat="1" applyFont="1" applyFill="1" applyBorder="1">
      <alignment vertical="center"/>
    </xf>
    <xf numFmtId="179" fontId="37" fillId="22" borderId="41" xfId="0" applyNumberFormat="1" applyFont="1" applyFill="1" applyBorder="1">
      <alignment vertical="center"/>
    </xf>
    <xf numFmtId="184" fontId="4" fillId="0" borderId="41" xfId="0" applyNumberFormat="1" applyFont="1" applyBorder="1" applyAlignment="1">
      <alignment horizontal="center" vertical="center"/>
    </xf>
    <xf numFmtId="179" fontId="5" fillId="0" borderId="41" xfId="0" applyNumberFormat="1" applyFont="1" applyBorder="1" applyAlignment="1">
      <alignment horizontal="center" vertical="center"/>
    </xf>
    <xf numFmtId="188" fontId="16" fillId="21" borderId="41" xfId="0" applyNumberFormat="1" applyFont="1" applyFill="1" applyBorder="1" applyAlignment="1">
      <alignment horizontal="center" vertical="center"/>
    </xf>
    <xf numFmtId="189" fontId="16" fillId="21" borderId="41" xfId="0" applyNumberFormat="1" applyFont="1" applyFill="1" applyBorder="1" applyAlignment="1">
      <alignment horizontal="center" vertical="center"/>
    </xf>
    <xf numFmtId="179" fontId="16" fillId="6" borderId="41" xfId="0" applyNumberFormat="1" applyFont="1" applyFill="1" applyBorder="1" applyAlignment="1">
      <alignment horizontal="center" vertical="center"/>
    </xf>
    <xf numFmtId="179" fontId="36" fillId="22" borderId="41" xfId="0" applyNumberFormat="1" applyFont="1" applyFill="1" applyBorder="1" applyAlignment="1">
      <alignment horizontal="center" vertical="center"/>
    </xf>
    <xf numFmtId="179" fontId="33" fillId="22" borderId="41" xfId="0" applyNumberFormat="1" applyFont="1" applyFill="1" applyBorder="1" applyAlignment="1">
      <alignment horizontal="center" vertical="center"/>
    </xf>
    <xf numFmtId="0" fontId="4" fillId="0" borderId="59" xfId="0" applyFont="1" applyBorder="1" applyAlignment="1">
      <alignment horizontal="center" vertical="center"/>
    </xf>
    <xf numFmtId="179" fontId="4" fillId="0" borderId="57" xfId="0" applyNumberFormat="1" applyFont="1" applyBorder="1">
      <alignment vertical="center"/>
    </xf>
    <xf numFmtId="0" fontId="36" fillId="17" borderId="37" xfId="0" applyFont="1" applyFill="1" applyBorder="1">
      <alignment vertical="center"/>
    </xf>
    <xf numFmtId="0" fontId="36" fillId="6" borderId="38" xfId="0" applyFont="1" applyFill="1" applyBorder="1">
      <alignment vertical="center"/>
    </xf>
    <xf numFmtId="0" fontId="36" fillId="6" borderId="1" xfId="0" applyFont="1" applyFill="1" applyBorder="1">
      <alignment vertical="center"/>
    </xf>
    <xf numFmtId="0" fontId="31" fillId="21" borderId="0" xfId="0" applyFont="1" applyFill="1">
      <alignment vertical="center"/>
    </xf>
    <xf numFmtId="176" fontId="5" fillId="0" borderId="57" xfId="0" applyNumberFormat="1" applyFont="1" applyBorder="1">
      <alignment vertical="center"/>
    </xf>
    <xf numFmtId="0" fontId="8" fillId="23" borderId="0" xfId="0" applyFont="1" applyFill="1">
      <alignment vertical="center"/>
    </xf>
    <xf numFmtId="0" fontId="4" fillId="23" borderId="0" xfId="0" applyFont="1" applyFill="1">
      <alignment vertical="center"/>
    </xf>
    <xf numFmtId="0" fontId="50" fillId="23" borderId="0" xfId="0" applyFont="1" applyFill="1">
      <alignment vertical="center"/>
    </xf>
    <xf numFmtId="0" fontId="37" fillId="11" borderId="10" xfId="0" applyFont="1" applyFill="1" applyBorder="1">
      <alignment vertical="center"/>
    </xf>
    <xf numFmtId="0" fontId="36" fillId="11" borderId="10" xfId="0" applyFont="1" applyFill="1" applyBorder="1">
      <alignment vertical="center"/>
    </xf>
    <xf numFmtId="179" fontId="37" fillId="6" borderId="69" xfId="0" applyNumberFormat="1" applyFont="1" applyFill="1" applyBorder="1">
      <alignment vertical="center"/>
    </xf>
    <xf numFmtId="0" fontId="4" fillId="7" borderId="0" xfId="0" applyFont="1" applyFill="1" applyAlignment="1">
      <alignment horizontal="right" vertical="center"/>
    </xf>
    <xf numFmtId="0" fontId="42" fillId="0" borderId="0" xfId="0" applyFont="1" applyAlignment="1">
      <alignment horizontal="left" vertical="center"/>
    </xf>
    <xf numFmtId="0" fontId="5" fillId="12" borderId="41" xfId="0" applyFont="1" applyFill="1" applyBorder="1" applyAlignment="1">
      <alignment horizontal="center" vertical="center"/>
    </xf>
    <xf numFmtId="0" fontId="44" fillId="12" borderId="50" xfId="0" applyFont="1" applyFill="1" applyBorder="1" applyAlignment="1">
      <alignment horizontal="center" vertical="center"/>
    </xf>
    <xf numFmtId="0" fontId="44" fillId="12" borderId="10" xfId="0" applyFont="1" applyFill="1" applyBorder="1" applyAlignment="1">
      <alignment horizontal="center" vertical="center"/>
    </xf>
    <xf numFmtId="0" fontId="44" fillId="12" borderId="11" xfId="0" applyFont="1" applyFill="1" applyBorder="1" applyAlignment="1">
      <alignment horizontal="center" vertical="center"/>
    </xf>
    <xf numFmtId="0" fontId="44" fillId="12" borderId="35" xfId="0" applyFont="1" applyFill="1" applyBorder="1" applyAlignment="1">
      <alignment horizontal="center" vertical="center"/>
    </xf>
    <xf numFmtId="0" fontId="44" fillId="12" borderId="16" xfId="0" applyFont="1" applyFill="1" applyBorder="1" applyAlignment="1">
      <alignment horizontal="center" vertical="center"/>
    </xf>
    <xf numFmtId="0" fontId="44" fillId="12" borderId="17" xfId="0" applyFont="1" applyFill="1" applyBorder="1" applyAlignment="1">
      <alignment horizontal="center" vertical="center"/>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4" borderId="45" xfId="0" applyFont="1" applyFill="1" applyBorder="1" applyAlignment="1">
      <alignment horizontal="center" vertical="center"/>
    </xf>
    <xf numFmtId="0" fontId="5" fillId="2" borderId="44" xfId="0" applyFont="1" applyFill="1" applyBorder="1" applyAlignment="1">
      <alignment horizontal="center" vertical="center"/>
    </xf>
    <xf numFmtId="0" fontId="5" fillId="2" borderId="0" xfId="0" applyFont="1" applyFill="1" applyAlignment="1">
      <alignment horizontal="center" vertical="center"/>
    </xf>
    <xf numFmtId="0" fontId="5" fillId="2" borderId="45" xfId="0" applyFont="1" applyFill="1" applyBorder="1" applyAlignment="1">
      <alignment horizontal="center" vertical="center"/>
    </xf>
    <xf numFmtId="0" fontId="44" fillId="10" borderId="42" xfId="0" applyFont="1" applyFill="1" applyBorder="1" applyAlignment="1">
      <alignment horizontal="center" vertical="center"/>
    </xf>
    <xf numFmtId="0" fontId="44" fillId="10" borderId="48" xfId="0" applyFont="1" applyFill="1" applyBorder="1" applyAlignment="1">
      <alignment horizontal="center" vertical="center"/>
    </xf>
    <xf numFmtId="0" fontId="44" fillId="10" borderId="43" xfId="0" applyFont="1" applyFill="1" applyBorder="1" applyAlignment="1">
      <alignment horizontal="center" vertical="center"/>
    </xf>
    <xf numFmtId="0" fontId="4" fillId="0" borderId="0" xfId="0" applyFont="1" applyAlignment="1">
      <alignment horizontal="center" vertical="center"/>
    </xf>
    <xf numFmtId="0" fontId="4" fillId="0" borderId="45" xfId="0" applyFont="1" applyBorder="1" applyAlignment="1">
      <alignment horizontal="center" vertical="center"/>
    </xf>
    <xf numFmtId="0" fontId="13" fillId="3" borderId="44" xfId="0" applyFont="1" applyFill="1" applyBorder="1" applyAlignment="1">
      <alignment horizontal="center" vertical="center"/>
    </xf>
    <xf numFmtId="0" fontId="13" fillId="3" borderId="0" xfId="0" applyFont="1" applyFill="1" applyAlignment="1">
      <alignment horizontal="center" vertical="center"/>
    </xf>
    <xf numFmtId="0" fontId="4" fillId="3" borderId="44" xfId="0" applyFont="1" applyFill="1" applyBorder="1" applyAlignment="1">
      <alignment horizontal="center" vertical="center"/>
    </xf>
    <xf numFmtId="0" fontId="4" fillId="3" borderId="0" xfId="0" applyFont="1" applyFill="1" applyAlignment="1">
      <alignment horizontal="center" vertical="center"/>
    </xf>
    <xf numFmtId="0" fontId="4" fillId="11" borderId="8"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4" fillId="12" borderId="4" xfId="0" applyFont="1" applyFill="1" applyBorder="1" applyAlignment="1">
      <alignment horizontal="center" vertical="center"/>
    </xf>
    <xf numFmtId="0" fontId="4" fillId="12" borderId="6" xfId="0" applyFont="1" applyFill="1" applyBorder="1" applyAlignment="1">
      <alignment horizontal="center" vertical="center"/>
    </xf>
    <xf numFmtId="0" fontId="4" fillId="11" borderId="8" xfId="0" applyFont="1" applyFill="1" applyBorder="1" applyAlignment="1">
      <alignment horizontal="center" vertical="center"/>
    </xf>
    <xf numFmtId="0" fontId="4" fillId="11" borderId="14" xfId="0" applyFont="1" applyFill="1" applyBorder="1" applyAlignment="1">
      <alignment horizontal="center" vertical="center"/>
    </xf>
    <xf numFmtId="0" fontId="4" fillId="11" borderId="15" xfId="0" applyFont="1" applyFill="1" applyBorder="1" applyAlignment="1">
      <alignment horizontal="center" vertical="center"/>
    </xf>
    <xf numFmtId="0" fontId="4" fillId="12" borderId="29" xfId="0" applyFont="1" applyFill="1" applyBorder="1" applyAlignment="1">
      <alignment horizontal="center" vertical="center"/>
    </xf>
    <xf numFmtId="0" fontId="4" fillId="12" borderId="30" xfId="0" applyFont="1" applyFill="1" applyBorder="1" applyAlignment="1">
      <alignment horizontal="center" vertical="center"/>
    </xf>
    <xf numFmtId="0" fontId="8" fillId="11" borderId="8" xfId="0" applyFont="1" applyFill="1" applyBorder="1" applyAlignment="1">
      <alignment horizontal="center" vertical="center"/>
    </xf>
    <xf numFmtId="0" fontId="8" fillId="11" borderId="14" xfId="0" applyFont="1" applyFill="1" applyBorder="1" applyAlignment="1">
      <alignment horizontal="center" vertical="center"/>
    </xf>
    <xf numFmtId="0" fontId="8" fillId="11" borderId="15" xfId="0" applyFont="1" applyFill="1" applyBorder="1" applyAlignment="1">
      <alignment horizontal="center" vertical="center"/>
    </xf>
    <xf numFmtId="176" fontId="4" fillId="0" borderId="4" xfId="1" applyNumberFormat="1" applyFont="1" applyBorder="1" applyAlignment="1">
      <alignment horizontal="center" vertical="center"/>
    </xf>
    <xf numFmtId="0" fontId="4" fillId="0" borderId="5" xfId="0" applyFont="1" applyBorder="1" applyAlignment="1">
      <alignment horizontal="center" vertical="center"/>
    </xf>
    <xf numFmtId="176" fontId="4" fillId="6" borderId="37" xfId="0" applyNumberFormat="1" applyFont="1" applyFill="1" applyBorder="1" applyAlignment="1">
      <alignment horizontal="center" vertical="center"/>
    </xf>
    <xf numFmtId="176" fontId="4" fillId="6" borderId="40" xfId="0" applyNumberFormat="1" applyFont="1" applyFill="1" applyBorder="1" applyAlignment="1">
      <alignment horizontal="center" vertical="center"/>
    </xf>
    <xf numFmtId="176" fontId="5" fillId="6" borderId="37" xfId="0" applyNumberFormat="1" applyFont="1" applyFill="1" applyBorder="1" applyAlignment="1">
      <alignment horizontal="center" vertical="center"/>
    </xf>
    <xf numFmtId="176" fontId="5" fillId="6" borderId="40" xfId="0" applyNumberFormat="1" applyFont="1" applyFill="1" applyBorder="1" applyAlignment="1">
      <alignment horizontal="center" vertical="center"/>
    </xf>
    <xf numFmtId="176" fontId="37" fillId="0" borderId="37" xfId="0" applyNumberFormat="1" applyFont="1" applyBorder="1" applyAlignment="1">
      <alignment horizontal="center" vertical="center"/>
    </xf>
    <xf numFmtId="176" fontId="37" fillId="0" borderId="40" xfId="0" applyNumberFormat="1" applyFont="1" applyBorder="1" applyAlignment="1">
      <alignment horizontal="center" vertical="center"/>
    </xf>
    <xf numFmtId="181" fontId="16" fillId="6" borderId="37" xfId="0" applyNumberFormat="1" applyFont="1" applyFill="1" applyBorder="1" applyAlignment="1">
      <alignment horizontal="center" vertical="center"/>
    </xf>
    <xf numFmtId="181" fontId="16" fillId="6" borderId="40" xfId="0" applyNumberFormat="1" applyFont="1" applyFill="1" applyBorder="1" applyAlignment="1">
      <alignment horizontal="center" vertical="center"/>
    </xf>
    <xf numFmtId="179" fontId="4" fillId="0" borderId="37" xfId="0" applyNumberFormat="1" applyFont="1" applyBorder="1" applyAlignment="1">
      <alignment horizontal="center" vertical="center"/>
    </xf>
    <xf numFmtId="179" fontId="4" fillId="0" borderId="40" xfId="0" applyNumberFormat="1" applyFont="1" applyBorder="1" applyAlignment="1">
      <alignment horizontal="center" vertical="center"/>
    </xf>
    <xf numFmtId="181" fontId="4" fillId="0" borderId="37" xfId="0" applyNumberFormat="1" applyFont="1" applyBorder="1" applyAlignment="1">
      <alignment horizontal="center" vertical="center"/>
    </xf>
    <xf numFmtId="181" fontId="4" fillId="0" borderId="40" xfId="0" applyNumberFormat="1" applyFont="1" applyBorder="1" applyAlignment="1">
      <alignment horizontal="center" vertical="center"/>
    </xf>
    <xf numFmtId="176" fontId="4" fillId="0" borderId="37" xfId="0" applyNumberFormat="1" applyFont="1" applyBorder="1" applyAlignment="1">
      <alignment horizontal="center" vertical="center"/>
    </xf>
    <xf numFmtId="176" fontId="4" fillId="0" borderId="40" xfId="0" applyNumberFormat="1" applyFont="1" applyBorder="1" applyAlignment="1">
      <alignment horizontal="center" vertical="center"/>
    </xf>
    <xf numFmtId="181" fontId="5" fillId="6" borderId="37" xfId="0" applyNumberFormat="1" applyFont="1" applyFill="1" applyBorder="1" applyAlignment="1">
      <alignment horizontal="center" vertical="center"/>
    </xf>
    <xf numFmtId="181" fontId="5" fillId="6" borderId="40" xfId="0" applyNumberFormat="1" applyFont="1" applyFill="1" applyBorder="1" applyAlignment="1">
      <alignment horizontal="center" vertical="center"/>
    </xf>
    <xf numFmtId="179" fontId="5" fillId="0" borderId="37" xfId="0" applyNumberFormat="1" applyFont="1" applyBorder="1" applyAlignment="1">
      <alignment horizontal="center" vertical="center"/>
    </xf>
    <xf numFmtId="179" fontId="5" fillId="0" borderId="40" xfId="0" applyNumberFormat="1" applyFont="1" applyBorder="1" applyAlignment="1">
      <alignment horizontal="center" vertical="center"/>
    </xf>
    <xf numFmtId="0" fontId="36" fillId="11" borderId="0" xfId="0" applyFont="1" applyFill="1" applyAlignment="1">
      <alignment horizontal="left" vertical="center"/>
    </xf>
    <xf numFmtId="181" fontId="36" fillId="11" borderId="0" xfId="0" applyNumberFormat="1" applyFont="1" applyFill="1" applyAlignment="1">
      <alignment horizontal="center" vertical="center"/>
    </xf>
    <xf numFmtId="181" fontId="36" fillId="11" borderId="5" xfId="0" applyNumberFormat="1" applyFont="1" applyFill="1" applyBorder="1" applyAlignment="1">
      <alignment horizontal="center" vertical="center"/>
    </xf>
    <xf numFmtId="181" fontId="4" fillId="11" borderId="0" xfId="0" applyNumberFormat="1" applyFont="1" applyFill="1" applyAlignment="1">
      <alignment horizontal="center" vertical="center"/>
    </xf>
    <xf numFmtId="181" fontId="4" fillId="11" borderId="5" xfId="0" applyNumberFormat="1" applyFont="1" applyFill="1" applyBorder="1" applyAlignment="1">
      <alignment horizontal="center" vertical="center"/>
    </xf>
    <xf numFmtId="181" fontId="36" fillId="0" borderId="37" xfId="0" applyNumberFormat="1" applyFont="1" applyBorder="1" applyAlignment="1">
      <alignment horizontal="center" vertical="center"/>
    </xf>
    <xf numFmtId="181" fontId="36" fillId="0" borderId="40" xfId="0" applyNumberFormat="1" applyFont="1" applyBorder="1" applyAlignment="1">
      <alignment horizontal="center" vertical="center"/>
    </xf>
    <xf numFmtId="176" fontId="36" fillId="0" borderId="37" xfId="0" applyNumberFormat="1" applyFont="1" applyBorder="1" applyAlignment="1">
      <alignment horizontal="center" vertical="center"/>
    </xf>
    <xf numFmtId="176" fontId="36" fillId="0" borderId="40" xfId="0" applyNumberFormat="1" applyFont="1" applyBorder="1" applyAlignment="1">
      <alignment horizontal="center" vertical="center"/>
    </xf>
    <xf numFmtId="0" fontId="4" fillId="5" borderId="0" xfId="0" applyFont="1" applyFill="1" applyAlignment="1">
      <alignment horizontal="center" vertical="center"/>
    </xf>
    <xf numFmtId="0" fontId="5" fillId="4" borderId="0" xfId="0" applyFont="1" applyFill="1" applyAlignment="1">
      <alignment horizontal="center" vertical="center"/>
    </xf>
    <xf numFmtId="0" fontId="5" fillId="10" borderId="52" xfId="0" applyFont="1" applyFill="1" applyBorder="1" applyAlignment="1">
      <alignment horizontal="center" vertical="center"/>
    </xf>
    <xf numFmtId="0" fontId="5" fillId="10" borderId="58" xfId="0" applyFont="1" applyFill="1" applyBorder="1" applyAlignment="1">
      <alignment horizontal="center" vertical="center"/>
    </xf>
    <xf numFmtId="0" fontId="5" fillId="10" borderId="53" xfId="0" applyFont="1" applyFill="1" applyBorder="1" applyAlignment="1">
      <alignment horizontal="center" vertical="center"/>
    </xf>
    <xf numFmtId="0" fontId="4" fillId="20" borderId="54" xfId="0" applyFont="1" applyFill="1" applyBorder="1" applyAlignment="1">
      <alignment horizontal="center" vertical="center"/>
    </xf>
    <xf numFmtId="0" fontId="4" fillId="20" borderId="0" xfId="0" applyFont="1" applyFill="1" applyAlignment="1">
      <alignment horizontal="center" vertical="center"/>
    </xf>
    <xf numFmtId="0" fontId="4" fillId="20" borderId="55" xfId="0" applyFont="1" applyFill="1" applyBorder="1" applyAlignment="1">
      <alignment horizontal="center" vertical="center"/>
    </xf>
    <xf numFmtId="0" fontId="5" fillId="2" borderId="56" xfId="0" applyFont="1" applyFill="1" applyBorder="1" applyAlignment="1">
      <alignment horizontal="center" vertical="center"/>
    </xf>
    <xf numFmtId="0" fontId="5" fillId="2" borderId="59" xfId="0" applyFont="1" applyFill="1" applyBorder="1" applyAlignment="1">
      <alignment horizontal="center" vertical="center"/>
    </xf>
    <xf numFmtId="0" fontId="4" fillId="2" borderId="54" xfId="0" applyFont="1" applyFill="1" applyBorder="1" applyAlignment="1">
      <alignment horizontal="center" vertical="center"/>
    </xf>
    <xf numFmtId="184" fontId="4" fillId="7" borderId="54" xfId="0" applyNumberFormat="1" applyFont="1" applyFill="1" applyBorder="1" applyAlignment="1">
      <alignment horizontal="center" vertical="center"/>
    </xf>
    <xf numFmtId="0" fontId="4" fillId="7" borderId="54" xfId="0" applyFont="1" applyFill="1" applyBorder="1" applyAlignment="1">
      <alignment horizontal="center" vertical="center"/>
    </xf>
    <xf numFmtId="0" fontId="4" fillId="7" borderId="0" xfId="0" applyFont="1" applyFill="1" applyAlignment="1">
      <alignment horizontal="center" vertical="center"/>
    </xf>
    <xf numFmtId="0" fontId="5" fillId="7" borderId="54" xfId="0" applyFont="1" applyFill="1" applyBorder="1" applyAlignment="1">
      <alignment horizontal="center" vertical="center"/>
    </xf>
    <xf numFmtId="0" fontId="5" fillId="2" borderId="54" xfId="0" applyFont="1" applyFill="1" applyBorder="1" applyAlignment="1">
      <alignment horizontal="center" vertical="center"/>
    </xf>
    <xf numFmtId="0" fontId="5" fillId="9" borderId="0" xfId="0" applyFont="1" applyFill="1" applyAlignment="1">
      <alignment horizontal="center" vertical="center"/>
    </xf>
    <xf numFmtId="0" fontId="5" fillId="8" borderId="0" xfId="0" applyFont="1" applyFill="1" applyAlignment="1">
      <alignment horizontal="center" vertical="center"/>
    </xf>
    <xf numFmtId="0" fontId="36" fillId="16" borderId="8" xfId="0" applyFont="1" applyFill="1" applyBorder="1">
      <alignment vertical="center"/>
    </xf>
    <xf numFmtId="0" fontId="42" fillId="0" borderId="0" xfId="0" applyFont="1" applyProtection="1">
      <alignment vertical="center"/>
      <protection locked="0"/>
    </xf>
    <xf numFmtId="0" fontId="46" fillId="0" borderId="0" xfId="0" applyFont="1" applyProtection="1">
      <alignment vertical="center"/>
      <protection locked="0"/>
    </xf>
    <xf numFmtId="0" fontId="4" fillId="0" borderId="0" xfId="0" applyFont="1" applyProtection="1">
      <alignment vertical="center"/>
      <protection locked="0"/>
    </xf>
    <xf numFmtId="0" fontId="56" fillId="19" borderId="42" xfId="0" applyFont="1" applyFill="1" applyBorder="1" applyProtection="1">
      <alignment vertical="center"/>
      <protection locked="0"/>
    </xf>
    <xf numFmtId="0" fontId="47" fillId="19" borderId="48" xfId="0" applyFont="1" applyFill="1" applyBorder="1" applyProtection="1">
      <alignment vertical="center"/>
      <protection locked="0"/>
    </xf>
    <xf numFmtId="0" fontId="47" fillId="19" borderId="43" xfId="0" applyFont="1" applyFill="1" applyBorder="1" applyProtection="1">
      <alignment vertical="center"/>
      <protection locked="0"/>
    </xf>
    <xf numFmtId="0" fontId="47" fillId="0" borderId="0" xfId="0" applyFont="1" applyProtection="1">
      <alignment vertical="center"/>
      <protection locked="0"/>
    </xf>
    <xf numFmtId="0" fontId="4" fillId="18" borderId="42" xfId="0" applyFont="1" applyFill="1" applyBorder="1" applyProtection="1">
      <alignment vertical="center"/>
      <protection locked="0"/>
    </xf>
    <xf numFmtId="0" fontId="4" fillId="18" borderId="48" xfId="0" applyFont="1" applyFill="1" applyBorder="1" applyProtection="1">
      <alignment vertical="center"/>
      <protection locked="0"/>
    </xf>
    <xf numFmtId="0" fontId="4" fillId="0" borderId="48" xfId="0" applyFont="1" applyBorder="1" applyProtection="1">
      <alignment vertical="center"/>
      <protection locked="0"/>
    </xf>
    <xf numFmtId="0" fontId="4" fillId="18" borderId="43" xfId="0" applyFont="1" applyFill="1" applyBorder="1" applyProtection="1">
      <alignment vertical="center"/>
      <protection locked="0"/>
    </xf>
    <xf numFmtId="0" fontId="4" fillId="18" borderId="44" xfId="0" applyFont="1" applyFill="1" applyBorder="1" applyProtection="1">
      <alignment vertical="center"/>
      <protection locked="0"/>
    </xf>
    <xf numFmtId="0" fontId="4" fillId="18" borderId="0" xfId="0" applyFont="1" applyFill="1" applyProtection="1">
      <alignment vertical="center"/>
      <protection locked="0"/>
    </xf>
    <xf numFmtId="0" fontId="4" fillId="18" borderId="45" xfId="0" applyFont="1" applyFill="1" applyBorder="1" applyProtection="1">
      <alignment vertical="center"/>
      <protection locked="0"/>
    </xf>
    <xf numFmtId="0" fontId="39" fillId="18" borderId="0" xfId="0" applyFont="1" applyFill="1" applyProtection="1">
      <alignment vertical="center"/>
      <protection locked="0"/>
    </xf>
    <xf numFmtId="0" fontId="23" fillId="18" borderId="0" xfId="0" applyFont="1" applyFill="1" applyProtection="1">
      <alignment vertical="center"/>
      <protection locked="0"/>
    </xf>
    <xf numFmtId="0" fontId="5" fillId="18" borderId="0" xfId="0" applyFont="1" applyFill="1" applyProtection="1">
      <alignment vertical="center"/>
      <protection locked="0"/>
    </xf>
    <xf numFmtId="0" fontId="48" fillId="18" borderId="0" xfId="0" applyFont="1" applyFill="1" applyProtection="1">
      <alignment vertical="center"/>
      <protection locked="0"/>
    </xf>
    <xf numFmtId="3" fontId="4" fillId="6" borderId="1" xfId="0" applyNumberFormat="1" applyFont="1" applyFill="1" applyBorder="1" applyProtection="1">
      <alignment vertical="center"/>
      <protection locked="0"/>
    </xf>
    <xf numFmtId="0" fontId="22" fillId="18" borderId="0" xfId="0" applyFont="1" applyFill="1" applyAlignment="1" applyProtection="1">
      <alignment horizontal="left" vertical="center"/>
      <protection locked="0"/>
    </xf>
    <xf numFmtId="0" fontId="4" fillId="18" borderId="0" xfId="0" applyFont="1" applyFill="1" applyAlignment="1" applyProtection="1">
      <alignment horizontal="right" vertical="center"/>
      <protection locked="0"/>
    </xf>
    <xf numFmtId="0" fontId="8" fillId="18" borderId="0" xfId="0" applyFont="1" applyFill="1" applyAlignment="1" applyProtection="1">
      <alignment vertical="center" readingOrder="1"/>
      <protection locked="0"/>
    </xf>
    <xf numFmtId="0" fontId="4" fillId="6" borderId="1" xfId="0" applyFont="1" applyFill="1" applyBorder="1" applyProtection="1">
      <alignment vertical="center"/>
      <protection locked="0"/>
    </xf>
    <xf numFmtId="9" fontId="4" fillId="18" borderId="0" xfId="0" applyNumberFormat="1" applyFont="1" applyFill="1" applyProtection="1">
      <alignment vertical="center"/>
      <protection locked="0"/>
    </xf>
    <xf numFmtId="0" fontId="4" fillId="18" borderId="0" xfId="0" applyFont="1" applyFill="1" applyAlignment="1" applyProtection="1">
      <alignment horizontal="left" vertical="center"/>
      <protection locked="0"/>
    </xf>
    <xf numFmtId="0" fontId="22" fillId="18" borderId="0" xfId="0" applyFont="1" applyFill="1" applyProtection="1">
      <alignment vertical="center"/>
      <protection locked="0"/>
    </xf>
    <xf numFmtId="0" fontId="8" fillId="18" borderId="0" xfId="0" applyFont="1" applyFill="1" applyProtection="1">
      <alignment vertical="center"/>
      <protection locked="0"/>
    </xf>
    <xf numFmtId="0" fontId="4" fillId="18" borderId="0" xfId="0" applyFont="1" applyFill="1" applyAlignment="1" applyProtection="1">
      <alignment horizontal="center" vertical="center"/>
      <protection locked="0"/>
    </xf>
    <xf numFmtId="0" fontId="8" fillId="18" borderId="0" xfId="0" applyFont="1" applyFill="1" applyAlignment="1" applyProtection="1">
      <alignment horizontal="left" vertical="center"/>
      <protection locked="0"/>
    </xf>
    <xf numFmtId="0" fontId="20" fillId="18" borderId="0" xfId="0" applyFont="1" applyFill="1" applyProtection="1">
      <alignment vertical="center"/>
      <protection locked="0"/>
    </xf>
    <xf numFmtId="0" fontId="4" fillId="6" borderId="50" xfId="0" applyFont="1" applyFill="1" applyBorder="1" applyProtection="1">
      <alignment vertical="center"/>
      <protection locked="0"/>
    </xf>
    <xf numFmtId="0" fontId="4" fillId="6" borderId="10" xfId="0" applyFont="1" applyFill="1" applyBorder="1" applyProtection="1">
      <alignment vertical="center"/>
      <protection locked="0"/>
    </xf>
    <xf numFmtId="0" fontId="4" fillId="6" borderId="11" xfId="0" applyFont="1" applyFill="1" applyBorder="1" applyProtection="1">
      <alignment vertical="center"/>
      <protection locked="0"/>
    </xf>
    <xf numFmtId="0" fontId="4" fillId="6" borderId="51" xfId="0" applyFont="1" applyFill="1" applyBorder="1" applyProtection="1">
      <alignment vertical="center"/>
      <protection locked="0"/>
    </xf>
    <xf numFmtId="0" fontId="4" fillId="6" borderId="0" xfId="0" applyFont="1" applyFill="1" applyProtection="1">
      <alignment vertical="center"/>
      <protection locked="0"/>
    </xf>
    <xf numFmtId="0" fontId="4" fillId="6" borderId="13" xfId="0" applyFont="1" applyFill="1" applyBorder="1" applyProtection="1">
      <alignment vertical="center"/>
      <protection locked="0"/>
    </xf>
    <xf numFmtId="0" fontId="8" fillId="6" borderId="1" xfId="0" applyFont="1" applyFill="1" applyBorder="1" applyProtection="1">
      <alignment vertical="center"/>
      <protection locked="0"/>
    </xf>
    <xf numFmtId="0" fontId="27" fillId="18" borderId="0" xfId="0" applyFont="1" applyFill="1" applyProtection="1">
      <alignment vertical="center"/>
      <protection locked="0"/>
    </xf>
    <xf numFmtId="0" fontId="4" fillId="6" borderId="35" xfId="0" applyFont="1" applyFill="1" applyBorder="1" applyProtection="1">
      <alignment vertical="center"/>
      <protection locked="0"/>
    </xf>
    <xf numFmtId="0" fontId="4" fillId="6" borderId="16" xfId="0" applyFont="1" applyFill="1" applyBorder="1" applyProtection="1">
      <alignment vertical="center"/>
      <protection locked="0"/>
    </xf>
    <xf numFmtId="0" fontId="4" fillId="6" borderId="17" xfId="0" applyFont="1" applyFill="1" applyBorder="1" applyProtection="1">
      <alignment vertical="center"/>
      <protection locked="0"/>
    </xf>
    <xf numFmtId="0" fontId="4" fillId="18" borderId="46" xfId="0" applyFont="1" applyFill="1" applyBorder="1" applyProtection="1">
      <alignment vertical="center"/>
      <protection locked="0"/>
    </xf>
    <xf numFmtId="0" fontId="4" fillId="18" borderId="49" xfId="0" applyFont="1" applyFill="1" applyBorder="1" applyProtection="1">
      <alignment vertical="center"/>
      <protection locked="0"/>
    </xf>
    <xf numFmtId="0" fontId="4" fillId="0" borderId="49" xfId="0" applyFont="1" applyBorder="1" applyProtection="1">
      <alignment vertical="center"/>
      <protection locked="0"/>
    </xf>
    <xf numFmtId="0" fontId="4" fillId="18" borderId="47" xfId="0" applyFont="1" applyFill="1" applyBorder="1" applyProtection="1">
      <alignment vertical="center"/>
      <protection locked="0"/>
    </xf>
    <xf numFmtId="3" fontId="4" fillId="6" borderId="1" xfId="0" applyNumberFormat="1" applyFont="1" applyFill="1" applyBorder="1" applyAlignment="1" applyProtection="1">
      <alignment horizontal="right" vertical="center"/>
    </xf>
    <xf numFmtId="177" fontId="4" fillId="6" borderId="1" xfId="1" applyFont="1" applyFill="1" applyBorder="1" applyAlignment="1" applyProtection="1">
      <alignment horizontal="right" vertical="center"/>
    </xf>
    <xf numFmtId="186" fontId="4" fillId="6" borderId="1" xfId="0" applyNumberFormat="1" applyFont="1" applyFill="1" applyBorder="1" applyAlignment="1" applyProtection="1">
      <alignment horizontal="right" vertical="center"/>
    </xf>
    <xf numFmtId="177" fontId="4" fillId="6" borderId="8" xfId="1" applyFont="1" applyFill="1" applyBorder="1" applyAlignment="1" applyProtection="1">
      <alignment horizontal="right" vertical="center"/>
    </xf>
    <xf numFmtId="2" fontId="4" fillId="6" borderId="1" xfId="0" applyNumberFormat="1" applyFont="1" applyFill="1" applyBorder="1" applyAlignment="1" applyProtection="1">
      <alignment horizontal="right" vertical="center"/>
    </xf>
    <xf numFmtId="187" fontId="4" fillId="6" borderId="1" xfId="0" applyNumberFormat="1" applyFont="1" applyFill="1" applyBorder="1" applyAlignment="1" applyProtection="1">
      <alignment horizontal="right" vertical="center"/>
    </xf>
  </cellXfs>
  <cellStyles count="4">
    <cellStyle name="Hyperlink" xfId="2" xr:uid="{00000000-0005-0000-0000-000000000000}"/>
    <cellStyle name="쉼표 [0]" xfId="1" builtinId="6"/>
    <cellStyle name="표준" xfId="0" builtinId="0"/>
    <cellStyle name="하이퍼링크" xfId="3" builtinId="8"/>
  </cellStyles>
  <dxfs count="0"/>
  <tableStyles count="0" defaultTableStyle="TableStyleMedium2" defaultPivotStyle="PivotStyleLight16"/>
  <colors>
    <mruColors>
      <color rgb="FFDAEEF3"/>
      <color rgb="FFE8D9FB"/>
      <color rgb="FF0367A6"/>
      <color rgb="FF8C3D2B"/>
      <color rgb="FFD99962"/>
      <color rgb="FFD9BA5F"/>
      <color rgb="FF52591C"/>
      <color rgb="FFA6634B"/>
      <color rgb="FFF2E7AC"/>
      <color rgb="FFBF0F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'[1]Inputs &amp; results'!$C$23</c:f>
          <c:strCache>
            <c:ptCount val="1"/>
            <c:pt idx="0">
              <c:v>Raw material price</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ko-KR"/>
        </a:p>
      </c:txPr>
    </c:title>
    <c:autoTitleDeleted val="0"/>
    <c:plotArea>
      <c:layout/>
      <c:barChart>
        <c:barDir val="bar"/>
        <c:grouping val="clustered"/>
        <c:varyColors val="0"/>
        <c:ser>
          <c:idx val="4"/>
          <c:order val="4"/>
          <c:tx>
            <c:strRef>
              <c:f>'3. Inputs &amp; results'!$C$27:$C$32</c:f>
              <c:strCache>
                <c:ptCount val="6"/>
                <c:pt idx="0">
                  <c:v>CaCO3</c:v>
                </c:pt>
                <c:pt idx="1">
                  <c:v>CH4</c:v>
                </c:pt>
                <c:pt idx="2">
                  <c:v>H2O</c:v>
                </c:pt>
                <c:pt idx="3">
                  <c:v>HCl</c:v>
                </c:pt>
                <c:pt idx="4">
                  <c:v>NaCl</c:v>
                </c:pt>
                <c:pt idx="5">
                  <c:v>NH3</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'3. Inputs &amp; results'!$C$27:$C$32</c:f>
              <c:strCache>
                <c:ptCount val="6"/>
                <c:pt idx="0">
                  <c:v>CaCO3</c:v>
                </c:pt>
                <c:pt idx="1">
                  <c:v>CH4</c:v>
                </c:pt>
                <c:pt idx="2">
                  <c:v>H2O</c:v>
                </c:pt>
                <c:pt idx="3">
                  <c:v>HCl</c:v>
                </c:pt>
                <c:pt idx="4">
                  <c:v>NaCl</c:v>
                </c:pt>
                <c:pt idx="5">
                  <c:v>NH3</c:v>
                </c:pt>
              </c:strCache>
            </c:strRef>
          </c:cat>
          <c:val>
            <c:numRef>
              <c:f>'3. Inputs &amp; results'!$H$27:$H$32</c:f>
              <c:numCache>
                <c:formatCode>General</c:formatCode>
                <c:ptCount val="6"/>
                <c:pt idx="0">
                  <c:v>0.14000000000000001</c:v>
                </c:pt>
                <c:pt idx="1">
                  <c:v>0.78</c:v>
                </c:pt>
                <c:pt idx="2">
                  <c:v>0.12</c:v>
                </c:pt>
                <c:pt idx="3">
                  <c:v>0.17899999999999999</c:v>
                </c:pt>
                <c:pt idx="4">
                  <c:v>0.23</c:v>
                </c:pt>
                <c:pt idx="5">
                  <c:v>0.26</c:v>
                </c:pt>
              </c:numCache>
            </c:numRef>
          </c:val>
          <c:extLst>
            <c:ext xmlns:c16="http://schemas.microsoft.com/office/drawing/2014/chart" uri="{C3380CC4-5D6E-409C-BE32-E72D297353CC}">
              <c16:uniqueId val="{00000000-C6AB-43AD-A482-E38A117538ED}"/>
            </c:ext>
          </c:extLst>
        </c:ser>
        <c:dLbls>
          <c:dLblPos val="inEnd"/>
          <c:showLegendKey val="0"/>
          <c:showVal val="1"/>
          <c:showCatName val="0"/>
          <c:showSerName val="0"/>
          <c:showPercent val="0"/>
          <c:showBubbleSize val="0"/>
        </c:dLbls>
        <c:gapWidth val="65"/>
        <c:axId val="546987624"/>
        <c:axId val="546986184"/>
        <c:extLst>
          <c:ext xmlns:c15="http://schemas.microsoft.com/office/drawing/2012/chart" uri="{02D57815-91ED-43cb-92C2-25804820EDAC}">
            <c15:filteredBarSeries>
              <c15: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'3. Inputs &amp; results'!$C$27:$C$32</c15:sqref>
                        </c15:formulaRef>
                      </c:ext>
                    </c:extLst>
                    <c:strCache>
                      <c:ptCount val="6"/>
                      <c:pt idx="0">
                        <c:v>CaCO3</c:v>
                      </c:pt>
                      <c:pt idx="1">
                        <c:v>CH4</c:v>
                      </c:pt>
                      <c:pt idx="2">
                        <c:v>H2O</c:v>
                      </c:pt>
                      <c:pt idx="3">
                        <c:v>HCl</c:v>
                      </c:pt>
                      <c:pt idx="4">
                        <c:v>NaCl</c:v>
                      </c:pt>
                      <c:pt idx="5">
                        <c:v>NH3</c:v>
                      </c:pt>
                    </c:strCache>
                  </c:strRef>
                </c:cat>
                <c:val>
                  <c:numRef>
                    <c:extLst>
                      <c:ext uri="{02D57815-91ED-43cb-92C2-25804820EDAC}">
                        <c15:formulaRef>
                          <c15:sqref>'[1]Inputs &amp; results'!$D$24:$D$29</c15:sqref>
                        </c15:formulaRef>
                      </c:ext>
                    </c:extLst>
                    <c:numCache>
                      <c:formatCode>General</c:formatCode>
                      <c:ptCount val="6"/>
                    </c:numCache>
                  </c:numRef>
                </c:val>
                <c:extLst>
                  <c:ext xmlns:c16="http://schemas.microsoft.com/office/drawing/2014/chart" uri="{C3380CC4-5D6E-409C-BE32-E72D297353CC}">
                    <c16:uniqueId val="{00000001-C6AB-43AD-A482-E38A117538ED}"/>
                  </c:ext>
                </c:extLst>
              </c15:ser>
            </c15:filteredBarSeries>
            <c15:filteredBarSeries>
              <c15:ser>
                <c:idx val="1"/>
                <c:order val="1"/>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'3. Inputs &amp; results'!$C$27:$C$32</c15:sqref>
                        </c15:formulaRef>
                      </c:ext>
                    </c:extLst>
                    <c:strCache>
                      <c:ptCount val="6"/>
                      <c:pt idx="0">
                        <c:v>CaCO3</c:v>
                      </c:pt>
                      <c:pt idx="1">
                        <c:v>CH4</c:v>
                      </c:pt>
                      <c:pt idx="2">
                        <c:v>H2O</c:v>
                      </c:pt>
                      <c:pt idx="3">
                        <c:v>HCl</c:v>
                      </c:pt>
                      <c:pt idx="4">
                        <c:v>NaCl</c:v>
                      </c:pt>
                      <c:pt idx="5">
                        <c:v>NH3</c:v>
                      </c:pt>
                    </c:strCache>
                  </c:strRef>
                </c:cat>
                <c:val>
                  <c:numRef>
                    <c:extLst xmlns:c15="http://schemas.microsoft.com/office/drawing/2012/chart">
                      <c:ext xmlns:c15="http://schemas.microsoft.com/office/drawing/2012/chart" uri="{02D57815-91ED-43cb-92C2-25804820EDAC}">
                        <c15:formulaRef>
                          <c15:sqref>'[1]Inputs &amp; results'!$E$24:$E$29</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2-C6AB-43AD-A482-E38A117538ED}"/>
                  </c:ext>
                </c:extLst>
              </c15:ser>
            </c15:filteredBarSeries>
            <c15:filteredBarSeries>
              <c15:ser>
                <c:idx val="2"/>
                <c:order val="2"/>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'3. Inputs &amp; results'!$C$27:$C$32</c15:sqref>
                        </c15:formulaRef>
                      </c:ext>
                    </c:extLst>
                    <c:strCache>
                      <c:ptCount val="6"/>
                      <c:pt idx="0">
                        <c:v>CaCO3</c:v>
                      </c:pt>
                      <c:pt idx="1">
                        <c:v>CH4</c:v>
                      </c:pt>
                      <c:pt idx="2">
                        <c:v>H2O</c:v>
                      </c:pt>
                      <c:pt idx="3">
                        <c:v>HCl</c:v>
                      </c:pt>
                      <c:pt idx="4">
                        <c:v>NaCl</c:v>
                      </c:pt>
                      <c:pt idx="5">
                        <c:v>NH3</c:v>
                      </c:pt>
                    </c:strCache>
                  </c:strRef>
                </c:cat>
                <c:val>
                  <c:numRef>
                    <c:extLst xmlns:c15="http://schemas.microsoft.com/office/drawing/2012/chart">
                      <c:ext xmlns:c15="http://schemas.microsoft.com/office/drawing/2012/chart" uri="{02D57815-91ED-43cb-92C2-25804820EDAC}">
                        <c15:formulaRef>
                          <c15:sqref>'[1]Inputs &amp; results'!$F$24:$F$29</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3-C6AB-43AD-A482-E38A117538ED}"/>
                  </c:ext>
                </c:extLst>
              </c15:ser>
            </c15:filteredBarSeries>
            <c15:filteredBarSeries>
              <c15:ser>
                <c:idx val="3"/>
                <c:order val="3"/>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xmlns:c15="http://schemas.microsoft.com/office/drawing/2012/chart">
                      <c:ext xmlns:c15="http://schemas.microsoft.com/office/drawing/2012/chart" uri="{02D57815-91ED-43cb-92C2-25804820EDAC}">
                        <c15:formulaRef>
                          <c15:sqref>'3. Inputs &amp; results'!$C$27:$C$32</c15:sqref>
                        </c15:formulaRef>
                      </c:ext>
                    </c:extLst>
                    <c:strCache>
                      <c:ptCount val="6"/>
                      <c:pt idx="0">
                        <c:v>CaCO3</c:v>
                      </c:pt>
                      <c:pt idx="1">
                        <c:v>CH4</c:v>
                      </c:pt>
                      <c:pt idx="2">
                        <c:v>H2O</c:v>
                      </c:pt>
                      <c:pt idx="3">
                        <c:v>HCl</c:v>
                      </c:pt>
                      <c:pt idx="4">
                        <c:v>NaCl</c:v>
                      </c:pt>
                      <c:pt idx="5">
                        <c:v>NH3</c:v>
                      </c:pt>
                    </c:strCache>
                  </c:strRef>
                </c:cat>
                <c:val>
                  <c:numRef>
                    <c:extLst xmlns:c15="http://schemas.microsoft.com/office/drawing/2012/chart">
                      <c:ext xmlns:c15="http://schemas.microsoft.com/office/drawing/2012/chart" uri="{02D57815-91ED-43cb-92C2-25804820EDAC}">
                        <c15:formulaRef>
                          <c15:sqref>'[1]Inputs &amp; results'!$G$24:$G$29</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4-C6AB-43AD-A482-E38A117538ED}"/>
                  </c:ext>
                </c:extLst>
              </c15:ser>
            </c15:filteredBarSeries>
          </c:ext>
        </c:extLst>
      </c:barChart>
      <c:catAx>
        <c:axId val="546987624"/>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546986184"/>
        <c:crosses val="autoZero"/>
        <c:auto val="1"/>
        <c:lblAlgn val="ctr"/>
        <c:lblOffset val="100"/>
        <c:noMultiLvlLbl val="0"/>
      </c:catAx>
      <c:valAx>
        <c:axId val="546986184"/>
        <c:scaling>
          <c:orientation val="minMax"/>
        </c:scaling>
        <c:delete val="0"/>
        <c:axPos val="t"/>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$/kg</a:t>
                </a:r>
                <a:endParaRPr lang="ko-K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crossAx val="54698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a:softEdge rad="0"/>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'6-2. Economic evaluation'!$B$16:$D$16</c:f>
          <c:strCache>
            <c:ptCount val="3"/>
            <c:pt idx="0">
              <c:v>Estimation of capital investment cost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ko-KR"/>
        </a:p>
      </c:txPr>
    </c:title>
    <c:autoTitleDeleted val="0"/>
    <c:plotArea>
      <c:layout/>
      <c:doughnutChart>
        <c:varyColors val="1"/>
        <c:ser>
          <c:idx val="0"/>
          <c:order val="0"/>
          <c:dPt>
            <c:idx val="0"/>
            <c:bubble3D val="0"/>
            <c:spPr>
              <a:solidFill>
                <a:srgbClr val="F2CAA7"/>
              </a:solidFill>
              <a:ln>
                <a:noFill/>
              </a:ln>
              <a:effectLst/>
            </c:spPr>
            <c:extLst>
              <c:ext xmlns:c16="http://schemas.microsoft.com/office/drawing/2014/chart" uri="{C3380CC4-5D6E-409C-BE32-E72D297353CC}">
                <c16:uniqueId val="{00000001-714E-4F96-895D-33D94CB6EAEE}"/>
              </c:ext>
            </c:extLst>
          </c:dPt>
          <c:dPt>
            <c:idx val="1"/>
            <c:bubble3D val="0"/>
            <c:spPr>
              <a:solidFill>
                <a:srgbClr val="73A2BF"/>
              </a:solidFill>
              <a:ln>
                <a:noFill/>
              </a:ln>
              <a:effectLst/>
            </c:spPr>
            <c:extLst>
              <c:ext xmlns:c16="http://schemas.microsoft.com/office/drawing/2014/chart" uri="{C3380CC4-5D6E-409C-BE32-E72D297353CC}">
                <c16:uniqueId val="{00000003-714E-4F96-895D-33D94CB6EAEE}"/>
              </c:ext>
            </c:extLst>
          </c:dPt>
          <c:dPt>
            <c:idx val="2"/>
            <c:bubble3D val="0"/>
            <c:spPr>
              <a:solidFill>
                <a:srgbClr val="2D4B73"/>
              </a:solidFill>
              <a:ln>
                <a:noFill/>
              </a:ln>
              <a:effectLst/>
            </c:spPr>
            <c:extLst>
              <c:ext xmlns:c16="http://schemas.microsoft.com/office/drawing/2014/chart" uri="{C3380CC4-5D6E-409C-BE32-E72D297353CC}">
                <c16:uniqueId val="{00000005-714E-4F96-895D-33D94CB6EAEE}"/>
              </c:ext>
            </c:extLst>
          </c:dPt>
          <c:dPt>
            <c:idx val="3"/>
            <c:bubble3D val="0"/>
            <c:spPr>
              <a:solidFill>
                <a:srgbClr val="5D7CA6"/>
              </a:solidFill>
              <a:ln>
                <a:noFill/>
              </a:ln>
              <a:effectLst/>
            </c:spPr>
            <c:extLst>
              <c:ext xmlns:c16="http://schemas.microsoft.com/office/drawing/2014/chart" uri="{C3380CC4-5D6E-409C-BE32-E72D297353CC}">
                <c16:uniqueId val="{00000007-714E-4F96-895D-33D94CB6EAEE}"/>
              </c:ext>
            </c:extLst>
          </c:dPt>
          <c:dPt>
            <c:idx val="4"/>
            <c:bubble3D val="0"/>
            <c:spPr>
              <a:solidFill>
                <a:srgbClr val="B37A6D"/>
              </a:solidFill>
              <a:ln>
                <a:noFill/>
              </a:ln>
              <a:effectLst/>
            </c:spPr>
            <c:extLst>
              <c:ext xmlns:c16="http://schemas.microsoft.com/office/drawing/2014/chart" uri="{C3380CC4-5D6E-409C-BE32-E72D297353CC}">
                <c16:uniqueId val="{00000009-714E-4F96-895D-33D94CB6EAEE}"/>
              </c:ext>
            </c:extLst>
          </c:dPt>
          <c:dLbls>
            <c:dLbl>
              <c:idx val="0"/>
              <c:layout>
                <c:manualLayout>
                  <c:x val="0.10956594845612304"/>
                  <c:y val="-0.13514418068196837"/>
                </c:manualLayout>
              </c:layout>
              <c:tx>
                <c:rich>
                  <a:bodyPr/>
                  <a:lstStyle/>
                  <a:p>
                    <a:fld id="{839220E7-D741-45D5-9543-ADA308DAD361}" type="VALUE">
                      <a:rPr lang="en-US" altLang="ko-KR" baseline="0"/>
                      <a:pPr/>
                      <a:t>[값]</a:t>
                    </a:fld>
                    <a:endParaRPr lang="ko-KR" alt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14E-4F96-895D-33D94CB6EAEE}"/>
                </c:ext>
              </c:extLst>
            </c:dLbl>
            <c:dLbl>
              <c:idx val="1"/>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fld id="{C66BF673-B7DC-4081-B809-F17049FD091E}" type="VALUE">
                      <a:rPr lang="en-US" altLang="ko-KR" baseline="0">
                        <a:solidFill>
                          <a:schemeClr val="bg1"/>
                        </a:solidFill>
                      </a:rPr>
                      <a:pPr>
                        <a:defRPr sz="700">
                          <a:solidFill>
                            <a:schemeClr val="bg1"/>
                          </a:solidFill>
                        </a:defRPr>
                      </a:pPr>
                      <a:t>[값]</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14E-4F96-895D-33D94CB6EAEE}"/>
                </c:ext>
              </c:extLst>
            </c:dLbl>
            <c:dLbl>
              <c:idx val="2"/>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fld id="{91DBFC1F-F136-4089-A402-3F3876268CF1}" type="VALUE">
                      <a:rPr lang="en-US" altLang="ko-KR" baseline="0">
                        <a:solidFill>
                          <a:schemeClr val="bg1"/>
                        </a:solidFill>
                      </a:rPr>
                      <a:pPr>
                        <a:defRPr sz="700">
                          <a:solidFill>
                            <a:schemeClr val="bg1"/>
                          </a:solidFill>
                        </a:defRPr>
                      </a:pPr>
                      <a:t>[값]</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14E-4F96-895D-33D94CB6EAEE}"/>
                </c:ext>
              </c:extLst>
            </c:dLbl>
            <c:dLbl>
              <c:idx val="3"/>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fld id="{F6343807-B948-49AB-A7CE-4ACABDBA3689}" type="VALUE">
                      <a:rPr lang="en-US" altLang="ko-KR" baseline="0">
                        <a:solidFill>
                          <a:schemeClr val="bg1"/>
                        </a:solidFill>
                      </a:rPr>
                      <a:pPr>
                        <a:defRPr sz="700">
                          <a:solidFill>
                            <a:schemeClr val="bg1"/>
                          </a:solidFill>
                        </a:defRPr>
                      </a:pPr>
                      <a:t>[값]</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714E-4F96-895D-33D94CB6EAEE}"/>
                </c:ext>
              </c:extLst>
            </c:dLbl>
            <c:dLbl>
              <c:idx val="4"/>
              <c:layout>
                <c:manualLayout>
                  <c:x val="-0.1150442458789292"/>
                  <c:y val="-0.12642520128313173"/>
                </c:manualLayout>
              </c:layout>
              <c:tx>
                <c:rich>
                  <a:bodyPr/>
                  <a:lstStyle/>
                  <a:p>
                    <a:fld id="{28BB7F78-D1CE-42D7-BF63-1D4AEFAFE046}" type="VALUE">
                      <a:rPr lang="en-US" altLang="ko-KR" baseline="0"/>
                      <a:pPr/>
                      <a:t>[값]</a:t>
                    </a:fld>
                    <a:endParaRPr lang="ko-KR" alt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714E-4F96-895D-33D94CB6EAEE}"/>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extLst>
              <c:ext xmlns:c15="http://schemas.microsoft.com/office/drawing/2012/chart" uri="{CE6537A1-D6FC-4f65-9D91-7224C49458BB}"/>
            </c:extLst>
          </c:dLbls>
          <c:cat>
            <c:strRef>
              <c:f>'6-2. Economic evaluation'!$CV$68:$CV$72</c:f>
              <c:strCache>
                <c:ptCount val="5"/>
                <c:pt idx="0">
                  <c:v>Direct capital
investment cost</c:v>
                </c:pt>
                <c:pt idx="1">
                  <c:v>Indirect capital
investment cost</c:v>
                </c:pt>
                <c:pt idx="2">
                  <c:v>Equipment cost
(included FCI) </c:v>
                </c:pt>
                <c:pt idx="3">
                  <c:v>Fixed capital
investment cost</c:v>
                </c:pt>
                <c:pt idx="4">
                  <c:v>Working capital cost</c:v>
                </c:pt>
              </c:strCache>
            </c:strRef>
          </c:cat>
          <c:val>
            <c:numRef>
              <c:f>'6-2. Economic evaluation'!$CW$68:$CW$72</c:f>
              <c:numCache>
                <c:formatCode>_("$"* #,##0_);_("$"* \(#,##0\);_("$"* "-"_);_(@_)</c:formatCode>
                <c:ptCount val="5"/>
                <c:pt idx="0">
                  <c:v>8356413.0742354542</c:v>
                </c:pt>
                <c:pt idx="1">
                  <c:v>18074306.006394699</c:v>
                </c:pt>
                <c:pt idx="2" formatCode="_-[$$]* #,##0_-;\-[$$]* #,##0_-;_-[$$]* &quot;-&quot;_-;_-@_-">
                  <c:v>35094961.357901312</c:v>
                </c:pt>
                <c:pt idx="3" formatCode="_-[$$]* #,##0_-;\-[$$]* #,##0_-;_-[$$]* &quot;-&quot;_-;_-@_-">
                  <c:v>61525680.438531466</c:v>
                </c:pt>
                <c:pt idx="4" formatCode="_-[$$]* #,##0_-;\-[$$]* #,##0_-;_-[$$]* &quot;-&quot;_-;_-@_-">
                  <c:v>10857473.018564377</c:v>
                </c:pt>
              </c:numCache>
            </c:numRef>
          </c:val>
          <c:extLst>
            <c:ext xmlns:c15="http://schemas.microsoft.com/office/drawing/2012/chart" uri="{02D57815-91ED-43cb-92C2-25804820EDAC}">
              <c15:datalabelsRange>
                <c15:f>'6-2. Economic evaluation'!$D$17:$D$33</c15:f>
                <c15:dlblRangeCache>
                  <c:ptCount val="17"/>
                  <c:pt idx="0">
                    <c:v> $2,340,732 </c:v>
                  </c:pt>
                  <c:pt idx="1">
                    <c:v> $936,293 </c:v>
                  </c:pt>
                  <c:pt idx="2">
                    <c:v> $678,812 </c:v>
                  </c:pt>
                  <c:pt idx="3">
                    <c:v> $1,053,329 </c:v>
                  </c:pt>
                  <c:pt idx="4">
                    <c:v> $585,183 </c:v>
                  </c:pt>
                  <c:pt idx="5">
                    <c:v> $936,293 </c:v>
                  </c:pt>
                  <c:pt idx="6">
                    <c:v> $1,638,512 </c:v>
                  </c:pt>
                  <c:pt idx="7">
                    <c:v> $187,259 </c:v>
                  </c:pt>
                  <c:pt idx="8">
                    <c:v> $8,356,413 </c:v>
                  </c:pt>
                  <c:pt idx="9">
                    <c:v> $1,462,372 </c:v>
                  </c:pt>
                  <c:pt idx="10">
                    <c:v> $1,230,514 </c:v>
                  </c:pt>
                  <c:pt idx="11">
                    <c:v> $9,228,852 </c:v>
                  </c:pt>
                  <c:pt idx="12">
                    <c:v> $6,152,568 </c:v>
                  </c:pt>
                  <c:pt idx="13">
                    <c:v> $18,074,306 </c:v>
                  </c:pt>
                  <c:pt idx="14">
                    <c:v> $35,094,961 </c:v>
                  </c:pt>
                  <c:pt idx="15">
                    <c:v> $61,525,680 </c:v>
                  </c:pt>
                  <c:pt idx="16">
                    <c:v> $10,857,473 </c:v>
                  </c:pt>
                </c15:dlblRangeCache>
              </c15:datalabelsRange>
            </c:ext>
            <c:ext xmlns:c16="http://schemas.microsoft.com/office/drawing/2014/chart" uri="{C3380CC4-5D6E-409C-BE32-E72D297353CC}">
              <c16:uniqueId val="{0000000A-714E-4F96-895D-33D94CB6EAE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legend>
    <c:plotVisOnly val="1"/>
    <c:dispBlanksAs val="gap"/>
    <c:showDLblsOverMax val="0"/>
  </c:chart>
  <c:spPr>
    <a:solidFill>
      <a:schemeClr val="bg1"/>
    </a:solidFill>
    <a:ln w="15875" cap="flat" cmpd="sng" algn="ctr">
      <a:solidFill>
        <a:schemeClr val="tx1"/>
      </a:solidFill>
      <a:round/>
    </a:ln>
    <a:effectLst/>
  </c:spPr>
  <c:txPr>
    <a:bodyPr/>
    <a:lstStyle/>
    <a:p>
      <a:pPr>
        <a:defRPr sz="1400">
          <a:latin typeface="Arial" panose="020B0604020202020204" pitchFamily="34" charset="0"/>
          <a:ea typeface="+mn-ea"/>
          <a:cs typeface="Arial" panose="020B0604020202020204" pitchFamily="34" charset="0"/>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'6-2. Economic evaluation'!$B$38:$D$38</c:f>
          <c:strCache>
            <c:ptCount val="3"/>
            <c:pt idx="0">
              <c:v>Estimation of total production cost</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ko-KR"/>
        </a:p>
      </c:txPr>
    </c:title>
    <c:autoTitleDeleted val="0"/>
    <c:plotArea>
      <c:layout/>
      <c:doughnutChart>
        <c:varyColors val="1"/>
        <c:ser>
          <c:idx val="0"/>
          <c:order val="0"/>
          <c:dPt>
            <c:idx val="0"/>
            <c:bubble3D val="0"/>
            <c:spPr>
              <a:solidFill>
                <a:srgbClr val="BF5A1F"/>
              </a:solidFill>
              <a:ln>
                <a:noFill/>
              </a:ln>
              <a:effectLst/>
            </c:spPr>
            <c:extLst>
              <c:ext xmlns:c16="http://schemas.microsoft.com/office/drawing/2014/chart" uri="{C3380CC4-5D6E-409C-BE32-E72D297353CC}">
                <c16:uniqueId val="{00000001-22AB-4BBD-B824-011877028C34}"/>
              </c:ext>
            </c:extLst>
          </c:dPt>
          <c:dPt>
            <c:idx val="1"/>
            <c:bubble3D val="0"/>
            <c:spPr>
              <a:solidFill>
                <a:srgbClr val="D99066"/>
              </a:solidFill>
              <a:ln>
                <a:noFill/>
              </a:ln>
              <a:effectLst/>
            </c:spPr>
            <c:extLst>
              <c:ext xmlns:c16="http://schemas.microsoft.com/office/drawing/2014/chart" uri="{C3380CC4-5D6E-409C-BE32-E72D297353CC}">
                <c16:uniqueId val="{00000003-22AB-4BBD-B824-011877028C34}"/>
              </c:ext>
            </c:extLst>
          </c:dPt>
          <c:dPt>
            <c:idx val="2"/>
            <c:bubble3D val="0"/>
            <c:spPr>
              <a:solidFill>
                <a:srgbClr val="F2C1AE"/>
              </a:solidFill>
              <a:ln>
                <a:noFill/>
              </a:ln>
              <a:effectLst/>
            </c:spPr>
            <c:extLst>
              <c:ext xmlns:c16="http://schemas.microsoft.com/office/drawing/2014/chart" uri="{C3380CC4-5D6E-409C-BE32-E72D297353CC}">
                <c16:uniqueId val="{00000005-22AB-4BBD-B824-011877028C34}"/>
              </c:ext>
            </c:extLst>
          </c:dPt>
          <c:dPt>
            <c:idx val="3"/>
            <c:bubble3D val="0"/>
            <c:spPr>
              <a:solidFill>
                <a:srgbClr val="BF9C99"/>
              </a:solidFill>
              <a:ln>
                <a:noFill/>
              </a:ln>
              <a:effectLst/>
            </c:spPr>
            <c:extLst>
              <c:ext xmlns:c16="http://schemas.microsoft.com/office/drawing/2014/chart" uri="{C3380CC4-5D6E-409C-BE32-E72D297353CC}">
                <c16:uniqueId val="{00000007-22AB-4BBD-B824-011877028C34}"/>
              </c:ext>
            </c:extLst>
          </c:dPt>
          <c:dLbls>
            <c:dLbl>
              <c:idx val="0"/>
              <c:tx>
                <c:rich>
                  <a:bodyPr/>
                  <a:lstStyle/>
                  <a:p>
                    <a:r>
                      <a:rPr lang="en-US" altLang="ko-KR" baseline="0"/>
                      <a:t> </a:t>
                    </a:r>
                    <a:fld id="{1535A5A1-4B31-4697-9081-62CEFA11347F}" type="VALUE">
                      <a:rPr lang="en-US" altLang="ko-KR" baseline="0"/>
                      <a:pPr/>
                      <a:t>[값]</a:t>
                    </a:fld>
                    <a:endParaRPr lang="en-US" altLang="ko-KR"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2AB-4BBD-B824-011877028C34}"/>
                </c:ext>
              </c:extLst>
            </c:dLbl>
            <c:dLbl>
              <c:idx val="1"/>
              <c:tx>
                <c:rich>
                  <a:bodyPr/>
                  <a:lstStyle/>
                  <a:p>
                    <a:r>
                      <a:rPr lang="en-US" altLang="ko-KR" baseline="0"/>
                      <a:t> </a:t>
                    </a:r>
                    <a:fld id="{A8542FD4-1446-4521-A834-4855CA783837}" type="VALUE">
                      <a:rPr lang="en-US" altLang="ko-KR" baseline="0"/>
                      <a:pPr/>
                      <a:t>[값]</a:t>
                    </a:fld>
                    <a:endParaRPr lang="en-US" altLang="ko-KR"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2AB-4BBD-B824-011877028C34}"/>
                </c:ext>
              </c:extLst>
            </c:dLbl>
            <c:dLbl>
              <c:idx val="2"/>
              <c:tx>
                <c:rich>
                  <a:bodyPr/>
                  <a:lstStyle/>
                  <a:p>
                    <a:fld id="{47184039-C485-46AB-855C-96BD6C08FDA4}" type="VALUE">
                      <a:rPr lang="en-US" altLang="ko-KR" baseline="0"/>
                      <a:pPr/>
                      <a:t>[값]</a:t>
                    </a:fld>
                    <a:endParaRPr lang="ko-KR" alt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2AB-4BBD-B824-011877028C34}"/>
                </c:ext>
              </c:extLst>
            </c:dLbl>
            <c:dLbl>
              <c:idx val="3"/>
              <c:tx>
                <c:rich>
                  <a:bodyPr/>
                  <a:lstStyle/>
                  <a:p>
                    <a:fld id="{1D304C08-BF74-4EFF-96F1-8AF535531DEF}" type="VALUE">
                      <a:rPr lang="en-US" altLang="ko-KR" baseline="0"/>
                      <a:pPr/>
                      <a:t>[값]</a:t>
                    </a:fld>
                    <a:endParaRPr lang="ko-KR" alt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22AB-4BBD-B824-011877028C3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'6-2. Economic evaluation'!$CV$58:$CV$61</c:f>
              <c:strCache>
                <c:ptCount val="4"/>
                <c:pt idx="0">
                  <c:v>Variable cost</c:v>
                </c:pt>
                <c:pt idx="1">
                  <c:v>Fixed cost</c:v>
                </c:pt>
                <c:pt idx="2">
                  <c:v>Plant overhead costs</c:v>
                </c:pt>
                <c:pt idx="3">
                  <c:v>General expenses</c:v>
                </c:pt>
              </c:strCache>
            </c:strRef>
          </c:cat>
          <c:val>
            <c:numRef>
              <c:f>'6-2. Economic evaluation'!$CW$58:$CW$61</c:f>
              <c:numCache>
                <c:formatCode>_-\$* #,##0_ ;_-\$* \-#,##0\ ;_-\$* "-"_ ;_-@_ </c:formatCode>
                <c:ptCount val="4"/>
                <c:pt idx="0">
                  <c:v>81276975.940124154</c:v>
                </c:pt>
                <c:pt idx="1">
                  <c:v>9237899.9599618576</c:v>
                </c:pt>
                <c:pt idx="2">
                  <c:v>12838989.489373904</c:v>
                </c:pt>
                <c:pt idx="3">
                  <c:v>25036029.504279114</c:v>
                </c:pt>
              </c:numCache>
            </c:numRef>
          </c:val>
          <c:extLst>
            <c:ext xmlns:c15="http://schemas.microsoft.com/office/drawing/2012/chart" uri="{02D57815-91ED-43cb-92C2-25804820EDAC}">
              <c15:datalabelsRange>
                <c15:f>'6-2. Economic evaluation'!$D$17:$D$33</c15:f>
                <c15:dlblRangeCache>
                  <c:ptCount val="17"/>
                  <c:pt idx="0">
                    <c:v> $2,340,732 </c:v>
                  </c:pt>
                  <c:pt idx="1">
                    <c:v> $936,293 </c:v>
                  </c:pt>
                  <c:pt idx="2">
                    <c:v> $678,812 </c:v>
                  </c:pt>
                  <c:pt idx="3">
                    <c:v> $1,053,329 </c:v>
                  </c:pt>
                  <c:pt idx="4">
                    <c:v> $585,183 </c:v>
                  </c:pt>
                  <c:pt idx="5">
                    <c:v> $936,293 </c:v>
                  </c:pt>
                  <c:pt idx="6">
                    <c:v> $1,638,512 </c:v>
                  </c:pt>
                  <c:pt idx="7">
                    <c:v> $187,259 </c:v>
                  </c:pt>
                  <c:pt idx="8">
                    <c:v> $8,356,413 </c:v>
                  </c:pt>
                  <c:pt idx="9">
                    <c:v> $1,462,372 </c:v>
                  </c:pt>
                  <c:pt idx="10">
                    <c:v> $1,230,514 </c:v>
                  </c:pt>
                  <c:pt idx="11">
                    <c:v> $9,228,852 </c:v>
                  </c:pt>
                  <c:pt idx="12">
                    <c:v> $6,152,568 </c:v>
                  </c:pt>
                  <c:pt idx="13">
                    <c:v> $18,074,306 </c:v>
                  </c:pt>
                  <c:pt idx="14">
                    <c:v> $35,094,961 </c:v>
                  </c:pt>
                  <c:pt idx="15">
                    <c:v> $61,525,680 </c:v>
                  </c:pt>
                  <c:pt idx="16">
                    <c:v> $10,857,473 </c:v>
                  </c:pt>
                </c15:dlblRangeCache>
              </c15:datalabelsRange>
            </c:ext>
            <c:ext xmlns:c16="http://schemas.microsoft.com/office/drawing/2014/chart" uri="{C3380CC4-5D6E-409C-BE32-E72D297353CC}">
              <c16:uniqueId val="{00000008-22AB-4BBD-B824-011877028C3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legendEntry>
      <c:overlay val="0"/>
      <c:spPr>
        <a:noFill/>
        <a:ln>
          <a:noFill/>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legend>
    <c:plotVisOnly val="1"/>
    <c:dispBlanksAs val="gap"/>
    <c:showDLblsOverMax val="0"/>
  </c:chart>
  <c:spPr>
    <a:solidFill>
      <a:schemeClr val="bg1"/>
    </a:solidFill>
    <a:ln w="15875" cap="flat" cmpd="sng" algn="ctr">
      <a:solidFill>
        <a:schemeClr val="tx1"/>
      </a:solidFill>
      <a:round/>
    </a:ln>
    <a:effectLst/>
  </c:spPr>
  <c:txPr>
    <a:bodyPr/>
    <a:lstStyle/>
    <a:p>
      <a:pPr>
        <a:defRPr sz="1400">
          <a:latin typeface="Arial" panose="020B0604020202020204" pitchFamily="34" charset="0"/>
          <a:ea typeface="+mn-ea"/>
          <a:cs typeface="Arial" panose="020B0604020202020204" pitchFamily="34" charset="0"/>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6147577730211"/>
          <c:y val="0.12305195245844802"/>
          <c:w val="0.78497440944881891"/>
          <c:h val="0.31475063124231972"/>
        </c:manualLayout>
      </c:layout>
      <c:barChart>
        <c:barDir val="bar"/>
        <c:grouping val="stacked"/>
        <c:varyColors val="0"/>
        <c:ser>
          <c:idx val="0"/>
          <c:order val="0"/>
          <c:tx>
            <c:strRef>
              <c:f>'6-2. Economic evaluation'!$C$68</c:f>
              <c:strCache>
                <c:ptCount val="1"/>
                <c:pt idx="0">
                  <c:v>Li2CO3 sales </c:v>
                </c:pt>
              </c:strCache>
            </c:strRef>
          </c:tx>
          <c:spPr>
            <a:solidFill>
              <a:srgbClr val="4952AD"/>
            </a:solidFill>
          </c:spPr>
          <c:invertIfNegative val="0"/>
          <c:dPt>
            <c:idx val="0"/>
            <c:invertIfNegative val="0"/>
            <c:bubble3D val="0"/>
            <c:spPr>
              <a:solidFill>
                <a:srgbClr val="0367A6"/>
              </a:solidFill>
            </c:spPr>
            <c:extLst>
              <c:ext xmlns:c16="http://schemas.microsoft.com/office/drawing/2014/chart" uri="{C3380CC4-5D6E-409C-BE32-E72D297353CC}">
                <c16:uniqueId val="{00000001-D33E-45D0-8638-07F1CECD2BA9}"/>
              </c:ext>
            </c:extLst>
          </c:dPt>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evaluation'!$C$68:$D$68</c15:sqref>
                  </c15:fullRef>
                </c:ext>
              </c:extLst>
              <c:f>'6-2. Economic evaluation'!$D$68</c:f>
              <c:numCache>
                <c:formatCode>_("$"* #,##0_);_("$"* \(#,##0\);_("$"* "-"_);_(@_)</c:formatCode>
                <c:ptCount val="1"/>
                <c:pt idx="0">
                  <c:v>15025391.800553389</c:v>
                </c:pt>
              </c:numCache>
            </c:numRef>
          </c:val>
          <c:extLst>
            <c:ext xmlns:c16="http://schemas.microsoft.com/office/drawing/2014/chart" uri="{C3380CC4-5D6E-409C-BE32-E72D297353CC}">
              <c16:uniqueId val="{00000002-D33E-45D0-8638-07F1CECD2BA9}"/>
            </c:ext>
          </c:extLst>
        </c:ser>
        <c:ser>
          <c:idx val="14"/>
          <c:order val="1"/>
          <c:tx>
            <c:strRef>
              <c:f>'6-2. Economic evaluation'!$C$69</c:f>
              <c:strCache>
                <c:ptCount val="1"/>
                <c:pt idx="0">
                  <c:v>H2 sales </c:v>
                </c:pt>
              </c:strCache>
            </c:strRef>
          </c:tx>
          <c:spPr>
            <a:solidFill>
              <a:srgbClr val="BF0F1E"/>
            </a:solidFill>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evaluation'!$C$69:$D$69</c15:sqref>
                  </c15:fullRef>
                </c:ext>
              </c:extLst>
              <c:f>'6-2. Economic evaluation'!$D$69</c:f>
              <c:numCache>
                <c:formatCode>_("$"* #,##0_);_("$"* \(#,##0\);_("$"* "-"_);_(@_)</c:formatCode>
                <c:ptCount val="1"/>
                <c:pt idx="0">
                  <c:v>1043390.4903797312</c:v>
                </c:pt>
              </c:numCache>
            </c:numRef>
          </c:val>
          <c:extLst>
            <c:ext xmlns:c16="http://schemas.microsoft.com/office/drawing/2014/chart" uri="{C3380CC4-5D6E-409C-BE32-E72D297353CC}">
              <c16:uniqueId val="{00000003-D33E-45D0-8638-07F1CECD2BA9}"/>
            </c:ext>
          </c:extLst>
        </c:ser>
        <c:ser>
          <c:idx val="1"/>
          <c:order val="2"/>
          <c:tx>
            <c:strRef>
              <c:f>'6-2. Economic evaluation'!$C$85</c:f>
              <c:strCache>
                <c:ptCount val="1"/>
                <c:pt idx="0">
                  <c:v>Total fixed cost</c:v>
                </c:pt>
              </c:strCache>
            </c:strRef>
          </c:tx>
          <c:spPr>
            <a:solidFill>
              <a:srgbClr val="D99962"/>
            </a:solidFill>
            <a:ln>
              <a:solidFill>
                <a:srgbClr val="D99962"/>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evaluation'!$C$85:$E$85</c15:sqref>
                  </c15:fullRef>
                </c:ext>
              </c:extLst>
              <c:f>'6-2. Economic evaluation'!$D$85:$E$85</c:f>
              <c:numCache>
                <c:formatCode>General</c:formatCode>
                <c:ptCount val="2"/>
                <c:pt idx="0">
                  <c:v>0</c:v>
                </c:pt>
                <c:pt idx="1" formatCode="_(&quot;$&quot;* #,##0_);_(&quot;$&quot;* \(#,##0\);_(&quot;$&quot;* &quot;-&quot;_);_(@_)">
                  <c:v>9237899.9599618576</c:v>
                </c:pt>
              </c:numCache>
            </c:numRef>
          </c:val>
          <c:extLst>
            <c:ext xmlns:c16="http://schemas.microsoft.com/office/drawing/2014/chart" uri="{C3380CC4-5D6E-409C-BE32-E72D297353CC}">
              <c16:uniqueId val="{00000004-D33E-45D0-8638-07F1CECD2BA9}"/>
            </c:ext>
          </c:extLst>
        </c:ser>
        <c:ser>
          <c:idx val="2"/>
          <c:order val="3"/>
          <c:tx>
            <c:strRef>
              <c:f>'6-2. Economic evaluation'!$C$73</c:f>
              <c:strCache>
                <c:ptCount val="1"/>
                <c:pt idx="0">
                  <c:v>Raw materials</c:v>
                </c:pt>
              </c:strCache>
            </c:strRef>
          </c:tx>
          <c:spPr>
            <a:solidFill>
              <a:srgbClr val="D9BA5F"/>
            </a:solidFill>
            <a:ln>
              <a:solidFill>
                <a:srgbClr val="D9BA5F"/>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evaluation'!$C$73:$E$73</c15:sqref>
                  </c15:fullRef>
                </c:ext>
              </c:extLst>
              <c:f>'6-2. Economic evaluation'!$D$73:$E$73</c:f>
              <c:numCache>
                <c:formatCode>General</c:formatCode>
                <c:ptCount val="2"/>
                <c:pt idx="0">
                  <c:v>0</c:v>
                </c:pt>
                <c:pt idx="1" formatCode="_(&quot;$&quot;* #,##0_);_(&quot;$&quot;* \(#,##0\);_(&quot;$&quot;* &quot;-&quot;_);_(@_)">
                  <c:v>2242865.6547394516</c:v>
                </c:pt>
              </c:numCache>
            </c:numRef>
          </c:val>
          <c:extLst>
            <c:ext xmlns:c16="http://schemas.microsoft.com/office/drawing/2014/chart" uri="{C3380CC4-5D6E-409C-BE32-E72D297353CC}">
              <c16:uniqueId val="{00000005-D33E-45D0-8638-07F1CECD2BA9}"/>
            </c:ext>
          </c:extLst>
        </c:ser>
        <c:ser>
          <c:idx val="3"/>
          <c:order val="4"/>
          <c:tx>
            <c:strRef>
              <c:f>'6-2. Economic evaluation'!$C$74</c:f>
              <c:strCache>
                <c:ptCount val="1"/>
                <c:pt idx="0">
                  <c:v>Operating labor</c:v>
                </c:pt>
              </c:strCache>
            </c:strRef>
          </c:tx>
          <c:spPr>
            <a:solidFill>
              <a:srgbClr val="52591C"/>
            </a:solidFill>
            <a:ln>
              <a:solidFill>
                <a:srgbClr val="52591C"/>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evaluation'!$C$74:$E$74</c15:sqref>
                  </c15:fullRef>
                </c:ext>
              </c:extLst>
              <c:f>'6-2. Economic evaluation'!$D$74:$E$74</c:f>
              <c:numCache>
                <c:formatCode>General</c:formatCode>
                <c:ptCount val="2"/>
                <c:pt idx="0">
                  <c:v>0</c:v>
                </c:pt>
                <c:pt idx="1" formatCode="_(&quot;$&quot;* #,##0_);_(&quot;$&quot;* \(#,##0\);_(&quot;$&quot;* &quot;-&quot;_);_(@_)">
                  <c:v>1104072.4895025864</c:v>
                </c:pt>
              </c:numCache>
            </c:numRef>
          </c:val>
          <c:extLst>
            <c:ext xmlns:c16="http://schemas.microsoft.com/office/drawing/2014/chart" uri="{C3380CC4-5D6E-409C-BE32-E72D297353CC}">
              <c16:uniqueId val="{00000006-D33E-45D0-8638-07F1CECD2BA9}"/>
            </c:ext>
          </c:extLst>
        </c:ser>
        <c:ser>
          <c:idx val="4"/>
          <c:order val="5"/>
          <c:tx>
            <c:strRef>
              <c:f>'6-2. Economic evaluation'!$C$75</c:f>
              <c:strCache>
                <c:ptCount val="1"/>
                <c:pt idx="0">
                  <c:v>Direct Supervisory and clerical labor</c:v>
                </c:pt>
              </c:strCache>
            </c:strRef>
          </c:tx>
          <c:spPr>
            <a:solidFill>
              <a:srgbClr val="8C3D2B"/>
            </a:solidFill>
            <a:ln>
              <a:solidFill>
                <a:srgbClr val="8C3D2B"/>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evaluation'!$C$75:$E$75</c15:sqref>
                  </c15:fullRef>
                </c:ext>
              </c:extLst>
              <c:f>'6-2. Economic evaluation'!$D$75:$E$75</c:f>
              <c:numCache>
                <c:formatCode>General</c:formatCode>
                <c:ptCount val="2"/>
                <c:pt idx="0">
                  <c:v>0</c:v>
                </c:pt>
                <c:pt idx="1" formatCode="_(&quot;$&quot;* #,##0_);_(&quot;$&quot;* \(#,##0\);_(&quot;$&quot;* &quot;-&quot;_);_(@_)">
                  <c:v>165610.87342538798</c:v>
                </c:pt>
              </c:numCache>
            </c:numRef>
          </c:val>
          <c:extLst>
            <c:ext xmlns:c16="http://schemas.microsoft.com/office/drawing/2014/chart" uri="{C3380CC4-5D6E-409C-BE32-E72D297353CC}">
              <c16:uniqueId val="{00000007-D33E-45D0-8638-07F1CECD2BA9}"/>
            </c:ext>
          </c:extLst>
        </c:ser>
        <c:ser>
          <c:idx val="5"/>
          <c:order val="6"/>
          <c:tx>
            <c:strRef>
              <c:f>'6-2. Economic evaluation'!$C$76</c:f>
              <c:strCache>
                <c:ptCount val="1"/>
                <c:pt idx="0">
                  <c:v>Utilities</c:v>
                </c:pt>
              </c:strCache>
            </c:strRef>
          </c:tx>
          <c:spPr>
            <a:solidFill>
              <a:srgbClr val="8C3D2B"/>
            </a:solidFill>
            <a:ln>
              <a:solidFill>
                <a:srgbClr val="8C3D2B"/>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evaluation'!$C$76:$E$76</c15:sqref>
                  </c15:fullRef>
                </c:ext>
              </c:extLst>
              <c:f>'6-2. Economic evaluation'!$D$76:$E$76</c:f>
              <c:numCache>
                <c:formatCode>General</c:formatCode>
                <c:ptCount val="2"/>
                <c:pt idx="0">
                  <c:v>0</c:v>
                </c:pt>
                <c:pt idx="1" formatCode="_(&quot;$&quot;* #,##0_);_(&quot;$&quot;* \(#,##0\);_(&quot;$&quot;* &quot;-&quot;_);_(@_)">
                  <c:v>517187.55610403314</c:v>
                </c:pt>
              </c:numCache>
            </c:numRef>
          </c:val>
          <c:extLst>
            <c:ext xmlns:c16="http://schemas.microsoft.com/office/drawing/2014/chart" uri="{C3380CC4-5D6E-409C-BE32-E72D297353CC}">
              <c16:uniqueId val="{00000008-D33E-45D0-8638-07F1CECD2BA9}"/>
            </c:ext>
          </c:extLst>
        </c:ser>
        <c:ser>
          <c:idx val="6"/>
          <c:order val="7"/>
          <c:tx>
            <c:strRef>
              <c:f>'6-2. Economic evaluation'!$C$77</c:f>
              <c:strCache>
                <c:ptCount val="1"/>
                <c:pt idx="0">
                  <c:v>Maintenance and repairs</c:v>
                </c:pt>
              </c:strCache>
            </c:strRef>
          </c:tx>
          <c:spPr>
            <a:solidFill>
              <a:srgbClr val="8C3D2B"/>
            </a:solidFill>
            <a:ln>
              <a:solidFill>
                <a:srgbClr val="8C3D2B"/>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evaluation'!$C$77:$E$77</c15:sqref>
                  </c15:fullRef>
                </c:ext>
              </c:extLst>
              <c:f>'6-2. Economic evaluation'!$D$77:$E$77</c:f>
              <c:numCache>
                <c:formatCode>General</c:formatCode>
                <c:ptCount val="2"/>
                <c:pt idx="0">
                  <c:v>0</c:v>
                </c:pt>
                <c:pt idx="1" formatCode="_(&quot;$&quot;* #,##0_);_(&quot;$&quot;* \(#,##0\);_(&quot;$&quot;* &quot;-&quot;_);_(@_)">
                  <c:v>211632.8897265032</c:v>
                </c:pt>
              </c:numCache>
            </c:numRef>
          </c:val>
          <c:extLst>
            <c:ext xmlns:c16="http://schemas.microsoft.com/office/drawing/2014/chart" uri="{C3380CC4-5D6E-409C-BE32-E72D297353CC}">
              <c16:uniqueId val="{00000009-D33E-45D0-8638-07F1CECD2BA9}"/>
            </c:ext>
          </c:extLst>
        </c:ser>
        <c:ser>
          <c:idx val="7"/>
          <c:order val="8"/>
          <c:tx>
            <c:strRef>
              <c:f>'6-2. Economic evaluation'!$C$78</c:f>
              <c:strCache>
                <c:ptCount val="1"/>
                <c:pt idx="0">
                  <c:v>Operating supplies</c:v>
                </c:pt>
              </c:strCache>
            </c:strRef>
          </c:tx>
          <c:spPr>
            <a:solidFill>
              <a:srgbClr val="8C3D2B"/>
            </a:solidFill>
            <a:ln>
              <a:solidFill>
                <a:srgbClr val="8C3D2B"/>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evaluation'!$C$78:$E$78</c15:sqref>
                  </c15:fullRef>
                </c:ext>
              </c:extLst>
              <c:f>'6-2. Economic evaluation'!$D$78:$E$78</c:f>
              <c:numCache>
                <c:formatCode>General</c:formatCode>
                <c:ptCount val="2"/>
                <c:pt idx="0">
                  <c:v>0</c:v>
                </c:pt>
                <c:pt idx="1" formatCode="_(&quot;$&quot;* #,##0_);_(&quot;$&quot;* \(#,##0\);_(&quot;$&quot;* &quot;-&quot;_);_(@_)">
                  <c:v>31744.93345897548</c:v>
                </c:pt>
              </c:numCache>
            </c:numRef>
          </c:val>
          <c:extLst>
            <c:ext xmlns:c16="http://schemas.microsoft.com/office/drawing/2014/chart" uri="{C3380CC4-5D6E-409C-BE32-E72D297353CC}">
              <c16:uniqueId val="{0000000A-D33E-45D0-8638-07F1CECD2BA9}"/>
            </c:ext>
          </c:extLst>
        </c:ser>
        <c:ser>
          <c:idx val="8"/>
          <c:order val="9"/>
          <c:tx>
            <c:strRef>
              <c:f>'6-2. Economic evaluation'!$C$79</c:f>
              <c:strCache>
                <c:ptCount val="1"/>
                <c:pt idx="0">
                  <c:v>Laboratory charges</c:v>
                </c:pt>
              </c:strCache>
            </c:strRef>
          </c:tx>
          <c:spPr>
            <a:solidFill>
              <a:srgbClr val="8C3D2B"/>
            </a:solidFill>
            <a:ln>
              <a:solidFill>
                <a:srgbClr val="8C3D2B"/>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evaluation'!$C$79:$E$79</c15:sqref>
                  </c15:fullRef>
                </c:ext>
              </c:extLst>
              <c:f>'6-2. Economic evaluation'!$D$79:$E$79</c:f>
              <c:numCache>
                <c:formatCode>General</c:formatCode>
                <c:ptCount val="2"/>
                <c:pt idx="0">
                  <c:v>0</c:v>
                </c:pt>
                <c:pt idx="1" formatCode="_(&quot;$&quot;* #,##0_);_(&quot;$&quot;* \(#,##0\);_(&quot;$&quot;* &quot;-&quot;_);_(@_)">
                  <c:v>165610.87342538798</c:v>
                </c:pt>
              </c:numCache>
            </c:numRef>
          </c:val>
          <c:extLst>
            <c:ext xmlns:c16="http://schemas.microsoft.com/office/drawing/2014/chart" uri="{C3380CC4-5D6E-409C-BE32-E72D297353CC}">
              <c16:uniqueId val="{0000000B-D33E-45D0-8638-07F1CECD2BA9}"/>
            </c:ext>
          </c:extLst>
        </c:ser>
        <c:ser>
          <c:idx val="9"/>
          <c:order val="10"/>
          <c:tx>
            <c:strRef>
              <c:f>'6-2. Economic evaluation'!$C$80</c:f>
              <c:strCache>
                <c:ptCount val="1"/>
                <c:pt idx="0">
                  <c:v>Patents and royal</c:v>
                </c:pt>
              </c:strCache>
            </c:strRef>
          </c:tx>
          <c:spPr>
            <a:solidFill>
              <a:srgbClr val="8C3D2B"/>
            </a:solidFill>
            <a:ln>
              <a:solidFill>
                <a:srgbClr val="8C3D2B"/>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evaluation'!$C$80:$E$80</c15:sqref>
                  </c15:fullRef>
                </c:ext>
              </c:extLst>
              <c:f>'6-2. Economic evaluation'!$D$80:$E$80</c:f>
              <c:numCache>
                <c:formatCode>General</c:formatCode>
                <c:ptCount val="2"/>
                <c:pt idx="0">
                  <c:v>0</c:v>
                </c:pt>
                <c:pt idx="1" formatCode="_(&quot;$&quot;* #,##0_);_(&quot;$&quot;* \(#,##0\);_(&quot;$&quot;* &quot;-&quot;_);_(@_)">
                  <c:v>220814.49790051731</c:v>
                </c:pt>
              </c:numCache>
            </c:numRef>
          </c:val>
          <c:extLst>
            <c:ext xmlns:c16="http://schemas.microsoft.com/office/drawing/2014/chart" uri="{C3380CC4-5D6E-409C-BE32-E72D297353CC}">
              <c16:uniqueId val="{0000000C-D33E-45D0-8638-07F1CECD2BA9}"/>
            </c:ext>
          </c:extLst>
        </c:ser>
        <c:ser>
          <c:idx val="10"/>
          <c:order val="11"/>
          <c:tx>
            <c:strRef>
              <c:f>'6-2. Economic evaluation'!$C$86</c:f>
              <c:strCache>
                <c:ptCount val="1"/>
                <c:pt idx="0">
                  <c:v>Plant overhead costs</c:v>
                </c:pt>
              </c:strCache>
            </c:strRef>
          </c:tx>
          <c:spPr>
            <a:solidFill>
              <a:srgbClr val="8C3D2B"/>
            </a:solidFill>
            <a:ln>
              <a:solidFill>
                <a:srgbClr val="8C3D2B"/>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evaluation'!$C$86:$E$86</c15:sqref>
                  </c15:fullRef>
                </c:ext>
              </c:extLst>
              <c:f>'6-2. Economic evaluation'!$D$86:$E$86</c:f>
              <c:numCache>
                <c:formatCode>General</c:formatCode>
                <c:ptCount val="2"/>
                <c:pt idx="0">
                  <c:v>0</c:v>
                </c:pt>
                <c:pt idx="1" formatCode="_(&quot;$&quot;* #,##0_);_(&quot;$&quot;* \(#,##0\);_(&quot;$&quot;* &quot;-&quot;_);_(@_)">
                  <c:v>736048.32633505773</c:v>
                </c:pt>
              </c:numCache>
            </c:numRef>
          </c:val>
          <c:extLst>
            <c:ext xmlns:c16="http://schemas.microsoft.com/office/drawing/2014/chart" uri="{C3380CC4-5D6E-409C-BE32-E72D297353CC}">
              <c16:uniqueId val="{0000000D-D33E-45D0-8638-07F1CECD2BA9}"/>
            </c:ext>
          </c:extLst>
        </c:ser>
        <c:ser>
          <c:idx val="11"/>
          <c:order val="12"/>
          <c:tx>
            <c:strRef>
              <c:f>'6-2. Economic evaluation'!$C$82</c:f>
              <c:strCache>
                <c:ptCount val="1"/>
                <c:pt idx="0">
                  <c:v>Administrative costs</c:v>
                </c:pt>
              </c:strCache>
            </c:strRef>
          </c:tx>
          <c:spPr>
            <a:solidFill>
              <a:srgbClr val="8C3D2B"/>
            </a:solidFill>
            <a:ln>
              <a:solidFill>
                <a:srgbClr val="8C3D2B"/>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evaluation'!$C$82:$E$82</c15:sqref>
                  </c15:fullRef>
                </c:ext>
              </c:extLst>
              <c:f>'6-2. Economic evaluation'!$D$82:$E$82</c:f>
              <c:numCache>
                <c:formatCode>General</c:formatCode>
                <c:ptCount val="2"/>
                <c:pt idx="0">
                  <c:v>0</c:v>
                </c:pt>
                <c:pt idx="1" formatCode="_(&quot;$&quot;* #,##0_);_(&quot;$&quot;* \(#,##0\);_(&quot;$&quot;* &quot;-&quot;_);_(@_)">
                  <c:v>257616.91421727024</c:v>
                </c:pt>
              </c:numCache>
            </c:numRef>
          </c:val>
          <c:extLst>
            <c:ext xmlns:c16="http://schemas.microsoft.com/office/drawing/2014/chart" uri="{C3380CC4-5D6E-409C-BE32-E72D297353CC}">
              <c16:uniqueId val="{0000000E-D33E-45D0-8638-07F1CECD2BA9}"/>
            </c:ext>
          </c:extLst>
        </c:ser>
        <c:ser>
          <c:idx val="12"/>
          <c:order val="13"/>
          <c:tx>
            <c:strRef>
              <c:f>'6-2. Economic evaluation'!$C$83</c:f>
              <c:strCache>
                <c:ptCount val="1"/>
                <c:pt idx="0">
                  <c:v>Distribution and marketing costs</c:v>
                </c:pt>
              </c:strCache>
            </c:strRef>
          </c:tx>
          <c:spPr>
            <a:solidFill>
              <a:srgbClr val="8C3D2B"/>
            </a:solidFill>
            <a:ln>
              <a:solidFill>
                <a:srgbClr val="8C3D2B"/>
              </a:solidFill>
            </a:ln>
          </c:spPr>
          <c:invertIfNegative val="0"/>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evaluation'!$C$83:$E$83</c15:sqref>
                  </c15:fullRef>
                </c:ext>
              </c:extLst>
              <c:f>'6-2. Economic evaluation'!$D$83:$E$83</c:f>
              <c:numCache>
                <c:formatCode>General</c:formatCode>
                <c:ptCount val="2"/>
                <c:pt idx="0">
                  <c:v>0</c:v>
                </c:pt>
                <c:pt idx="1" formatCode="_(&quot;$&quot;* #,##0_);_(&quot;$&quot;* \(#,##0\);_(&quot;$&quot;* &quot;-&quot;_);_(@_)">
                  <c:v>809653.15896856354</c:v>
                </c:pt>
              </c:numCache>
            </c:numRef>
          </c:val>
          <c:extLst>
            <c:ext xmlns:c16="http://schemas.microsoft.com/office/drawing/2014/chart" uri="{C3380CC4-5D6E-409C-BE32-E72D297353CC}">
              <c16:uniqueId val="{0000000F-D33E-45D0-8638-07F1CECD2BA9}"/>
            </c:ext>
          </c:extLst>
        </c:ser>
        <c:ser>
          <c:idx val="13"/>
          <c:order val="14"/>
          <c:tx>
            <c:strRef>
              <c:f>'6-2. Economic evaluation'!$C$84</c:f>
              <c:strCache>
                <c:ptCount val="1"/>
                <c:pt idx="0">
                  <c:v>Research and development costs</c:v>
                </c:pt>
              </c:strCache>
            </c:strRef>
          </c:tx>
          <c:spPr>
            <a:solidFill>
              <a:srgbClr val="8C3D2B"/>
            </a:solidFill>
            <a:ln>
              <a:solidFill>
                <a:srgbClr val="8C3D2B"/>
              </a:solidFill>
            </a:ln>
          </c:spPr>
          <c:invertIfNegative val="0"/>
          <c:dPt>
            <c:idx val="1"/>
            <c:invertIfNegative val="0"/>
            <c:bubble3D val="0"/>
            <c:extLst>
              <c:ext xmlns:c16="http://schemas.microsoft.com/office/drawing/2014/chart" uri="{C3380CC4-5D6E-409C-BE32-E72D297353CC}">
                <c16:uniqueId val="{00000010-D33E-45D0-8638-07F1CECD2BA9}"/>
              </c:ext>
            </c:extLst>
          </c:dPt>
          <c:cat>
            <c:strRef>
              <c:extLst>
                <c:ext xmlns:c15="http://schemas.microsoft.com/office/drawing/2012/chart" uri="{02D57815-91ED-43cb-92C2-25804820EDAC}">
                  <c15:fullRef>
                    <c15:sqref>'6-2. Economic evaluation'!$CV$76:$CV$78</c15:sqref>
                  </c15:fullRef>
                </c:ext>
              </c:extLst>
              <c:f>'6-2. Economic evaluation'!$CV$77:$CV$78</c:f>
              <c:strCache>
                <c:ptCount val="2"/>
                <c:pt idx="0">
                  <c:v>Total revenue</c:v>
                </c:pt>
                <c:pt idx="1">
                  <c:v>Gross product cost</c:v>
                </c:pt>
              </c:strCache>
            </c:strRef>
          </c:cat>
          <c:val>
            <c:numRef>
              <c:extLst>
                <c:ext xmlns:c15="http://schemas.microsoft.com/office/drawing/2012/chart" uri="{02D57815-91ED-43cb-92C2-25804820EDAC}">
                  <c15:fullRef>
                    <c15:sqref>'6-2. Economic evaluation'!$C$84:$E$84</c15:sqref>
                  </c15:fullRef>
                </c:ext>
              </c:extLst>
              <c:f>'6-2. Economic evaluation'!$D$84:$E$84</c:f>
              <c:numCache>
                <c:formatCode>General</c:formatCode>
                <c:ptCount val="2"/>
                <c:pt idx="0">
                  <c:v>0</c:v>
                </c:pt>
                <c:pt idx="1" formatCode="_(&quot;$&quot;* #,##0_);_(&quot;$&quot;* \(#,##0\);_(&quot;$&quot;* &quot;-&quot;_);_(@_)">
                  <c:v>368024.16316752887</c:v>
                </c:pt>
              </c:numCache>
            </c:numRef>
          </c:val>
          <c:extLst>
            <c:ext xmlns:c16="http://schemas.microsoft.com/office/drawing/2014/chart" uri="{C3380CC4-5D6E-409C-BE32-E72D297353CC}">
              <c16:uniqueId val="{00000011-D33E-45D0-8638-07F1CECD2BA9}"/>
            </c:ext>
          </c:extLst>
        </c:ser>
        <c:dLbls>
          <c:showLegendKey val="0"/>
          <c:showVal val="0"/>
          <c:showCatName val="0"/>
          <c:showSerName val="0"/>
          <c:showPercent val="0"/>
          <c:showBubbleSize val="0"/>
        </c:dLbls>
        <c:gapWidth val="20"/>
        <c:overlap val="100"/>
        <c:axId val="267054464"/>
        <c:axId val="267056256"/>
      </c:barChart>
      <c:catAx>
        <c:axId val="267054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altLang="ko-KR" sz="1200" b="0" i="0" u="none" strike="noStrike" kern="1200" baseline="0">
                <a:solidFill>
                  <a:schemeClr val="tx1">
                    <a:lumMod val="65000"/>
                    <a:lumOff val="35000"/>
                  </a:schemeClr>
                </a:solidFill>
                <a:latin typeface="+mn-lt"/>
                <a:ea typeface="+mn-ea"/>
                <a:cs typeface="+mn-cs"/>
              </a:defRPr>
            </a:pPr>
            <a:endParaRPr lang="ko-KR"/>
          </a:p>
        </c:txPr>
        <c:crossAx val="267056256"/>
        <c:crosses val="autoZero"/>
        <c:auto val="1"/>
        <c:lblAlgn val="ctr"/>
        <c:lblOffset val="100"/>
        <c:noMultiLvlLbl val="0"/>
      </c:catAx>
      <c:valAx>
        <c:axId val="267056256"/>
        <c:scaling>
          <c:orientation val="minMax"/>
          <c:max val="18000000"/>
          <c:min val="0"/>
        </c:scaling>
        <c:delete val="0"/>
        <c:axPos val="b"/>
        <c:majorGridlines>
          <c:spPr>
            <a:ln w="0" cap="flat" cmpd="sng" algn="ctr">
              <a:solidFill>
                <a:schemeClr val="bg1">
                  <a:lumMod val="95000"/>
                </a:schemeClr>
              </a:solidFill>
              <a:round/>
            </a:ln>
            <a:effectLst/>
          </c:spPr>
        </c:majorGridlines>
        <c:numFmt formatCode="_(&quot;$&quot;* #,##0.00_);;"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KR"/>
          </a:p>
        </c:txPr>
        <c:crossAx val="267054464"/>
        <c:crosses val="max"/>
        <c:crossBetween val="between"/>
        <c:majorUnit val="500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'6-2. Economic evaluation'!$B$16:$D$16</c:f>
          <c:strCache>
            <c:ptCount val="3"/>
            <c:pt idx="0">
              <c:v>Estimation of capital investment cost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Arial" panose="020B0604020202020204" pitchFamily="34" charset="0"/>
              <a:ea typeface="+mn-ea"/>
              <a:cs typeface="Arial" panose="020B0604020202020204" pitchFamily="34" charset="0"/>
            </a:defRPr>
          </a:pPr>
          <a:endParaRPr lang="ko-KR"/>
        </a:p>
      </c:txPr>
    </c:title>
    <c:autoTitleDeleted val="0"/>
    <c:plotArea>
      <c:layout/>
      <c:doughnutChart>
        <c:varyColors val="1"/>
        <c:ser>
          <c:idx val="0"/>
          <c:order val="0"/>
          <c:dPt>
            <c:idx val="0"/>
            <c:bubble3D val="0"/>
            <c:spPr>
              <a:solidFill>
                <a:srgbClr val="F2CAA7"/>
              </a:solidFill>
              <a:ln>
                <a:noFill/>
              </a:ln>
              <a:effectLst/>
            </c:spPr>
            <c:extLst>
              <c:ext xmlns:c16="http://schemas.microsoft.com/office/drawing/2014/chart" uri="{C3380CC4-5D6E-409C-BE32-E72D297353CC}">
                <c16:uniqueId val="{0000001A-7D2C-403A-95BD-4878B8BB6C57}"/>
              </c:ext>
            </c:extLst>
          </c:dPt>
          <c:dPt>
            <c:idx val="1"/>
            <c:bubble3D val="0"/>
            <c:spPr>
              <a:solidFill>
                <a:srgbClr val="73A2BF"/>
              </a:solidFill>
              <a:ln>
                <a:noFill/>
              </a:ln>
              <a:effectLst/>
            </c:spPr>
            <c:extLst>
              <c:ext xmlns:c16="http://schemas.microsoft.com/office/drawing/2014/chart" uri="{C3380CC4-5D6E-409C-BE32-E72D297353CC}">
                <c16:uniqueId val="{00000001-CB30-47FD-BBA7-9FB08900650D}"/>
              </c:ext>
            </c:extLst>
          </c:dPt>
          <c:dPt>
            <c:idx val="2"/>
            <c:bubble3D val="0"/>
            <c:spPr>
              <a:solidFill>
                <a:srgbClr val="2D4B73"/>
              </a:solidFill>
              <a:ln>
                <a:noFill/>
              </a:ln>
              <a:effectLst/>
            </c:spPr>
            <c:extLst>
              <c:ext xmlns:c16="http://schemas.microsoft.com/office/drawing/2014/chart" uri="{C3380CC4-5D6E-409C-BE32-E72D297353CC}">
                <c16:uniqueId val="{00000003-CB30-47FD-BBA7-9FB08900650D}"/>
              </c:ext>
            </c:extLst>
          </c:dPt>
          <c:dPt>
            <c:idx val="3"/>
            <c:bubble3D val="0"/>
            <c:spPr>
              <a:solidFill>
                <a:srgbClr val="5D7CA6"/>
              </a:solidFill>
              <a:ln>
                <a:noFill/>
              </a:ln>
              <a:effectLst/>
            </c:spPr>
            <c:extLst>
              <c:ext xmlns:c16="http://schemas.microsoft.com/office/drawing/2014/chart" uri="{C3380CC4-5D6E-409C-BE32-E72D297353CC}">
                <c16:uniqueId val="{00000005-CB30-47FD-BBA7-9FB08900650D}"/>
              </c:ext>
            </c:extLst>
          </c:dPt>
          <c:dPt>
            <c:idx val="4"/>
            <c:bubble3D val="0"/>
            <c:spPr>
              <a:solidFill>
                <a:srgbClr val="B37A6D"/>
              </a:solidFill>
              <a:ln>
                <a:noFill/>
              </a:ln>
              <a:effectLst/>
            </c:spPr>
            <c:extLst>
              <c:ext xmlns:c16="http://schemas.microsoft.com/office/drawing/2014/chart" uri="{C3380CC4-5D6E-409C-BE32-E72D297353CC}">
                <c16:uniqueId val="{00000007-CB30-47FD-BBA7-9FB08900650D}"/>
              </c:ext>
            </c:extLst>
          </c:dPt>
          <c:dLbls>
            <c:dLbl>
              <c:idx val="0"/>
              <c:layout>
                <c:manualLayout>
                  <c:x val="0.14765861758979279"/>
                  <c:y val="-0.1205262178018731"/>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fld id="{839220E7-D741-45D5-9543-ADA308DAD361}" type="VALUE">
                      <a:rPr lang="en-US" altLang="ko-KR" baseline="0">
                        <a:solidFill>
                          <a:schemeClr val="tx1"/>
                        </a:solidFill>
                      </a:rPr>
                      <a:pPr>
                        <a:defRPr sz="1050">
                          <a:solidFill>
                            <a:schemeClr val="tx1"/>
                          </a:solidFill>
                        </a:defRPr>
                      </a:pPr>
                      <a:t>[값]</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7D2C-403A-95BD-4878B8BB6C57}"/>
                </c:ext>
              </c:extLst>
            </c:dLbl>
            <c:dLbl>
              <c:idx val="1"/>
              <c:tx>
                <c:rich>
                  <a:bodyPr/>
                  <a:lstStyle/>
                  <a:p>
                    <a:fld id="{C66BF673-B7DC-4081-B809-F17049FD091E}" type="VALUE">
                      <a:rPr lang="en-US" altLang="ko-KR" baseline="0"/>
                      <a:pPr/>
                      <a:t>[값]</a:t>
                    </a:fld>
                    <a:endParaRPr lang="ko-KR" alt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B30-47FD-BBA7-9FB08900650D}"/>
                </c:ext>
              </c:extLst>
            </c:dLbl>
            <c:dLbl>
              <c:idx val="2"/>
              <c:tx>
                <c:rich>
                  <a:bodyPr/>
                  <a:lstStyle/>
                  <a:p>
                    <a:fld id="{91DBFC1F-F136-4089-A402-3F3876268CF1}" type="VALUE">
                      <a:rPr lang="en-US" altLang="ko-KR" baseline="0"/>
                      <a:pPr/>
                      <a:t>[값]</a:t>
                    </a:fld>
                    <a:endParaRPr lang="ko-KR" alt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B30-47FD-BBA7-9FB08900650D}"/>
                </c:ext>
              </c:extLst>
            </c:dLbl>
            <c:dLbl>
              <c:idx val="3"/>
              <c:tx>
                <c:rich>
                  <a:bodyPr/>
                  <a:lstStyle/>
                  <a:p>
                    <a:fld id="{F6343807-B948-49AB-A7CE-4ACABDBA3689}" type="VALUE">
                      <a:rPr lang="en-US" altLang="ko-KR" baseline="0"/>
                      <a:pPr/>
                      <a:t>[값]</a:t>
                    </a:fld>
                    <a:endParaRPr lang="ko-KR" alt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B30-47FD-BBA7-9FB08900650D}"/>
                </c:ext>
              </c:extLst>
            </c:dLbl>
            <c:dLbl>
              <c:idx val="4"/>
              <c:layout>
                <c:manualLayout>
                  <c:x val="-8.7739178567847895E-2"/>
                  <c:y val="-0.12761599531963036"/>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fld id="{28BB7F78-D1CE-42D7-BF63-1D4AEFAFE046}" type="VALUE">
                      <a:rPr lang="en-US" altLang="ko-KR" baseline="0">
                        <a:solidFill>
                          <a:schemeClr val="tx1"/>
                        </a:solidFill>
                      </a:rPr>
                      <a:pPr>
                        <a:defRPr sz="1050">
                          <a:solidFill>
                            <a:schemeClr val="tx1"/>
                          </a:solidFill>
                        </a:defRPr>
                      </a:pPr>
                      <a:t>[값]</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B30-47FD-BBA7-9FB08900650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0"/>
            <c:showCatName val="0"/>
            <c:showSerName val="0"/>
            <c:showPercent val="0"/>
            <c:showBubbleSize val="0"/>
            <c:extLst>
              <c:ext xmlns:c15="http://schemas.microsoft.com/office/drawing/2012/chart" uri="{CE6537A1-D6FC-4f65-9D91-7224C49458BB}"/>
            </c:extLst>
          </c:dLbls>
          <c:cat>
            <c:strRef>
              <c:f>'6-2. Economic evaluation'!$CV$68:$CV$72</c:f>
              <c:strCache>
                <c:ptCount val="5"/>
                <c:pt idx="0">
                  <c:v>Direct capital
investment cost</c:v>
                </c:pt>
                <c:pt idx="1">
                  <c:v>Indirect capital
investment cost</c:v>
                </c:pt>
                <c:pt idx="2">
                  <c:v>Equipment cost
(included FCI) </c:v>
                </c:pt>
                <c:pt idx="3">
                  <c:v>Fixed capital
investment cost</c:v>
                </c:pt>
                <c:pt idx="4">
                  <c:v>Working capital cost</c:v>
                </c:pt>
              </c:strCache>
            </c:strRef>
          </c:cat>
          <c:val>
            <c:numRef>
              <c:f>'6-2. Economic evaluation'!$CW$68:$CW$72</c:f>
              <c:numCache>
                <c:formatCode>_("$"* #,##0_);_("$"* \(#,##0\);_("$"* "-"_);_(@_)</c:formatCode>
                <c:ptCount val="5"/>
                <c:pt idx="0">
                  <c:v>8356413.0742354542</c:v>
                </c:pt>
                <c:pt idx="1">
                  <c:v>18074306.006394699</c:v>
                </c:pt>
                <c:pt idx="2" formatCode="_-[$$]* #,##0_-;\-[$$]* #,##0_-;_-[$$]* &quot;-&quot;_-;_-@_-">
                  <c:v>35094961.357901312</c:v>
                </c:pt>
                <c:pt idx="3" formatCode="_-[$$]* #,##0_-;\-[$$]* #,##0_-;_-[$$]* &quot;-&quot;_-;_-@_-">
                  <c:v>61525680.438531466</c:v>
                </c:pt>
                <c:pt idx="4" formatCode="_-[$$]* #,##0_-;\-[$$]* #,##0_-;_-[$$]* &quot;-&quot;_-;_-@_-">
                  <c:v>10857473.018564377</c:v>
                </c:pt>
              </c:numCache>
            </c:numRef>
          </c:val>
          <c:extLst>
            <c:ext xmlns:c15="http://schemas.microsoft.com/office/drawing/2012/chart" uri="{02D57815-91ED-43cb-92C2-25804820EDAC}">
              <c15:datalabelsRange>
                <c15:f>'6-2. Economic evaluation'!$D$17:$D$33</c15:f>
                <c15:dlblRangeCache>
                  <c:ptCount val="17"/>
                  <c:pt idx="0">
                    <c:v> $2,340,732 </c:v>
                  </c:pt>
                  <c:pt idx="1">
                    <c:v> $936,293 </c:v>
                  </c:pt>
                  <c:pt idx="2">
                    <c:v> $678,812 </c:v>
                  </c:pt>
                  <c:pt idx="3">
                    <c:v> $1,053,329 </c:v>
                  </c:pt>
                  <c:pt idx="4">
                    <c:v> $585,183 </c:v>
                  </c:pt>
                  <c:pt idx="5">
                    <c:v> $936,293 </c:v>
                  </c:pt>
                  <c:pt idx="6">
                    <c:v> $1,638,512 </c:v>
                  </c:pt>
                  <c:pt idx="7">
                    <c:v> $187,259 </c:v>
                  </c:pt>
                  <c:pt idx="8">
                    <c:v> $8,356,413 </c:v>
                  </c:pt>
                  <c:pt idx="9">
                    <c:v> $1,462,372 </c:v>
                  </c:pt>
                  <c:pt idx="10">
                    <c:v> $1,230,514 </c:v>
                  </c:pt>
                  <c:pt idx="11">
                    <c:v> $9,228,852 </c:v>
                  </c:pt>
                  <c:pt idx="12">
                    <c:v> $6,152,568 </c:v>
                  </c:pt>
                  <c:pt idx="13">
                    <c:v> $18,074,306 </c:v>
                  </c:pt>
                  <c:pt idx="14">
                    <c:v> $35,094,961 </c:v>
                  </c:pt>
                  <c:pt idx="15">
                    <c:v> $61,525,680 </c:v>
                  </c:pt>
                  <c:pt idx="16">
                    <c:v> $10,857,473 </c:v>
                  </c:pt>
                </c15:dlblRangeCache>
              </c15:datalabelsRange>
            </c:ext>
            <c:ext xmlns:c16="http://schemas.microsoft.com/office/drawing/2014/chart" uri="{C3380CC4-5D6E-409C-BE32-E72D297353CC}">
              <c16:uniqueId val="{0000001A-CB30-47FD-BBA7-9FB08900650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panose="020B0604020202020204" pitchFamily="34" charset="0"/>
          <a:ea typeface="+mn-ea"/>
          <a:cs typeface="Arial" panose="020B0604020202020204" pitchFamily="34" charset="0"/>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'6-2. Economic evaluation'!$B$38:$D$38</c:f>
          <c:strCache>
            <c:ptCount val="3"/>
            <c:pt idx="0">
              <c:v>Estimation of total production cost</c:v>
            </c:pt>
          </c:strCache>
        </c:strRef>
      </c:tx>
      <c:layout>
        <c:manualLayout>
          <c:xMode val="edge"/>
          <c:yMode val="edge"/>
          <c:x val="0.15297453384834259"/>
          <c:y val="1.746031673289519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Arial" panose="020B0604020202020204" pitchFamily="34" charset="0"/>
              <a:ea typeface="+mn-ea"/>
              <a:cs typeface="Arial" panose="020B0604020202020204" pitchFamily="34" charset="0"/>
            </a:defRPr>
          </a:pPr>
          <a:endParaRPr lang="ko-KR"/>
        </a:p>
      </c:txPr>
    </c:title>
    <c:autoTitleDeleted val="0"/>
    <c:plotArea>
      <c:layout/>
      <c:doughnutChart>
        <c:varyColors val="1"/>
        <c:ser>
          <c:idx val="0"/>
          <c:order val="0"/>
          <c:dPt>
            <c:idx val="0"/>
            <c:bubble3D val="0"/>
            <c:spPr>
              <a:solidFill>
                <a:srgbClr val="BF5A1F"/>
              </a:solidFill>
              <a:ln>
                <a:noFill/>
              </a:ln>
              <a:effectLst/>
            </c:spPr>
            <c:extLst>
              <c:ext xmlns:c16="http://schemas.microsoft.com/office/drawing/2014/chart" uri="{C3380CC4-5D6E-409C-BE32-E72D297353CC}">
                <c16:uniqueId val="{00000001-A3D1-4FCC-8D4D-E364DE060482}"/>
              </c:ext>
            </c:extLst>
          </c:dPt>
          <c:dPt>
            <c:idx val="1"/>
            <c:bubble3D val="0"/>
            <c:spPr>
              <a:solidFill>
                <a:srgbClr val="D99066"/>
              </a:solidFill>
              <a:ln>
                <a:noFill/>
              </a:ln>
              <a:effectLst/>
            </c:spPr>
            <c:extLst>
              <c:ext xmlns:c16="http://schemas.microsoft.com/office/drawing/2014/chart" uri="{C3380CC4-5D6E-409C-BE32-E72D297353CC}">
                <c16:uniqueId val="{00000003-A3D1-4FCC-8D4D-E364DE060482}"/>
              </c:ext>
            </c:extLst>
          </c:dPt>
          <c:dPt>
            <c:idx val="2"/>
            <c:bubble3D val="0"/>
            <c:spPr>
              <a:solidFill>
                <a:srgbClr val="F2C1AE"/>
              </a:solidFill>
              <a:ln>
                <a:noFill/>
              </a:ln>
              <a:effectLst/>
            </c:spPr>
            <c:extLst>
              <c:ext xmlns:c16="http://schemas.microsoft.com/office/drawing/2014/chart" uri="{C3380CC4-5D6E-409C-BE32-E72D297353CC}">
                <c16:uniqueId val="{00000005-A3D1-4FCC-8D4D-E364DE060482}"/>
              </c:ext>
            </c:extLst>
          </c:dPt>
          <c:dPt>
            <c:idx val="3"/>
            <c:bubble3D val="0"/>
            <c:spPr>
              <a:solidFill>
                <a:srgbClr val="BF9C99"/>
              </a:solidFill>
              <a:ln>
                <a:noFill/>
              </a:ln>
              <a:effectLst/>
            </c:spPr>
            <c:extLst>
              <c:ext xmlns:c16="http://schemas.microsoft.com/office/drawing/2014/chart" uri="{C3380CC4-5D6E-409C-BE32-E72D297353CC}">
                <c16:uniqueId val="{00000007-A3D1-4FCC-8D4D-E364DE060482}"/>
              </c:ext>
            </c:extLst>
          </c:dPt>
          <c:dLbls>
            <c:dLbl>
              <c:idx val="0"/>
              <c:tx>
                <c:rich>
                  <a:bodyPr/>
                  <a:lstStyle/>
                  <a:p>
                    <a:r>
                      <a:rPr lang="en-US" altLang="ko-KR" baseline="0"/>
                      <a:t> </a:t>
                    </a:r>
                    <a:fld id="{1535A5A1-4B31-4697-9081-62CEFA11347F}" type="VALUE">
                      <a:rPr lang="en-US" altLang="ko-KR" baseline="0"/>
                      <a:pPr/>
                      <a:t>[값]</a:t>
                    </a:fld>
                    <a:endParaRPr lang="en-US" altLang="ko-KR"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3D1-4FCC-8D4D-E364DE060482}"/>
                </c:ext>
              </c:extLst>
            </c:dLbl>
            <c:dLbl>
              <c:idx val="1"/>
              <c:tx>
                <c:rich>
                  <a:bodyPr/>
                  <a:lstStyle/>
                  <a:p>
                    <a:r>
                      <a:rPr lang="en-US" altLang="ko-KR" baseline="0"/>
                      <a:t> </a:t>
                    </a:r>
                    <a:fld id="{A8542FD4-1446-4521-A834-4855CA783837}" type="VALUE">
                      <a:rPr lang="en-US" altLang="ko-KR" baseline="0"/>
                      <a:pPr/>
                      <a:t>[값]</a:t>
                    </a:fld>
                    <a:endParaRPr lang="en-US" altLang="ko-KR"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3D1-4FCC-8D4D-E364DE060482}"/>
                </c:ext>
              </c:extLst>
            </c:dLbl>
            <c:dLbl>
              <c:idx val="2"/>
              <c:layout>
                <c:manualLayout>
                  <c:x val="-0.13267875783430658"/>
                  <c:y val="-1.3985486478815154E-2"/>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fld id="{47184039-C485-46AB-855C-96BD6C08FDA4}" type="VALUE">
                      <a:rPr lang="en-US" altLang="ko-KR" baseline="0">
                        <a:solidFill>
                          <a:schemeClr val="tx1"/>
                        </a:solidFill>
                      </a:rPr>
                      <a:pPr>
                        <a:defRPr sz="1050">
                          <a:solidFill>
                            <a:schemeClr val="tx1"/>
                          </a:solidFill>
                        </a:defRPr>
                      </a:pPr>
                      <a:t>[값]</a:t>
                    </a:fld>
                    <a:endParaRPr lang="ko-KR" altLang="en-US"/>
                  </a:p>
                </c:rich>
              </c:tx>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3D1-4FCC-8D4D-E364DE060482}"/>
                </c:ext>
              </c:extLst>
            </c:dLbl>
            <c:dLbl>
              <c:idx val="3"/>
              <c:tx>
                <c:rich>
                  <a:bodyPr/>
                  <a:lstStyle/>
                  <a:p>
                    <a:fld id="{1D304C08-BF74-4EFF-96F1-8AF535531DEF}" type="VALUE">
                      <a:rPr lang="en-US" altLang="ko-KR" baseline="0"/>
                      <a:pPr/>
                      <a:t>[값]</a:t>
                    </a:fld>
                    <a:endParaRPr lang="ko-KR" altLang="en-US"/>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3D1-4FCC-8D4D-E364DE060482}"/>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ko-K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'6-2. Economic evaluation'!$CV$58:$CV$61</c:f>
              <c:strCache>
                <c:ptCount val="4"/>
                <c:pt idx="0">
                  <c:v>Variable cost</c:v>
                </c:pt>
                <c:pt idx="1">
                  <c:v>Fixed cost</c:v>
                </c:pt>
                <c:pt idx="2">
                  <c:v>Plant overhead costs</c:v>
                </c:pt>
                <c:pt idx="3">
                  <c:v>General expenses</c:v>
                </c:pt>
              </c:strCache>
            </c:strRef>
          </c:cat>
          <c:val>
            <c:numRef>
              <c:f>'6-2. Economic evaluation'!$CW$58:$CW$61</c:f>
              <c:numCache>
                <c:formatCode>_-\$* #,##0_ ;_-\$* \-#,##0\ ;_-\$* "-"_ ;_-@_ </c:formatCode>
                <c:ptCount val="4"/>
                <c:pt idx="0">
                  <c:v>81276975.940124154</c:v>
                </c:pt>
                <c:pt idx="1">
                  <c:v>9237899.9599618576</c:v>
                </c:pt>
                <c:pt idx="2">
                  <c:v>12838989.489373904</c:v>
                </c:pt>
                <c:pt idx="3">
                  <c:v>25036029.504279114</c:v>
                </c:pt>
              </c:numCache>
            </c:numRef>
          </c:val>
          <c:extLst>
            <c:ext xmlns:c15="http://schemas.microsoft.com/office/drawing/2012/chart" uri="{02D57815-91ED-43cb-92C2-25804820EDAC}">
              <c15:datalabelsRange>
                <c15:f>'6-2. Economic evaluation'!$D$17:$D$33</c15:f>
                <c15:dlblRangeCache>
                  <c:ptCount val="17"/>
                  <c:pt idx="0">
                    <c:v> $2,340,732 </c:v>
                  </c:pt>
                  <c:pt idx="1">
                    <c:v> $936,293 </c:v>
                  </c:pt>
                  <c:pt idx="2">
                    <c:v> $678,812 </c:v>
                  </c:pt>
                  <c:pt idx="3">
                    <c:v> $1,053,329 </c:v>
                  </c:pt>
                  <c:pt idx="4">
                    <c:v> $585,183 </c:v>
                  </c:pt>
                  <c:pt idx="5">
                    <c:v> $936,293 </c:v>
                  </c:pt>
                  <c:pt idx="6">
                    <c:v> $1,638,512 </c:v>
                  </c:pt>
                  <c:pt idx="7">
                    <c:v> $187,259 </c:v>
                  </c:pt>
                  <c:pt idx="8">
                    <c:v> $8,356,413 </c:v>
                  </c:pt>
                  <c:pt idx="9">
                    <c:v> $1,462,372 </c:v>
                  </c:pt>
                  <c:pt idx="10">
                    <c:v> $1,230,514 </c:v>
                  </c:pt>
                  <c:pt idx="11">
                    <c:v> $9,228,852 </c:v>
                  </c:pt>
                  <c:pt idx="12">
                    <c:v> $6,152,568 </c:v>
                  </c:pt>
                  <c:pt idx="13">
                    <c:v> $18,074,306 </c:v>
                  </c:pt>
                  <c:pt idx="14">
                    <c:v> $35,094,961 </c:v>
                  </c:pt>
                  <c:pt idx="15">
                    <c:v> $61,525,680 </c:v>
                  </c:pt>
                  <c:pt idx="16">
                    <c:v> $10,857,473 </c:v>
                  </c:pt>
                </c15:dlblRangeCache>
              </c15:datalabelsRange>
            </c:ext>
            <c:ext xmlns:c16="http://schemas.microsoft.com/office/drawing/2014/chart" uri="{C3380CC4-5D6E-409C-BE32-E72D297353CC}">
              <c16:uniqueId val="{0000000A-A3D1-4FCC-8D4D-E364DE06048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rial" panose="020B0604020202020204" pitchFamily="34" charset="0"/>
          <a:ea typeface="+mn-ea"/>
          <a:cs typeface="Arial" panose="020B0604020202020204" pitchFamily="34" charset="0"/>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altLang="ko-KR" sz="2000" b="1">
                <a:solidFill>
                  <a:schemeClr val="tx1"/>
                </a:solidFill>
                <a:latin typeface="Arial" panose="020B0604020202020204" pitchFamily="34" charset="0"/>
                <a:cs typeface="Arial" panose="020B0604020202020204" pitchFamily="34" charset="0"/>
              </a:rPr>
              <a:t>At break-even</a:t>
            </a:r>
            <a:r>
              <a:rPr lang="en-US" altLang="ko-KR" sz="2000" b="1" baseline="0">
                <a:solidFill>
                  <a:schemeClr val="tx1"/>
                </a:solidFill>
                <a:latin typeface="Arial" panose="020B0604020202020204" pitchFamily="34" charset="0"/>
                <a:cs typeface="Arial" panose="020B0604020202020204" pitchFamily="34" charset="0"/>
              </a:rPr>
              <a:t> point</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ko-KR"/>
        </a:p>
      </c:txPr>
    </c:title>
    <c:autoTitleDeleted val="0"/>
    <c:plotArea>
      <c:layout/>
      <c:barChart>
        <c:barDir val="bar"/>
        <c:grouping val="stacked"/>
        <c:varyColors val="0"/>
        <c:ser>
          <c:idx val="0"/>
          <c:order val="0"/>
          <c:tx>
            <c:strRef>
              <c:f>'6-2. Economic evaluation'!$C$68</c:f>
              <c:strCache>
                <c:ptCount val="1"/>
                <c:pt idx="0">
                  <c:v>Li2CO3 sales </c:v>
                </c:pt>
              </c:strCache>
            </c:strRef>
          </c:tx>
          <c:spPr>
            <a:solidFill>
              <a:schemeClr val="accent1"/>
            </a:solidFill>
            <a:ln>
              <a:noFill/>
            </a:ln>
            <a:effectLst/>
          </c:spPr>
          <c:invertIfNegative val="0"/>
          <c:cat>
            <c:strRef>
              <c:f>'6-2. Economic evaluation'!$CV$65:$CV$66</c:f>
              <c:strCache>
                <c:ptCount val="2"/>
                <c:pt idx="0">
                  <c:v>Total revenue</c:v>
                </c:pt>
                <c:pt idx="1">
                  <c:v>Gross product cost</c:v>
                </c:pt>
              </c:strCache>
            </c:strRef>
          </c:cat>
          <c:val>
            <c:numRef>
              <c:f>'6-2. Economic evaluation'!$D$68:$E$68</c:f>
              <c:numCache>
                <c:formatCode>General</c:formatCode>
                <c:ptCount val="2"/>
                <c:pt idx="0" formatCode="_(&quot;$&quot;* #,##0_);_(&quot;$&quot;* \(#,##0\);_(&quot;$&quot;* &quot;-&quot;_);_(@_)">
                  <c:v>15025391.800553389</c:v>
                </c:pt>
                <c:pt idx="1">
                  <c:v>0</c:v>
                </c:pt>
              </c:numCache>
            </c:numRef>
          </c:val>
          <c:extLst>
            <c:ext xmlns:c16="http://schemas.microsoft.com/office/drawing/2014/chart" uri="{C3380CC4-5D6E-409C-BE32-E72D297353CC}">
              <c16:uniqueId val="{00000000-817D-421C-8513-62122993D33B}"/>
            </c:ext>
          </c:extLst>
        </c:ser>
        <c:ser>
          <c:idx val="1"/>
          <c:order val="1"/>
          <c:tx>
            <c:strRef>
              <c:f>'6-2. Economic evaluation'!$C$69</c:f>
              <c:strCache>
                <c:ptCount val="1"/>
                <c:pt idx="0">
                  <c:v>H2 sales </c:v>
                </c:pt>
              </c:strCache>
            </c:strRef>
          </c:tx>
          <c:spPr>
            <a:solidFill>
              <a:schemeClr val="accent2"/>
            </a:solidFill>
            <a:ln>
              <a:noFill/>
            </a:ln>
            <a:effectLst/>
          </c:spPr>
          <c:invertIfNegative val="0"/>
          <c:cat>
            <c:strRef>
              <c:f>'6-2. Economic evaluation'!$CV$65:$CV$66</c:f>
              <c:strCache>
                <c:ptCount val="2"/>
                <c:pt idx="0">
                  <c:v>Total revenue</c:v>
                </c:pt>
                <c:pt idx="1">
                  <c:v>Gross product cost</c:v>
                </c:pt>
              </c:strCache>
            </c:strRef>
          </c:cat>
          <c:val>
            <c:numRef>
              <c:f>'6-2. Economic evaluation'!$D$69:$E$69</c:f>
              <c:numCache>
                <c:formatCode>General</c:formatCode>
                <c:ptCount val="2"/>
                <c:pt idx="0" formatCode="_(&quot;$&quot;* #,##0_);_(&quot;$&quot;* \(#,##0\);_(&quot;$&quot;* &quot;-&quot;_);_(@_)">
                  <c:v>1043390.4903797312</c:v>
                </c:pt>
                <c:pt idx="1">
                  <c:v>0</c:v>
                </c:pt>
              </c:numCache>
            </c:numRef>
          </c:val>
          <c:extLst>
            <c:ext xmlns:c16="http://schemas.microsoft.com/office/drawing/2014/chart" uri="{C3380CC4-5D6E-409C-BE32-E72D297353CC}">
              <c16:uniqueId val="{00000001-817D-421C-8513-62122993D33B}"/>
            </c:ext>
          </c:extLst>
        </c:ser>
        <c:ser>
          <c:idx val="2"/>
          <c:order val="2"/>
          <c:tx>
            <c:strRef>
              <c:f>'6-2. Economic evaluation'!$C$85</c:f>
              <c:strCache>
                <c:ptCount val="1"/>
                <c:pt idx="0">
                  <c:v>Total fixed cost</c:v>
                </c:pt>
              </c:strCache>
            </c:strRef>
          </c:tx>
          <c:spPr>
            <a:solidFill>
              <a:srgbClr val="DAEEF3"/>
            </a:solidFill>
            <a:ln>
              <a:noFill/>
            </a:ln>
            <a:effectLst/>
          </c:spPr>
          <c:invertIfNegative val="0"/>
          <c:cat>
            <c:strRef>
              <c:f>'6-2. Economic evaluation'!$CV$65:$CV$66</c:f>
              <c:strCache>
                <c:ptCount val="2"/>
                <c:pt idx="0">
                  <c:v>Total revenue</c:v>
                </c:pt>
                <c:pt idx="1">
                  <c:v>Gross product cost</c:v>
                </c:pt>
              </c:strCache>
            </c:strRef>
          </c:cat>
          <c:val>
            <c:numRef>
              <c:f>'6-2. Economic evaluation'!$D$85:$E$85</c:f>
              <c:numCache>
                <c:formatCode>_("$"* #,##0_);_("$"* \(#,##0\);_("$"* "-"_);_(@_)</c:formatCode>
                <c:ptCount val="2"/>
                <c:pt idx="0" formatCode="General">
                  <c:v>0</c:v>
                </c:pt>
                <c:pt idx="1">
                  <c:v>9237899.9599618576</c:v>
                </c:pt>
              </c:numCache>
            </c:numRef>
          </c:val>
          <c:extLst>
            <c:ext xmlns:c16="http://schemas.microsoft.com/office/drawing/2014/chart" uri="{C3380CC4-5D6E-409C-BE32-E72D297353CC}">
              <c16:uniqueId val="{00000002-817D-421C-8513-62122993D33B}"/>
            </c:ext>
          </c:extLst>
        </c:ser>
        <c:ser>
          <c:idx val="3"/>
          <c:order val="3"/>
          <c:tx>
            <c:strRef>
              <c:f>'6-2. Economic evaluation'!$C$73</c:f>
              <c:strCache>
                <c:ptCount val="1"/>
                <c:pt idx="0">
                  <c:v>Raw materials</c:v>
                </c:pt>
              </c:strCache>
            </c:strRef>
          </c:tx>
          <c:spPr>
            <a:solidFill>
              <a:schemeClr val="accent4"/>
            </a:solidFill>
            <a:ln>
              <a:noFill/>
            </a:ln>
            <a:effectLst/>
          </c:spPr>
          <c:invertIfNegative val="0"/>
          <c:cat>
            <c:strRef>
              <c:f>'6-2. Economic evaluation'!$CV$65:$CV$66</c:f>
              <c:strCache>
                <c:ptCount val="2"/>
                <c:pt idx="0">
                  <c:v>Total revenue</c:v>
                </c:pt>
                <c:pt idx="1">
                  <c:v>Gross product cost</c:v>
                </c:pt>
              </c:strCache>
            </c:strRef>
          </c:cat>
          <c:val>
            <c:numRef>
              <c:f>'6-2. Economic evaluation'!$D$73:$E$73</c:f>
              <c:numCache>
                <c:formatCode>_("$"* #,##0_);_("$"* \(#,##0\);_("$"* "-"_);_(@_)</c:formatCode>
                <c:ptCount val="2"/>
                <c:pt idx="0" formatCode="General">
                  <c:v>0</c:v>
                </c:pt>
                <c:pt idx="1">
                  <c:v>2242865.6547394516</c:v>
                </c:pt>
              </c:numCache>
            </c:numRef>
          </c:val>
          <c:extLst>
            <c:ext xmlns:c16="http://schemas.microsoft.com/office/drawing/2014/chart" uri="{C3380CC4-5D6E-409C-BE32-E72D297353CC}">
              <c16:uniqueId val="{00000003-817D-421C-8513-62122993D33B}"/>
            </c:ext>
          </c:extLst>
        </c:ser>
        <c:ser>
          <c:idx val="4"/>
          <c:order val="4"/>
          <c:tx>
            <c:strRef>
              <c:f>'6-2. Economic evaluation'!$C$74</c:f>
              <c:strCache>
                <c:ptCount val="1"/>
                <c:pt idx="0">
                  <c:v>Operating labor</c:v>
                </c:pt>
              </c:strCache>
            </c:strRef>
          </c:tx>
          <c:spPr>
            <a:solidFill>
              <a:schemeClr val="accent5"/>
            </a:solidFill>
            <a:ln>
              <a:noFill/>
            </a:ln>
            <a:effectLst/>
          </c:spPr>
          <c:invertIfNegative val="0"/>
          <c:cat>
            <c:strRef>
              <c:f>'6-2. Economic evaluation'!$CV$65:$CV$66</c:f>
              <c:strCache>
                <c:ptCount val="2"/>
                <c:pt idx="0">
                  <c:v>Total revenue</c:v>
                </c:pt>
                <c:pt idx="1">
                  <c:v>Gross product cost</c:v>
                </c:pt>
              </c:strCache>
            </c:strRef>
          </c:cat>
          <c:val>
            <c:numRef>
              <c:f>'6-2. Economic evaluation'!$D$74:$E$74</c:f>
              <c:numCache>
                <c:formatCode>_("$"* #,##0_);_("$"* \(#,##0\);_("$"* "-"_);_(@_)</c:formatCode>
                <c:ptCount val="2"/>
                <c:pt idx="0" formatCode="General">
                  <c:v>0</c:v>
                </c:pt>
                <c:pt idx="1">
                  <c:v>1104072.4895025864</c:v>
                </c:pt>
              </c:numCache>
            </c:numRef>
          </c:val>
          <c:extLst>
            <c:ext xmlns:c16="http://schemas.microsoft.com/office/drawing/2014/chart" uri="{C3380CC4-5D6E-409C-BE32-E72D297353CC}">
              <c16:uniqueId val="{00000004-817D-421C-8513-62122993D33B}"/>
            </c:ext>
          </c:extLst>
        </c:ser>
        <c:ser>
          <c:idx val="5"/>
          <c:order val="5"/>
          <c:tx>
            <c:strRef>
              <c:f>'6-2. Economic evaluation'!$C$75</c:f>
              <c:strCache>
                <c:ptCount val="1"/>
                <c:pt idx="0">
                  <c:v>Direct Supervisory and clerical labor</c:v>
                </c:pt>
              </c:strCache>
            </c:strRef>
          </c:tx>
          <c:spPr>
            <a:solidFill>
              <a:schemeClr val="accent6"/>
            </a:solidFill>
            <a:ln>
              <a:noFill/>
            </a:ln>
            <a:effectLst/>
          </c:spPr>
          <c:invertIfNegative val="0"/>
          <c:cat>
            <c:strRef>
              <c:f>'6-2. Economic evaluation'!$CV$65:$CV$66</c:f>
              <c:strCache>
                <c:ptCount val="2"/>
                <c:pt idx="0">
                  <c:v>Total revenue</c:v>
                </c:pt>
                <c:pt idx="1">
                  <c:v>Gross product cost</c:v>
                </c:pt>
              </c:strCache>
            </c:strRef>
          </c:cat>
          <c:val>
            <c:numRef>
              <c:f>'6-2. Economic evaluation'!$D$75:$E$75</c:f>
              <c:numCache>
                <c:formatCode>_("$"* #,##0_);_("$"* \(#,##0\);_("$"* "-"_);_(@_)</c:formatCode>
                <c:ptCount val="2"/>
                <c:pt idx="0" formatCode="General">
                  <c:v>0</c:v>
                </c:pt>
                <c:pt idx="1">
                  <c:v>165610.87342538798</c:v>
                </c:pt>
              </c:numCache>
            </c:numRef>
          </c:val>
          <c:extLst>
            <c:ext xmlns:c16="http://schemas.microsoft.com/office/drawing/2014/chart" uri="{C3380CC4-5D6E-409C-BE32-E72D297353CC}">
              <c16:uniqueId val="{00000005-817D-421C-8513-62122993D33B}"/>
            </c:ext>
          </c:extLst>
        </c:ser>
        <c:ser>
          <c:idx val="6"/>
          <c:order val="6"/>
          <c:tx>
            <c:strRef>
              <c:f>'6-2. Economic evaluation'!$C$76</c:f>
              <c:strCache>
                <c:ptCount val="1"/>
                <c:pt idx="0">
                  <c:v>Utilities</c:v>
                </c:pt>
              </c:strCache>
            </c:strRef>
          </c:tx>
          <c:spPr>
            <a:solidFill>
              <a:schemeClr val="accent1">
                <a:lumMod val="60000"/>
              </a:schemeClr>
            </a:solidFill>
            <a:ln>
              <a:noFill/>
            </a:ln>
            <a:effectLst/>
          </c:spPr>
          <c:invertIfNegative val="0"/>
          <c:cat>
            <c:strRef>
              <c:f>'6-2. Economic evaluation'!$CV$65:$CV$66</c:f>
              <c:strCache>
                <c:ptCount val="2"/>
                <c:pt idx="0">
                  <c:v>Total revenue</c:v>
                </c:pt>
                <c:pt idx="1">
                  <c:v>Gross product cost</c:v>
                </c:pt>
              </c:strCache>
            </c:strRef>
          </c:cat>
          <c:val>
            <c:numRef>
              <c:f>'6-2. Economic evaluation'!$D$76:$E$76</c:f>
              <c:numCache>
                <c:formatCode>_("$"* #,##0_);_("$"* \(#,##0\);_("$"* "-"_);_(@_)</c:formatCode>
                <c:ptCount val="2"/>
                <c:pt idx="0" formatCode="General">
                  <c:v>0</c:v>
                </c:pt>
                <c:pt idx="1">
                  <c:v>517187.55610403314</c:v>
                </c:pt>
              </c:numCache>
            </c:numRef>
          </c:val>
          <c:extLst>
            <c:ext xmlns:c16="http://schemas.microsoft.com/office/drawing/2014/chart" uri="{C3380CC4-5D6E-409C-BE32-E72D297353CC}">
              <c16:uniqueId val="{00000006-817D-421C-8513-62122993D33B}"/>
            </c:ext>
          </c:extLst>
        </c:ser>
        <c:ser>
          <c:idx val="7"/>
          <c:order val="7"/>
          <c:tx>
            <c:strRef>
              <c:f>'6-2. Economic evaluation'!$C$77</c:f>
              <c:strCache>
                <c:ptCount val="1"/>
                <c:pt idx="0">
                  <c:v>Maintenance and repairs</c:v>
                </c:pt>
              </c:strCache>
            </c:strRef>
          </c:tx>
          <c:spPr>
            <a:solidFill>
              <a:schemeClr val="accent2">
                <a:lumMod val="60000"/>
              </a:schemeClr>
            </a:solidFill>
            <a:ln>
              <a:noFill/>
            </a:ln>
            <a:effectLst/>
          </c:spPr>
          <c:invertIfNegative val="0"/>
          <c:cat>
            <c:strRef>
              <c:f>'6-2. Economic evaluation'!$CV$65:$CV$66</c:f>
              <c:strCache>
                <c:ptCount val="2"/>
                <c:pt idx="0">
                  <c:v>Total revenue</c:v>
                </c:pt>
                <c:pt idx="1">
                  <c:v>Gross product cost</c:v>
                </c:pt>
              </c:strCache>
            </c:strRef>
          </c:cat>
          <c:val>
            <c:numRef>
              <c:f>'6-2. Economic evaluation'!$D$77:$E$77</c:f>
              <c:numCache>
                <c:formatCode>_("$"* #,##0_);_("$"* \(#,##0\);_("$"* "-"_);_(@_)</c:formatCode>
                <c:ptCount val="2"/>
                <c:pt idx="0" formatCode="General">
                  <c:v>0</c:v>
                </c:pt>
                <c:pt idx="1">
                  <c:v>211632.8897265032</c:v>
                </c:pt>
              </c:numCache>
            </c:numRef>
          </c:val>
          <c:extLst>
            <c:ext xmlns:c16="http://schemas.microsoft.com/office/drawing/2014/chart" uri="{C3380CC4-5D6E-409C-BE32-E72D297353CC}">
              <c16:uniqueId val="{00000007-817D-421C-8513-62122993D33B}"/>
            </c:ext>
          </c:extLst>
        </c:ser>
        <c:ser>
          <c:idx val="8"/>
          <c:order val="8"/>
          <c:tx>
            <c:strRef>
              <c:f>'6-2. Economic evaluation'!$C$78</c:f>
              <c:strCache>
                <c:ptCount val="1"/>
                <c:pt idx="0">
                  <c:v>Operating supplies</c:v>
                </c:pt>
              </c:strCache>
            </c:strRef>
          </c:tx>
          <c:spPr>
            <a:solidFill>
              <a:schemeClr val="accent3">
                <a:lumMod val="60000"/>
              </a:schemeClr>
            </a:solidFill>
            <a:ln>
              <a:noFill/>
            </a:ln>
            <a:effectLst/>
          </c:spPr>
          <c:invertIfNegative val="0"/>
          <c:cat>
            <c:strRef>
              <c:f>'6-2. Economic evaluation'!$CV$65:$CV$66</c:f>
              <c:strCache>
                <c:ptCount val="2"/>
                <c:pt idx="0">
                  <c:v>Total revenue</c:v>
                </c:pt>
                <c:pt idx="1">
                  <c:v>Gross product cost</c:v>
                </c:pt>
              </c:strCache>
            </c:strRef>
          </c:cat>
          <c:val>
            <c:numRef>
              <c:f>'6-2. Economic evaluation'!$D$78:$E$78</c:f>
              <c:numCache>
                <c:formatCode>_("$"* #,##0_);_("$"* \(#,##0\);_("$"* "-"_);_(@_)</c:formatCode>
                <c:ptCount val="2"/>
                <c:pt idx="0" formatCode="General">
                  <c:v>0</c:v>
                </c:pt>
                <c:pt idx="1">
                  <c:v>31744.93345897548</c:v>
                </c:pt>
              </c:numCache>
            </c:numRef>
          </c:val>
          <c:extLst>
            <c:ext xmlns:c16="http://schemas.microsoft.com/office/drawing/2014/chart" uri="{C3380CC4-5D6E-409C-BE32-E72D297353CC}">
              <c16:uniqueId val="{00000008-817D-421C-8513-62122993D33B}"/>
            </c:ext>
          </c:extLst>
        </c:ser>
        <c:ser>
          <c:idx val="9"/>
          <c:order val="9"/>
          <c:tx>
            <c:strRef>
              <c:f>'6-2. Economic evaluation'!$C$79</c:f>
              <c:strCache>
                <c:ptCount val="1"/>
                <c:pt idx="0">
                  <c:v>Laboratory charges</c:v>
                </c:pt>
              </c:strCache>
            </c:strRef>
          </c:tx>
          <c:spPr>
            <a:solidFill>
              <a:schemeClr val="accent4">
                <a:lumMod val="60000"/>
              </a:schemeClr>
            </a:solidFill>
            <a:ln>
              <a:noFill/>
            </a:ln>
            <a:effectLst/>
          </c:spPr>
          <c:invertIfNegative val="0"/>
          <c:cat>
            <c:strRef>
              <c:f>'6-2. Economic evaluation'!$CV$65:$CV$66</c:f>
              <c:strCache>
                <c:ptCount val="2"/>
                <c:pt idx="0">
                  <c:v>Total revenue</c:v>
                </c:pt>
                <c:pt idx="1">
                  <c:v>Gross product cost</c:v>
                </c:pt>
              </c:strCache>
            </c:strRef>
          </c:cat>
          <c:val>
            <c:numRef>
              <c:f>'6-2. Economic evaluation'!$D$79:$E$79</c:f>
              <c:numCache>
                <c:formatCode>_("$"* #,##0_);_("$"* \(#,##0\);_("$"* "-"_);_(@_)</c:formatCode>
                <c:ptCount val="2"/>
                <c:pt idx="0" formatCode="General">
                  <c:v>0</c:v>
                </c:pt>
                <c:pt idx="1">
                  <c:v>165610.87342538798</c:v>
                </c:pt>
              </c:numCache>
            </c:numRef>
          </c:val>
          <c:extLst>
            <c:ext xmlns:c16="http://schemas.microsoft.com/office/drawing/2014/chart" uri="{C3380CC4-5D6E-409C-BE32-E72D297353CC}">
              <c16:uniqueId val="{00000009-817D-421C-8513-62122993D33B}"/>
            </c:ext>
          </c:extLst>
        </c:ser>
        <c:ser>
          <c:idx val="10"/>
          <c:order val="10"/>
          <c:tx>
            <c:strRef>
              <c:f>'6-2. Economic evaluation'!$C$80</c:f>
              <c:strCache>
                <c:ptCount val="1"/>
                <c:pt idx="0">
                  <c:v>Patents and royal</c:v>
                </c:pt>
              </c:strCache>
            </c:strRef>
          </c:tx>
          <c:spPr>
            <a:solidFill>
              <a:schemeClr val="accent5">
                <a:lumMod val="60000"/>
              </a:schemeClr>
            </a:solidFill>
            <a:ln>
              <a:noFill/>
            </a:ln>
            <a:effectLst/>
          </c:spPr>
          <c:invertIfNegative val="0"/>
          <c:cat>
            <c:strRef>
              <c:f>'6-2. Economic evaluation'!$CV$65:$CV$66</c:f>
              <c:strCache>
                <c:ptCount val="2"/>
                <c:pt idx="0">
                  <c:v>Total revenue</c:v>
                </c:pt>
                <c:pt idx="1">
                  <c:v>Gross product cost</c:v>
                </c:pt>
              </c:strCache>
            </c:strRef>
          </c:cat>
          <c:val>
            <c:numRef>
              <c:f>'6-2. Economic evaluation'!$D$80:$E$80</c:f>
              <c:numCache>
                <c:formatCode>_("$"* #,##0_);_("$"* \(#,##0\);_("$"* "-"_);_(@_)</c:formatCode>
                <c:ptCount val="2"/>
                <c:pt idx="0" formatCode="General">
                  <c:v>0</c:v>
                </c:pt>
                <c:pt idx="1">
                  <c:v>220814.49790051731</c:v>
                </c:pt>
              </c:numCache>
            </c:numRef>
          </c:val>
          <c:extLst>
            <c:ext xmlns:c16="http://schemas.microsoft.com/office/drawing/2014/chart" uri="{C3380CC4-5D6E-409C-BE32-E72D297353CC}">
              <c16:uniqueId val="{0000000A-817D-421C-8513-62122993D33B}"/>
            </c:ext>
          </c:extLst>
        </c:ser>
        <c:ser>
          <c:idx val="11"/>
          <c:order val="11"/>
          <c:tx>
            <c:strRef>
              <c:f>'6-2. Economic evaluation'!$C$86</c:f>
              <c:strCache>
                <c:ptCount val="1"/>
                <c:pt idx="0">
                  <c:v>Plant overhead costs</c:v>
                </c:pt>
              </c:strCache>
            </c:strRef>
          </c:tx>
          <c:spPr>
            <a:solidFill>
              <a:schemeClr val="accent6">
                <a:lumMod val="60000"/>
              </a:schemeClr>
            </a:solidFill>
            <a:ln>
              <a:noFill/>
            </a:ln>
            <a:effectLst/>
          </c:spPr>
          <c:invertIfNegative val="0"/>
          <c:cat>
            <c:strRef>
              <c:f>'6-2. Economic evaluation'!$CV$65:$CV$66</c:f>
              <c:strCache>
                <c:ptCount val="2"/>
                <c:pt idx="0">
                  <c:v>Total revenue</c:v>
                </c:pt>
                <c:pt idx="1">
                  <c:v>Gross product cost</c:v>
                </c:pt>
              </c:strCache>
            </c:strRef>
          </c:cat>
          <c:val>
            <c:numRef>
              <c:f>'6-2. Economic evaluation'!$D$86:$E$86</c:f>
              <c:numCache>
                <c:formatCode>_("$"* #,##0_);_("$"* \(#,##0\);_("$"* "-"_);_(@_)</c:formatCode>
                <c:ptCount val="2"/>
                <c:pt idx="0" formatCode="General">
                  <c:v>0</c:v>
                </c:pt>
                <c:pt idx="1">
                  <c:v>736048.32633505773</c:v>
                </c:pt>
              </c:numCache>
            </c:numRef>
          </c:val>
          <c:extLst>
            <c:ext xmlns:c16="http://schemas.microsoft.com/office/drawing/2014/chart" uri="{C3380CC4-5D6E-409C-BE32-E72D297353CC}">
              <c16:uniqueId val="{0000000B-817D-421C-8513-62122993D33B}"/>
            </c:ext>
          </c:extLst>
        </c:ser>
        <c:ser>
          <c:idx val="12"/>
          <c:order val="12"/>
          <c:tx>
            <c:strRef>
              <c:f>'6-2. Economic evaluation'!$C$82</c:f>
              <c:strCache>
                <c:ptCount val="1"/>
                <c:pt idx="0">
                  <c:v>Administrative costs</c:v>
                </c:pt>
              </c:strCache>
            </c:strRef>
          </c:tx>
          <c:spPr>
            <a:solidFill>
              <a:schemeClr val="accent1">
                <a:lumMod val="80000"/>
                <a:lumOff val="20000"/>
              </a:schemeClr>
            </a:solidFill>
            <a:ln>
              <a:noFill/>
            </a:ln>
            <a:effectLst/>
          </c:spPr>
          <c:invertIfNegative val="0"/>
          <c:cat>
            <c:strRef>
              <c:f>'6-2. Economic evaluation'!$CV$65:$CV$66</c:f>
              <c:strCache>
                <c:ptCount val="2"/>
                <c:pt idx="0">
                  <c:v>Total revenue</c:v>
                </c:pt>
                <c:pt idx="1">
                  <c:v>Gross product cost</c:v>
                </c:pt>
              </c:strCache>
            </c:strRef>
          </c:cat>
          <c:val>
            <c:numRef>
              <c:f>'6-2. Economic evaluation'!$D$82:$E$82</c:f>
              <c:numCache>
                <c:formatCode>_("$"* #,##0_);_("$"* \(#,##0\);_("$"* "-"_);_(@_)</c:formatCode>
                <c:ptCount val="2"/>
                <c:pt idx="0" formatCode="General">
                  <c:v>0</c:v>
                </c:pt>
                <c:pt idx="1">
                  <c:v>257616.91421727024</c:v>
                </c:pt>
              </c:numCache>
            </c:numRef>
          </c:val>
          <c:extLst>
            <c:ext xmlns:c16="http://schemas.microsoft.com/office/drawing/2014/chart" uri="{C3380CC4-5D6E-409C-BE32-E72D297353CC}">
              <c16:uniqueId val="{0000000C-817D-421C-8513-62122993D33B}"/>
            </c:ext>
          </c:extLst>
        </c:ser>
        <c:ser>
          <c:idx val="13"/>
          <c:order val="13"/>
          <c:tx>
            <c:strRef>
              <c:f>'6-2. Economic evaluation'!$C$83</c:f>
              <c:strCache>
                <c:ptCount val="1"/>
                <c:pt idx="0">
                  <c:v>Distribution and marketing costs</c:v>
                </c:pt>
              </c:strCache>
            </c:strRef>
          </c:tx>
          <c:spPr>
            <a:solidFill>
              <a:schemeClr val="accent2">
                <a:lumMod val="80000"/>
                <a:lumOff val="20000"/>
              </a:schemeClr>
            </a:solidFill>
            <a:ln>
              <a:noFill/>
            </a:ln>
            <a:effectLst/>
          </c:spPr>
          <c:invertIfNegative val="0"/>
          <c:cat>
            <c:strRef>
              <c:f>'6-2. Economic evaluation'!$CV$65:$CV$66</c:f>
              <c:strCache>
                <c:ptCount val="2"/>
                <c:pt idx="0">
                  <c:v>Total revenue</c:v>
                </c:pt>
                <c:pt idx="1">
                  <c:v>Gross product cost</c:v>
                </c:pt>
              </c:strCache>
            </c:strRef>
          </c:cat>
          <c:val>
            <c:numRef>
              <c:f>'6-2. Economic evaluation'!$D$83:$E$83</c:f>
              <c:numCache>
                <c:formatCode>_("$"* #,##0_);_("$"* \(#,##0\);_("$"* "-"_);_(@_)</c:formatCode>
                <c:ptCount val="2"/>
                <c:pt idx="0" formatCode="General">
                  <c:v>0</c:v>
                </c:pt>
                <c:pt idx="1">
                  <c:v>809653.15896856354</c:v>
                </c:pt>
              </c:numCache>
            </c:numRef>
          </c:val>
          <c:extLst>
            <c:ext xmlns:c16="http://schemas.microsoft.com/office/drawing/2014/chart" uri="{C3380CC4-5D6E-409C-BE32-E72D297353CC}">
              <c16:uniqueId val="{0000000D-817D-421C-8513-62122993D33B}"/>
            </c:ext>
          </c:extLst>
        </c:ser>
        <c:ser>
          <c:idx val="14"/>
          <c:order val="14"/>
          <c:tx>
            <c:strRef>
              <c:f>'6-2. Economic evaluation'!$C$84</c:f>
              <c:strCache>
                <c:ptCount val="1"/>
                <c:pt idx="0">
                  <c:v>Research and development costs</c:v>
                </c:pt>
              </c:strCache>
            </c:strRef>
          </c:tx>
          <c:spPr>
            <a:solidFill>
              <a:srgbClr val="E8D9FB"/>
            </a:solidFill>
            <a:ln>
              <a:noFill/>
            </a:ln>
            <a:effectLst/>
          </c:spPr>
          <c:invertIfNegative val="0"/>
          <c:cat>
            <c:strRef>
              <c:f>'6-2. Economic evaluation'!$CV$65:$CV$66</c:f>
              <c:strCache>
                <c:ptCount val="2"/>
                <c:pt idx="0">
                  <c:v>Total revenue</c:v>
                </c:pt>
                <c:pt idx="1">
                  <c:v>Gross product cost</c:v>
                </c:pt>
              </c:strCache>
            </c:strRef>
          </c:cat>
          <c:val>
            <c:numRef>
              <c:f>'6-2. Economic evaluation'!$D$84:$E$84</c:f>
              <c:numCache>
                <c:formatCode>_("$"* #,##0_);_("$"* \(#,##0\);_("$"* "-"_);_(@_)</c:formatCode>
                <c:ptCount val="2"/>
                <c:pt idx="0" formatCode="General">
                  <c:v>0</c:v>
                </c:pt>
                <c:pt idx="1">
                  <c:v>368024.16316752887</c:v>
                </c:pt>
              </c:numCache>
            </c:numRef>
          </c:val>
          <c:extLst>
            <c:ext xmlns:c16="http://schemas.microsoft.com/office/drawing/2014/chart" uri="{C3380CC4-5D6E-409C-BE32-E72D297353CC}">
              <c16:uniqueId val="{0000000E-817D-421C-8513-62122993D33B}"/>
            </c:ext>
          </c:extLst>
        </c:ser>
        <c:dLbls>
          <c:showLegendKey val="0"/>
          <c:showVal val="0"/>
          <c:showCatName val="0"/>
          <c:showSerName val="0"/>
          <c:showPercent val="0"/>
          <c:showBubbleSize val="0"/>
        </c:dLbls>
        <c:gapWidth val="150"/>
        <c:overlap val="100"/>
        <c:axId val="817125295"/>
        <c:axId val="817124335"/>
      </c:barChart>
      <c:catAx>
        <c:axId val="8171252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crossAx val="817124335"/>
        <c:crosses val="autoZero"/>
        <c:auto val="1"/>
        <c:lblAlgn val="ctr"/>
        <c:lblOffset val="100"/>
        <c:noMultiLvlLbl val="0"/>
      </c:catAx>
      <c:valAx>
        <c:axId val="817124335"/>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crossAx val="817125295"/>
        <c:crosses val="autoZero"/>
        <c:crossBetween val="between"/>
      </c:valAx>
      <c:spPr>
        <a:noFill/>
        <a:ln>
          <a:noFill/>
        </a:ln>
        <a:effectLst/>
      </c:spPr>
    </c:plotArea>
    <c:legend>
      <c:legendPos val="r"/>
      <c:layout>
        <c:manualLayout>
          <c:xMode val="edge"/>
          <c:yMode val="edge"/>
          <c:x val="0.80215786530082223"/>
          <c:y val="0.14553703656963474"/>
          <c:w val="0.18373122933947564"/>
          <c:h val="0.83112372036293369"/>
        </c:manualLayout>
      </c:layout>
      <c:overlay val="0"/>
      <c:spPr>
        <a:noFill/>
        <a:ln>
          <a:noFill/>
        </a:ln>
        <a:effectLst/>
      </c:spPr>
      <c:txPr>
        <a:bodyPr rot="0" spcFirstLastPara="1" vertOverflow="ellipsis" vert="horz" wrap="square" anchor="ctr" anchorCtr="1"/>
        <a:lstStyle/>
        <a:p>
          <a:pPr algn="l" rtl="0">
            <a:defRPr lang="en-US" altLang="ko-K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sz="1600" b="0" i="0" u="none" strike="noStrike" kern="1200" spc="0" baseline="0">
                <a:solidFill>
                  <a:schemeClr val="tx1"/>
                </a:solidFill>
                <a:latin typeface="+mn-lt"/>
                <a:ea typeface="+mn-ea"/>
                <a:cs typeface="+mn-cs"/>
              </a:defRPr>
            </a:pPr>
            <a:r>
              <a:rPr lang="en-US" altLang="ko-KR" sz="1600" b="1" i="0" u="none" strike="noStrike" kern="1200" spc="0" baseline="0">
                <a:solidFill>
                  <a:schemeClr val="tx1"/>
                </a:solidFill>
                <a:latin typeface="Arial" panose="020B0604020202020204" pitchFamily="34" charset="0"/>
                <a:ea typeface="맑은 고딕" panose="020B0503020000020004" pitchFamily="50" charset="-127"/>
                <a:cs typeface="Arial" panose="020B0604020202020204" pitchFamily="34" charset="0"/>
              </a:rPr>
              <a:t>Cumulative cash flow (10 years)</a:t>
            </a:r>
            <a:endParaRPr lang="ko-KR" altLang="en-US" sz="1600" b="1" i="0" u="none" strike="noStrike" kern="1200" spc="0" baseline="0">
              <a:solidFill>
                <a:schemeClr val="tx1"/>
              </a:solidFill>
              <a:latin typeface="Arial" panose="020B0604020202020204" pitchFamily="34" charset="0"/>
              <a:ea typeface="맑은 고딕" panose="020B0503020000020004" pitchFamily="50" charset="-127"/>
              <a:cs typeface="Arial" panose="020B0604020202020204" pitchFamily="34" charset="0"/>
            </a:endParaRPr>
          </a:p>
        </cx:rich>
      </cx:tx>
    </cx:title>
    <cx:plotArea>
      <cx:plotAreaRegion>
        <cx:series layoutId="waterfall" uniqueId="{DADC3D1A-634D-4A86-A3ED-298CE9749D04}">
          <cx:tx>
            <cx:txData>
              <cx:f>_xlchart.v1.0</cx:f>
              <cx:v>cumulative cash flow</cx:v>
            </cx:txData>
          </cx:tx>
          <cx:dataLabels pos="outEnd">
            <cx:txPr>
              <a:bodyPr spcFirstLastPara="1" vertOverflow="ellipsis" horzOverflow="overflow" wrap="square" lIns="0" tIns="0" rIns="0" bIns="0" anchor="ctr" anchorCtr="1"/>
              <a:lstStyle/>
              <a:p>
                <a:pPr algn="ctr" rtl="0">
                  <a:defRPr sz="900"/>
                </a:pPr>
                <a:endParaRPr lang="ko-KR" altLang="en-US" sz="900" b="0" i="0" u="none" strike="noStrike" baseline="0">
                  <a:solidFill>
                    <a:sysClr val="windowText" lastClr="000000">
                      <a:lumMod val="65000"/>
                      <a:lumOff val="35000"/>
                    </a:sysClr>
                  </a:solidFill>
                  <a:latin typeface="Calibri" panose="020F0502020204030204"/>
                  <a:ea typeface="맑은 고딕" panose="020B0503020000020004" pitchFamily="50" charset="-127"/>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100"/>
            </a:pPr>
            <a:endParaRPr lang="ko-KR" altLang="en-US" sz="1100" b="0" i="0" u="none" strike="noStrike" baseline="0">
              <a:solidFill>
                <a:sysClr val="windowText" lastClr="000000">
                  <a:lumMod val="65000"/>
                  <a:lumOff val="35000"/>
                </a:sysClr>
              </a:solidFill>
              <a:latin typeface="Calibri" panose="020F0502020204030204"/>
              <a:ea typeface="맑은 고딕" panose="020B0503020000020004" pitchFamily="50" charset="-127"/>
            </a:endParaRPr>
          </a:p>
        </cx:txPr>
      </cx:axis>
      <cx:axis id="1">
        <cx:valScaling/>
        <cx:majorGridlines/>
        <cx:tickLabels/>
        <cx:txPr>
          <a:bodyPr spcFirstLastPara="1" vertOverflow="ellipsis" horzOverflow="overflow" wrap="square" lIns="0" tIns="0" rIns="0" bIns="0" anchor="ctr" anchorCtr="1"/>
          <a:lstStyle/>
          <a:p>
            <a:pPr algn="ctr" rtl="0">
              <a:defRPr sz="1200"/>
            </a:pPr>
            <a:endParaRPr lang="ko-KR" altLang="en-US" sz="1200" b="0" i="0" u="none" strike="noStrike" baseline="0">
              <a:solidFill>
                <a:sysClr val="windowText" lastClr="000000">
                  <a:lumMod val="65000"/>
                  <a:lumOff val="35000"/>
                </a:sysClr>
              </a:solidFill>
              <a:latin typeface="Calibri" panose="020F0502020204030204"/>
              <a:ea typeface="맑은 고딕" panose="020B0503020000020004" pitchFamily="50" charset="-127"/>
            </a:endParaRPr>
          </a:p>
        </cx:txPr>
      </cx:axis>
    </cx:plotArea>
  </cx:chart>
  <cx:spPr>
    <a:ln w="15875">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sz="1400" b="0" i="0" u="none" strike="noStrike" kern="1200" spc="0" baseline="0">
                <a:solidFill>
                  <a:sysClr val="windowText" lastClr="000000">
                    <a:lumMod val="65000"/>
                    <a:lumOff val="35000"/>
                  </a:sysClr>
                </a:solidFill>
                <a:latin typeface="+mn-lt"/>
                <a:ea typeface="+mn-ea"/>
                <a:cs typeface="+mn-cs"/>
              </a:defRPr>
            </a:pPr>
            <a:r>
              <a:rPr lang="en-US" altLang="ko-KR" sz="2000" b="1" i="0" u="none" strike="noStrike" kern="1200" spc="0" baseline="0">
                <a:solidFill>
                  <a:schemeClr val="tx1"/>
                </a:solidFill>
                <a:latin typeface="Arial" panose="020B0604020202020204" pitchFamily="34" charset="0"/>
                <a:ea typeface="+mn-ea"/>
                <a:cs typeface="Arial" panose="020B0604020202020204" pitchFamily="34" charset="0"/>
              </a:rPr>
              <a:t>Cumulative cash flow</a:t>
            </a:r>
            <a:endParaRPr lang="ko-KR" altLang="en-US" sz="2000" b="1" i="0" u="none" strike="noStrike" kern="1200" spc="0" baseline="0">
              <a:solidFill>
                <a:schemeClr val="tx1"/>
              </a:solidFill>
              <a:latin typeface="Arial" panose="020B0604020202020204" pitchFamily="34" charset="0"/>
              <a:ea typeface="+mn-ea"/>
              <a:cs typeface="Arial" panose="020B0604020202020204" pitchFamily="34" charset="0"/>
            </a:endParaRPr>
          </a:p>
        </cx:rich>
      </cx:tx>
    </cx:title>
    <cx:plotArea>
      <cx:plotAreaRegion>
        <cx:series layoutId="waterfall" uniqueId="{DADC3D1A-634D-4A86-A3ED-298CE9749D04}">
          <cx:tx>
            <cx:txData>
              <cx:f>_xlchart.v1.3</cx:f>
              <cx:v>cumulative cash flow</cx:v>
            </cx:txData>
          </cx:tx>
          <cx:dataLabels pos="outEnd">
            <cx:txPr>
              <a:bodyPr spcFirstLastPara="1" vertOverflow="ellipsis" horzOverflow="overflow" wrap="square" lIns="0" tIns="0" rIns="0" bIns="0" anchor="ctr" anchorCtr="1"/>
              <a:lstStyle/>
              <a:p>
                <a:pPr algn="ctr" rtl="0">
                  <a:defRPr sz="1400"/>
                </a:pPr>
                <a:endParaRPr lang="ko-KR" altLang="en-US" sz="1400" b="0" i="0" u="none" strike="noStrike" baseline="0">
                  <a:solidFill>
                    <a:sysClr val="windowText" lastClr="000000">
                      <a:lumMod val="65000"/>
                      <a:lumOff val="35000"/>
                    </a:sysClr>
                  </a:solidFill>
                  <a:latin typeface="Calibri" panose="020F0502020204030204"/>
                  <a:ea typeface="맑은 고딕" panose="020B0503020000020004" pitchFamily="50" charset="-127"/>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1100"/>
            </a:pPr>
            <a:endParaRPr lang="ko-KR" altLang="en-US" sz="1100" b="0" i="0" u="none" strike="noStrike" baseline="0">
              <a:solidFill>
                <a:sysClr val="windowText" lastClr="000000">
                  <a:lumMod val="65000"/>
                  <a:lumOff val="35000"/>
                </a:sysClr>
              </a:solidFill>
              <a:latin typeface="Calibri" panose="020F0502020204030204"/>
              <a:ea typeface="맑은 고딕" panose="020B0503020000020004" pitchFamily="50" charset="-127"/>
            </a:endParaRPr>
          </a:p>
        </cx:txPr>
      </cx:axis>
      <cx:axis id="1">
        <cx:valScaling/>
        <cx:majorGridlines/>
        <cx:tickLabels/>
        <cx:txPr>
          <a:bodyPr spcFirstLastPara="1" vertOverflow="ellipsis" horzOverflow="overflow" wrap="square" lIns="0" tIns="0" rIns="0" bIns="0" anchor="ctr" anchorCtr="1"/>
          <a:lstStyle/>
          <a:p>
            <a:pPr algn="ctr" rtl="0">
              <a:defRPr sz="1200"/>
            </a:pPr>
            <a:endParaRPr lang="ko-KR" altLang="en-US" sz="1200" b="0" i="0" u="none" strike="noStrike" baseline="0">
              <a:solidFill>
                <a:sysClr val="windowText" lastClr="000000">
                  <a:lumMod val="65000"/>
                  <a:lumOff val="35000"/>
                </a:sysClr>
              </a:solidFill>
              <a:latin typeface="Calibri" panose="020F0502020204030204"/>
              <a:ea typeface="맑은 고딕" panose="020B0503020000020004" pitchFamily="50" charset="-127"/>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4. Material &amp; energy balance'!A1"/><Relationship Id="rId3" Type="http://schemas.openxmlformats.org/officeDocument/2006/relationships/hyperlink" Target="#'8. Future work'!A1"/><Relationship Id="rId7" Type="http://schemas.openxmlformats.org/officeDocument/2006/relationships/hyperlink" Target="#'5. Equipment price'!A1"/><Relationship Id="rId2" Type="http://schemas.openxmlformats.org/officeDocument/2006/relationships/hyperlink" Target="#'2. Process flow'!A1"/><Relationship Id="rId1" Type="http://schemas.openxmlformats.org/officeDocument/2006/relationships/hyperlink" Target="#'1. Description'!A1"/><Relationship Id="rId6" Type="http://schemas.openxmlformats.org/officeDocument/2006/relationships/hyperlink" Target="#'7. Environmental evaluation'!A1"/><Relationship Id="rId5" Type="http://schemas.openxmlformats.org/officeDocument/2006/relationships/hyperlink" Target="#'6-1. Economic evaluation'!A1"/><Relationship Id="rId4" Type="http://schemas.openxmlformats.org/officeDocument/2006/relationships/hyperlink" Target="#'6-2. Economic evaluation'!A1"/><Relationship Id="rId9" Type="http://schemas.openxmlformats.org/officeDocument/2006/relationships/hyperlink" Target="#'3. Inputs &amp; results'!A1"/></Relationships>
</file>

<file path=xl/drawings/_rels/drawing10.xml.rels><?xml version="1.0" encoding="UTF-8" standalone="yes"?>
<Relationships xmlns="http://schemas.openxmlformats.org/package/2006/relationships"><Relationship Id="rId2" Type="http://schemas.openxmlformats.org/officeDocument/2006/relationships/hyperlink" Target="#'8. Future work'!A1"/><Relationship Id="rId1" Type="http://schemas.openxmlformats.org/officeDocument/2006/relationships/hyperlink" Target="#'3. Inputs &amp; results'!A1"/></Relationships>
</file>

<file path=xl/drawings/_rels/drawing2.xml.rels><?xml version="1.0" encoding="UTF-8" standalone="yes"?>
<Relationships xmlns="http://schemas.openxmlformats.org/package/2006/relationships"><Relationship Id="rId3" Type="http://schemas.openxmlformats.org/officeDocument/2006/relationships/hyperlink" Target="#'3. Inputs &amp; results'!A1"/><Relationship Id="rId2" Type="http://schemas.openxmlformats.org/officeDocument/2006/relationships/hyperlink" Target="#'2. Process flow'!A1"/><Relationship Id="rId1" Type="http://schemas.openxmlformats.org/officeDocument/2006/relationships/hyperlink" Target="#'0. Introduction'!A1"/></Relationships>
</file>

<file path=xl/drawings/_rels/drawing3.xml.rels><?xml version="1.0" encoding="UTF-8" standalone="yes"?>
<Relationships xmlns="http://schemas.openxmlformats.org/package/2006/relationships"><Relationship Id="rId2" Type="http://schemas.openxmlformats.org/officeDocument/2006/relationships/hyperlink" Target="#'3. Inputs &amp; results'!A1"/><Relationship Id="rId1" Type="http://schemas.openxmlformats.org/officeDocument/2006/relationships/hyperlink" Target="#'1. Description'!A1"/></Relationships>
</file>

<file path=xl/drawings/_rels/drawing4.xml.rels><?xml version="1.0" encoding="UTF-8" standalone="yes"?>
<Relationships xmlns="http://schemas.openxmlformats.org/package/2006/relationships"><Relationship Id="rId8" Type="http://schemas.openxmlformats.org/officeDocument/2006/relationships/hyperlink" Target="#'6-1. Economic evaluation'!A1"/><Relationship Id="rId3" Type="http://schemas.openxmlformats.org/officeDocument/2006/relationships/chart" Target="../charts/chart3.xml"/><Relationship Id="rId7" Type="http://schemas.openxmlformats.org/officeDocument/2006/relationships/hyperlink" Target="#'5. Equipment pric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4. Material &amp; energy balance'!A1"/><Relationship Id="rId5" Type="http://schemas.microsoft.com/office/2014/relationships/chartEx" Target="../charts/chartEx1.xml"/><Relationship Id="rId10" Type="http://schemas.openxmlformats.org/officeDocument/2006/relationships/hyperlink" Target="#'6-2. Economic evaluation'!A1"/><Relationship Id="rId4" Type="http://schemas.openxmlformats.org/officeDocument/2006/relationships/chart" Target="../charts/chart4.xml"/><Relationship Id="rId9" Type="http://schemas.openxmlformats.org/officeDocument/2006/relationships/hyperlink" Target="#'7. Environmental evaluation'!A1"/></Relationships>
</file>

<file path=xl/drawings/_rels/drawing6.xml.rels><?xml version="1.0" encoding="UTF-8" standalone="yes"?>
<Relationships xmlns="http://schemas.openxmlformats.org/package/2006/relationships"><Relationship Id="rId2" Type="http://schemas.openxmlformats.org/officeDocument/2006/relationships/hyperlink" Target="#'5. Equipment price'!A1"/><Relationship Id="rId1" Type="http://schemas.openxmlformats.org/officeDocument/2006/relationships/hyperlink" Target="#'3. Inputs &amp; results'!A1"/></Relationships>
</file>

<file path=xl/drawings/_rels/drawing7.xml.rels><?xml version="1.0" encoding="UTF-8" standalone="yes"?>
<Relationships xmlns="http://schemas.openxmlformats.org/package/2006/relationships"><Relationship Id="rId2" Type="http://schemas.openxmlformats.org/officeDocument/2006/relationships/hyperlink" Target="#'6-1. Economic evaluation'!A1"/><Relationship Id="rId1" Type="http://schemas.openxmlformats.org/officeDocument/2006/relationships/hyperlink" Target="#'3. Inputs &amp; results'!A1"/></Relationships>
</file>

<file path=xl/drawings/_rels/drawing8.xml.rels><?xml version="1.0" encoding="UTF-8" standalone="yes"?>
<Relationships xmlns="http://schemas.openxmlformats.org/package/2006/relationships"><Relationship Id="rId2" Type="http://schemas.openxmlformats.org/officeDocument/2006/relationships/hyperlink" Target="#'6-2. Economic evaluation'!A1"/><Relationship Id="rId1" Type="http://schemas.openxmlformats.org/officeDocument/2006/relationships/hyperlink" Target="#'3. Inputs &amp; results'!A1"/></Relationships>
</file>

<file path=xl/drawings/_rels/drawing9.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7. Environmental evaluation'!A1"/><Relationship Id="rId5" Type="http://schemas.openxmlformats.org/officeDocument/2006/relationships/hyperlink" Target="#'3. Inputs &amp; results'!A1"/><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6</xdr:col>
      <xdr:colOff>0</xdr:colOff>
      <xdr:row>4</xdr:row>
      <xdr:rowOff>0</xdr:rowOff>
    </xdr:from>
    <xdr:to>
      <xdr:col>7</xdr:col>
      <xdr:colOff>685799</xdr:colOff>
      <xdr:row>7</xdr:row>
      <xdr:rowOff>0</xdr:rowOff>
    </xdr:to>
    <xdr:sp macro="" textlink="">
      <xdr:nvSpPr>
        <xdr:cNvPr id="2" name="사각형: 빗면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10134600" y="904875"/>
          <a:ext cx="1371599"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Descrpition</a:t>
          </a:r>
          <a:endParaRPr lang="ko-KR" altLang="en-US" sz="1000">
            <a:latin typeface="Arial" panose="020B0604020202020204" pitchFamily="34" charset="0"/>
            <a:cs typeface="Arial" panose="020B0604020202020204" pitchFamily="34" charset="0"/>
          </a:endParaRPr>
        </a:p>
      </xdr:txBody>
    </xdr:sp>
    <xdr:clientData/>
  </xdr:twoCellAnchor>
  <xdr:twoCellAnchor>
    <xdr:from>
      <xdr:col>9</xdr:col>
      <xdr:colOff>0</xdr:colOff>
      <xdr:row>3</xdr:row>
      <xdr:rowOff>180974</xdr:rowOff>
    </xdr:from>
    <xdr:to>
      <xdr:col>10</xdr:col>
      <xdr:colOff>675086</xdr:colOff>
      <xdr:row>6</xdr:row>
      <xdr:rowOff>219074</xdr:rowOff>
    </xdr:to>
    <xdr:sp macro="" textlink="">
      <xdr:nvSpPr>
        <xdr:cNvPr id="3" name="사각형: 빗면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12192000" y="904874"/>
          <a:ext cx="1360886"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Process flow</a:t>
          </a:r>
          <a:endParaRPr lang="ko-KR" altLang="en-US" sz="1000">
            <a:latin typeface="Arial" panose="020B0604020202020204" pitchFamily="34" charset="0"/>
            <a:cs typeface="Arial" panose="020B0604020202020204" pitchFamily="34" charset="0"/>
          </a:endParaRPr>
        </a:p>
      </xdr:txBody>
    </xdr:sp>
    <xdr:clientData/>
  </xdr:twoCellAnchor>
  <xdr:twoCellAnchor>
    <xdr:from>
      <xdr:col>12</xdr:col>
      <xdr:colOff>0</xdr:colOff>
      <xdr:row>13</xdr:row>
      <xdr:rowOff>170314</xdr:rowOff>
    </xdr:from>
    <xdr:to>
      <xdr:col>14</xdr:col>
      <xdr:colOff>0</xdr:colOff>
      <xdr:row>17</xdr:row>
      <xdr:rowOff>0</xdr:rowOff>
    </xdr:to>
    <xdr:sp macro="" textlink="">
      <xdr:nvSpPr>
        <xdr:cNvPr id="4" name="사각형: 빗면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14249400" y="2713489"/>
          <a:ext cx="1371600" cy="572636"/>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Future</a:t>
          </a:r>
          <a:r>
            <a:rPr lang="en-US" altLang="ko-KR" sz="1000" baseline="0">
              <a:latin typeface="Arial" panose="020B0604020202020204" pitchFamily="34" charset="0"/>
              <a:cs typeface="Arial" panose="020B0604020202020204" pitchFamily="34" charset="0"/>
            </a:rPr>
            <a:t> work</a:t>
          </a:r>
          <a:endParaRPr lang="ko-KR" altLang="en-US" sz="1000">
            <a:latin typeface="Arial" panose="020B0604020202020204" pitchFamily="34" charset="0"/>
            <a:cs typeface="Arial" panose="020B0604020202020204" pitchFamily="34" charset="0"/>
          </a:endParaRPr>
        </a:p>
      </xdr:txBody>
    </xdr:sp>
    <xdr:clientData/>
  </xdr:twoCellAnchor>
  <xdr:twoCellAnchor>
    <xdr:from>
      <xdr:col>6</xdr:col>
      <xdr:colOff>0</xdr:colOff>
      <xdr:row>14</xdr:row>
      <xdr:rowOff>0</xdr:rowOff>
    </xdr:from>
    <xdr:to>
      <xdr:col>8</xdr:col>
      <xdr:colOff>0</xdr:colOff>
      <xdr:row>16</xdr:row>
      <xdr:rowOff>152400</xdr:rowOff>
    </xdr:to>
    <xdr:sp macro="" textlink="">
      <xdr:nvSpPr>
        <xdr:cNvPr id="5" name="사각형: 빗면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10134600" y="2714625"/>
          <a:ext cx="1371600" cy="552450"/>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solidFill>
                <a:schemeClr val="lt1"/>
              </a:solidFill>
              <a:effectLst/>
              <a:latin typeface="Arial" panose="020B0604020202020204" pitchFamily="34" charset="0"/>
              <a:ea typeface="+mn-ea"/>
              <a:cs typeface="Arial" panose="020B0604020202020204" pitchFamily="34" charset="0"/>
            </a:rPr>
            <a:t>Economic</a:t>
          </a:r>
          <a:r>
            <a:rPr lang="en-US" altLang="ko-KR" sz="1000" baseline="0">
              <a:solidFill>
                <a:schemeClr val="lt1"/>
              </a:solidFill>
              <a:effectLst/>
              <a:latin typeface="Arial" panose="020B0604020202020204" pitchFamily="34" charset="0"/>
              <a:ea typeface="+mn-ea"/>
              <a:cs typeface="Arial" panose="020B0604020202020204" pitchFamily="34" charset="0"/>
            </a:rPr>
            <a:t> evaluation -2</a:t>
          </a:r>
          <a:endParaRPr lang="ko-KR" altLang="ko-KR" sz="1000">
            <a:effectLst/>
            <a:latin typeface="Arial" panose="020B0604020202020204" pitchFamily="34" charset="0"/>
            <a:cs typeface="Arial" panose="020B0604020202020204" pitchFamily="34" charset="0"/>
          </a:endParaRPr>
        </a:p>
      </xdr:txBody>
    </xdr:sp>
    <xdr:clientData/>
  </xdr:twoCellAnchor>
  <xdr:twoCellAnchor>
    <xdr:from>
      <xdr:col>12</xdr:col>
      <xdr:colOff>0</xdr:colOff>
      <xdr:row>8</xdr:row>
      <xdr:rowOff>170882</xdr:rowOff>
    </xdr:from>
    <xdr:to>
      <xdr:col>14</xdr:col>
      <xdr:colOff>0</xdr:colOff>
      <xdr:row>11</xdr:row>
      <xdr:rowOff>170881</xdr:rowOff>
    </xdr:to>
    <xdr:sp macro="" textlink="">
      <xdr:nvSpPr>
        <xdr:cNvPr id="6" name="사각형: 빗면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14249400" y="1809182"/>
          <a:ext cx="1371600" cy="561974"/>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Economic</a:t>
          </a:r>
          <a:r>
            <a:rPr lang="en-US" altLang="ko-KR" sz="1000" baseline="0">
              <a:latin typeface="Arial" panose="020B0604020202020204" pitchFamily="34" charset="0"/>
              <a:cs typeface="Arial" panose="020B0604020202020204" pitchFamily="34" charset="0"/>
            </a:rPr>
            <a:t> evaluation -1</a:t>
          </a:r>
          <a:endParaRPr lang="ko-KR" altLang="en-US" sz="1000">
            <a:latin typeface="Arial" panose="020B0604020202020204" pitchFamily="34" charset="0"/>
            <a:cs typeface="Arial" panose="020B0604020202020204" pitchFamily="34" charset="0"/>
          </a:endParaRPr>
        </a:p>
      </xdr:txBody>
    </xdr:sp>
    <xdr:clientData/>
  </xdr:twoCellAnchor>
  <xdr:twoCellAnchor>
    <xdr:from>
      <xdr:col>9</xdr:col>
      <xdr:colOff>0</xdr:colOff>
      <xdr:row>14</xdr:row>
      <xdr:rowOff>9525</xdr:rowOff>
    </xdr:from>
    <xdr:to>
      <xdr:col>11</xdr:col>
      <xdr:colOff>0</xdr:colOff>
      <xdr:row>17</xdr:row>
      <xdr:rowOff>0</xdr:rowOff>
    </xdr:to>
    <xdr:sp macro="" textlink="">
      <xdr:nvSpPr>
        <xdr:cNvPr id="7" name="사각형: 빗면 6">
          <a:hlinkClick xmlns:r="http://schemas.openxmlformats.org/officeDocument/2006/relationships" r:id="rId6"/>
          <a:extLst>
            <a:ext uri="{FF2B5EF4-FFF2-40B4-BE49-F238E27FC236}">
              <a16:creationId xmlns:a16="http://schemas.microsoft.com/office/drawing/2014/main" id="{00000000-0008-0000-0000-000007000000}"/>
            </a:ext>
          </a:extLst>
        </xdr:cNvPr>
        <xdr:cNvSpPr/>
      </xdr:nvSpPr>
      <xdr:spPr>
        <a:xfrm>
          <a:off x="12192000" y="2724150"/>
          <a:ext cx="1371600"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Environmental evaluation</a:t>
          </a:r>
          <a:endParaRPr lang="ko-KR" altLang="en-US" sz="1000">
            <a:latin typeface="Arial" panose="020B0604020202020204" pitchFamily="34" charset="0"/>
            <a:cs typeface="Arial" panose="020B0604020202020204" pitchFamily="34" charset="0"/>
          </a:endParaRPr>
        </a:p>
      </xdr:txBody>
    </xdr:sp>
    <xdr:clientData/>
  </xdr:twoCellAnchor>
  <xdr:twoCellAnchor>
    <xdr:from>
      <xdr:col>9</xdr:col>
      <xdr:colOff>0</xdr:colOff>
      <xdr:row>9</xdr:row>
      <xdr:rowOff>4762</xdr:rowOff>
    </xdr:from>
    <xdr:to>
      <xdr:col>11</xdr:col>
      <xdr:colOff>0</xdr:colOff>
      <xdr:row>12</xdr:row>
      <xdr:rowOff>4762</xdr:rowOff>
    </xdr:to>
    <xdr:sp macro="" textlink="">
      <xdr:nvSpPr>
        <xdr:cNvPr id="8" name="사각형: 빗면 7">
          <a:hlinkClick xmlns:r="http://schemas.openxmlformats.org/officeDocument/2006/relationships" r:id="rId7"/>
          <a:extLst>
            <a:ext uri="{FF2B5EF4-FFF2-40B4-BE49-F238E27FC236}">
              <a16:creationId xmlns:a16="http://schemas.microsoft.com/office/drawing/2014/main" id="{00000000-0008-0000-0000-000008000000}"/>
            </a:ext>
          </a:extLst>
        </xdr:cNvPr>
        <xdr:cNvSpPr/>
      </xdr:nvSpPr>
      <xdr:spPr>
        <a:xfrm>
          <a:off x="12192000" y="1814512"/>
          <a:ext cx="1371600"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Equipment</a:t>
          </a:r>
          <a:r>
            <a:rPr lang="en-US" altLang="ko-KR" sz="1000" baseline="0">
              <a:latin typeface="Arial" panose="020B0604020202020204" pitchFamily="34" charset="0"/>
              <a:cs typeface="Arial" panose="020B0604020202020204" pitchFamily="34" charset="0"/>
            </a:rPr>
            <a:t> price</a:t>
          </a:r>
          <a:endParaRPr lang="ko-KR" altLang="en-US" sz="1000">
            <a:latin typeface="Arial" panose="020B0604020202020204" pitchFamily="34" charset="0"/>
            <a:cs typeface="Arial" panose="020B0604020202020204" pitchFamily="34" charset="0"/>
          </a:endParaRPr>
        </a:p>
      </xdr:txBody>
    </xdr:sp>
    <xdr:clientData/>
  </xdr:twoCellAnchor>
  <xdr:twoCellAnchor>
    <xdr:from>
      <xdr:col>6</xdr:col>
      <xdr:colOff>0</xdr:colOff>
      <xdr:row>9</xdr:row>
      <xdr:rowOff>0</xdr:rowOff>
    </xdr:from>
    <xdr:to>
      <xdr:col>8</xdr:col>
      <xdr:colOff>19050</xdr:colOff>
      <xdr:row>12</xdr:row>
      <xdr:rowOff>0</xdr:rowOff>
    </xdr:to>
    <xdr:sp macro="" textlink="">
      <xdr:nvSpPr>
        <xdr:cNvPr id="9" name="사각형: 빗면 8">
          <a:hlinkClick xmlns:r="http://schemas.openxmlformats.org/officeDocument/2006/relationships" r:id="rId8"/>
          <a:extLst>
            <a:ext uri="{FF2B5EF4-FFF2-40B4-BE49-F238E27FC236}">
              <a16:creationId xmlns:a16="http://schemas.microsoft.com/office/drawing/2014/main" id="{00000000-0008-0000-0000-000009000000}"/>
            </a:ext>
          </a:extLst>
        </xdr:cNvPr>
        <xdr:cNvSpPr/>
      </xdr:nvSpPr>
      <xdr:spPr>
        <a:xfrm>
          <a:off x="10134600" y="1809750"/>
          <a:ext cx="1390650"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Material &amp; energy</a:t>
          </a:r>
          <a:r>
            <a:rPr lang="en-US" altLang="ko-KR" sz="1000" baseline="0">
              <a:latin typeface="Arial" panose="020B0604020202020204" pitchFamily="34" charset="0"/>
              <a:cs typeface="Arial" panose="020B0604020202020204" pitchFamily="34" charset="0"/>
            </a:rPr>
            <a:t> balance</a:t>
          </a:r>
          <a:endParaRPr lang="ko-KR" altLang="en-US" sz="1000">
            <a:latin typeface="Arial" panose="020B0604020202020204" pitchFamily="34" charset="0"/>
            <a:cs typeface="Arial" panose="020B0604020202020204" pitchFamily="34" charset="0"/>
          </a:endParaRPr>
        </a:p>
      </xdr:txBody>
    </xdr:sp>
    <xdr:clientData/>
  </xdr:twoCellAnchor>
  <xdr:twoCellAnchor>
    <xdr:from>
      <xdr:col>12</xdr:col>
      <xdr:colOff>0</xdr:colOff>
      <xdr:row>3</xdr:row>
      <xdr:rowOff>174170</xdr:rowOff>
    </xdr:from>
    <xdr:to>
      <xdr:col>14</xdr:col>
      <xdr:colOff>0</xdr:colOff>
      <xdr:row>6</xdr:row>
      <xdr:rowOff>219074</xdr:rowOff>
    </xdr:to>
    <xdr:sp macro="" textlink="">
      <xdr:nvSpPr>
        <xdr:cNvPr id="10" name="사각형: 빗면 9">
          <a:hlinkClick xmlns:r="http://schemas.openxmlformats.org/officeDocument/2006/relationships" r:id="rId9"/>
          <a:extLst>
            <a:ext uri="{FF2B5EF4-FFF2-40B4-BE49-F238E27FC236}">
              <a16:creationId xmlns:a16="http://schemas.microsoft.com/office/drawing/2014/main" id="{00000000-0008-0000-0000-00000A000000}"/>
            </a:ext>
          </a:extLst>
        </xdr:cNvPr>
        <xdr:cNvSpPr/>
      </xdr:nvSpPr>
      <xdr:spPr>
        <a:xfrm>
          <a:off x="14249400" y="898070"/>
          <a:ext cx="1371600" cy="568779"/>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Input &amp; results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190500</xdr:colOff>
      <xdr:row>8</xdr:row>
      <xdr:rowOff>123825</xdr:rowOff>
    </xdr:from>
    <xdr:to>
      <xdr:col>5</xdr:col>
      <xdr:colOff>1095375</xdr:colOff>
      <xdr:row>11</xdr:row>
      <xdr:rowOff>85725</xdr:rowOff>
    </xdr:to>
    <xdr:sp macro="" textlink="">
      <xdr:nvSpPr>
        <xdr:cNvPr id="6" name="오른쪽 화살표 1">
          <a:extLst>
            <a:ext uri="{FF2B5EF4-FFF2-40B4-BE49-F238E27FC236}">
              <a16:creationId xmlns:a16="http://schemas.microsoft.com/office/drawing/2014/main" id="{00000000-0008-0000-0800-000006000000}"/>
            </a:ext>
          </a:extLst>
        </xdr:cNvPr>
        <xdr:cNvSpPr/>
      </xdr:nvSpPr>
      <xdr:spPr>
        <a:xfrm>
          <a:off x="7705725" y="1714500"/>
          <a:ext cx="904875" cy="504825"/>
        </a:xfrm>
        <a:prstGeom prst="rightArrow">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6</xdr:col>
      <xdr:colOff>0</xdr:colOff>
      <xdr:row>1</xdr:row>
      <xdr:rowOff>1</xdr:rowOff>
    </xdr:from>
    <xdr:to>
      <xdr:col>6</xdr:col>
      <xdr:colOff>1290917</xdr:colOff>
      <xdr:row>2</xdr:row>
      <xdr:rowOff>1</xdr:rowOff>
    </xdr:to>
    <xdr:sp macro="" textlink="">
      <xdr:nvSpPr>
        <xdr:cNvPr id="2" name="사각형: 빗면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758518" y="179295"/>
          <a:ext cx="1290917" cy="385482"/>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Input &amp; results</a:t>
          </a:r>
        </a:p>
      </xdr:txBody>
    </xdr:sp>
    <xdr:clientData/>
  </xdr:twoCellAnchor>
  <xdr:twoCellAnchor>
    <xdr:from>
      <xdr:col>6</xdr:col>
      <xdr:colOff>2169459</xdr:colOff>
      <xdr:row>1</xdr:row>
      <xdr:rowOff>1</xdr:rowOff>
    </xdr:from>
    <xdr:to>
      <xdr:col>7</xdr:col>
      <xdr:colOff>1156447</xdr:colOff>
      <xdr:row>2</xdr:row>
      <xdr:rowOff>1</xdr:rowOff>
    </xdr:to>
    <xdr:sp macro="" textlink="">
      <xdr:nvSpPr>
        <xdr:cNvPr id="3" name="사각형: 빗면 2">
          <a:hlinkClick xmlns:r="http://schemas.openxmlformats.org/officeDocument/2006/relationships" r:id="rId2"/>
          <a:extLst>
            <a:ext uri="{FF2B5EF4-FFF2-40B4-BE49-F238E27FC236}">
              <a16:creationId xmlns:a16="http://schemas.microsoft.com/office/drawing/2014/main" id="{00000000-0008-0000-0800-000003000000}"/>
            </a:ext>
          </a:extLst>
        </xdr:cNvPr>
        <xdr:cNvSpPr/>
      </xdr:nvSpPr>
      <xdr:spPr>
        <a:xfrm>
          <a:off x="10927977" y="179295"/>
          <a:ext cx="1290917" cy="385482"/>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Future</a:t>
          </a:r>
          <a:r>
            <a:rPr lang="en-US" altLang="ko-KR" sz="1000" baseline="0">
              <a:latin typeface="Arial" panose="020B0604020202020204" pitchFamily="34" charset="0"/>
              <a:cs typeface="Arial" panose="020B0604020202020204" pitchFamily="34" charset="0"/>
            </a:rPr>
            <a:t> work</a:t>
          </a:r>
          <a:endParaRPr lang="ko-KR" altLang="en-US" sz="1000">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22860</xdr:colOff>
      <xdr:row>2</xdr:row>
      <xdr:rowOff>0</xdr:rowOff>
    </xdr:from>
    <xdr:to>
      <xdr:col>1</xdr:col>
      <xdr:colOff>8770620</xdr:colOff>
      <xdr:row>24</xdr:row>
      <xdr:rowOff>0</xdr:rowOff>
    </xdr:to>
    <xdr:grpSp>
      <xdr:nvGrpSpPr>
        <xdr:cNvPr id="4" name="그룹 3">
          <a:extLst>
            <a:ext uri="{FF2B5EF4-FFF2-40B4-BE49-F238E27FC236}">
              <a16:creationId xmlns:a16="http://schemas.microsoft.com/office/drawing/2014/main" id="{00000000-0008-0000-0900-000004000000}"/>
            </a:ext>
          </a:extLst>
        </xdr:cNvPr>
        <xdr:cNvGrpSpPr/>
      </xdr:nvGrpSpPr>
      <xdr:grpSpPr>
        <a:xfrm>
          <a:off x="685800" y="556260"/>
          <a:ext cx="8747760" cy="3855720"/>
          <a:chOff x="693420" y="396241"/>
          <a:chExt cx="8747760" cy="3756660"/>
        </a:xfrm>
      </xdr:grpSpPr>
      <mc:AlternateContent xmlns:mc="http://schemas.openxmlformats.org/markup-compatibility/2006">
        <mc:Choice xmlns:a14="http://schemas.microsoft.com/office/drawing/2010/main" Requires="a14">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900-000002200000}"/>
                  </a:ext>
                </a:extLst>
              </xdr:cNvPr>
              <xdr:cNvSpPr/>
            </xdr:nvSpPr>
            <xdr:spPr bwMode="auto">
              <a:xfrm>
                <a:off x="693420" y="396241"/>
                <a:ext cx="8747760" cy="375666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mc:Choice>
        <mc:Fallback/>
      </mc:AlternateContent>
      <xdr:sp macro="" textlink="">
        <xdr:nvSpPr>
          <xdr:cNvPr id="2" name="직사각형 1">
            <a:extLst>
              <a:ext uri="{FF2B5EF4-FFF2-40B4-BE49-F238E27FC236}">
                <a16:creationId xmlns:a16="http://schemas.microsoft.com/office/drawing/2014/main" id="{00000000-0008-0000-0900-000002000000}"/>
              </a:ext>
            </a:extLst>
          </xdr:cNvPr>
          <xdr:cNvSpPr/>
        </xdr:nvSpPr>
        <xdr:spPr>
          <a:xfrm>
            <a:off x="6536042" y="1712801"/>
            <a:ext cx="932884" cy="68790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 name="직사각형 2">
            <a:extLst>
              <a:ext uri="{FF2B5EF4-FFF2-40B4-BE49-F238E27FC236}">
                <a16:creationId xmlns:a16="http://schemas.microsoft.com/office/drawing/2014/main" id="{00000000-0008-0000-0900-000003000000}"/>
              </a:ext>
            </a:extLst>
          </xdr:cNvPr>
          <xdr:cNvSpPr/>
        </xdr:nvSpPr>
        <xdr:spPr>
          <a:xfrm>
            <a:off x="5263357" y="2623752"/>
            <a:ext cx="229247" cy="1299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6</xdr:row>
      <xdr:rowOff>0</xdr:rowOff>
    </xdr:from>
    <xdr:to>
      <xdr:col>6</xdr:col>
      <xdr:colOff>44822</xdr:colOff>
      <xdr:row>6</xdr:row>
      <xdr:rowOff>522515</xdr:rowOff>
    </xdr:to>
    <xdr:sp macro="" textlink="">
      <xdr:nvSpPr>
        <xdr:cNvPr id="2" name="사각형: 빗면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1152094" y="1281953"/>
          <a:ext cx="1371599" cy="52251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Introduction</a:t>
          </a:r>
          <a:endParaRPr lang="ko-KR" altLang="en-US" sz="1000">
            <a:latin typeface="Arial" panose="020B0604020202020204" pitchFamily="34" charset="0"/>
            <a:cs typeface="Arial" panose="020B0604020202020204" pitchFamily="34" charset="0"/>
          </a:endParaRPr>
        </a:p>
      </xdr:txBody>
    </xdr:sp>
    <xdr:clientData/>
  </xdr:twoCellAnchor>
  <xdr:twoCellAnchor>
    <xdr:from>
      <xdr:col>4</xdr:col>
      <xdr:colOff>0</xdr:colOff>
      <xdr:row>7</xdr:row>
      <xdr:rowOff>91568</xdr:rowOff>
    </xdr:from>
    <xdr:to>
      <xdr:col>6</xdr:col>
      <xdr:colOff>34109</xdr:colOff>
      <xdr:row>10</xdr:row>
      <xdr:rowOff>76200</xdr:rowOff>
    </xdr:to>
    <xdr:sp macro="" textlink="">
      <xdr:nvSpPr>
        <xdr:cNvPr id="3" name="사각형: 빗면 2">
          <a:hlinkClick xmlns:r="http://schemas.openxmlformats.org/officeDocument/2006/relationships" r:id="rId2"/>
          <a:extLst>
            <a:ext uri="{FF2B5EF4-FFF2-40B4-BE49-F238E27FC236}">
              <a16:creationId xmlns:a16="http://schemas.microsoft.com/office/drawing/2014/main" id="{00000000-0008-0000-0100-000003000000}"/>
            </a:ext>
          </a:extLst>
        </xdr:cNvPr>
        <xdr:cNvSpPr/>
      </xdr:nvSpPr>
      <xdr:spPr>
        <a:xfrm>
          <a:off x="11152094" y="2252062"/>
          <a:ext cx="1360886" cy="522514"/>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Process flow</a:t>
          </a:r>
          <a:endParaRPr lang="ko-KR" altLang="en-US" sz="1000">
            <a:latin typeface="Arial" panose="020B0604020202020204" pitchFamily="34" charset="0"/>
            <a:cs typeface="Arial" panose="020B0604020202020204" pitchFamily="34" charset="0"/>
          </a:endParaRPr>
        </a:p>
      </xdr:txBody>
    </xdr:sp>
    <xdr:clientData/>
  </xdr:twoCellAnchor>
  <xdr:twoCellAnchor>
    <xdr:from>
      <xdr:col>4</xdr:col>
      <xdr:colOff>0</xdr:colOff>
      <xdr:row>10</xdr:row>
      <xdr:rowOff>523794</xdr:rowOff>
    </xdr:from>
    <xdr:to>
      <xdr:col>6</xdr:col>
      <xdr:colOff>53788</xdr:colOff>
      <xdr:row>11</xdr:row>
      <xdr:rowOff>0</xdr:rowOff>
    </xdr:to>
    <xdr:sp macro="" textlink="">
      <xdr:nvSpPr>
        <xdr:cNvPr id="4" name="사각형: 빗면 3">
          <a:hlinkClick xmlns:r="http://schemas.openxmlformats.org/officeDocument/2006/relationships" r:id="rId3"/>
          <a:extLst>
            <a:ext uri="{FF2B5EF4-FFF2-40B4-BE49-F238E27FC236}">
              <a16:creationId xmlns:a16="http://schemas.microsoft.com/office/drawing/2014/main" id="{00000000-0008-0000-0100-000004000000}"/>
            </a:ext>
          </a:extLst>
        </xdr:cNvPr>
        <xdr:cNvSpPr/>
      </xdr:nvSpPr>
      <xdr:spPr>
        <a:xfrm>
          <a:off x="11152094" y="3222170"/>
          <a:ext cx="1380565" cy="534042"/>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Input &amp; results</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7620</xdr:rowOff>
        </xdr:from>
        <xdr:to>
          <xdr:col>18</xdr:col>
          <xdr:colOff>0</xdr:colOff>
          <xdr:row>33</xdr:row>
          <xdr:rowOff>7620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35</xdr:row>
          <xdr:rowOff>0</xdr:rowOff>
        </xdr:from>
        <xdr:to>
          <xdr:col>6</xdr:col>
          <xdr:colOff>0</xdr:colOff>
          <xdr:row>44</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xdr:colOff>
          <xdr:row>35</xdr:row>
          <xdr:rowOff>0</xdr:rowOff>
        </xdr:from>
        <xdr:to>
          <xdr:col>12</xdr:col>
          <xdr:colOff>0</xdr:colOff>
          <xdr:row>44</xdr:row>
          <xdr:rowOff>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35</xdr:row>
          <xdr:rowOff>0</xdr:rowOff>
        </xdr:from>
        <xdr:to>
          <xdr:col>18</xdr:col>
          <xdr:colOff>0</xdr:colOff>
          <xdr:row>44</xdr:row>
          <xdr:rowOff>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20</xdr:col>
      <xdr:colOff>0</xdr:colOff>
      <xdr:row>3</xdr:row>
      <xdr:rowOff>0</xdr:rowOff>
    </xdr:from>
    <xdr:to>
      <xdr:col>22</xdr:col>
      <xdr:colOff>44823</xdr:colOff>
      <xdr:row>5</xdr:row>
      <xdr:rowOff>176493</xdr:rowOff>
    </xdr:to>
    <xdr:sp macro="" textlink="">
      <xdr:nvSpPr>
        <xdr:cNvPr id="2" name="사각형: 빗면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3294659" y="744071"/>
          <a:ext cx="1371599"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Descrpition</a:t>
          </a:r>
          <a:endParaRPr lang="ko-KR" altLang="en-US" sz="1000">
            <a:latin typeface="Arial" panose="020B0604020202020204" pitchFamily="34" charset="0"/>
            <a:cs typeface="Arial" panose="020B0604020202020204" pitchFamily="34" charset="0"/>
          </a:endParaRPr>
        </a:p>
      </xdr:txBody>
    </xdr:sp>
    <xdr:clientData/>
  </xdr:twoCellAnchor>
  <xdr:twoCellAnchor>
    <xdr:from>
      <xdr:col>20</xdr:col>
      <xdr:colOff>0</xdr:colOff>
      <xdr:row>9</xdr:row>
      <xdr:rowOff>0</xdr:rowOff>
    </xdr:from>
    <xdr:to>
      <xdr:col>22</xdr:col>
      <xdr:colOff>53789</xdr:colOff>
      <xdr:row>11</xdr:row>
      <xdr:rowOff>175453</xdr:rowOff>
    </xdr:to>
    <xdr:sp macro="" textlink="">
      <xdr:nvSpPr>
        <xdr:cNvPr id="3" name="사각형: 빗면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13294659" y="1846729"/>
          <a:ext cx="1380565" cy="534042"/>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Input &amp; results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41563</xdr:colOff>
      <xdr:row>28</xdr:row>
      <xdr:rowOff>3215</xdr:rowOff>
    </xdr:from>
    <xdr:to>
      <xdr:col>17</xdr:col>
      <xdr:colOff>332509</xdr:colOff>
      <xdr:row>46</xdr:row>
      <xdr:rowOff>124691</xdr:rowOff>
    </xdr:to>
    <xdr:graphicFrame macro="">
      <xdr:nvGraphicFramePr>
        <xdr:cNvPr id="2" name="차트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7</xdr:row>
      <xdr:rowOff>0</xdr:rowOff>
    </xdr:from>
    <xdr:to>
      <xdr:col>29</xdr:col>
      <xdr:colOff>-1</xdr:colOff>
      <xdr:row>22</xdr:row>
      <xdr:rowOff>0</xdr:rowOff>
    </xdr:to>
    <xdr:graphicFrame macro="">
      <xdr:nvGraphicFramePr>
        <xdr:cNvPr id="6" name="차트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xdr:colOff>
      <xdr:row>7</xdr:row>
      <xdr:rowOff>0</xdr:rowOff>
    </xdr:from>
    <xdr:to>
      <xdr:col>37</xdr:col>
      <xdr:colOff>0</xdr:colOff>
      <xdr:row>22</xdr:row>
      <xdr:rowOff>0</xdr:rowOff>
    </xdr:to>
    <xdr:graphicFrame macro="">
      <xdr:nvGraphicFramePr>
        <xdr:cNvPr id="7" name="차트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46</xdr:row>
      <xdr:rowOff>0</xdr:rowOff>
    </xdr:from>
    <xdr:to>
      <xdr:col>36</xdr:col>
      <xdr:colOff>665017</xdr:colOff>
      <xdr:row>73</xdr:row>
      <xdr:rowOff>0</xdr:rowOff>
    </xdr:to>
    <xdr:graphicFrame macro="">
      <xdr:nvGraphicFramePr>
        <xdr:cNvPr id="8" name="Chart 3">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xdr:colOff>
      <xdr:row>24</xdr:row>
      <xdr:rowOff>0</xdr:rowOff>
    </xdr:from>
    <xdr:to>
      <xdr:col>37</xdr:col>
      <xdr:colOff>0</xdr:colOff>
      <xdr:row>43</xdr:row>
      <xdr:rowOff>0</xdr:rowOff>
    </xdr:to>
    <mc:AlternateContent xmlns:mc="http://schemas.openxmlformats.org/markup-compatibility/2006">
      <mc:Choice xmlns:cx1="http://schemas.microsoft.com/office/drawing/2015/9/8/chartex" Requires="cx1">
        <xdr:graphicFrame macro="">
          <xdr:nvGraphicFramePr>
            <xdr:cNvPr id="3" name="차트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119861" y="4808220"/>
              <a:ext cx="9944099" cy="3329940"/>
            </a:xfrm>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16</xdr:col>
      <xdr:colOff>0</xdr:colOff>
      <xdr:row>1</xdr:row>
      <xdr:rowOff>61479</xdr:rowOff>
    </xdr:from>
    <xdr:to>
      <xdr:col>17</xdr:col>
      <xdr:colOff>282286</xdr:colOff>
      <xdr:row>3</xdr:row>
      <xdr:rowOff>55418</xdr:rowOff>
    </xdr:to>
    <xdr:sp macro="" textlink="">
      <xdr:nvSpPr>
        <xdr:cNvPr id="5" name="사각형: 빗면 4">
          <a:hlinkClick xmlns:r="http://schemas.openxmlformats.org/officeDocument/2006/relationships" r:id="rId6"/>
          <a:extLst>
            <a:ext uri="{FF2B5EF4-FFF2-40B4-BE49-F238E27FC236}">
              <a16:creationId xmlns:a16="http://schemas.microsoft.com/office/drawing/2014/main" id="{00000000-0008-0000-0300-000005000000}"/>
            </a:ext>
          </a:extLst>
        </xdr:cNvPr>
        <xdr:cNvSpPr/>
      </xdr:nvSpPr>
      <xdr:spPr>
        <a:xfrm>
          <a:off x="11055927" y="241588"/>
          <a:ext cx="1390650"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Material &amp; energy</a:t>
          </a:r>
          <a:r>
            <a:rPr lang="en-US" altLang="ko-KR" sz="1000" baseline="0">
              <a:latin typeface="Arial" panose="020B0604020202020204" pitchFamily="34" charset="0"/>
              <a:cs typeface="Arial" panose="020B0604020202020204" pitchFamily="34" charset="0"/>
            </a:rPr>
            <a:t> balance</a:t>
          </a:r>
          <a:endParaRPr lang="ko-KR" altLang="en-US" sz="1000">
            <a:latin typeface="Arial" panose="020B0604020202020204" pitchFamily="34" charset="0"/>
            <a:cs typeface="Arial" panose="020B0604020202020204" pitchFamily="34" charset="0"/>
          </a:endParaRPr>
        </a:p>
      </xdr:txBody>
    </xdr:sp>
    <xdr:clientData/>
  </xdr:twoCellAnchor>
  <xdr:twoCellAnchor>
    <xdr:from>
      <xdr:col>18</xdr:col>
      <xdr:colOff>232497</xdr:colOff>
      <xdr:row>1</xdr:row>
      <xdr:rowOff>61479</xdr:rowOff>
    </xdr:from>
    <xdr:to>
      <xdr:col>22</xdr:col>
      <xdr:colOff>274061</xdr:colOff>
      <xdr:row>3</xdr:row>
      <xdr:rowOff>55418</xdr:rowOff>
    </xdr:to>
    <xdr:sp macro="" textlink="">
      <xdr:nvSpPr>
        <xdr:cNvPr id="9" name="사각형: 빗면 8">
          <a:hlinkClick xmlns:r="http://schemas.openxmlformats.org/officeDocument/2006/relationships" r:id="rId7"/>
          <a:extLst>
            <a:ext uri="{FF2B5EF4-FFF2-40B4-BE49-F238E27FC236}">
              <a16:creationId xmlns:a16="http://schemas.microsoft.com/office/drawing/2014/main" id="{00000000-0008-0000-0300-000009000000}"/>
            </a:ext>
          </a:extLst>
        </xdr:cNvPr>
        <xdr:cNvSpPr/>
      </xdr:nvSpPr>
      <xdr:spPr>
        <a:xfrm>
          <a:off x="13061806" y="241588"/>
          <a:ext cx="1371600"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Equipment</a:t>
          </a:r>
          <a:r>
            <a:rPr lang="en-US" altLang="ko-KR" sz="1000" baseline="0">
              <a:latin typeface="Arial" panose="020B0604020202020204" pitchFamily="34" charset="0"/>
              <a:cs typeface="Arial" panose="020B0604020202020204" pitchFamily="34" charset="0"/>
            </a:rPr>
            <a:t> price</a:t>
          </a:r>
          <a:endParaRPr lang="ko-KR" altLang="en-US" sz="1000">
            <a:latin typeface="Arial" panose="020B0604020202020204" pitchFamily="34" charset="0"/>
            <a:cs typeface="Arial" panose="020B0604020202020204" pitchFamily="34" charset="0"/>
          </a:endParaRPr>
        </a:p>
      </xdr:txBody>
    </xdr:sp>
    <xdr:clientData/>
  </xdr:twoCellAnchor>
  <xdr:twoCellAnchor>
    <xdr:from>
      <xdr:col>23</xdr:col>
      <xdr:colOff>224271</xdr:colOff>
      <xdr:row>1</xdr:row>
      <xdr:rowOff>61480</xdr:rowOff>
    </xdr:from>
    <xdr:to>
      <xdr:col>25</xdr:col>
      <xdr:colOff>265835</xdr:colOff>
      <xdr:row>3</xdr:row>
      <xdr:rowOff>55418</xdr:rowOff>
    </xdr:to>
    <xdr:sp macro="" textlink="">
      <xdr:nvSpPr>
        <xdr:cNvPr id="10" name="사각형: 빗면 9">
          <a:hlinkClick xmlns:r="http://schemas.openxmlformats.org/officeDocument/2006/relationships" r:id="rId8"/>
          <a:extLst>
            <a:ext uri="{FF2B5EF4-FFF2-40B4-BE49-F238E27FC236}">
              <a16:creationId xmlns:a16="http://schemas.microsoft.com/office/drawing/2014/main" id="{00000000-0008-0000-0300-00000A000000}"/>
            </a:ext>
          </a:extLst>
        </xdr:cNvPr>
        <xdr:cNvSpPr/>
      </xdr:nvSpPr>
      <xdr:spPr>
        <a:xfrm>
          <a:off x="15048635" y="241589"/>
          <a:ext cx="1371600" cy="561974"/>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Economic</a:t>
          </a:r>
          <a:r>
            <a:rPr lang="en-US" altLang="ko-KR" sz="1000" baseline="0">
              <a:latin typeface="Arial" panose="020B0604020202020204" pitchFamily="34" charset="0"/>
              <a:cs typeface="Arial" panose="020B0604020202020204" pitchFamily="34" charset="0"/>
            </a:rPr>
            <a:t> evaluation -1</a:t>
          </a:r>
          <a:endParaRPr lang="ko-KR" altLang="en-US" sz="1000">
            <a:latin typeface="Arial" panose="020B0604020202020204" pitchFamily="34" charset="0"/>
            <a:cs typeface="Arial" panose="020B0604020202020204" pitchFamily="34" charset="0"/>
          </a:endParaRPr>
        </a:p>
      </xdr:txBody>
    </xdr:sp>
    <xdr:clientData/>
  </xdr:twoCellAnchor>
  <xdr:twoCellAnchor>
    <xdr:from>
      <xdr:col>29</xdr:col>
      <xdr:colOff>207818</xdr:colOff>
      <xdr:row>1</xdr:row>
      <xdr:rowOff>71004</xdr:rowOff>
    </xdr:from>
    <xdr:to>
      <xdr:col>31</xdr:col>
      <xdr:colOff>249382</xdr:colOff>
      <xdr:row>3</xdr:row>
      <xdr:rowOff>64943</xdr:rowOff>
    </xdr:to>
    <xdr:sp macro="" textlink="">
      <xdr:nvSpPr>
        <xdr:cNvPr id="11" name="사각형: 빗면 10">
          <a:hlinkClick xmlns:r="http://schemas.openxmlformats.org/officeDocument/2006/relationships" r:id="rId9"/>
          <a:extLst>
            <a:ext uri="{FF2B5EF4-FFF2-40B4-BE49-F238E27FC236}">
              <a16:creationId xmlns:a16="http://schemas.microsoft.com/office/drawing/2014/main" id="{00000000-0008-0000-0300-00000B000000}"/>
            </a:ext>
          </a:extLst>
        </xdr:cNvPr>
        <xdr:cNvSpPr/>
      </xdr:nvSpPr>
      <xdr:spPr>
        <a:xfrm>
          <a:off x="19022291" y="251113"/>
          <a:ext cx="1371600"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Environmental evaluation</a:t>
          </a:r>
          <a:endParaRPr lang="ko-KR" altLang="en-US" sz="1000">
            <a:latin typeface="Arial" panose="020B0604020202020204" pitchFamily="34" charset="0"/>
            <a:cs typeface="Arial" panose="020B0604020202020204" pitchFamily="34" charset="0"/>
          </a:endParaRPr>
        </a:p>
      </xdr:txBody>
    </xdr:sp>
    <xdr:clientData/>
  </xdr:twoCellAnchor>
  <xdr:twoCellAnchor>
    <xdr:from>
      <xdr:col>26</xdr:col>
      <xdr:colOff>216046</xdr:colOff>
      <xdr:row>1</xdr:row>
      <xdr:rowOff>71004</xdr:rowOff>
    </xdr:from>
    <xdr:to>
      <xdr:col>28</xdr:col>
      <xdr:colOff>257609</xdr:colOff>
      <xdr:row>3</xdr:row>
      <xdr:rowOff>55418</xdr:rowOff>
    </xdr:to>
    <xdr:sp macro="" textlink="">
      <xdr:nvSpPr>
        <xdr:cNvPr id="12" name="사각형: 빗면 11">
          <a:hlinkClick xmlns:r="http://schemas.openxmlformats.org/officeDocument/2006/relationships" r:id="rId10"/>
          <a:extLst>
            <a:ext uri="{FF2B5EF4-FFF2-40B4-BE49-F238E27FC236}">
              <a16:creationId xmlns:a16="http://schemas.microsoft.com/office/drawing/2014/main" id="{00000000-0008-0000-0300-00000C000000}"/>
            </a:ext>
          </a:extLst>
        </xdr:cNvPr>
        <xdr:cNvSpPr/>
      </xdr:nvSpPr>
      <xdr:spPr>
        <a:xfrm>
          <a:off x="17035464" y="251113"/>
          <a:ext cx="1371600" cy="552450"/>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solidFill>
                <a:schemeClr val="lt1"/>
              </a:solidFill>
              <a:effectLst/>
              <a:latin typeface="Arial" panose="020B0604020202020204" pitchFamily="34" charset="0"/>
              <a:ea typeface="+mn-ea"/>
              <a:cs typeface="Arial" panose="020B0604020202020204" pitchFamily="34" charset="0"/>
            </a:rPr>
            <a:t>Economic</a:t>
          </a:r>
          <a:r>
            <a:rPr lang="en-US" altLang="ko-KR" sz="1000" baseline="0">
              <a:solidFill>
                <a:schemeClr val="lt1"/>
              </a:solidFill>
              <a:effectLst/>
              <a:latin typeface="Arial" panose="020B0604020202020204" pitchFamily="34" charset="0"/>
              <a:ea typeface="+mn-ea"/>
              <a:cs typeface="Arial" panose="020B0604020202020204" pitchFamily="34" charset="0"/>
            </a:rPr>
            <a:t> evaluation -2</a:t>
          </a:r>
          <a:endParaRPr lang="ko-KR" altLang="ko-KR" sz="1000">
            <a:effectLst/>
            <a:latin typeface="Arial" panose="020B0604020202020204" pitchFamily="34" charset="0"/>
            <a:cs typeface="Arial" panose="020B0604020202020204" pitchFamily="34"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0.40771</cdr:x>
      <cdr:y>0.01391</cdr:y>
    </cdr:from>
    <cdr:to>
      <cdr:x>0.59466</cdr:x>
      <cdr:y>0.08188</cdr:y>
    </cdr:to>
    <cdr:sp macro="" textlink="">
      <cdr:nvSpPr>
        <cdr:cNvPr id="6" name="TextBox 1"/>
        <cdr:cNvSpPr txBox="1"/>
      </cdr:nvSpPr>
      <cdr:spPr>
        <a:xfrm xmlns:a="http://schemas.openxmlformats.org/drawingml/2006/main">
          <a:off x="4077577" y="64661"/>
          <a:ext cx="1869733" cy="31593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latin typeface="Arial" panose="020B0604020202020204" pitchFamily="34" charset="0"/>
              <a:cs typeface="Arial" panose="020B0604020202020204" pitchFamily="34" charset="0"/>
            </a:rPr>
            <a:t>At break-even</a:t>
          </a:r>
          <a:r>
            <a:rPr lang="en-US" sz="1600" b="1" baseline="0">
              <a:latin typeface="Arial" panose="020B0604020202020204" pitchFamily="34" charset="0"/>
              <a:cs typeface="Arial" panose="020B0604020202020204" pitchFamily="34" charset="0"/>
            </a:rPr>
            <a:t> point</a:t>
          </a:r>
        </a:p>
      </cdr:txBody>
    </cdr:sp>
  </cdr:relSizeAnchor>
  <cdr:relSizeAnchor xmlns:cdr="http://schemas.openxmlformats.org/drawingml/2006/chartDrawing">
    <cdr:from>
      <cdr:x>0</cdr:x>
      <cdr:y>0.52911</cdr:y>
    </cdr:from>
    <cdr:to>
      <cdr:x>0.9923</cdr:x>
      <cdr:y>1</cdr:y>
    </cdr:to>
    <cdr:grpSp>
      <cdr:nvGrpSpPr>
        <cdr:cNvPr id="4" name="Group 3">
          <a:extLst xmlns:a="http://schemas.openxmlformats.org/drawingml/2006/main">
            <a:ext uri="{FF2B5EF4-FFF2-40B4-BE49-F238E27FC236}">
              <a16:creationId xmlns:a16="http://schemas.microsoft.com/office/drawing/2014/main" id="{01E51170-9AD5-40D1-B23A-F8A29BF2BF45}"/>
            </a:ext>
          </a:extLst>
        </cdr:cNvPr>
        <cdr:cNvGrpSpPr/>
      </cdr:nvGrpSpPr>
      <cdr:grpSpPr>
        <a:xfrm xmlns:a="http://schemas.openxmlformats.org/drawingml/2006/main">
          <a:off x="0" y="2573033"/>
          <a:ext cx="9898462" cy="2289912"/>
          <a:chOff x="-20844" y="1450736"/>
          <a:chExt cx="6484005" cy="1855100"/>
        </a:xfrm>
      </cdr:grpSpPr>
      <cdr:sp macro="" textlink="'6-2. Economic evaluation'!$Y$22">
        <cdr:nvSpPr>
          <cdr:cNvPr id="11" name="TextBox 10"/>
          <cdr:cNvSpPr txBox="1"/>
        </cdr:nvSpPr>
        <cdr:spPr>
          <a:xfrm xmlns:a="http://schemas.openxmlformats.org/drawingml/2006/main">
            <a:off x="0" y="1898221"/>
            <a:ext cx="3171255" cy="178514"/>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1E8DCE65-6AAB-4397-A6F9-4B095D899DFB}" type="TxLink">
              <a:rPr lang="en-US" altLang="en-US" sz="1100" b="0" i="0" u="none" strike="noStrike">
                <a:solidFill>
                  <a:srgbClr val="FF0000"/>
                </a:solidFill>
                <a:latin typeface="맑은 고딕"/>
                <a:ea typeface="맑은 고딕"/>
                <a:cs typeface="Arial"/>
              </a:rPr>
              <a:pPr algn="l"/>
              <a:t> </a:t>
            </a:fld>
            <a:endParaRPr lang="en-US" sz="1600" b="1">
              <a:solidFill>
                <a:srgbClr val="FF0000"/>
              </a:solidFill>
            </a:endParaRPr>
          </a:p>
        </cdr:txBody>
      </cdr:sp>
      <cdr:sp macro="" textlink="'6-2. Economic evaluation'!$Y$29">
        <cdr:nvSpPr>
          <cdr:cNvPr id="17" name="TextBox 16"/>
          <cdr:cNvSpPr txBox="1"/>
        </cdr:nvSpPr>
        <cdr:spPr>
          <a:xfrm xmlns:a="http://schemas.openxmlformats.org/drawingml/2006/main">
            <a:off x="2045" y="3127321"/>
            <a:ext cx="3171256" cy="17851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7C5CB124-0FF2-4C05-83FE-4CBC36108873}" type="TxLink">
              <a:rPr lang="en-US" altLang="en-US" sz="1100" b="0" i="0" u="none" strike="noStrike">
                <a:solidFill>
                  <a:schemeClr val="accent5">
                    <a:lumMod val="75000"/>
                  </a:schemeClr>
                </a:solidFill>
                <a:latin typeface="맑은 고딕"/>
                <a:ea typeface="맑은 고딕"/>
                <a:cs typeface="Arial"/>
              </a:rPr>
              <a:pPr algn="l"/>
              <a:t> </a:t>
            </a:fld>
            <a:endParaRPr lang="en-US" sz="1600" b="1">
              <a:solidFill>
                <a:schemeClr val="accent5">
                  <a:lumMod val="75000"/>
                </a:schemeClr>
              </a:solidFill>
            </a:endParaRPr>
          </a:p>
        </cdr:txBody>
      </cdr:sp>
      <cdr:sp macro="" textlink="'6-2. Economic evaluation'!$Y$30">
        <cdr:nvSpPr>
          <cdr:cNvPr id="18" name="TextBox 17"/>
          <cdr:cNvSpPr txBox="1"/>
        </cdr:nvSpPr>
        <cdr:spPr>
          <a:xfrm xmlns:a="http://schemas.openxmlformats.org/drawingml/2006/main">
            <a:off x="3285865" y="1450736"/>
            <a:ext cx="3171256" cy="17851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1CA7BFA5-9F4D-46A6-9D09-92B0E4443108}" type="TxLink">
              <a:rPr lang="en-US" altLang="en-US" sz="1100" b="0" i="0" u="none" strike="noStrike">
                <a:solidFill>
                  <a:schemeClr val="accent6">
                    <a:lumMod val="75000"/>
                  </a:schemeClr>
                </a:solidFill>
                <a:latin typeface="맑은 고딕"/>
                <a:ea typeface="맑은 고딕"/>
                <a:cs typeface="Arial"/>
              </a:rPr>
              <a:pPr algn="l"/>
              <a:t> </a:t>
            </a:fld>
            <a:endParaRPr lang="en-US" sz="1600" b="1">
              <a:solidFill>
                <a:schemeClr val="accent6">
                  <a:lumMod val="75000"/>
                </a:schemeClr>
              </a:solidFill>
            </a:endParaRPr>
          </a:p>
        </cdr:txBody>
      </cdr:sp>
      <cdr:sp macro="" textlink="'6-2. Economic evaluation'!$Y$31">
        <cdr:nvSpPr>
          <cdr:cNvPr id="19" name="TextBox 18"/>
          <cdr:cNvSpPr txBox="1"/>
        </cdr:nvSpPr>
        <cdr:spPr>
          <a:xfrm xmlns:a="http://schemas.openxmlformats.org/drawingml/2006/main">
            <a:off x="3285865" y="1661475"/>
            <a:ext cx="3171256" cy="17851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9D2F8A67-0452-4936-B4F3-2CA93BE1BCAB}" type="TxLink">
              <a:rPr lang="en-US" altLang="en-US" sz="1100" b="0" i="0" u="none" strike="noStrike">
                <a:solidFill>
                  <a:schemeClr val="accent1">
                    <a:lumMod val="50000"/>
                  </a:schemeClr>
                </a:solidFill>
                <a:latin typeface="맑은 고딕"/>
                <a:ea typeface="맑은 고딕"/>
                <a:cs typeface="Arial"/>
              </a:rPr>
              <a:pPr algn="l"/>
              <a:t> </a:t>
            </a:fld>
            <a:endParaRPr lang="en-US" sz="1600" b="1">
              <a:solidFill>
                <a:schemeClr val="accent1">
                  <a:lumMod val="50000"/>
                </a:schemeClr>
              </a:solidFill>
            </a:endParaRPr>
          </a:p>
        </cdr:txBody>
      </cdr:sp>
      <cdr:sp macro="" textlink="'6-2. Economic evaluation'!$Y$33">
        <cdr:nvSpPr>
          <cdr:cNvPr id="21" name="TextBox 20"/>
          <cdr:cNvSpPr txBox="1"/>
        </cdr:nvSpPr>
        <cdr:spPr>
          <a:xfrm xmlns:a="http://schemas.openxmlformats.org/drawingml/2006/main">
            <a:off x="3285865" y="2075506"/>
            <a:ext cx="3171256" cy="17851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l"/>
            <a:fld id="{D1D062D5-2CA4-490A-8131-7F6B1A36A28D}" type="TxLink">
              <a:rPr lang="en-US" altLang="en-US" sz="1100" b="0" i="0" u="none" strike="noStrike">
                <a:solidFill>
                  <a:schemeClr val="accent3">
                    <a:lumMod val="75000"/>
                  </a:schemeClr>
                </a:solidFill>
                <a:latin typeface="맑은 고딕"/>
                <a:ea typeface="맑은 고딕"/>
                <a:cs typeface="Arial"/>
              </a:rPr>
              <a:pPr algn="l"/>
              <a:t> </a:t>
            </a:fld>
            <a:endParaRPr lang="en-US" sz="1600" b="1">
              <a:solidFill>
                <a:schemeClr val="accent3">
                  <a:lumMod val="75000"/>
                </a:schemeClr>
              </a:solidFill>
            </a:endParaRPr>
          </a:p>
        </cdr:txBody>
      </cdr:sp>
      <cdr:sp macro="" textlink="'6-2. Economic evaluation'!$Y$20">
        <cdr:nvSpPr>
          <cdr:cNvPr id="25" name="TextBox 1"/>
          <cdr:cNvSpPr txBox="1"/>
        </cdr:nvSpPr>
        <cdr:spPr>
          <a:xfrm xmlns:a="http://schemas.openxmlformats.org/drawingml/2006/main">
            <a:off x="0" y="1457438"/>
            <a:ext cx="3171255" cy="178548"/>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29240AB1-ABE8-40D1-BB5F-65C966B1A3AE}" type="TxLink">
              <a:rPr lang="en-US" altLang="en-US" sz="1100" b="1" i="0" u="none" strike="noStrike">
                <a:solidFill>
                  <a:srgbClr val="000000"/>
                </a:solidFill>
                <a:latin typeface="맑은 고딕"/>
                <a:ea typeface="맑은 고딕"/>
                <a:cs typeface="Arial"/>
              </a:rPr>
              <a:pPr algn="l"/>
              <a:t> </a:t>
            </a:fld>
            <a:endParaRPr lang="en-US" sz="1600" b="1">
              <a:solidFill>
                <a:srgbClr val="303C18"/>
              </a:solidFill>
            </a:endParaRPr>
          </a:p>
        </cdr:txBody>
      </cdr:sp>
      <cdr:sp macro="" textlink="'6-2. Economic evaluation'!$Y$21">
        <cdr:nvSpPr>
          <cdr:cNvPr id="26" name="TextBox 2"/>
          <cdr:cNvSpPr txBox="1"/>
        </cdr:nvSpPr>
        <cdr:spPr>
          <a:xfrm xmlns:a="http://schemas.openxmlformats.org/drawingml/2006/main">
            <a:off x="0" y="1686166"/>
            <a:ext cx="3171255"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A0CBE3C-5540-41A7-B987-55DA45C21507}" type="TxLink">
              <a:rPr lang="en-US" altLang="en-US" sz="1100" b="0" i="0" u="none" strike="noStrike">
                <a:solidFill>
                  <a:schemeClr val="accent1">
                    <a:lumMod val="75000"/>
                  </a:schemeClr>
                </a:solidFill>
                <a:latin typeface="맑은 고딕"/>
                <a:ea typeface="맑은 고딕"/>
                <a:cs typeface="Arial"/>
              </a:rPr>
              <a:pPr algn="l"/>
              <a:t> </a:t>
            </a:fld>
            <a:endParaRPr lang="en-US" sz="1600" b="1">
              <a:solidFill>
                <a:schemeClr val="accent1">
                  <a:lumMod val="75000"/>
                </a:schemeClr>
              </a:solidFill>
            </a:endParaRPr>
          </a:p>
        </cdr:txBody>
      </cdr:sp>
      <cdr:sp macro="" textlink="'[2]Tornado Charts &amp; Risk Analysis'!$N$157">
        <cdr:nvSpPr>
          <cdr:cNvPr id="27" name="TextBox 3"/>
          <cdr:cNvSpPr txBox="1"/>
        </cdr:nvSpPr>
        <cdr:spPr>
          <a:xfrm xmlns:a="http://schemas.openxmlformats.org/drawingml/2006/main">
            <a:off x="0" y="1896905"/>
            <a:ext cx="3171255"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450BA20F-6F04-4978-853C-4A3915100AA6}" type="TxLink">
              <a:rPr lang="en-US" sz="1200" b="1" i="0" u="none" strike="noStrike">
                <a:solidFill>
                  <a:srgbClr val="A0BF61"/>
                </a:solidFill>
                <a:latin typeface="Arial"/>
                <a:cs typeface="Arial"/>
              </a:rPr>
              <a:pPr algn="l"/>
              <a:t> </a:t>
            </a:fld>
            <a:endParaRPr lang="en-US" sz="1600" b="1">
              <a:solidFill>
                <a:srgbClr val="A0BF61"/>
              </a:solidFill>
            </a:endParaRPr>
          </a:p>
        </cdr:txBody>
      </cdr:sp>
      <cdr:sp macro="" textlink="'6-2. Economic evaluation'!$Y$24">
        <cdr:nvSpPr>
          <cdr:cNvPr id="28" name="TextBox 4"/>
          <cdr:cNvSpPr txBox="1"/>
        </cdr:nvSpPr>
        <cdr:spPr>
          <a:xfrm xmlns:a="http://schemas.openxmlformats.org/drawingml/2006/main">
            <a:off x="-20844" y="2257906"/>
            <a:ext cx="3171255"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EBAA6D35-C726-44D6-A405-3BC97F58D352}" type="TxLink">
              <a:rPr lang="en-US" altLang="en-US" sz="1100" b="1" i="0" u="none" strike="noStrike">
                <a:solidFill>
                  <a:srgbClr val="000000"/>
                </a:solidFill>
                <a:latin typeface="맑은 고딕"/>
                <a:ea typeface="맑은 고딕"/>
                <a:cs typeface="Arial"/>
              </a:rPr>
              <a:pPr algn="l"/>
              <a:t> </a:t>
            </a:fld>
            <a:endParaRPr lang="en-US" sz="1600" b="1">
              <a:solidFill>
                <a:srgbClr val="0000FF"/>
              </a:solidFill>
            </a:endParaRPr>
          </a:p>
        </cdr:txBody>
      </cdr:sp>
      <cdr:sp macro="" textlink="'6-2. Economic evaluation'!$Y$25">
        <cdr:nvSpPr>
          <cdr:cNvPr id="29" name="TextBox 5"/>
          <cdr:cNvSpPr txBox="1"/>
        </cdr:nvSpPr>
        <cdr:spPr>
          <a:xfrm xmlns:a="http://schemas.openxmlformats.org/drawingml/2006/main">
            <a:off x="0" y="2486601"/>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43A1F8B-2B43-4D7F-A11E-540AC3A5F558}" type="TxLink">
              <a:rPr lang="en-US" altLang="en-US" sz="1100" b="0" i="0" u="none" strike="noStrike">
                <a:solidFill>
                  <a:schemeClr val="accent2">
                    <a:lumMod val="75000"/>
                  </a:schemeClr>
                </a:solidFill>
                <a:latin typeface="맑은 고딕"/>
                <a:ea typeface="맑은 고딕"/>
                <a:cs typeface="Arial"/>
              </a:rPr>
              <a:pPr algn="l"/>
              <a:t> </a:t>
            </a:fld>
            <a:endParaRPr lang="en-US" sz="1600" b="1">
              <a:solidFill>
                <a:schemeClr val="accent2">
                  <a:lumMod val="75000"/>
                </a:schemeClr>
              </a:solidFill>
            </a:endParaRPr>
          </a:p>
        </cdr:txBody>
      </cdr:sp>
      <cdr:sp macro="" textlink="'6-2. Economic evaluation'!$Y$27">
        <cdr:nvSpPr>
          <cdr:cNvPr id="30" name="TextBox 6"/>
          <cdr:cNvSpPr txBox="1"/>
        </cdr:nvSpPr>
        <cdr:spPr>
          <a:xfrm xmlns:a="http://schemas.openxmlformats.org/drawingml/2006/main">
            <a:off x="0" y="2697340"/>
            <a:ext cx="3171255"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CA00AFE-AFCB-4FD9-99D1-FA3F3A882762}" type="TxLink">
              <a:rPr lang="en-US" altLang="en-US" sz="1100" b="0" i="0" u="none" strike="noStrike">
                <a:solidFill>
                  <a:schemeClr val="accent3">
                    <a:lumMod val="50000"/>
                  </a:schemeClr>
                </a:solidFill>
                <a:latin typeface="맑은 고딕"/>
                <a:ea typeface="맑은 고딕"/>
                <a:cs typeface="Arial"/>
              </a:rPr>
              <a:pPr algn="l"/>
              <a:t> </a:t>
            </a:fld>
            <a:endParaRPr lang="en-US" sz="1600" b="1">
              <a:solidFill>
                <a:schemeClr val="accent3">
                  <a:lumMod val="50000"/>
                </a:schemeClr>
              </a:solidFill>
            </a:endParaRPr>
          </a:p>
        </cdr:txBody>
      </cdr:sp>
      <cdr:sp macro="" textlink="'6-2. Economic evaluation'!$Y$28">
        <cdr:nvSpPr>
          <cdr:cNvPr id="31" name="TextBox 7"/>
          <cdr:cNvSpPr txBox="1"/>
        </cdr:nvSpPr>
        <cdr:spPr>
          <a:xfrm xmlns:a="http://schemas.openxmlformats.org/drawingml/2006/main">
            <a:off x="0" y="2908080"/>
            <a:ext cx="3171255" cy="17854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466272BF-6235-4792-A811-6A712736E9D6}" type="TxLink">
              <a:rPr lang="en-US" altLang="en-US" sz="1100" b="0" i="0" u="none" strike="noStrike">
                <a:solidFill>
                  <a:srgbClr val="CC9900"/>
                </a:solidFill>
                <a:latin typeface="맑은 고딕"/>
                <a:ea typeface="맑은 고딕"/>
                <a:cs typeface="Arial"/>
              </a:rPr>
              <a:pPr algn="l"/>
              <a:t> </a:t>
            </a:fld>
            <a:endParaRPr lang="en-US" sz="1600" b="1">
              <a:solidFill>
                <a:srgbClr val="CC9900"/>
              </a:solidFill>
            </a:endParaRPr>
          </a:p>
        </cdr:txBody>
      </cdr:sp>
      <cdr:sp macro="" textlink="">
        <cdr:nvSpPr>
          <cdr:cNvPr id="32" name="TextBox 8"/>
          <cdr:cNvSpPr txBox="1"/>
        </cdr:nvSpPr>
        <cdr:spPr>
          <a:xfrm xmlns:a="http://schemas.openxmlformats.org/drawingml/2006/main">
            <a:off x="3285865" y="1475395"/>
            <a:ext cx="3171256" cy="178547"/>
          </a:xfrm>
          <a:prstGeom xmlns:a="http://schemas.openxmlformats.org/drawingml/2006/main" prst="rect">
            <a:avLst/>
          </a:prstGeom>
        </cdr:spPr>
        <cdr:txBody>
          <a:bodyPr xmlns:a="http://schemas.openxmlformats.org/drawingml/2006/main" wrap="none" rtlCol="0" anchor="ctr"/>
          <a:lstStyle xmlns:a="http://schemas.openxmlformats.org/drawingml/2006/main"/>
          <a:p xmlns:a="http://schemas.openxmlformats.org/drawingml/2006/main">
            <a:pPr algn="l"/>
            <a:endParaRPr lang="en-US" altLang="en-US" b="1">
              <a:solidFill>
                <a:srgbClr val="E6009F"/>
              </a:solidFill>
            </a:endParaRPr>
          </a:p>
        </cdr:txBody>
      </cdr:sp>
      <cdr:sp macro="" textlink="">
        <cdr:nvSpPr>
          <cdr:cNvPr id="33" name="TextBox 9"/>
          <cdr:cNvSpPr txBox="1"/>
        </cdr:nvSpPr>
        <cdr:spPr>
          <a:xfrm xmlns:a="http://schemas.openxmlformats.org/drawingml/2006/main">
            <a:off x="3285865" y="1686166"/>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p xmlns:a="http://schemas.openxmlformats.org/drawingml/2006/main">
            <a:pPr algn="l"/>
            <a:endParaRPr lang="en-US" altLang="en-US" b="1">
              <a:solidFill>
                <a:srgbClr val="C1AB11"/>
              </a:solidFill>
            </a:endParaRPr>
          </a:p>
        </cdr:txBody>
      </cdr:sp>
      <cdr:sp macro="" textlink="">
        <cdr:nvSpPr>
          <cdr:cNvPr id="34" name="TextBox 10"/>
          <cdr:cNvSpPr txBox="1"/>
        </cdr:nvSpPr>
        <cdr:spPr>
          <a:xfrm xmlns:a="http://schemas.openxmlformats.org/drawingml/2006/main">
            <a:off x="3285865" y="1896905"/>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p xmlns:a="http://schemas.openxmlformats.org/drawingml/2006/main">
            <a:pPr algn="l"/>
            <a:endParaRPr lang="en-US" altLang="en-US" b="1">
              <a:solidFill>
                <a:srgbClr val="A800D0"/>
              </a:solidFill>
            </a:endParaRPr>
          </a:p>
        </cdr:txBody>
      </cdr:sp>
      <cdr:sp macro="" textlink="'6-2. Economic evaluation'!$Y$32">
        <cdr:nvSpPr>
          <cdr:cNvPr id="35" name="TextBox 11"/>
          <cdr:cNvSpPr txBox="1"/>
        </cdr:nvSpPr>
        <cdr:spPr>
          <a:xfrm xmlns:a="http://schemas.openxmlformats.org/drawingml/2006/main">
            <a:off x="3291904" y="1855124"/>
            <a:ext cx="3171257" cy="17854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2E10270-6CF7-4BF7-AACD-B99A7EBAE91B}" type="TxLink">
              <a:rPr lang="en-US" altLang="en-US" sz="1100" b="0" i="0" u="none" strike="noStrike">
                <a:solidFill>
                  <a:srgbClr val="FF9900"/>
                </a:solidFill>
                <a:latin typeface="맑은 고딕"/>
                <a:ea typeface="맑은 고딕"/>
                <a:cs typeface="Arial"/>
              </a:rPr>
              <a:pPr algn="l"/>
              <a:t> </a:t>
            </a:fld>
            <a:endParaRPr lang="en-US" sz="1600" b="1">
              <a:solidFill>
                <a:srgbClr val="FF9900"/>
              </a:solidFill>
            </a:endParaRPr>
          </a:p>
        </cdr:txBody>
      </cdr:sp>
      <cdr:sp macro="" textlink="">
        <cdr:nvSpPr>
          <cdr:cNvPr id="36" name="TextBox 12"/>
          <cdr:cNvSpPr txBox="1"/>
        </cdr:nvSpPr>
        <cdr:spPr>
          <a:xfrm xmlns:a="http://schemas.openxmlformats.org/drawingml/2006/main">
            <a:off x="3285865" y="2310936"/>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p xmlns:a="http://schemas.openxmlformats.org/drawingml/2006/main">
            <a:pPr algn="l"/>
            <a:endParaRPr lang="en-US" altLang="en-US" b="1">
              <a:solidFill>
                <a:srgbClr val="82413A"/>
              </a:solidFill>
            </a:endParaRPr>
          </a:p>
        </cdr:txBody>
      </cdr:sp>
      <cdr:sp macro="" textlink="'6-2. Economic evaluation'!$Y$34">
        <cdr:nvSpPr>
          <cdr:cNvPr id="37" name="TextBox 13"/>
          <cdr:cNvSpPr txBox="1"/>
        </cdr:nvSpPr>
        <cdr:spPr>
          <a:xfrm xmlns:a="http://schemas.openxmlformats.org/drawingml/2006/main">
            <a:off x="3285865" y="2284929"/>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753B78C-D4A7-415B-BB3D-9E13C01DC667}" type="TxLink">
              <a:rPr lang="en-US" altLang="en-US" sz="1100" b="0" i="0" u="none" strike="noStrike">
                <a:solidFill>
                  <a:schemeClr val="accent4"/>
                </a:solidFill>
                <a:latin typeface="맑은 고딕"/>
                <a:ea typeface="맑은 고딕"/>
                <a:cs typeface="Arial"/>
              </a:rPr>
              <a:pPr algn="l"/>
              <a:t> </a:t>
            </a:fld>
            <a:endParaRPr lang="en-US" sz="1600" b="1">
              <a:solidFill>
                <a:schemeClr val="accent4"/>
              </a:solidFill>
            </a:endParaRPr>
          </a:p>
        </cdr:txBody>
      </cdr:sp>
      <cdr:sp macro="" textlink="'6-2. Economic evaluation'!$Y$36">
        <cdr:nvSpPr>
          <cdr:cNvPr id="38" name="TextBox 14"/>
          <cdr:cNvSpPr txBox="1"/>
        </cdr:nvSpPr>
        <cdr:spPr>
          <a:xfrm xmlns:a="http://schemas.openxmlformats.org/drawingml/2006/main">
            <a:off x="3285865" y="2495667"/>
            <a:ext cx="3171256" cy="178515"/>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E25010DE-34B3-405D-BEE3-068E3FD50A4E}" type="TxLink">
              <a:rPr lang="en-US" altLang="en-US" sz="1100" b="0" i="0" u="none" strike="noStrike">
                <a:solidFill>
                  <a:srgbClr val="CC00CC"/>
                </a:solidFill>
                <a:latin typeface="맑은 고딕"/>
                <a:ea typeface="맑은 고딕"/>
                <a:cs typeface="Arial"/>
              </a:rPr>
              <a:pPr algn="l"/>
              <a:t> </a:t>
            </a:fld>
            <a:endParaRPr lang="en-US" sz="1600" b="1">
              <a:solidFill>
                <a:srgbClr val="CC00CC"/>
              </a:solidFill>
            </a:endParaRPr>
          </a:p>
        </cdr:txBody>
      </cdr:sp>
      <cdr:sp macro="" textlink="'6-2. Economic evaluation'!$Y$39">
        <cdr:nvSpPr>
          <cdr:cNvPr id="39" name="TextBox 15"/>
          <cdr:cNvSpPr txBox="1"/>
        </cdr:nvSpPr>
        <cdr:spPr>
          <a:xfrm xmlns:a="http://schemas.openxmlformats.org/drawingml/2006/main">
            <a:off x="3285865" y="2706406"/>
            <a:ext cx="3171256" cy="17854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7575590-0CD9-49AA-BA64-88315F73FB5F}" type="TxLink">
              <a:rPr lang="en-US" altLang="en-US" sz="1100" b="0" i="0" u="none" strike="noStrike">
                <a:solidFill>
                  <a:srgbClr val="FF6699"/>
                </a:solidFill>
                <a:latin typeface="맑은 고딕"/>
                <a:ea typeface="맑은 고딕"/>
                <a:cs typeface="Arial"/>
              </a:rPr>
              <a:pPr algn="l"/>
              <a:t> </a:t>
            </a:fld>
            <a:endParaRPr lang="en-US" sz="1600" b="1">
              <a:solidFill>
                <a:srgbClr val="FF6699"/>
              </a:solidFill>
            </a:endParaRPr>
          </a:p>
        </cdr:txBody>
      </cdr:sp>
    </cdr:grpSp>
  </cdr:relSizeAnchor>
  <cdr:relSizeAnchor xmlns:cdr="http://schemas.openxmlformats.org/drawingml/2006/chartDrawing">
    <cdr:from>
      <cdr:x>0.51317</cdr:x>
      <cdr:y>0.89571</cdr:y>
    </cdr:from>
    <cdr:to>
      <cdr:x>0.99352</cdr:x>
      <cdr:y>0.94631</cdr:y>
    </cdr:to>
    <cdr:sp macro="" textlink="'6-2. Economic evaluation'!#REF!">
      <cdr:nvSpPr>
        <cdr:cNvPr id="2" name="TextBox 15">
          <a:extLst xmlns:a="http://schemas.openxmlformats.org/drawingml/2006/main">
            <a:ext uri="{FF2B5EF4-FFF2-40B4-BE49-F238E27FC236}">
              <a16:creationId xmlns:a16="http://schemas.microsoft.com/office/drawing/2014/main" id="{895D014D-676C-89E0-6217-870281DB3A33}"/>
            </a:ext>
          </a:extLst>
        </cdr:cNvPr>
        <cdr:cNvSpPr txBox="1"/>
      </cdr:nvSpPr>
      <cdr:spPr>
        <a:xfrm xmlns:a="http://schemas.openxmlformats.org/drawingml/2006/main">
          <a:off x="3836025" y="3050929"/>
          <a:ext cx="3590723" cy="172331"/>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AA05E19D-EDD8-44E2-8A82-4215DB19AD80}" type="TxLink">
            <a:rPr lang="en-US" altLang="en-US" sz="1100" b="0" i="0" u="none" strike="noStrike">
              <a:solidFill>
                <a:schemeClr val="accent1">
                  <a:lumMod val="40000"/>
                  <a:lumOff val="60000"/>
                </a:schemeClr>
              </a:solidFill>
              <a:latin typeface="맑은 고딕"/>
              <a:ea typeface="맑은 고딕"/>
              <a:cs typeface="Arial"/>
            </a:rPr>
            <a:pPr algn="l"/>
            <a:t> </a:t>
          </a:fld>
          <a:endParaRPr lang="en-US" sz="1600" b="1">
            <a:solidFill>
              <a:schemeClr val="accent1">
                <a:lumMod val="40000"/>
                <a:lumOff val="60000"/>
              </a:schemeClr>
            </a:solidFill>
          </a:endParaRPr>
        </a:p>
      </cdr:txBody>
    </cdr:sp>
  </cdr:relSizeAnchor>
  <cdr:relSizeAnchor xmlns:cdr="http://schemas.openxmlformats.org/drawingml/2006/chartDrawing">
    <cdr:from>
      <cdr:x>0.51342</cdr:x>
      <cdr:y>0.94941</cdr:y>
    </cdr:from>
    <cdr:to>
      <cdr:x>0.99377</cdr:x>
      <cdr:y>1</cdr:y>
    </cdr:to>
    <cdr:sp macro="" textlink="'6-2. Economic evaluation'!#REF!">
      <cdr:nvSpPr>
        <cdr:cNvPr id="8" name="TextBox 15">
          <a:extLst xmlns:a="http://schemas.openxmlformats.org/drawingml/2006/main">
            <a:ext uri="{FF2B5EF4-FFF2-40B4-BE49-F238E27FC236}">
              <a16:creationId xmlns:a16="http://schemas.microsoft.com/office/drawing/2014/main" id="{E6EBDAB7-231F-28F8-8560-D5F84B16C0FE}"/>
            </a:ext>
          </a:extLst>
        </cdr:cNvPr>
        <cdr:cNvSpPr txBox="1"/>
      </cdr:nvSpPr>
      <cdr:spPr>
        <a:xfrm xmlns:a="http://schemas.openxmlformats.org/drawingml/2006/main">
          <a:off x="3837940" y="3233809"/>
          <a:ext cx="3590723" cy="172331"/>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5E3CBFA-973A-4596-8340-B727F3D00CAB}" type="TxLink">
            <a:rPr lang="en-US" altLang="en-US" sz="1100" b="0" i="0" u="none" strike="noStrike">
              <a:solidFill>
                <a:srgbClr val="FFCC99"/>
              </a:solidFill>
              <a:latin typeface="맑은 고딕"/>
              <a:ea typeface="맑은 고딕"/>
              <a:cs typeface="Arial"/>
            </a:rPr>
            <a:pPr algn="l"/>
            <a:t> </a:t>
          </a:fld>
          <a:endParaRPr lang="en-US" sz="1600" b="1">
            <a:solidFill>
              <a:srgbClr val="FFCC99"/>
            </a:solidFill>
          </a:endParaRPr>
        </a:p>
      </cdr:txBody>
    </cdr:sp>
  </cdr:relSizeAnchor>
  <cdr:relSizeAnchor xmlns:cdr="http://schemas.openxmlformats.org/drawingml/2006/chartDrawing">
    <cdr:from>
      <cdr:x>0.18755</cdr:x>
      <cdr:y>0.7101</cdr:y>
    </cdr:from>
    <cdr:to>
      <cdr:x>0.496</cdr:x>
      <cdr:y>0.76561</cdr:y>
    </cdr:to>
    <cdr:sp macro="" textlink="">
      <cdr:nvSpPr>
        <cdr:cNvPr id="67" name="TextBox 2">
          <a:extLst xmlns:a="http://schemas.openxmlformats.org/drawingml/2006/main">
            <a:ext uri="{FF2B5EF4-FFF2-40B4-BE49-F238E27FC236}">
              <a16:creationId xmlns:a16="http://schemas.microsoft.com/office/drawing/2014/main" id="{485937C6-D520-97EE-3379-47D6205ECCC7}"/>
            </a:ext>
          </a:extLst>
        </cdr:cNvPr>
        <cdr:cNvSpPr txBox="1"/>
      </cdr:nvSpPr>
      <cdr:spPr>
        <a:xfrm xmlns:a="http://schemas.openxmlformats.org/drawingml/2006/main">
          <a:off x="1870818" y="3453188"/>
          <a:ext cx="3076873" cy="26994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altLang="en-US" sz="1400" b="0" i="0" u="none" strike="noStrike">
              <a:solidFill>
                <a:srgbClr val="BF0F1E"/>
              </a:solidFill>
              <a:latin typeface="맑은 고딕"/>
              <a:ea typeface="맑은 고딕"/>
              <a:cs typeface="Arial"/>
            </a:rPr>
            <a:t>H</a:t>
          </a:r>
          <a:r>
            <a:rPr lang="en-US" altLang="en-US" sz="1400" b="0" i="0" u="none" strike="noStrike" baseline="-25000">
              <a:solidFill>
                <a:srgbClr val="BF0F1E"/>
              </a:solidFill>
              <a:latin typeface="맑은 고딕"/>
              <a:ea typeface="맑은 고딕"/>
              <a:cs typeface="Arial"/>
            </a:rPr>
            <a:t>2</a:t>
          </a:r>
          <a:r>
            <a:rPr lang="en-US" altLang="en-US" sz="1400" b="0" i="0" u="none" strike="noStrike">
              <a:solidFill>
                <a:srgbClr val="BF0F1E"/>
              </a:solidFill>
              <a:latin typeface="맑은 고딕"/>
              <a:ea typeface="맑은 고딕"/>
              <a:cs typeface="Arial"/>
            </a:rPr>
            <a:t> sales</a:t>
          </a:r>
          <a:endParaRPr lang="en-US" sz="2000" b="1">
            <a:solidFill>
              <a:srgbClr val="BF0F1E"/>
            </a:solidFill>
          </a:endParaRPr>
        </a:p>
      </cdr:txBody>
    </cdr:sp>
  </cdr:relSizeAnchor>
  <cdr:relSizeAnchor xmlns:cdr="http://schemas.openxmlformats.org/drawingml/2006/chartDrawing">
    <cdr:from>
      <cdr:x>0.17921</cdr:x>
      <cdr:y>0.57306</cdr:y>
    </cdr:from>
    <cdr:to>
      <cdr:x>0.48766</cdr:x>
      <cdr:y>0.62857</cdr:y>
    </cdr:to>
    <cdr:sp macro="" textlink="">
      <cdr:nvSpPr>
        <cdr:cNvPr id="68" name="TextBox 1">
          <a:extLst xmlns:a="http://schemas.openxmlformats.org/drawingml/2006/main">
            <a:ext uri="{FF2B5EF4-FFF2-40B4-BE49-F238E27FC236}">
              <a16:creationId xmlns:a16="http://schemas.microsoft.com/office/drawing/2014/main" id="{DAA8670B-88FA-5D9E-81C8-39B7BC95D97D}"/>
            </a:ext>
          </a:extLst>
        </cdr:cNvPr>
        <cdr:cNvSpPr txBox="1"/>
      </cdr:nvSpPr>
      <cdr:spPr>
        <a:xfrm xmlns:a="http://schemas.openxmlformats.org/drawingml/2006/main">
          <a:off x="1787691" y="2786771"/>
          <a:ext cx="3076873" cy="26994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fld id="{29240AB1-ABE8-40D1-BB5F-65C966B1A3AE}" type="TxLink">
            <a:rPr lang="en-US" altLang="en-US" sz="1400" b="1" i="0" u="none" strike="noStrike">
              <a:solidFill>
                <a:srgbClr val="000000"/>
              </a:solidFill>
              <a:latin typeface="맑은 고딕"/>
              <a:ea typeface="맑은 고딕"/>
              <a:cs typeface="Arial"/>
            </a:rPr>
            <a:pPr marL="0" indent="0" algn="l"/>
            <a:t>Total revenue at break-even point</a:t>
          </a:fld>
          <a:endParaRPr lang="en-US" sz="1400" b="1" i="0" u="none" strike="noStrike">
            <a:solidFill>
              <a:srgbClr val="000000"/>
            </a:solidFill>
            <a:latin typeface="맑은 고딕"/>
            <a:ea typeface="맑은 고딕"/>
            <a:cs typeface="Arial"/>
          </a:endParaRPr>
        </a:p>
      </cdr:txBody>
    </cdr:sp>
  </cdr:relSizeAnchor>
  <cdr:relSizeAnchor xmlns:cdr="http://schemas.openxmlformats.org/drawingml/2006/chartDrawing">
    <cdr:from>
      <cdr:x>0.18755</cdr:x>
      <cdr:y>0.64159</cdr:y>
    </cdr:from>
    <cdr:to>
      <cdr:x>0.496</cdr:x>
      <cdr:y>0.69709</cdr:y>
    </cdr:to>
    <cdr:sp macro="" textlink="">
      <cdr:nvSpPr>
        <cdr:cNvPr id="69" name="TextBox 2">
          <a:extLst xmlns:a="http://schemas.openxmlformats.org/drawingml/2006/main">
            <a:ext uri="{FF2B5EF4-FFF2-40B4-BE49-F238E27FC236}">
              <a16:creationId xmlns:a16="http://schemas.microsoft.com/office/drawing/2014/main" id="{68277226-0908-A306-0F01-65E8C72F8539}"/>
            </a:ext>
          </a:extLst>
        </cdr:cNvPr>
        <cdr:cNvSpPr txBox="1"/>
      </cdr:nvSpPr>
      <cdr:spPr>
        <a:xfrm xmlns:a="http://schemas.openxmlformats.org/drawingml/2006/main">
          <a:off x="1870818" y="3120027"/>
          <a:ext cx="3076873" cy="269894"/>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altLang="en-US" sz="1400" b="0" i="0" u="none" strike="noStrike">
              <a:solidFill>
                <a:srgbClr val="0367A6"/>
              </a:solidFill>
              <a:latin typeface="맑은 고딕"/>
              <a:ea typeface="맑은 고딕"/>
              <a:cs typeface="Arial"/>
            </a:rPr>
            <a:t>Li</a:t>
          </a:r>
          <a:r>
            <a:rPr lang="en-US" altLang="en-US" sz="1400" b="0" i="0" u="none" strike="noStrike" baseline="-25000">
              <a:solidFill>
                <a:srgbClr val="0367A6"/>
              </a:solidFill>
              <a:latin typeface="맑은 고딕"/>
              <a:ea typeface="맑은 고딕"/>
              <a:cs typeface="Arial"/>
            </a:rPr>
            <a:t>2</a:t>
          </a:r>
          <a:r>
            <a:rPr lang="en-US" altLang="en-US" sz="1400" b="0" i="0" u="none" strike="noStrike">
              <a:solidFill>
                <a:srgbClr val="0367A6"/>
              </a:solidFill>
              <a:latin typeface="맑은 고딕"/>
              <a:ea typeface="맑은 고딕"/>
              <a:cs typeface="Arial"/>
            </a:rPr>
            <a:t>CO</a:t>
          </a:r>
          <a:r>
            <a:rPr lang="en-US" altLang="en-US" sz="1400" b="0" i="0" u="none" strike="noStrike" baseline="-25000">
              <a:solidFill>
                <a:srgbClr val="0367A6"/>
              </a:solidFill>
              <a:latin typeface="맑은 고딕"/>
              <a:ea typeface="맑은 고딕"/>
              <a:cs typeface="Arial"/>
            </a:rPr>
            <a:t>3</a:t>
          </a:r>
          <a:r>
            <a:rPr lang="en-US" altLang="en-US" sz="1400" b="0" i="0" u="none" strike="noStrike">
              <a:solidFill>
                <a:srgbClr val="0367A6"/>
              </a:solidFill>
              <a:latin typeface="맑은 고딕"/>
              <a:ea typeface="맑은 고딕"/>
              <a:cs typeface="Arial"/>
            </a:rPr>
            <a:t> sales</a:t>
          </a:r>
          <a:endParaRPr lang="en-US" sz="2000" b="1">
            <a:solidFill>
              <a:srgbClr val="0367A6"/>
            </a:solidFill>
          </a:endParaRPr>
        </a:p>
      </cdr:txBody>
    </cdr:sp>
  </cdr:relSizeAnchor>
  <cdr:relSizeAnchor xmlns:cdr="http://schemas.openxmlformats.org/drawingml/2006/chartDrawing">
    <cdr:from>
      <cdr:x>0.68957</cdr:x>
      <cdr:y>0.7101</cdr:y>
    </cdr:from>
    <cdr:to>
      <cdr:x>0.8007</cdr:x>
      <cdr:y>0.76561</cdr:y>
    </cdr:to>
    <cdr:sp macro="" textlink="">
      <cdr:nvSpPr>
        <cdr:cNvPr id="62" name="TextBox 3">
          <a:extLst xmlns:a="http://schemas.openxmlformats.org/drawingml/2006/main">
            <a:ext uri="{FF2B5EF4-FFF2-40B4-BE49-F238E27FC236}">
              <a16:creationId xmlns:a16="http://schemas.microsoft.com/office/drawing/2014/main" id="{C106915F-CE1E-58CB-65BD-C7FCAA5DAF2A}"/>
            </a:ext>
          </a:extLst>
        </cdr:cNvPr>
        <cdr:cNvSpPr txBox="1"/>
      </cdr:nvSpPr>
      <cdr:spPr>
        <a:xfrm xmlns:a="http://schemas.openxmlformats.org/drawingml/2006/main">
          <a:off x="6878671" y="3453188"/>
          <a:ext cx="1108552" cy="26994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altLang="en-US" sz="1400" b="0" i="0" u="none" strike="noStrike">
              <a:solidFill>
                <a:srgbClr val="8C3D2B"/>
              </a:solidFill>
              <a:latin typeface="맑은 고딕"/>
              <a:ea typeface="맑은 고딕"/>
              <a:cs typeface="Arial"/>
            </a:rPr>
            <a:t>Etc</a:t>
          </a:r>
          <a:endParaRPr lang="en-US" sz="2000" b="1">
            <a:solidFill>
              <a:srgbClr val="8C3D2B"/>
            </a:solidFill>
          </a:endParaRPr>
        </a:p>
      </cdr:txBody>
    </cdr:sp>
  </cdr:relSizeAnchor>
  <cdr:relSizeAnchor xmlns:cdr="http://schemas.openxmlformats.org/drawingml/2006/chartDrawing">
    <cdr:from>
      <cdr:x>0.48498</cdr:x>
      <cdr:y>0.57306</cdr:y>
    </cdr:from>
    <cdr:to>
      <cdr:x>0.79343</cdr:x>
      <cdr:y>0.62856</cdr:y>
    </cdr:to>
    <cdr:sp macro="" textlink="">
      <cdr:nvSpPr>
        <cdr:cNvPr id="63" name="TextBox 4">
          <a:extLst xmlns:a="http://schemas.openxmlformats.org/drawingml/2006/main">
            <a:ext uri="{FF2B5EF4-FFF2-40B4-BE49-F238E27FC236}">
              <a16:creationId xmlns:a16="http://schemas.microsoft.com/office/drawing/2014/main" id="{D48E94F3-102B-2861-1CBA-D29283D80003}"/>
            </a:ext>
          </a:extLst>
        </cdr:cNvPr>
        <cdr:cNvSpPr txBox="1"/>
      </cdr:nvSpPr>
      <cdr:spPr>
        <a:xfrm xmlns:a="http://schemas.openxmlformats.org/drawingml/2006/main">
          <a:off x="4837807" y="2786771"/>
          <a:ext cx="3076873" cy="269893"/>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EBAA6D35-C726-44D6-A405-3BC97F58D352}" type="TxLink">
            <a:rPr lang="en-US" altLang="en-US" sz="1400" b="1" i="0" u="none" strike="noStrike">
              <a:solidFill>
                <a:srgbClr val="000000"/>
              </a:solidFill>
              <a:latin typeface="맑은 고딕"/>
              <a:ea typeface="맑은 고딕"/>
              <a:cs typeface="Arial"/>
            </a:rPr>
            <a:pPr algn="l"/>
            <a:t>Gross product cost at break-even point</a:t>
          </a:fld>
          <a:endParaRPr lang="en-US" sz="2000" b="1">
            <a:solidFill>
              <a:srgbClr val="0000FF"/>
            </a:solidFill>
          </a:endParaRPr>
        </a:p>
      </cdr:txBody>
    </cdr:sp>
  </cdr:relSizeAnchor>
  <cdr:relSizeAnchor xmlns:cdr="http://schemas.openxmlformats.org/drawingml/2006/chartDrawing">
    <cdr:from>
      <cdr:x>0.48423</cdr:x>
      <cdr:y>0.64159</cdr:y>
    </cdr:from>
    <cdr:to>
      <cdr:x>0.79268</cdr:x>
      <cdr:y>0.69709</cdr:y>
    </cdr:to>
    <cdr:sp macro="" textlink="">
      <cdr:nvSpPr>
        <cdr:cNvPr id="64" name="TextBox 5">
          <a:extLst xmlns:a="http://schemas.openxmlformats.org/drawingml/2006/main">
            <a:ext uri="{FF2B5EF4-FFF2-40B4-BE49-F238E27FC236}">
              <a16:creationId xmlns:a16="http://schemas.microsoft.com/office/drawing/2014/main" id="{BCC97BBB-1797-D899-DDC0-FAEFBA176BEB}"/>
            </a:ext>
          </a:extLst>
        </cdr:cNvPr>
        <cdr:cNvSpPr txBox="1"/>
      </cdr:nvSpPr>
      <cdr:spPr>
        <a:xfrm xmlns:a="http://schemas.openxmlformats.org/drawingml/2006/main">
          <a:off x="4830348" y="3120027"/>
          <a:ext cx="3076873" cy="269894"/>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743A1F8B-2B43-4D7F-A11E-540AC3A5F558}" type="TxLink">
            <a:rPr lang="en-US" altLang="en-US" sz="1400" b="0" i="0" u="none" strike="noStrike">
              <a:solidFill>
                <a:srgbClr val="D99962"/>
              </a:solidFill>
              <a:latin typeface="맑은 고딕"/>
              <a:ea typeface="맑은 고딕"/>
              <a:cs typeface="Arial"/>
            </a:rPr>
            <a:pPr algn="l"/>
            <a:t>Total fixed cost</a:t>
          </a:fld>
          <a:r>
            <a:rPr lang="en-US" altLang="en-US" sz="1400" b="0" i="0" u="none" strike="noStrike">
              <a:solidFill>
                <a:srgbClr val="D99962"/>
              </a:solidFill>
              <a:latin typeface="맑은 고딕"/>
              <a:ea typeface="맑은 고딕"/>
              <a:cs typeface="Arial"/>
            </a:rPr>
            <a:t> </a:t>
          </a:r>
          <a:endParaRPr lang="en-US" sz="2000" b="1">
            <a:solidFill>
              <a:srgbClr val="D99962"/>
            </a:solidFill>
          </a:endParaRPr>
        </a:p>
      </cdr:txBody>
    </cdr:sp>
  </cdr:relSizeAnchor>
  <cdr:relSizeAnchor xmlns:cdr="http://schemas.openxmlformats.org/drawingml/2006/chartDrawing">
    <cdr:from>
      <cdr:x>0.48423</cdr:x>
      <cdr:y>0.7101</cdr:y>
    </cdr:from>
    <cdr:to>
      <cdr:x>0.79268</cdr:x>
      <cdr:y>0.76561</cdr:y>
    </cdr:to>
    <cdr:sp macro="" textlink="">
      <cdr:nvSpPr>
        <cdr:cNvPr id="65" name="TextBox 6">
          <a:extLst xmlns:a="http://schemas.openxmlformats.org/drawingml/2006/main">
            <a:ext uri="{FF2B5EF4-FFF2-40B4-BE49-F238E27FC236}">
              <a16:creationId xmlns:a16="http://schemas.microsoft.com/office/drawing/2014/main" id="{106C18BA-A334-B2FA-2169-F563967ACDE1}"/>
            </a:ext>
          </a:extLst>
        </cdr:cNvPr>
        <cdr:cNvSpPr txBox="1"/>
      </cdr:nvSpPr>
      <cdr:spPr>
        <a:xfrm xmlns:a="http://schemas.openxmlformats.org/drawingml/2006/main">
          <a:off x="4830348" y="3453188"/>
          <a:ext cx="3076873" cy="26994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CA00AFE-AFCB-4FD9-99D1-FA3F3A882762}" type="TxLink">
            <a:rPr lang="en-US" altLang="en-US" sz="1400" b="0" i="0" u="none" strike="noStrike">
              <a:solidFill>
                <a:srgbClr val="D9BA5F"/>
              </a:solidFill>
              <a:latin typeface="맑은 고딕"/>
              <a:ea typeface="맑은 고딕"/>
              <a:cs typeface="Arial"/>
            </a:rPr>
            <a:pPr algn="l"/>
            <a:t>Raw materials</a:t>
          </a:fld>
          <a:endParaRPr lang="en-US" sz="2000" b="1">
            <a:solidFill>
              <a:srgbClr val="D9BA5F"/>
            </a:solidFill>
          </a:endParaRPr>
        </a:p>
      </cdr:txBody>
    </cdr:sp>
  </cdr:relSizeAnchor>
  <cdr:relSizeAnchor xmlns:cdr="http://schemas.openxmlformats.org/drawingml/2006/chartDrawing">
    <cdr:from>
      <cdr:x>0.68937</cdr:x>
      <cdr:y>0.64159</cdr:y>
    </cdr:from>
    <cdr:to>
      <cdr:x>0.8005</cdr:x>
      <cdr:y>0.6971</cdr:y>
    </cdr:to>
    <cdr:sp macro="" textlink="">
      <cdr:nvSpPr>
        <cdr:cNvPr id="66" name="TextBox 7">
          <a:extLst xmlns:a="http://schemas.openxmlformats.org/drawingml/2006/main">
            <a:ext uri="{FF2B5EF4-FFF2-40B4-BE49-F238E27FC236}">
              <a16:creationId xmlns:a16="http://schemas.microsoft.com/office/drawing/2014/main" id="{E003B198-C6E4-54AB-5053-4ECBF8846906}"/>
            </a:ext>
          </a:extLst>
        </cdr:cNvPr>
        <cdr:cNvSpPr txBox="1"/>
      </cdr:nvSpPr>
      <cdr:spPr>
        <a:xfrm xmlns:a="http://schemas.openxmlformats.org/drawingml/2006/main">
          <a:off x="6876676" y="3120027"/>
          <a:ext cx="1108551" cy="26994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466272BF-6235-4792-A811-6A712736E9D6}" type="TxLink">
            <a:rPr lang="en-US" altLang="en-US" sz="1400" b="0" i="0" u="none" strike="noStrike">
              <a:solidFill>
                <a:srgbClr val="52591C"/>
              </a:solidFill>
              <a:latin typeface="맑은 고딕"/>
              <a:ea typeface="맑은 고딕"/>
              <a:cs typeface="Arial"/>
            </a:rPr>
            <a:pPr algn="l"/>
            <a:t>Operating labor</a:t>
          </a:fld>
          <a:endParaRPr lang="en-US" sz="2000" b="1">
            <a:solidFill>
              <a:srgbClr val="52591C"/>
            </a:solidFill>
          </a:endParaRPr>
        </a:p>
      </cdr:txBody>
    </cdr:sp>
  </cdr:relSizeAnchor>
  <cdr:relSizeAnchor xmlns:cdr="http://schemas.openxmlformats.org/drawingml/2006/chartDrawing">
    <cdr:from>
      <cdr:x>0.30977</cdr:x>
      <cdr:y>0.81299</cdr:y>
    </cdr:from>
    <cdr:to>
      <cdr:x>0.62003</cdr:x>
      <cdr:y>0.99722</cdr:y>
    </cdr:to>
    <cdr:grpSp>
      <cdr:nvGrpSpPr>
        <cdr:cNvPr id="52" name="그룹 51">
          <a:extLst xmlns:a="http://schemas.openxmlformats.org/drawingml/2006/main">
            <a:ext uri="{FF2B5EF4-FFF2-40B4-BE49-F238E27FC236}">
              <a16:creationId xmlns:a16="http://schemas.microsoft.com/office/drawing/2014/main" id="{3C3B8B5B-7165-CBA7-3393-4AAE687834C3}"/>
            </a:ext>
          </a:extLst>
        </cdr:cNvPr>
        <cdr:cNvGrpSpPr/>
      </cdr:nvGrpSpPr>
      <cdr:grpSpPr>
        <a:xfrm xmlns:a="http://schemas.openxmlformats.org/drawingml/2006/main">
          <a:off x="3090040" y="3953526"/>
          <a:ext cx="3094928" cy="895900"/>
          <a:chOff x="3365261" y="1906816"/>
          <a:chExt cx="3587277" cy="978131"/>
        </a:xfrm>
      </cdr:grpSpPr>
      <cdr:sp macro="" textlink="">
        <cdr:nvSpPr>
          <cdr:cNvPr id="59" name="TextBox 5">
            <a:extLst xmlns:a="http://schemas.openxmlformats.org/drawingml/2006/main">
              <a:ext uri="{FF2B5EF4-FFF2-40B4-BE49-F238E27FC236}">
                <a16:creationId xmlns:a16="http://schemas.microsoft.com/office/drawing/2014/main" id="{8C1835BE-50E5-8D79-2A39-518F623A683D}"/>
              </a:ext>
            </a:extLst>
          </cdr:cNvPr>
          <cdr:cNvSpPr txBox="1"/>
        </cdr:nvSpPr>
        <cdr:spPr>
          <a:xfrm xmlns:a="http://schemas.openxmlformats.org/drawingml/2006/main">
            <a:off x="3386179" y="1906816"/>
            <a:ext cx="3566359"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en-US" sz="2000" b="1">
              <a:solidFill>
                <a:schemeClr val="accent1">
                  <a:lumMod val="50000"/>
                </a:schemeClr>
              </a:solidFill>
            </a:endParaRPr>
          </a:p>
        </cdr:txBody>
      </cdr:sp>
      <cdr:sp macro="" textlink="">
        <cdr:nvSpPr>
          <cdr:cNvPr id="60" name="TextBox 6">
            <a:extLst xmlns:a="http://schemas.openxmlformats.org/drawingml/2006/main">
              <a:ext uri="{FF2B5EF4-FFF2-40B4-BE49-F238E27FC236}">
                <a16:creationId xmlns:a16="http://schemas.microsoft.com/office/drawing/2014/main" id="{29149745-AE53-987E-51B6-E0A6CCE08E55}"/>
              </a:ext>
            </a:extLst>
          </cdr:cNvPr>
          <cdr:cNvSpPr txBox="1"/>
        </cdr:nvSpPr>
        <cdr:spPr>
          <a:xfrm xmlns:a="http://schemas.openxmlformats.org/drawingml/2006/main">
            <a:off x="3386179" y="2590268"/>
            <a:ext cx="3566359" cy="29467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en-US" sz="2000" b="1">
              <a:solidFill>
                <a:schemeClr val="accent3">
                  <a:lumMod val="75000"/>
                </a:schemeClr>
              </a:solidFill>
            </a:endParaRPr>
          </a:p>
        </cdr:txBody>
      </cdr:sp>
      <cdr:sp macro="" textlink="">
        <cdr:nvSpPr>
          <cdr:cNvPr id="61" name="TextBox 11">
            <a:extLst xmlns:a="http://schemas.openxmlformats.org/drawingml/2006/main">
              <a:ext uri="{FF2B5EF4-FFF2-40B4-BE49-F238E27FC236}">
                <a16:creationId xmlns:a16="http://schemas.microsoft.com/office/drawing/2014/main" id="{287E0BF3-384D-D45D-98A4-A26D5CE3B33C}"/>
              </a:ext>
            </a:extLst>
          </cdr:cNvPr>
          <cdr:cNvSpPr txBox="1"/>
        </cdr:nvSpPr>
        <cdr:spPr>
          <a:xfrm xmlns:a="http://schemas.openxmlformats.org/drawingml/2006/main">
            <a:off x="3365261" y="2254188"/>
            <a:ext cx="3566360" cy="294733"/>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en-US" sz="2000" b="1">
              <a:solidFill>
                <a:srgbClr val="FF9900"/>
              </a:solidFill>
            </a:endParaRPr>
          </a:p>
        </cdr:txBody>
      </cdr:sp>
    </cdr:grpSp>
  </cdr:relSizeAnchor>
  <cdr:relSizeAnchor xmlns:cdr="http://schemas.openxmlformats.org/drawingml/2006/chartDrawing">
    <cdr:from>
      <cdr:x>0.53086</cdr:x>
      <cdr:y>0.75287</cdr:y>
    </cdr:from>
    <cdr:to>
      <cdr:x>0.83931</cdr:x>
      <cdr:y>0.80838</cdr:y>
    </cdr:to>
    <cdr:sp macro="" textlink="">
      <cdr:nvSpPr>
        <cdr:cNvPr id="53" name="TextBox 13">
          <a:extLst xmlns:a="http://schemas.openxmlformats.org/drawingml/2006/main">
            <a:ext uri="{FF2B5EF4-FFF2-40B4-BE49-F238E27FC236}">
              <a16:creationId xmlns:a16="http://schemas.microsoft.com/office/drawing/2014/main" id="{4AE2DADC-4333-FD69-DFD1-15A111CAB8CE}"/>
            </a:ext>
          </a:extLst>
        </cdr:cNvPr>
        <cdr:cNvSpPr txBox="1"/>
      </cdr:nvSpPr>
      <cdr:spPr>
        <a:xfrm xmlns:a="http://schemas.openxmlformats.org/drawingml/2006/main">
          <a:off x="9163286" y="4923418"/>
          <a:ext cx="5324233" cy="36295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en-US" sz="2000" b="1">
            <a:solidFill>
              <a:schemeClr val="accent4"/>
            </a:solidFill>
          </a:endParaRPr>
        </a:p>
      </cdr:txBody>
    </cdr:sp>
  </cdr:relSizeAnchor>
  <cdr:relSizeAnchor xmlns:cdr="http://schemas.openxmlformats.org/drawingml/2006/chartDrawing">
    <cdr:from>
      <cdr:x>0.53086</cdr:x>
      <cdr:y>0.81839</cdr:y>
    </cdr:from>
    <cdr:to>
      <cdr:x>0.83931</cdr:x>
      <cdr:y>0.8739</cdr:y>
    </cdr:to>
    <cdr:sp macro="" textlink="">
      <cdr:nvSpPr>
        <cdr:cNvPr id="54" name="TextBox 14">
          <a:extLst xmlns:a="http://schemas.openxmlformats.org/drawingml/2006/main">
            <a:ext uri="{FF2B5EF4-FFF2-40B4-BE49-F238E27FC236}">
              <a16:creationId xmlns:a16="http://schemas.microsoft.com/office/drawing/2014/main" id="{C631C728-66FB-9A05-7A08-DFB7A871CD1B}"/>
            </a:ext>
          </a:extLst>
        </cdr:cNvPr>
        <cdr:cNvSpPr txBox="1"/>
      </cdr:nvSpPr>
      <cdr:spPr>
        <a:xfrm xmlns:a="http://schemas.openxmlformats.org/drawingml/2006/main">
          <a:off x="9163287" y="5351886"/>
          <a:ext cx="5324233" cy="362952"/>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en-US" sz="2000" b="1">
            <a:solidFill>
              <a:srgbClr val="00FFFF"/>
            </a:solidFill>
          </a:endParaRPr>
        </a:p>
      </cdr:txBody>
    </cdr:sp>
  </cdr:relSizeAnchor>
  <cdr:relSizeAnchor xmlns:cdr="http://schemas.openxmlformats.org/drawingml/2006/chartDrawing">
    <cdr:from>
      <cdr:x>0.53086</cdr:x>
      <cdr:y>0.8787</cdr:y>
    </cdr:from>
    <cdr:to>
      <cdr:x>0.83931</cdr:x>
      <cdr:y>0.93421</cdr:y>
    </cdr:to>
    <cdr:sp macro="" textlink="">
      <cdr:nvSpPr>
        <cdr:cNvPr id="55" name="TextBox 15">
          <a:extLst xmlns:a="http://schemas.openxmlformats.org/drawingml/2006/main">
            <a:ext uri="{FF2B5EF4-FFF2-40B4-BE49-F238E27FC236}">
              <a16:creationId xmlns:a16="http://schemas.microsoft.com/office/drawing/2014/main" id="{CDAE7126-630E-771E-BE88-A3F221BE8535}"/>
            </a:ext>
          </a:extLst>
        </cdr:cNvPr>
        <cdr:cNvSpPr txBox="1"/>
      </cdr:nvSpPr>
      <cdr:spPr>
        <a:xfrm xmlns:a="http://schemas.openxmlformats.org/drawingml/2006/main">
          <a:off x="9163287" y="5746224"/>
          <a:ext cx="5324233" cy="363018"/>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en-US" sz="2000" b="1">
            <a:solidFill>
              <a:srgbClr val="FF66FF"/>
            </a:solidFill>
          </a:endParaRPr>
        </a:p>
      </cdr:txBody>
    </cdr:sp>
  </cdr:relSizeAnchor>
  <cdr:relSizeAnchor xmlns:cdr="http://schemas.openxmlformats.org/drawingml/2006/chartDrawing">
    <cdr:from>
      <cdr:x>0.5297</cdr:x>
      <cdr:y>0.94449</cdr:y>
    </cdr:from>
    <cdr:to>
      <cdr:x>0.80377</cdr:x>
      <cdr:y>1</cdr:y>
    </cdr:to>
    <cdr:sp macro="" textlink="">
      <cdr:nvSpPr>
        <cdr:cNvPr id="56" name="TextBox 15">
          <a:extLst xmlns:a="http://schemas.openxmlformats.org/drawingml/2006/main">
            <a:ext uri="{FF2B5EF4-FFF2-40B4-BE49-F238E27FC236}">
              <a16:creationId xmlns:a16="http://schemas.microsoft.com/office/drawing/2014/main" id="{5FD87900-C505-694D-49C2-F783F0480D25}"/>
            </a:ext>
          </a:extLst>
        </cdr:cNvPr>
        <cdr:cNvSpPr txBox="1"/>
      </cdr:nvSpPr>
      <cdr:spPr>
        <a:xfrm xmlns:a="http://schemas.openxmlformats.org/drawingml/2006/main">
          <a:off x="9143305" y="6176505"/>
          <a:ext cx="4730781" cy="362991"/>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en-US" sz="1400" b="1">
            <a:solidFill>
              <a:srgbClr val="CCCCFF"/>
            </a:solidFill>
          </a:endParaRPr>
        </a:p>
      </cdr:txBody>
    </cdr:sp>
  </cdr:relSizeAnchor>
  <cdr:relSizeAnchor xmlns:cdr="http://schemas.openxmlformats.org/drawingml/2006/chartDrawing">
    <cdr:from>
      <cdr:x>0.75259</cdr:x>
      <cdr:y>0.75383</cdr:y>
    </cdr:from>
    <cdr:to>
      <cdr:x>1</cdr:x>
      <cdr:y>0.80673</cdr:y>
    </cdr:to>
    <cdr:sp macro="" textlink="">
      <cdr:nvSpPr>
        <cdr:cNvPr id="57" name="TextBox 15">
          <a:extLst xmlns:a="http://schemas.openxmlformats.org/drawingml/2006/main">
            <a:ext uri="{FF2B5EF4-FFF2-40B4-BE49-F238E27FC236}">
              <a16:creationId xmlns:a16="http://schemas.microsoft.com/office/drawing/2014/main" id="{88FFB691-BC5A-520C-3C12-C71DB4659021}"/>
            </a:ext>
          </a:extLst>
        </cdr:cNvPr>
        <cdr:cNvSpPr txBox="1"/>
      </cdr:nvSpPr>
      <cdr:spPr>
        <a:xfrm xmlns:a="http://schemas.openxmlformats.org/drawingml/2006/main">
          <a:off x="12990707" y="4929664"/>
          <a:ext cx="4270573" cy="345927"/>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en-US" sz="1400" b="1">
            <a:solidFill>
              <a:srgbClr val="FF9999"/>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13</xdr:col>
      <xdr:colOff>0</xdr:colOff>
      <xdr:row>21</xdr:row>
      <xdr:rowOff>21129</xdr:rowOff>
    </xdr:from>
    <xdr:to>
      <xdr:col>13</xdr:col>
      <xdr:colOff>1380565</xdr:colOff>
      <xdr:row>24</xdr:row>
      <xdr:rowOff>0</xdr:rowOff>
    </xdr:to>
    <xdr:sp macro="" textlink="">
      <xdr:nvSpPr>
        <xdr:cNvPr id="2" name="사각형: 빗면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1223171" y="4331872"/>
          <a:ext cx="1380565" cy="534042"/>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Input &amp; results</a:t>
          </a:r>
        </a:p>
      </xdr:txBody>
    </xdr:sp>
    <xdr:clientData/>
  </xdr:twoCellAnchor>
  <xdr:twoCellAnchor>
    <xdr:from>
      <xdr:col>13</xdr:col>
      <xdr:colOff>2209801</xdr:colOff>
      <xdr:row>21</xdr:row>
      <xdr:rowOff>21130</xdr:rowOff>
    </xdr:from>
    <xdr:to>
      <xdr:col>14</xdr:col>
      <xdr:colOff>674915</xdr:colOff>
      <xdr:row>24</xdr:row>
      <xdr:rowOff>1</xdr:rowOff>
    </xdr:to>
    <xdr:sp macro="" textlink="">
      <xdr:nvSpPr>
        <xdr:cNvPr id="3" name="사각형: 빗면 2">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13432972" y="4331873"/>
          <a:ext cx="1371600" cy="534042"/>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Equipment</a:t>
          </a:r>
          <a:r>
            <a:rPr lang="en-US" altLang="ko-KR" sz="1000" baseline="0">
              <a:latin typeface="Arial" panose="020B0604020202020204" pitchFamily="34" charset="0"/>
              <a:cs typeface="Arial" panose="020B0604020202020204" pitchFamily="34" charset="0"/>
            </a:rPr>
            <a:t> price</a:t>
          </a:r>
          <a:endParaRPr lang="ko-KR" altLang="en-US" sz="1000">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34</xdr:col>
      <xdr:colOff>0</xdr:colOff>
      <xdr:row>2</xdr:row>
      <xdr:rowOff>21772</xdr:rowOff>
    </xdr:from>
    <xdr:to>
      <xdr:col>36</xdr:col>
      <xdr:colOff>52508</xdr:colOff>
      <xdr:row>4</xdr:row>
      <xdr:rowOff>98614</xdr:rowOff>
    </xdr:to>
    <xdr:sp macro="" textlink="">
      <xdr:nvSpPr>
        <xdr:cNvPr id="2" name="사각형: 빗면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1691257" y="576943"/>
          <a:ext cx="1380565" cy="534042"/>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Input &amp; results</a:t>
          </a:r>
        </a:p>
      </xdr:txBody>
    </xdr:sp>
    <xdr:clientData/>
  </xdr:twoCellAnchor>
  <xdr:twoCellAnchor>
    <xdr:from>
      <xdr:col>34</xdr:col>
      <xdr:colOff>0</xdr:colOff>
      <xdr:row>6</xdr:row>
      <xdr:rowOff>131270</xdr:rowOff>
    </xdr:from>
    <xdr:to>
      <xdr:col>36</xdr:col>
      <xdr:colOff>43543</xdr:colOff>
      <xdr:row>8</xdr:row>
      <xdr:rowOff>214273</xdr:rowOff>
    </xdr:to>
    <xdr:sp macro="" textlink="">
      <xdr:nvSpPr>
        <xdr:cNvPr id="3" name="사각형: 빗면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1691257" y="1622613"/>
          <a:ext cx="1371600" cy="561974"/>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Economic</a:t>
          </a:r>
          <a:r>
            <a:rPr lang="en-US" altLang="ko-KR" sz="1000" baseline="0">
              <a:latin typeface="Arial" panose="020B0604020202020204" pitchFamily="34" charset="0"/>
              <a:cs typeface="Arial" panose="020B0604020202020204" pitchFamily="34" charset="0"/>
            </a:rPr>
            <a:t> evaluation -1</a:t>
          </a:r>
          <a:endParaRPr lang="ko-KR" altLang="en-US" sz="10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221673</xdr:colOff>
      <xdr:row>1</xdr:row>
      <xdr:rowOff>0</xdr:rowOff>
    </xdr:from>
    <xdr:to>
      <xdr:col>9</xdr:col>
      <xdr:colOff>272201</xdr:colOff>
      <xdr:row>2</xdr:row>
      <xdr:rowOff>146115</xdr:rowOff>
    </xdr:to>
    <xdr:sp macro="" textlink="">
      <xdr:nvSpPr>
        <xdr:cNvPr id="2" name="사각형: 빗면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9171709" y="180109"/>
          <a:ext cx="1380565" cy="534042"/>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Input &amp; results</a:t>
          </a:r>
        </a:p>
      </xdr:txBody>
    </xdr:sp>
    <xdr:clientData/>
  </xdr:twoCellAnchor>
  <xdr:twoCellAnchor>
    <xdr:from>
      <xdr:col>10</xdr:col>
      <xdr:colOff>0</xdr:colOff>
      <xdr:row>1</xdr:row>
      <xdr:rowOff>0</xdr:rowOff>
    </xdr:from>
    <xdr:to>
      <xdr:col>10</xdr:col>
      <xdr:colOff>1371600</xdr:colOff>
      <xdr:row>2</xdr:row>
      <xdr:rowOff>164523</xdr:rowOff>
    </xdr:to>
    <xdr:sp macro="" textlink="">
      <xdr:nvSpPr>
        <xdr:cNvPr id="3" name="사각형: 빗면 2">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11236036" y="180109"/>
          <a:ext cx="1371600" cy="552450"/>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solidFill>
                <a:schemeClr val="lt1"/>
              </a:solidFill>
              <a:effectLst/>
              <a:latin typeface="Arial" panose="020B0604020202020204" pitchFamily="34" charset="0"/>
              <a:ea typeface="+mn-ea"/>
              <a:cs typeface="Arial" panose="020B0604020202020204" pitchFamily="34" charset="0"/>
            </a:rPr>
            <a:t>Economic</a:t>
          </a:r>
          <a:r>
            <a:rPr lang="en-US" altLang="ko-KR" sz="1000" baseline="0">
              <a:solidFill>
                <a:schemeClr val="lt1"/>
              </a:solidFill>
              <a:effectLst/>
              <a:latin typeface="Arial" panose="020B0604020202020204" pitchFamily="34" charset="0"/>
              <a:ea typeface="+mn-ea"/>
              <a:cs typeface="Arial" panose="020B0604020202020204" pitchFamily="34" charset="0"/>
            </a:rPr>
            <a:t> evaluation -2</a:t>
          </a:r>
          <a:endParaRPr lang="ko-KR" altLang="ko-KR" sz="1000">
            <a:effectLst/>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37</xdr:row>
      <xdr:rowOff>0</xdr:rowOff>
    </xdr:from>
    <xdr:to>
      <xdr:col>10</xdr:col>
      <xdr:colOff>0</xdr:colOff>
      <xdr:row>56</xdr:row>
      <xdr:rowOff>41564</xdr:rowOff>
    </xdr:to>
    <xdr:graphicFrame macro="">
      <xdr:nvGraphicFramePr>
        <xdr:cNvPr id="6" name="차트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0</xdr:rowOff>
    </xdr:from>
    <xdr:to>
      <xdr:col>10</xdr:col>
      <xdr:colOff>0</xdr:colOff>
      <xdr:row>34</xdr:row>
      <xdr:rowOff>55419</xdr:rowOff>
    </xdr:to>
    <xdr:graphicFrame macro="">
      <xdr:nvGraphicFramePr>
        <xdr:cNvPr id="7" name="차트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92</xdr:row>
      <xdr:rowOff>0</xdr:rowOff>
    </xdr:from>
    <xdr:to>
      <xdr:col>13</xdr:col>
      <xdr:colOff>574272</xdr:colOff>
      <xdr:row>126</xdr:row>
      <xdr:rowOff>35329</xdr:rowOff>
    </xdr:to>
    <mc:AlternateContent xmlns:mc="http://schemas.openxmlformats.org/markup-compatibility/2006">
      <mc:Choice xmlns:cx1="http://schemas.microsoft.com/office/drawing/2015/9/8/chartex" Requires="cx1">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63840" y="17099280"/>
              <a:ext cx="10785072" cy="6580909"/>
            </a:xfrm>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6</xdr:col>
      <xdr:colOff>0</xdr:colOff>
      <xdr:row>65</xdr:row>
      <xdr:rowOff>0</xdr:rowOff>
    </xdr:from>
    <xdr:to>
      <xdr:col>18</xdr:col>
      <xdr:colOff>0</xdr:colOff>
      <xdr:row>89</xdr:row>
      <xdr:rowOff>0</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xdr:row>
      <xdr:rowOff>188257</xdr:rowOff>
    </xdr:from>
    <xdr:to>
      <xdr:col>7</xdr:col>
      <xdr:colOff>376518</xdr:colOff>
      <xdr:row>3</xdr:row>
      <xdr:rowOff>179293</xdr:rowOff>
    </xdr:to>
    <xdr:sp macro="" textlink="">
      <xdr:nvSpPr>
        <xdr:cNvPr id="3" name="사각형: 빗면 2">
          <a:hlinkClick xmlns:r="http://schemas.openxmlformats.org/officeDocument/2006/relationships" r:id="rId5"/>
          <a:extLst>
            <a:ext uri="{FF2B5EF4-FFF2-40B4-BE49-F238E27FC236}">
              <a16:creationId xmlns:a16="http://schemas.microsoft.com/office/drawing/2014/main" id="{00000000-0008-0000-0700-000003000000}"/>
            </a:ext>
          </a:extLst>
        </xdr:cNvPr>
        <xdr:cNvSpPr/>
      </xdr:nvSpPr>
      <xdr:spPr>
        <a:xfrm>
          <a:off x="10139082" y="367551"/>
          <a:ext cx="1380565" cy="555813"/>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baseline="0">
              <a:latin typeface="Arial" panose="020B0604020202020204" pitchFamily="34" charset="0"/>
              <a:cs typeface="Arial" panose="020B0604020202020204" pitchFamily="34" charset="0"/>
            </a:rPr>
            <a:t>Input &amp; results</a:t>
          </a:r>
        </a:p>
      </xdr:txBody>
    </xdr:sp>
    <xdr:clientData/>
  </xdr:twoCellAnchor>
  <xdr:twoCellAnchor>
    <xdr:from>
      <xdr:col>7</xdr:col>
      <xdr:colOff>1147482</xdr:colOff>
      <xdr:row>1</xdr:row>
      <xdr:rowOff>188258</xdr:rowOff>
    </xdr:from>
    <xdr:to>
      <xdr:col>7</xdr:col>
      <xdr:colOff>2519082</xdr:colOff>
      <xdr:row>4</xdr:row>
      <xdr:rowOff>6162</xdr:rowOff>
    </xdr:to>
    <xdr:sp macro="" textlink="">
      <xdr:nvSpPr>
        <xdr:cNvPr id="5" name="사각형: 빗면 4">
          <a:hlinkClick xmlns:r="http://schemas.openxmlformats.org/officeDocument/2006/relationships" r:id="rId6"/>
          <a:extLst>
            <a:ext uri="{FF2B5EF4-FFF2-40B4-BE49-F238E27FC236}">
              <a16:creationId xmlns:a16="http://schemas.microsoft.com/office/drawing/2014/main" id="{00000000-0008-0000-0700-000005000000}"/>
            </a:ext>
          </a:extLst>
        </xdr:cNvPr>
        <xdr:cNvSpPr/>
      </xdr:nvSpPr>
      <xdr:spPr>
        <a:xfrm>
          <a:off x="12290611" y="367552"/>
          <a:ext cx="1371600" cy="561975"/>
        </a:xfrm>
        <a:prstGeom prst="bevel">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000">
              <a:latin typeface="Arial" panose="020B0604020202020204" pitchFamily="34" charset="0"/>
              <a:cs typeface="Arial" panose="020B0604020202020204" pitchFamily="34" charset="0"/>
            </a:rPr>
            <a:t>Environmental evaluation</a:t>
          </a:r>
          <a:endParaRPr lang="ko-KR" altLang="en-US" sz="100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ren4/Documents/&#52852;&#52852;&#50724;&#53665;%20&#48155;&#51008;%20&#54028;&#51068;/Tool(06.09)%20-%20&#49688;&#51221;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ornado%20Charts%20&amp;%20Risk%20Analysi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Description"/>
      <sheetName val="Process flow"/>
      <sheetName val="Inputs &amp; results"/>
      <sheetName val="Material &amp; energy balance"/>
      <sheetName val="Equipment price"/>
      <sheetName val="Economic evaluation"/>
      <sheetName val="Environmental evaluation"/>
      <sheetName val="Future work"/>
    </sheetNames>
    <sheetDataSet>
      <sheetData sheetId="0"/>
      <sheetData sheetId="1"/>
      <sheetData sheetId="2"/>
      <sheetData sheetId="3">
        <row r="23">
          <cell r="C23" t="str">
            <v>Raw material price</v>
          </cell>
        </row>
      </sheetData>
      <sheetData sheetId="4"/>
      <sheetData sheetId="5"/>
      <sheetData sheetId="6">
        <row r="21">
          <cell r="Y21" t="str">
            <v xml:space="preserve">Li2CO3 sales </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rnado Charts &amp; Risk Analysis"/>
    </sheetNames>
    <sheetDataSet>
      <sheetData sheetId="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HGYH-GNU/S3-process" TargetMode="External"/><Relationship Id="rId1" Type="http://schemas.openxmlformats.org/officeDocument/2006/relationships/hyperlink" Target="mailto:wjdtnals37@g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2:N40"/>
  <sheetViews>
    <sheetView showGridLines="0" tabSelected="1" zoomScale="85" zoomScaleNormal="85" workbookViewId="0">
      <selection activeCell="G24" sqref="G24"/>
    </sheetView>
  </sheetViews>
  <sheetFormatPr defaultColWidth="9" defaultRowHeight="13.8" x14ac:dyDescent="0.4"/>
  <cols>
    <col min="1" max="1" width="9.19921875" style="1" customWidth="1"/>
    <col min="2" max="2" width="34.8984375" style="1" bestFit="1" customWidth="1"/>
    <col min="3" max="3" width="61.8984375" style="1" customWidth="1"/>
    <col min="4" max="4" width="9" style="1"/>
    <col min="5" max="5" width="9" style="1" customWidth="1"/>
    <col min="6" max="7" width="9" style="1"/>
    <col min="8" max="8" width="9" style="1" customWidth="1"/>
    <col min="9" max="16384" width="9" style="1"/>
  </cols>
  <sheetData>
    <row r="2" spans="2:5" ht="30" x14ac:dyDescent="0.4">
      <c r="B2" s="343" t="s">
        <v>408</v>
      </c>
      <c r="C2" s="343"/>
      <c r="D2" s="343"/>
      <c r="E2" s="343"/>
    </row>
    <row r="4" spans="2:5" ht="14.4" thickBot="1" x14ac:dyDescent="0.45"/>
    <row r="5" spans="2:5" x14ac:dyDescent="0.4">
      <c r="B5" s="196" t="s">
        <v>0</v>
      </c>
      <c r="C5" s="202" t="s">
        <v>459</v>
      </c>
      <c r="D5" s="197"/>
    </row>
    <row r="6" spans="2:5" x14ac:dyDescent="0.4">
      <c r="B6" s="230"/>
      <c r="D6" s="199"/>
    </row>
    <row r="7" spans="2:5" ht="17.399999999999999" x14ac:dyDescent="0.4">
      <c r="B7" s="198" t="s">
        <v>1</v>
      </c>
      <c r="C7" s="1" t="s">
        <v>2</v>
      </c>
      <c r="D7" s="199"/>
      <c r="E7" s="3"/>
    </row>
    <row r="8" spans="2:5" x14ac:dyDescent="0.4">
      <c r="B8" s="230"/>
      <c r="D8" s="199"/>
    </row>
    <row r="9" spans="2:5" x14ac:dyDescent="0.4">
      <c r="B9" s="198" t="s">
        <v>3</v>
      </c>
      <c r="C9" s="1" t="s">
        <v>4</v>
      </c>
      <c r="D9" s="199"/>
    </row>
    <row r="10" spans="2:5" x14ac:dyDescent="0.4">
      <c r="B10" s="230"/>
      <c r="D10" s="199"/>
    </row>
    <row r="11" spans="2:5" ht="17.399999999999999" x14ac:dyDescent="0.4">
      <c r="B11" s="198" t="s">
        <v>5</v>
      </c>
      <c r="C11" s="203" t="s">
        <v>6</v>
      </c>
      <c r="D11" s="199"/>
    </row>
    <row r="12" spans="2:5" x14ac:dyDescent="0.4">
      <c r="B12" s="230"/>
      <c r="D12" s="199"/>
    </row>
    <row r="13" spans="2:5" x14ac:dyDescent="0.4">
      <c r="B13" s="198" t="s">
        <v>7</v>
      </c>
      <c r="C13" s="229">
        <v>45096</v>
      </c>
      <c r="D13" s="199"/>
    </row>
    <row r="14" spans="2:5" x14ac:dyDescent="0.4">
      <c r="B14" s="230"/>
      <c r="D14" s="199"/>
    </row>
    <row r="15" spans="2:5" ht="18" thickBot="1" x14ac:dyDescent="0.45">
      <c r="B15" s="200" t="s">
        <v>8</v>
      </c>
      <c r="C15" s="204" t="s">
        <v>401</v>
      </c>
      <c r="D15" s="201"/>
    </row>
    <row r="16" spans="2:5" x14ac:dyDescent="0.4">
      <c r="E16" s="15"/>
    </row>
    <row r="17" spans="2:14" x14ac:dyDescent="0.4">
      <c r="E17" s="15"/>
    </row>
    <row r="18" spans="2:14" ht="14.4" thickBot="1" x14ac:dyDescent="0.45">
      <c r="E18" s="15"/>
    </row>
    <row r="19" spans="2:14" x14ac:dyDescent="0.4">
      <c r="B19" s="196" t="s">
        <v>9</v>
      </c>
      <c r="C19" s="205" t="s">
        <v>10</v>
      </c>
      <c r="D19" s="197"/>
      <c r="E19" s="15"/>
    </row>
    <row r="20" spans="2:14" x14ac:dyDescent="0.4">
      <c r="B20" s="230"/>
      <c r="D20" s="199"/>
      <c r="E20" s="15"/>
    </row>
    <row r="21" spans="2:14" x14ac:dyDescent="0.4">
      <c r="B21" s="198" t="s">
        <v>11</v>
      </c>
      <c r="C21" s="1" t="s">
        <v>12</v>
      </c>
      <c r="D21" s="199"/>
      <c r="E21" s="15"/>
    </row>
    <row r="22" spans="2:14" x14ac:dyDescent="0.4">
      <c r="B22" s="230"/>
      <c r="D22" s="199"/>
      <c r="E22" s="15"/>
    </row>
    <row r="23" spans="2:14" ht="31.2" x14ac:dyDescent="0.4">
      <c r="B23" s="198" t="s">
        <v>13</v>
      </c>
      <c r="C23" s="195" t="s">
        <v>513</v>
      </c>
      <c r="D23" s="199"/>
      <c r="E23" s="15"/>
    </row>
    <row r="24" spans="2:14" x14ac:dyDescent="0.4">
      <c r="B24" s="230"/>
      <c r="D24" s="199"/>
      <c r="E24" s="15"/>
    </row>
    <row r="25" spans="2:14" ht="28.2" thickBot="1" x14ac:dyDescent="0.45">
      <c r="B25" s="200" t="s">
        <v>14</v>
      </c>
      <c r="C25" s="206" t="s">
        <v>15</v>
      </c>
      <c r="D25" s="201"/>
      <c r="E25" s="15"/>
      <c r="F25" s="15"/>
      <c r="G25" s="15"/>
      <c r="H25" s="15"/>
      <c r="I25" s="15"/>
      <c r="J25" s="15"/>
      <c r="K25" s="15"/>
      <c r="L25" s="15"/>
      <c r="M25" s="15"/>
      <c r="N25" s="15"/>
    </row>
    <row r="26" spans="2:14" x14ac:dyDescent="0.4">
      <c r="E26" s="15"/>
      <c r="F26" s="15"/>
      <c r="G26" s="15"/>
      <c r="H26" s="15"/>
      <c r="I26" s="15"/>
      <c r="J26" s="15"/>
      <c r="K26" s="15"/>
      <c r="L26" s="15"/>
      <c r="M26" s="15"/>
      <c r="N26" s="15"/>
    </row>
    <row r="27" spans="2:14" x14ac:dyDescent="0.4">
      <c r="E27" s="15"/>
      <c r="F27" s="15"/>
      <c r="G27" s="15"/>
      <c r="H27" s="15"/>
      <c r="I27" s="15"/>
      <c r="J27" s="15"/>
      <c r="K27" s="15"/>
      <c r="L27" s="15"/>
      <c r="M27" s="15"/>
      <c r="N27" s="15"/>
    </row>
    <row r="28" spans="2:14" x14ac:dyDescent="0.4">
      <c r="B28" s="2"/>
      <c r="E28" s="15"/>
      <c r="F28" s="15"/>
      <c r="G28" s="15"/>
      <c r="H28" s="15"/>
      <c r="I28" s="15"/>
      <c r="J28" s="15"/>
      <c r="K28" s="15"/>
      <c r="L28" s="15"/>
      <c r="M28" s="15"/>
      <c r="N28" s="15"/>
    </row>
    <row r="29" spans="2:14" x14ac:dyDescent="0.4">
      <c r="E29" s="15"/>
      <c r="F29" s="15"/>
      <c r="G29" s="15"/>
      <c r="H29" s="15"/>
      <c r="I29" s="15"/>
      <c r="J29" s="15"/>
      <c r="K29" s="15"/>
      <c r="L29" s="15"/>
      <c r="M29" s="15"/>
      <c r="N29" s="15"/>
    </row>
    <row r="30" spans="2:14" x14ac:dyDescent="0.4">
      <c r="E30" s="15"/>
      <c r="F30" s="15"/>
      <c r="G30" s="15"/>
      <c r="H30" s="15"/>
      <c r="I30" s="15"/>
      <c r="J30" s="15"/>
      <c r="K30" s="15"/>
      <c r="L30" s="15"/>
      <c r="M30" s="15"/>
      <c r="N30" s="15"/>
    </row>
    <row r="31" spans="2:14" x14ac:dyDescent="0.4">
      <c r="E31" s="15"/>
      <c r="F31" s="15"/>
      <c r="G31" s="15"/>
      <c r="H31" s="15"/>
      <c r="I31" s="15"/>
      <c r="J31" s="15"/>
      <c r="K31" s="15"/>
      <c r="L31" s="15"/>
      <c r="M31" s="15"/>
      <c r="N31" s="15"/>
    </row>
    <row r="32" spans="2:14" x14ac:dyDescent="0.4">
      <c r="E32" s="15"/>
      <c r="F32" s="15"/>
      <c r="G32" s="15"/>
      <c r="H32" s="15"/>
      <c r="I32" s="15"/>
      <c r="J32" s="15"/>
      <c r="K32" s="15"/>
      <c r="L32" s="15"/>
      <c r="M32" s="15"/>
      <c r="N32" s="15"/>
    </row>
    <row r="33" spans="5:14" x14ac:dyDescent="0.4">
      <c r="E33" s="15"/>
      <c r="F33" s="15"/>
      <c r="G33" s="15"/>
      <c r="H33" s="15"/>
      <c r="I33" s="15"/>
      <c r="J33" s="15"/>
      <c r="K33" s="15"/>
      <c r="L33" s="15"/>
      <c r="M33" s="15"/>
      <c r="N33" s="15"/>
    </row>
    <row r="34" spans="5:14" x14ac:dyDescent="0.4">
      <c r="E34" s="15"/>
      <c r="F34" s="15"/>
      <c r="G34" s="15"/>
      <c r="H34" s="15"/>
      <c r="I34" s="15"/>
      <c r="J34" s="15"/>
      <c r="K34" s="15"/>
      <c r="L34" s="15"/>
      <c r="M34" s="15"/>
      <c r="N34" s="15"/>
    </row>
    <row r="35" spans="5:14" x14ac:dyDescent="0.4">
      <c r="E35" s="15"/>
      <c r="F35" s="15"/>
      <c r="G35" s="15"/>
      <c r="H35" s="15"/>
      <c r="I35" s="15"/>
      <c r="J35" s="15"/>
      <c r="K35" s="15"/>
      <c r="L35" s="15"/>
      <c r="M35" s="15"/>
      <c r="N35" s="15"/>
    </row>
    <row r="36" spans="5:14" x14ac:dyDescent="0.4">
      <c r="E36" s="15"/>
      <c r="F36" s="15"/>
      <c r="G36" s="15"/>
      <c r="H36" s="15"/>
      <c r="I36" s="15"/>
      <c r="J36" s="15"/>
      <c r="K36" s="15"/>
      <c r="L36" s="15"/>
      <c r="M36" s="15"/>
      <c r="N36" s="15"/>
    </row>
    <row r="37" spans="5:14" x14ac:dyDescent="0.4">
      <c r="E37" s="15"/>
      <c r="F37" s="15"/>
      <c r="G37" s="15"/>
      <c r="H37" s="15"/>
      <c r="I37" s="15"/>
      <c r="J37" s="15"/>
      <c r="K37" s="15"/>
      <c r="L37" s="15"/>
      <c r="M37" s="15"/>
      <c r="N37" s="15"/>
    </row>
    <row r="38" spans="5:14" x14ac:dyDescent="0.4">
      <c r="E38" s="15"/>
      <c r="F38" s="15"/>
      <c r="G38" s="15"/>
      <c r="H38" s="15"/>
      <c r="I38" s="15"/>
      <c r="J38" s="15"/>
      <c r="K38" s="15"/>
      <c r="L38" s="15"/>
      <c r="M38" s="15"/>
      <c r="N38" s="15"/>
    </row>
    <row r="39" spans="5:14" x14ac:dyDescent="0.4">
      <c r="E39" s="15"/>
      <c r="F39" s="15"/>
      <c r="G39" s="15"/>
      <c r="H39" s="15"/>
      <c r="I39" s="15"/>
      <c r="J39" s="15"/>
      <c r="K39" s="15"/>
      <c r="L39" s="15"/>
      <c r="M39" s="15"/>
      <c r="N39" s="15"/>
    </row>
    <row r="40" spans="5:14" x14ac:dyDescent="0.4">
      <c r="E40" s="15"/>
      <c r="F40" s="15"/>
      <c r="G40" s="15"/>
      <c r="H40" s="15"/>
      <c r="I40" s="15"/>
      <c r="J40" s="15"/>
      <c r="K40" s="15"/>
      <c r="L40" s="15"/>
      <c r="M40" s="15"/>
      <c r="N40" s="15"/>
    </row>
  </sheetData>
  <mergeCells count="1">
    <mergeCell ref="B2:E2"/>
  </mergeCells>
  <phoneticPr fontId="1" type="noConversion"/>
  <hyperlinks>
    <hyperlink ref="C11" r:id="rId1" xr:uid="{00000000-0004-0000-0000-000000000000}"/>
    <hyperlink ref="C15"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59999389629810485"/>
  </sheetPr>
  <dimension ref="B2:B25"/>
  <sheetViews>
    <sheetView showGridLines="0" zoomScaleNormal="100" workbookViewId="0">
      <selection activeCell="B2" sqref="B2"/>
    </sheetView>
  </sheetViews>
  <sheetFormatPr defaultColWidth="8.69921875" defaultRowHeight="13.8" x14ac:dyDescent="0.4"/>
  <cols>
    <col min="1" max="1" width="8.69921875" style="1"/>
    <col min="2" max="2" width="115.5" style="1" customWidth="1"/>
    <col min="3" max="16384" width="8.69921875" style="1"/>
  </cols>
  <sheetData>
    <row r="2" spans="2:2" ht="30" x14ac:dyDescent="0.4">
      <c r="B2" s="208" t="s">
        <v>407</v>
      </c>
    </row>
    <row r="25" spans="2:2" ht="103.2" customHeight="1" x14ac:dyDescent="0.4">
      <c r="B25" s="227" t="s">
        <v>300</v>
      </c>
    </row>
  </sheetData>
  <phoneticPr fontId="1" type="noConversion"/>
  <pageMargins left="0.7" right="0.7" top="0.75" bottom="0.75" header="0.3" footer="0.3"/>
  <pageSetup paperSize="9" orientation="portrait" horizontalDpi="4294967292" r:id="rId1"/>
  <drawing r:id="rId2"/>
  <legacyDrawing r:id="rId3"/>
  <oleObjects>
    <mc:AlternateContent xmlns:mc="http://schemas.openxmlformats.org/markup-compatibility/2006">
      <mc:Choice Requires="x14">
        <oleObject progId="AutoCAD Drawing" shapeId="8194" r:id="rId4">
          <objectPr defaultSize="0" autoPict="0" r:id="rId5">
            <anchor moveWithCells="1">
              <from>
                <xdr:col>1</xdr:col>
                <xdr:colOff>22860</xdr:colOff>
                <xdr:row>2</xdr:row>
                <xdr:rowOff>0</xdr:rowOff>
              </from>
              <to>
                <xdr:col>1</xdr:col>
                <xdr:colOff>8770620</xdr:colOff>
                <xdr:row>24</xdr:row>
                <xdr:rowOff>0</xdr:rowOff>
              </to>
            </anchor>
          </objectPr>
        </oleObject>
      </mc:Choice>
      <mc:Fallback>
        <oleObject progId="AutoCAD Drawing" shapeId="8194"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B2:J42"/>
  <sheetViews>
    <sheetView showGridLines="0" zoomScale="85" zoomScaleNormal="85" workbookViewId="0"/>
  </sheetViews>
  <sheetFormatPr defaultColWidth="8.69921875" defaultRowHeight="13.8" x14ac:dyDescent="0.4"/>
  <cols>
    <col min="1" max="1" width="8.69921875" style="1"/>
    <col min="2" max="2" width="120.19921875" style="1" customWidth="1"/>
    <col min="3" max="16384" width="8.69921875" style="1"/>
  </cols>
  <sheetData>
    <row r="2" spans="2:5" ht="30" x14ac:dyDescent="0.4">
      <c r="B2" s="343" t="s">
        <v>407</v>
      </c>
      <c r="C2" s="343"/>
      <c r="D2" s="343"/>
      <c r="E2" s="343"/>
    </row>
    <row r="3" spans="2:5" x14ac:dyDescent="0.4">
      <c r="B3" s="207"/>
    </row>
    <row r="4" spans="2:5" x14ac:dyDescent="0.4">
      <c r="B4" s="207"/>
    </row>
    <row r="5" spans="2:5" x14ac:dyDescent="0.4">
      <c r="B5" s="207"/>
    </row>
    <row r="6" spans="2:5" ht="15.6" x14ac:dyDescent="0.4">
      <c r="B6" s="231" t="s">
        <v>16</v>
      </c>
    </row>
    <row r="7" spans="2:5" ht="69" customHeight="1" x14ac:dyDescent="0.4">
      <c r="B7" s="227" t="s">
        <v>334</v>
      </c>
    </row>
    <row r="10" spans="2:5" ht="15.6" x14ac:dyDescent="0.4">
      <c r="B10" s="231" t="s">
        <v>17</v>
      </c>
    </row>
    <row r="11" spans="2:5" ht="83.4" customHeight="1" x14ac:dyDescent="0.4">
      <c r="B11" s="227" t="s">
        <v>335</v>
      </c>
    </row>
    <row r="14" spans="2:5" ht="15.6" x14ac:dyDescent="0.4">
      <c r="B14" s="231" t="s">
        <v>18</v>
      </c>
    </row>
    <row r="15" spans="2:5" ht="88.95" customHeight="1" x14ac:dyDescent="0.4">
      <c r="B15" s="226" t="s">
        <v>458</v>
      </c>
    </row>
    <row r="16" spans="2:5" x14ac:dyDescent="0.4">
      <c r="B16" s="15"/>
    </row>
    <row r="18" spans="2:10" s="228" customFormat="1" ht="15.6" x14ac:dyDescent="0.4">
      <c r="B18" s="232" t="s">
        <v>19</v>
      </c>
    </row>
    <row r="19" spans="2:10" ht="13.8" customHeight="1" x14ac:dyDescent="0.4">
      <c r="B19" s="336" t="s">
        <v>463</v>
      </c>
      <c r="C19" s="337"/>
      <c r="D19" s="337"/>
      <c r="E19" s="337"/>
      <c r="F19" s="337"/>
      <c r="G19" s="337"/>
      <c r="H19" s="337"/>
      <c r="I19" s="337"/>
      <c r="J19" s="337"/>
    </row>
    <row r="20" spans="2:10" ht="13.8" customHeight="1" x14ac:dyDescent="0.4">
      <c r="B20" s="338" t="s">
        <v>464</v>
      </c>
      <c r="C20" s="337"/>
      <c r="D20" s="337"/>
      <c r="E20" s="337"/>
      <c r="F20" s="337"/>
      <c r="G20" s="337"/>
      <c r="H20" s="337"/>
      <c r="I20" s="337"/>
      <c r="J20" s="337"/>
    </row>
    <row r="21" spans="2:10" ht="13.8" customHeight="1" x14ac:dyDescent="0.4">
      <c r="B21" s="338" t="s">
        <v>465</v>
      </c>
      <c r="C21" s="337"/>
      <c r="D21" s="337"/>
      <c r="E21" s="337"/>
      <c r="F21" s="337"/>
      <c r="G21" s="337"/>
      <c r="H21" s="337"/>
      <c r="I21" s="337"/>
      <c r="J21" s="337"/>
    </row>
    <row r="22" spans="2:10" ht="13.8" customHeight="1" x14ac:dyDescent="0.4">
      <c r="B22" s="338" t="s">
        <v>466</v>
      </c>
      <c r="C22" s="337"/>
      <c r="D22" s="337"/>
      <c r="E22" s="337"/>
      <c r="F22" s="337"/>
      <c r="G22" s="337"/>
      <c r="H22" s="337"/>
      <c r="I22" s="337"/>
      <c r="J22" s="337"/>
    </row>
    <row r="23" spans="2:10" ht="13.8" customHeight="1" x14ac:dyDescent="0.4">
      <c r="B23" s="338" t="s">
        <v>467</v>
      </c>
      <c r="C23" s="337"/>
      <c r="D23" s="337"/>
      <c r="E23" s="337"/>
      <c r="F23" s="337"/>
      <c r="G23" s="337"/>
      <c r="H23" s="337"/>
      <c r="I23" s="337"/>
      <c r="J23" s="337"/>
    </row>
    <row r="24" spans="2:10" ht="13.8" customHeight="1" x14ac:dyDescent="0.4">
      <c r="B24" s="336" t="s">
        <v>468</v>
      </c>
      <c r="C24" s="337"/>
      <c r="D24" s="337"/>
      <c r="E24" s="337"/>
      <c r="F24" s="337"/>
      <c r="G24" s="337"/>
      <c r="H24" s="337"/>
      <c r="I24" s="337"/>
      <c r="J24" s="337"/>
    </row>
    <row r="25" spans="2:10" ht="13.8" customHeight="1" x14ac:dyDescent="0.4">
      <c r="B25" s="336" t="s">
        <v>469</v>
      </c>
      <c r="C25" s="337"/>
      <c r="D25" s="337"/>
      <c r="E25" s="337"/>
      <c r="F25" s="337"/>
      <c r="G25" s="337"/>
      <c r="H25" s="337"/>
      <c r="I25" s="337"/>
      <c r="J25" s="337"/>
    </row>
    <row r="26" spans="2:10" ht="13.8" customHeight="1" x14ac:dyDescent="0.4">
      <c r="B26" s="338" t="s">
        <v>470</v>
      </c>
      <c r="C26" s="337"/>
      <c r="D26" s="337"/>
      <c r="E26" s="337"/>
      <c r="F26" s="337"/>
      <c r="G26" s="337"/>
      <c r="H26" s="337"/>
      <c r="I26" s="337"/>
      <c r="J26" s="337"/>
    </row>
    <row r="27" spans="2:10" ht="13.8" customHeight="1" x14ac:dyDescent="0.4">
      <c r="B27" s="336" t="s">
        <v>471</v>
      </c>
      <c r="C27" s="337"/>
      <c r="D27" s="337"/>
      <c r="E27" s="337"/>
      <c r="F27" s="337"/>
      <c r="G27" s="337"/>
      <c r="H27" s="337"/>
      <c r="I27" s="337"/>
      <c r="J27" s="337"/>
    </row>
    <row r="28" spans="2:10" ht="13.8" customHeight="1" x14ac:dyDescent="0.4">
      <c r="B28" s="336" t="s">
        <v>472</v>
      </c>
      <c r="C28" s="337"/>
      <c r="D28" s="337"/>
      <c r="E28" s="337"/>
      <c r="F28" s="337"/>
      <c r="G28" s="337"/>
      <c r="H28" s="337"/>
      <c r="I28" s="337"/>
      <c r="J28" s="337"/>
    </row>
    <row r="29" spans="2:10" ht="13.8" customHeight="1" x14ac:dyDescent="0.4">
      <c r="B29" s="338" t="s">
        <v>473</v>
      </c>
      <c r="C29" s="337"/>
      <c r="D29" s="337"/>
      <c r="E29" s="337"/>
      <c r="F29" s="337"/>
      <c r="G29" s="337"/>
      <c r="H29" s="337"/>
      <c r="I29" s="337"/>
      <c r="J29" s="337"/>
    </row>
    <row r="30" spans="2:10" ht="13.8" customHeight="1" x14ac:dyDescent="0.4">
      <c r="B30" s="338" t="s">
        <v>474</v>
      </c>
      <c r="C30" s="337"/>
      <c r="D30" s="337"/>
      <c r="E30" s="337"/>
      <c r="F30" s="337"/>
      <c r="G30" s="337"/>
      <c r="H30" s="337"/>
      <c r="I30" s="337"/>
      <c r="J30" s="337"/>
    </row>
    <row r="31" spans="2:10" ht="13.8" customHeight="1" x14ac:dyDescent="0.4">
      <c r="B31" s="336" t="s">
        <v>475</v>
      </c>
      <c r="C31" s="337"/>
      <c r="D31" s="337"/>
      <c r="E31" s="337"/>
      <c r="F31" s="337"/>
      <c r="G31" s="337"/>
      <c r="H31" s="337"/>
      <c r="I31" s="337"/>
      <c r="J31" s="337"/>
    </row>
    <row r="32" spans="2:10" ht="13.8" customHeight="1" x14ac:dyDescent="0.4">
      <c r="B32" s="336" t="s">
        <v>476</v>
      </c>
      <c r="C32" s="337"/>
      <c r="D32" s="337"/>
      <c r="E32" s="337"/>
      <c r="F32" s="337"/>
      <c r="G32" s="337"/>
      <c r="H32" s="337"/>
      <c r="I32" s="337"/>
      <c r="J32" s="337"/>
    </row>
    <row r="33" spans="2:10" ht="13.8" customHeight="1" x14ac:dyDescent="0.4">
      <c r="B33" s="336" t="s">
        <v>477</v>
      </c>
      <c r="C33" s="337"/>
      <c r="D33" s="337"/>
      <c r="E33" s="337"/>
      <c r="F33" s="337"/>
      <c r="G33" s="337"/>
      <c r="H33" s="337"/>
      <c r="I33" s="337"/>
      <c r="J33" s="337"/>
    </row>
    <row r="34" spans="2:10" ht="13.8" customHeight="1" x14ac:dyDescent="0.4">
      <c r="B34" s="336" t="s">
        <v>478</v>
      </c>
      <c r="C34" s="337"/>
      <c r="D34" s="337"/>
      <c r="E34" s="337"/>
      <c r="F34" s="337"/>
      <c r="G34" s="337"/>
      <c r="H34" s="337"/>
      <c r="I34" s="337"/>
      <c r="J34" s="337"/>
    </row>
    <row r="35" spans="2:10" ht="13.8" customHeight="1" x14ac:dyDescent="0.4">
      <c r="B35" s="336" t="s">
        <v>479</v>
      </c>
      <c r="C35" s="337"/>
      <c r="D35" s="337"/>
      <c r="E35" s="337"/>
      <c r="F35" s="337"/>
      <c r="G35" s="337"/>
      <c r="H35" s="337"/>
      <c r="I35" s="337"/>
      <c r="J35" s="337"/>
    </row>
    <row r="36" spans="2:10" ht="13.8" customHeight="1" x14ac:dyDescent="0.4">
      <c r="B36" s="336" t="s">
        <v>480</v>
      </c>
      <c r="C36" s="337"/>
      <c r="D36" s="337"/>
      <c r="E36" s="337"/>
      <c r="F36" s="337"/>
      <c r="G36" s="337"/>
      <c r="H36" s="337"/>
      <c r="I36" s="337"/>
      <c r="J36" s="337"/>
    </row>
    <row r="37" spans="2:10" ht="13.8" customHeight="1" x14ac:dyDescent="0.4">
      <c r="B37" s="336" t="s">
        <v>481</v>
      </c>
      <c r="C37" s="337"/>
      <c r="D37" s="337"/>
      <c r="E37" s="337"/>
      <c r="F37" s="337"/>
      <c r="G37" s="337"/>
      <c r="H37" s="337"/>
      <c r="I37" s="337"/>
      <c r="J37" s="337"/>
    </row>
    <row r="38" spans="2:10" ht="13.8" customHeight="1" x14ac:dyDescent="0.4">
      <c r="B38" s="337" t="s">
        <v>482</v>
      </c>
      <c r="C38" s="337"/>
      <c r="D38" s="337"/>
      <c r="E38" s="337"/>
      <c r="F38" s="337"/>
      <c r="G38" s="337"/>
      <c r="H38" s="337"/>
      <c r="I38" s="337"/>
      <c r="J38" s="337"/>
    </row>
    <row r="39" spans="2:10" ht="13.8" customHeight="1" x14ac:dyDescent="0.4">
      <c r="B39" s="337" t="s">
        <v>483</v>
      </c>
      <c r="C39" s="337"/>
      <c r="D39" s="337"/>
      <c r="E39" s="337"/>
      <c r="F39" s="337"/>
      <c r="G39" s="337"/>
      <c r="H39" s="337"/>
      <c r="I39" s="337"/>
      <c r="J39" s="337"/>
    </row>
    <row r="40" spans="2:10" ht="13.8" customHeight="1" x14ac:dyDescent="0.4">
      <c r="B40" s="337" t="s">
        <v>484</v>
      </c>
      <c r="C40" s="337"/>
      <c r="D40" s="337"/>
      <c r="E40" s="337"/>
      <c r="F40" s="337"/>
      <c r="G40" s="337"/>
      <c r="H40" s="337"/>
      <c r="I40" s="337"/>
      <c r="J40" s="337"/>
    </row>
    <row r="41" spans="2:10" ht="13.8" customHeight="1" x14ac:dyDescent="0.4">
      <c r="B41" s="337" t="s">
        <v>485</v>
      </c>
      <c r="C41" s="337"/>
      <c r="D41" s="337"/>
      <c r="E41" s="337"/>
      <c r="F41" s="337"/>
      <c r="G41" s="337"/>
      <c r="H41" s="337"/>
      <c r="I41" s="337"/>
      <c r="J41" s="337"/>
    </row>
    <row r="42" spans="2:10" ht="13.8" customHeight="1" x14ac:dyDescent="0.4"/>
  </sheetData>
  <mergeCells count="1">
    <mergeCell ref="B2:E2"/>
  </mergeCells>
  <phoneticPr fontId="1" type="noConversion"/>
  <pageMargins left="0.7" right="0.7" top="0.75" bottom="0.75" header="0.3" footer="0.3"/>
  <pageSetup paperSize="9"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B2:R35"/>
  <sheetViews>
    <sheetView showGridLines="0" zoomScale="85" zoomScaleNormal="85" workbookViewId="0"/>
  </sheetViews>
  <sheetFormatPr defaultColWidth="8.69921875" defaultRowHeight="13.8" x14ac:dyDescent="0.4"/>
  <cols>
    <col min="1" max="1" width="8.69921875" style="1"/>
    <col min="2" max="2" width="9" style="1" bestFit="1" customWidth="1"/>
    <col min="3" max="16384" width="8.69921875" style="1"/>
  </cols>
  <sheetData>
    <row r="2" spans="2:18" ht="30" x14ac:dyDescent="0.4">
      <c r="B2" s="208" t="s">
        <v>407</v>
      </c>
      <c r="C2" s="194"/>
      <c r="D2" s="194"/>
      <c r="E2" s="194"/>
    </row>
    <row r="4" spans="2:18" ht="16.2" customHeight="1" x14ac:dyDescent="0.4">
      <c r="B4" s="345" t="s">
        <v>409</v>
      </c>
      <c r="C4" s="346"/>
      <c r="D4" s="346"/>
      <c r="E4" s="346"/>
      <c r="F4" s="346"/>
      <c r="G4" s="346"/>
      <c r="H4" s="346"/>
      <c r="I4" s="346"/>
      <c r="J4" s="346"/>
      <c r="K4" s="346"/>
      <c r="L4" s="346"/>
      <c r="M4" s="346"/>
      <c r="N4" s="346"/>
      <c r="O4" s="346"/>
      <c r="P4" s="346"/>
      <c r="Q4" s="346"/>
      <c r="R4" s="347"/>
    </row>
    <row r="5" spans="2:18" x14ac:dyDescent="0.4">
      <c r="B5" s="348"/>
      <c r="C5" s="349"/>
      <c r="D5" s="349"/>
      <c r="E5" s="349"/>
      <c r="F5" s="349"/>
      <c r="G5" s="349"/>
      <c r="H5" s="349"/>
      <c r="I5" s="349"/>
      <c r="J5" s="349"/>
      <c r="K5" s="349"/>
      <c r="L5" s="349"/>
      <c r="M5" s="349"/>
      <c r="N5" s="349"/>
      <c r="O5" s="349"/>
      <c r="P5" s="349"/>
      <c r="Q5" s="349"/>
      <c r="R5" s="350"/>
    </row>
    <row r="35" spans="2:18" ht="17.399999999999999" customHeight="1" x14ac:dyDescent="0.4">
      <c r="B35" s="344" t="s">
        <v>404</v>
      </c>
      <c r="C35" s="344"/>
      <c r="D35" s="344"/>
      <c r="E35" s="344"/>
      <c r="F35" s="344"/>
      <c r="H35" s="344" t="s">
        <v>405</v>
      </c>
      <c r="I35" s="344"/>
      <c r="J35" s="344"/>
      <c r="K35" s="344"/>
      <c r="L35" s="344"/>
      <c r="N35" s="344" t="s">
        <v>406</v>
      </c>
      <c r="O35" s="344"/>
      <c r="P35" s="344"/>
      <c r="Q35" s="344"/>
      <c r="R35" s="344"/>
    </row>
  </sheetData>
  <mergeCells count="4">
    <mergeCell ref="B35:F35"/>
    <mergeCell ref="H35:L35"/>
    <mergeCell ref="N35:R35"/>
    <mergeCell ref="B4:R5"/>
  </mergeCells>
  <phoneticPr fontId="1" type="noConversion"/>
  <pageMargins left="0.7" right="0.7" top="0.75" bottom="0.75" header="0.3" footer="0.3"/>
  <pageSetup paperSize="9" orientation="portrait" horizontalDpi="4294967292" r:id="rId1"/>
  <drawing r:id="rId2"/>
  <legacyDrawing r:id="rId3"/>
  <oleObjects>
    <mc:AlternateContent xmlns:mc="http://schemas.openxmlformats.org/markup-compatibility/2006">
      <mc:Choice Requires="x14">
        <oleObject progId="AutoCAD Drawing" shapeId="5122" r:id="rId4">
          <objectPr defaultSize="0" autoPict="0" r:id="rId5">
            <anchor moveWithCells="1">
              <from>
                <xdr:col>1</xdr:col>
                <xdr:colOff>0</xdr:colOff>
                <xdr:row>5</xdr:row>
                <xdr:rowOff>7620</xdr:rowOff>
              </from>
              <to>
                <xdr:col>18</xdr:col>
                <xdr:colOff>0</xdr:colOff>
                <xdr:row>33</xdr:row>
                <xdr:rowOff>7620</xdr:rowOff>
              </to>
            </anchor>
          </objectPr>
        </oleObject>
      </mc:Choice>
      <mc:Fallback>
        <oleObject progId="AutoCAD Drawing" shapeId="5122" r:id="rId4"/>
      </mc:Fallback>
    </mc:AlternateContent>
    <mc:AlternateContent xmlns:mc="http://schemas.openxmlformats.org/markup-compatibility/2006">
      <mc:Choice Requires="x14">
        <oleObject progId="AutoCAD Drawing" shapeId="5123" r:id="rId6">
          <objectPr defaultSize="0" autoPict="0" r:id="rId7">
            <anchor moveWithCells="1">
              <from>
                <xdr:col>1</xdr:col>
                <xdr:colOff>7620</xdr:colOff>
                <xdr:row>35</xdr:row>
                <xdr:rowOff>0</xdr:rowOff>
              </from>
              <to>
                <xdr:col>6</xdr:col>
                <xdr:colOff>0</xdr:colOff>
                <xdr:row>44</xdr:row>
                <xdr:rowOff>0</xdr:rowOff>
              </to>
            </anchor>
          </objectPr>
        </oleObject>
      </mc:Choice>
      <mc:Fallback>
        <oleObject progId="AutoCAD Drawing" shapeId="5123" r:id="rId6"/>
      </mc:Fallback>
    </mc:AlternateContent>
    <mc:AlternateContent xmlns:mc="http://schemas.openxmlformats.org/markup-compatibility/2006">
      <mc:Choice Requires="x14">
        <oleObject progId="AutoCAD Drawing" shapeId="5124" r:id="rId8">
          <objectPr defaultSize="0" autoPict="0" r:id="rId9">
            <anchor moveWithCells="1">
              <from>
                <xdr:col>7</xdr:col>
                <xdr:colOff>7620</xdr:colOff>
                <xdr:row>35</xdr:row>
                <xdr:rowOff>0</xdr:rowOff>
              </from>
              <to>
                <xdr:col>12</xdr:col>
                <xdr:colOff>0</xdr:colOff>
                <xdr:row>44</xdr:row>
                <xdr:rowOff>0</xdr:rowOff>
              </to>
            </anchor>
          </objectPr>
        </oleObject>
      </mc:Choice>
      <mc:Fallback>
        <oleObject progId="AutoCAD Drawing" shapeId="5124" r:id="rId8"/>
      </mc:Fallback>
    </mc:AlternateContent>
    <mc:AlternateContent xmlns:mc="http://schemas.openxmlformats.org/markup-compatibility/2006">
      <mc:Choice Requires="x14">
        <oleObject progId="AutoCAD Drawing" shapeId="5125" r:id="rId10">
          <objectPr defaultSize="0" autoPict="0" r:id="rId11">
            <anchor moveWithCells="1">
              <from>
                <xdr:col>13</xdr:col>
                <xdr:colOff>0</xdr:colOff>
                <xdr:row>35</xdr:row>
                <xdr:rowOff>0</xdr:rowOff>
              </from>
              <to>
                <xdr:col>18</xdr:col>
                <xdr:colOff>0</xdr:colOff>
                <xdr:row>44</xdr:row>
                <xdr:rowOff>0</xdr:rowOff>
              </to>
            </anchor>
          </objectPr>
        </oleObject>
      </mc:Choice>
      <mc:Fallback>
        <oleObject progId="AutoCAD Drawing" shapeId="5125" r:id="rId10"/>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B2:AL71"/>
  <sheetViews>
    <sheetView showGridLines="0" topLeftCell="A2" zoomScale="55" zoomScaleNormal="55" workbookViewId="0">
      <selection activeCell="Q22" sqref="Q22:Q24"/>
    </sheetView>
  </sheetViews>
  <sheetFormatPr defaultColWidth="8.69921875" defaultRowHeight="13.8" x14ac:dyDescent="0.4"/>
  <cols>
    <col min="1" max="6" width="8.69921875" style="429"/>
    <col min="7" max="7" width="10" style="429" bestFit="1" customWidth="1"/>
    <col min="8" max="15" width="8.69921875" style="429"/>
    <col min="16" max="16" width="12.8984375" style="429" bestFit="1" customWidth="1"/>
    <col min="17" max="17" width="14.5" style="429" bestFit="1" customWidth="1"/>
    <col min="18" max="19" width="8.69921875" style="429"/>
    <col min="20" max="20" width="12.3984375" style="429" hidden="1" customWidth="1"/>
    <col min="21" max="21" width="0" style="429" hidden="1" customWidth="1"/>
    <col min="22" max="16384" width="8.69921875" style="429"/>
  </cols>
  <sheetData>
    <row r="2" spans="2:38" ht="30" x14ac:dyDescent="0.4">
      <c r="B2" s="427" t="s">
        <v>407</v>
      </c>
      <c r="C2" s="428"/>
      <c r="D2" s="428"/>
      <c r="E2" s="428"/>
      <c r="F2" s="428"/>
      <c r="G2" s="428"/>
      <c r="H2" s="428"/>
    </row>
    <row r="4" spans="2:38" ht="14.4" thickBot="1" x14ac:dyDescent="0.45"/>
    <row r="5" spans="2:38" ht="21" thickBot="1" x14ac:dyDescent="0.45">
      <c r="B5" s="430" t="s">
        <v>410</v>
      </c>
      <c r="C5" s="431"/>
      <c r="D5" s="431"/>
      <c r="E5" s="431"/>
      <c r="F5" s="431"/>
      <c r="G5" s="431"/>
      <c r="H5" s="431"/>
      <c r="I5" s="431"/>
      <c r="J5" s="431"/>
      <c r="K5" s="431"/>
      <c r="L5" s="431"/>
      <c r="M5" s="431"/>
      <c r="N5" s="432"/>
      <c r="O5" s="433"/>
      <c r="P5" s="433"/>
      <c r="Q5" s="433"/>
      <c r="R5" s="433"/>
      <c r="S5" s="433"/>
    </row>
    <row r="6" spans="2:38" x14ac:dyDescent="0.4">
      <c r="B6" s="434"/>
      <c r="C6" s="435"/>
      <c r="D6" s="435"/>
      <c r="E6" s="435"/>
      <c r="F6" s="435"/>
      <c r="G6" s="435"/>
      <c r="H6" s="435"/>
      <c r="I6" s="435"/>
      <c r="J6" s="435"/>
      <c r="K6" s="435"/>
      <c r="L6" s="435"/>
      <c r="M6" s="435"/>
      <c r="N6" s="435"/>
      <c r="O6" s="435"/>
      <c r="P6" s="435"/>
      <c r="Q6" s="435"/>
      <c r="R6" s="435"/>
      <c r="S6" s="435"/>
      <c r="T6" s="436"/>
      <c r="U6" s="436"/>
      <c r="V6" s="435"/>
      <c r="W6" s="435"/>
      <c r="X6" s="435"/>
      <c r="Y6" s="435"/>
      <c r="Z6" s="435"/>
      <c r="AA6" s="435"/>
      <c r="AB6" s="435"/>
      <c r="AC6" s="435"/>
      <c r="AD6" s="435"/>
      <c r="AE6" s="435"/>
      <c r="AF6" s="435"/>
      <c r="AG6" s="435"/>
      <c r="AH6" s="435"/>
      <c r="AI6" s="435"/>
      <c r="AJ6" s="435"/>
      <c r="AK6" s="435"/>
      <c r="AL6" s="437"/>
    </row>
    <row r="7" spans="2:38" x14ac:dyDescent="0.4">
      <c r="B7" s="438"/>
      <c r="C7" s="439"/>
      <c r="D7" s="439"/>
      <c r="E7" s="439"/>
      <c r="F7" s="439"/>
      <c r="G7" s="439"/>
      <c r="H7" s="439"/>
      <c r="I7" s="439"/>
      <c r="J7" s="439"/>
      <c r="K7" s="439"/>
      <c r="L7" s="439"/>
      <c r="M7" s="439"/>
      <c r="N7" s="439"/>
      <c r="O7" s="439"/>
      <c r="P7" s="439"/>
      <c r="Q7" s="439"/>
      <c r="R7" s="439"/>
      <c r="S7" s="439"/>
      <c r="V7" s="439"/>
      <c r="W7" s="439"/>
      <c r="X7" s="439"/>
      <c r="Y7" s="439"/>
      <c r="Z7" s="439"/>
      <c r="AA7" s="439"/>
      <c r="AB7" s="439"/>
      <c r="AC7" s="439"/>
      <c r="AD7" s="439"/>
      <c r="AE7" s="439"/>
      <c r="AF7" s="439"/>
      <c r="AG7" s="439"/>
      <c r="AH7" s="439"/>
      <c r="AI7" s="439"/>
      <c r="AJ7" s="439"/>
      <c r="AK7" s="439"/>
      <c r="AL7" s="440"/>
    </row>
    <row r="8" spans="2:38" ht="15.6" x14ac:dyDescent="0.4">
      <c r="B8" s="438"/>
      <c r="C8" s="441" t="s">
        <v>20</v>
      </c>
      <c r="D8" s="439"/>
      <c r="E8" s="439"/>
      <c r="F8" s="439"/>
      <c r="G8" s="439"/>
      <c r="H8" s="442"/>
      <c r="I8" s="443" t="s">
        <v>22</v>
      </c>
      <c r="J8" s="439"/>
      <c r="K8" s="444" t="s">
        <v>23</v>
      </c>
      <c r="L8" s="439"/>
      <c r="M8" s="439"/>
      <c r="N8" s="439"/>
      <c r="O8" s="439"/>
      <c r="P8" s="439"/>
      <c r="Q8" s="442"/>
      <c r="R8" s="443" t="s">
        <v>22</v>
      </c>
      <c r="S8" s="439"/>
      <c r="V8" s="439"/>
      <c r="W8" s="439"/>
      <c r="X8" s="439"/>
      <c r="Y8" s="439"/>
      <c r="Z8" s="439"/>
      <c r="AA8" s="439"/>
      <c r="AB8" s="439"/>
      <c r="AC8" s="439"/>
      <c r="AD8" s="439"/>
      <c r="AE8" s="439"/>
      <c r="AF8" s="439"/>
      <c r="AG8" s="439"/>
      <c r="AH8" s="439"/>
      <c r="AI8" s="439"/>
      <c r="AJ8" s="439"/>
      <c r="AK8" s="439"/>
      <c r="AL8" s="440"/>
    </row>
    <row r="9" spans="2:38" x14ac:dyDescent="0.4">
      <c r="B9" s="438"/>
      <c r="C9" s="443" t="s">
        <v>24</v>
      </c>
      <c r="D9" s="439"/>
      <c r="E9" s="439"/>
      <c r="F9" s="439"/>
      <c r="G9" s="439"/>
      <c r="H9" s="445">
        <v>6500</v>
      </c>
      <c r="I9" s="439" t="s">
        <v>25</v>
      </c>
      <c r="J9" s="439"/>
      <c r="K9" s="446" t="s">
        <v>26</v>
      </c>
      <c r="L9" s="439"/>
      <c r="M9" s="439"/>
      <c r="N9" s="439"/>
      <c r="O9" s="439"/>
      <c r="P9" s="439"/>
      <c r="Q9" s="472">
        <f>'6-2. Economic evaluation'!CW31/1000</f>
        <v>3590.5680000000002</v>
      </c>
      <c r="R9" s="439" t="s">
        <v>25</v>
      </c>
      <c r="S9" s="439"/>
      <c r="V9" s="439"/>
      <c r="W9" s="439"/>
      <c r="X9" s="439"/>
      <c r="Y9" s="439"/>
      <c r="Z9" s="439"/>
      <c r="AA9" s="439"/>
      <c r="AB9" s="439"/>
      <c r="AC9" s="439"/>
      <c r="AD9" s="439"/>
      <c r="AE9" s="439"/>
      <c r="AF9" s="439"/>
      <c r="AG9" s="439"/>
      <c r="AH9" s="439"/>
      <c r="AI9" s="439"/>
      <c r="AJ9" s="439"/>
      <c r="AK9" s="439"/>
      <c r="AL9" s="440"/>
    </row>
    <row r="10" spans="2:38" x14ac:dyDescent="0.4">
      <c r="B10" s="438"/>
      <c r="C10" s="439"/>
      <c r="D10" s="439"/>
      <c r="E10" s="439"/>
      <c r="F10" s="439"/>
      <c r="G10" s="439"/>
      <c r="H10" s="439"/>
      <c r="I10" s="439"/>
      <c r="J10" s="439"/>
      <c r="K10" s="446"/>
      <c r="L10" s="439"/>
      <c r="M10" s="439"/>
      <c r="N10" s="439"/>
      <c r="O10" s="439"/>
      <c r="P10" s="439"/>
      <c r="Q10" s="447"/>
      <c r="R10" s="439"/>
      <c r="S10" s="439"/>
      <c r="V10" s="439"/>
      <c r="W10" s="439"/>
      <c r="X10" s="439"/>
      <c r="Y10" s="439"/>
      <c r="Z10" s="439"/>
      <c r="AA10" s="439"/>
      <c r="AB10" s="439"/>
      <c r="AC10" s="439"/>
      <c r="AD10" s="439"/>
      <c r="AE10" s="439"/>
      <c r="AF10" s="439"/>
      <c r="AG10" s="439"/>
      <c r="AH10" s="439"/>
      <c r="AI10" s="439"/>
      <c r="AJ10" s="439"/>
      <c r="AK10" s="439"/>
      <c r="AL10" s="440"/>
    </row>
    <row r="11" spans="2:38" x14ac:dyDescent="0.4">
      <c r="B11" s="438"/>
      <c r="C11" s="439"/>
      <c r="D11" s="439"/>
      <c r="E11" s="439"/>
      <c r="F11" s="439"/>
      <c r="G11" s="439"/>
      <c r="H11" s="439"/>
      <c r="I11" s="439"/>
      <c r="J11" s="439"/>
      <c r="K11" s="439"/>
      <c r="L11" s="439"/>
      <c r="M11" s="439"/>
      <c r="N11" s="439"/>
      <c r="O11" s="439"/>
      <c r="P11" s="439"/>
      <c r="Q11" s="439"/>
      <c r="R11" s="439"/>
      <c r="S11" s="439"/>
      <c r="V11" s="439"/>
      <c r="W11" s="439"/>
      <c r="X11" s="439"/>
      <c r="Y11" s="439"/>
      <c r="Z11" s="439"/>
      <c r="AA11" s="439"/>
      <c r="AB11" s="439"/>
      <c r="AC11" s="439"/>
      <c r="AD11" s="439"/>
      <c r="AE11" s="439"/>
      <c r="AF11" s="439"/>
      <c r="AG11" s="439"/>
      <c r="AH11" s="439"/>
      <c r="AI11" s="439"/>
      <c r="AJ11" s="439"/>
      <c r="AK11" s="439"/>
      <c r="AL11" s="440"/>
    </row>
    <row r="12" spans="2:38" x14ac:dyDescent="0.4">
      <c r="B12" s="438"/>
      <c r="C12" s="443" t="s">
        <v>27</v>
      </c>
      <c r="D12" s="439"/>
      <c r="E12" s="439"/>
      <c r="F12" s="439"/>
      <c r="G12" s="439"/>
      <c r="H12" s="439"/>
      <c r="I12" s="439"/>
      <c r="J12" s="439"/>
      <c r="K12" s="443" t="s">
        <v>28</v>
      </c>
      <c r="L12" s="439"/>
      <c r="M12" s="439"/>
      <c r="N12" s="439"/>
      <c r="O12" s="439"/>
      <c r="P12" s="439"/>
      <c r="Q12" s="439"/>
      <c r="R12" s="439"/>
      <c r="S12" s="439"/>
      <c r="V12" s="439"/>
      <c r="W12" s="439"/>
      <c r="X12" s="439"/>
      <c r="Y12" s="439"/>
      <c r="Z12" s="439"/>
      <c r="AA12" s="439"/>
      <c r="AB12" s="439"/>
      <c r="AC12" s="439"/>
      <c r="AD12" s="439"/>
      <c r="AE12" s="439"/>
      <c r="AF12" s="439"/>
      <c r="AG12" s="439"/>
      <c r="AH12" s="439"/>
      <c r="AI12" s="439"/>
      <c r="AJ12" s="439"/>
      <c r="AK12" s="439"/>
      <c r="AL12" s="440"/>
    </row>
    <row r="13" spans="2:38" ht="16.2" x14ac:dyDescent="0.4">
      <c r="B13" s="438"/>
      <c r="C13" s="448" t="s">
        <v>319</v>
      </c>
      <c r="D13" s="439"/>
      <c r="E13" s="439"/>
      <c r="F13" s="439"/>
      <c r="G13" s="439"/>
      <c r="H13" s="449">
        <v>0.74</v>
      </c>
      <c r="I13" s="439"/>
      <c r="J13" s="450"/>
      <c r="K13" s="451" t="s">
        <v>29</v>
      </c>
      <c r="L13" s="439"/>
      <c r="M13" s="439"/>
      <c r="N13" s="439"/>
      <c r="O13" s="439"/>
      <c r="P13" s="439"/>
      <c r="Q13" s="473">
        <f>'6-2. Economic evaluation'!C7</f>
        <v>98735016.703869626</v>
      </c>
      <c r="R13" s="439" t="s">
        <v>30</v>
      </c>
      <c r="S13" s="439"/>
      <c r="V13" s="439"/>
      <c r="W13" s="439"/>
      <c r="X13" s="439"/>
      <c r="Y13" s="439"/>
      <c r="Z13" s="439"/>
      <c r="AA13" s="439"/>
      <c r="AB13" s="439"/>
      <c r="AC13" s="439"/>
      <c r="AD13" s="439"/>
      <c r="AE13" s="439"/>
      <c r="AF13" s="439"/>
      <c r="AG13" s="439"/>
      <c r="AH13" s="439"/>
      <c r="AI13" s="439"/>
      <c r="AJ13" s="439"/>
      <c r="AK13" s="439"/>
      <c r="AL13" s="440"/>
    </row>
    <row r="14" spans="2:38" ht="16.2" x14ac:dyDescent="0.4">
      <c r="B14" s="438"/>
      <c r="C14" s="448" t="s">
        <v>31</v>
      </c>
      <c r="D14" s="439"/>
      <c r="E14" s="439"/>
      <c r="F14" s="439"/>
      <c r="G14" s="439"/>
      <c r="H14" s="449">
        <v>0.9</v>
      </c>
      <c r="I14" s="439"/>
      <c r="J14" s="439"/>
      <c r="K14" s="451" t="s">
        <v>32</v>
      </c>
      <c r="L14" s="439"/>
      <c r="M14" s="439"/>
      <c r="N14" s="439"/>
      <c r="O14" s="439"/>
      <c r="P14" s="439"/>
      <c r="Q14" s="473">
        <f>'6-2. Economic evaluation'!C8</f>
        <v>105973332.0495792</v>
      </c>
      <c r="R14" s="439" t="s">
        <v>30</v>
      </c>
      <c r="S14" s="439"/>
      <c r="V14" s="439"/>
      <c r="W14" s="439"/>
      <c r="X14" s="439"/>
      <c r="Y14" s="439"/>
      <c r="Z14" s="439"/>
      <c r="AA14" s="439"/>
      <c r="AB14" s="439"/>
      <c r="AC14" s="439"/>
      <c r="AD14" s="439"/>
      <c r="AE14" s="439"/>
      <c r="AF14" s="439"/>
      <c r="AG14" s="439"/>
      <c r="AH14" s="439"/>
      <c r="AI14" s="439"/>
      <c r="AJ14" s="439"/>
      <c r="AK14" s="439"/>
      <c r="AL14" s="440"/>
    </row>
    <row r="15" spans="2:38" ht="16.2" x14ac:dyDescent="0.4">
      <c r="B15" s="438"/>
      <c r="C15" s="448" t="s">
        <v>320</v>
      </c>
      <c r="D15" s="439"/>
      <c r="E15" s="439"/>
      <c r="F15" s="439"/>
      <c r="G15" s="439"/>
      <c r="H15" s="449">
        <v>0.8</v>
      </c>
      <c r="I15" s="439"/>
      <c r="J15" s="450"/>
      <c r="K15" s="451" t="s">
        <v>33</v>
      </c>
      <c r="L15" s="439"/>
      <c r="M15" s="439"/>
      <c r="N15" s="439"/>
      <c r="O15" s="439"/>
      <c r="P15" s="439"/>
      <c r="Q15" s="474">
        <f>'6-2. Economic evaluation'!C7/'6-2. Economic evaluation'!D34*100</f>
        <v>136.40607239140735</v>
      </c>
      <c r="R15" s="439" t="s">
        <v>34</v>
      </c>
      <c r="S15" s="439"/>
      <c r="V15" s="439"/>
      <c r="W15" s="439"/>
      <c r="X15" s="439"/>
      <c r="Y15" s="439"/>
      <c r="Z15" s="439"/>
      <c r="AA15" s="439"/>
      <c r="AB15" s="439"/>
      <c r="AC15" s="439"/>
      <c r="AD15" s="439"/>
      <c r="AE15" s="439"/>
      <c r="AF15" s="439"/>
      <c r="AG15" s="439"/>
      <c r="AH15" s="439"/>
      <c r="AI15" s="439"/>
      <c r="AJ15" s="439"/>
      <c r="AK15" s="439"/>
      <c r="AL15" s="440"/>
    </row>
    <row r="16" spans="2:38" ht="16.2" x14ac:dyDescent="0.4">
      <c r="B16" s="438"/>
      <c r="C16" s="448" t="s">
        <v>35</v>
      </c>
      <c r="D16" s="439"/>
      <c r="E16" s="439"/>
      <c r="F16" s="439"/>
      <c r="G16" s="439"/>
      <c r="H16" s="449">
        <v>0.9</v>
      </c>
      <c r="I16" s="439"/>
      <c r="J16" s="439"/>
      <c r="K16" s="451" t="s">
        <v>36</v>
      </c>
      <c r="L16" s="439"/>
      <c r="M16" s="439"/>
      <c r="N16" s="439"/>
      <c r="O16" s="439"/>
      <c r="P16" s="439"/>
      <c r="Q16" s="474">
        <f>ROUND(('6-2. Economic evaluation'!D32)/'6-2. Economic evaluation'!C8,2)</f>
        <v>0.57999999999999996</v>
      </c>
      <c r="R16" s="439" t="s">
        <v>415</v>
      </c>
      <c r="S16" s="439"/>
      <c r="V16" s="439"/>
      <c r="W16" s="439"/>
      <c r="X16" s="439"/>
      <c r="Y16" s="439"/>
      <c r="Z16" s="439"/>
      <c r="AA16" s="439"/>
      <c r="AB16" s="439"/>
      <c r="AC16" s="439"/>
      <c r="AD16" s="439"/>
      <c r="AE16" s="439"/>
      <c r="AF16" s="439"/>
      <c r="AG16" s="439"/>
      <c r="AH16" s="439"/>
      <c r="AI16" s="439"/>
      <c r="AJ16" s="439"/>
      <c r="AK16" s="439"/>
      <c r="AL16" s="440"/>
    </row>
    <row r="17" spans="2:38" ht="16.2" x14ac:dyDescent="0.4">
      <c r="B17" s="438"/>
      <c r="C17" s="448" t="s">
        <v>37</v>
      </c>
      <c r="D17" s="439"/>
      <c r="E17" s="439"/>
      <c r="F17" s="439"/>
      <c r="G17" s="439"/>
      <c r="H17" s="449">
        <v>0.75</v>
      </c>
      <c r="I17" s="439"/>
      <c r="J17" s="439"/>
      <c r="K17" s="451" t="s">
        <v>391</v>
      </c>
      <c r="L17" s="439"/>
      <c r="M17" s="439"/>
      <c r="N17" s="439"/>
      <c r="O17" s="439"/>
      <c r="P17" s="439"/>
      <c r="Q17" s="475">
        <f>'6-2. Economic evaluation'!C11</f>
        <v>103845363.89864865</v>
      </c>
      <c r="R17" s="439" t="s">
        <v>421</v>
      </c>
      <c r="S17" s="439"/>
      <c r="V17" s="439"/>
      <c r="W17" s="439"/>
      <c r="X17" s="439"/>
      <c r="Y17" s="439"/>
      <c r="Z17" s="439"/>
      <c r="AA17" s="439"/>
      <c r="AB17" s="439"/>
      <c r="AC17" s="439"/>
      <c r="AD17" s="439"/>
      <c r="AE17" s="439"/>
      <c r="AF17" s="439"/>
      <c r="AG17" s="439"/>
      <c r="AH17" s="439"/>
      <c r="AI17" s="439"/>
      <c r="AJ17" s="439"/>
      <c r="AK17" s="439"/>
      <c r="AL17" s="440"/>
    </row>
    <row r="18" spans="2:38" ht="16.2" x14ac:dyDescent="0.4">
      <c r="B18" s="438"/>
      <c r="C18" s="448" t="s">
        <v>321</v>
      </c>
      <c r="D18" s="439"/>
      <c r="E18" s="439"/>
      <c r="F18" s="439"/>
      <c r="G18" s="439"/>
      <c r="H18" s="449">
        <v>0.75</v>
      </c>
      <c r="I18" s="439"/>
      <c r="J18" s="450"/>
      <c r="K18" s="451" t="s">
        <v>38</v>
      </c>
      <c r="L18" s="439"/>
      <c r="M18" s="439"/>
      <c r="N18" s="439"/>
      <c r="O18" s="439"/>
      <c r="P18" s="439"/>
      <c r="Q18" s="476">
        <f>'6-2. Economic evaluation'!C12*100</f>
        <v>5.7329147823062154</v>
      </c>
      <c r="R18" s="439" t="s">
        <v>34</v>
      </c>
      <c r="S18" s="439"/>
      <c r="V18" s="439"/>
      <c r="W18" s="439"/>
      <c r="X18" s="439"/>
      <c r="Y18" s="439"/>
      <c r="Z18" s="439"/>
      <c r="AA18" s="439"/>
      <c r="AB18" s="439"/>
      <c r="AC18" s="439"/>
      <c r="AD18" s="439"/>
      <c r="AE18" s="439"/>
      <c r="AF18" s="439"/>
      <c r="AG18" s="439"/>
      <c r="AH18" s="439"/>
      <c r="AI18" s="439"/>
      <c r="AJ18" s="439"/>
      <c r="AK18" s="439"/>
      <c r="AL18" s="440"/>
    </row>
    <row r="19" spans="2:38" ht="16.2" x14ac:dyDescent="0.4">
      <c r="B19" s="438"/>
      <c r="C19" s="448" t="s">
        <v>322</v>
      </c>
      <c r="D19" s="439"/>
      <c r="E19" s="439"/>
      <c r="F19" s="439"/>
      <c r="G19" s="439"/>
      <c r="H19" s="449">
        <v>0.98</v>
      </c>
      <c r="I19" s="439"/>
      <c r="J19" s="439"/>
      <c r="K19" s="439"/>
      <c r="L19" s="439"/>
      <c r="M19" s="439"/>
      <c r="N19" s="439"/>
      <c r="O19" s="439"/>
      <c r="P19" s="439"/>
      <c r="Q19" s="439"/>
      <c r="R19" s="439"/>
      <c r="S19" s="439"/>
      <c r="V19" s="439"/>
      <c r="W19" s="439"/>
      <c r="X19" s="439"/>
      <c r="Y19" s="439"/>
      <c r="Z19" s="439"/>
      <c r="AA19" s="439"/>
      <c r="AB19" s="439"/>
      <c r="AC19" s="439"/>
      <c r="AD19" s="439"/>
      <c r="AE19" s="439"/>
      <c r="AF19" s="439"/>
      <c r="AG19" s="439"/>
      <c r="AH19" s="439"/>
      <c r="AI19" s="439"/>
      <c r="AJ19" s="439"/>
      <c r="AK19" s="439"/>
      <c r="AL19" s="440"/>
    </row>
    <row r="20" spans="2:38" ht="16.2" x14ac:dyDescent="0.4">
      <c r="B20" s="438"/>
      <c r="C20" s="448" t="s">
        <v>388</v>
      </c>
      <c r="D20" s="439"/>
      <c r="E20" s="439"/>
      <c r="F20" s="439"/>
      <c r="G20" s="439"/>
      <c r="H20" s="449">
        <v>0.9</v>
      </c>
      <c r="I20" s="439"/>
      <c r="J20" s="439"/>
      <c r="K20" s="439"/>
      <c r="L20" s="439"/>
      <c r="M20" s="439"/>
      <c r="N20" s="439"/>
      <c r="O20" s="439"/>
      <c r="P20" s="439"/>
      <c r="Q20" s="439"/>
      <c r="R20" s="439"/>
      <c r="S20" s="439"/>
      <c r="V20" s="439"/>
      <c r="W20" s="439"/>
      <c r="X20" s="439"/>
      <c r="Y20" s="439"/>
      <c r="Z20" s="439"/>
      <c r="AA20" s="439"/>
      <c r="AB20" s="439"/>
      <c r="AC20" s="439"/>
      <c r="AD20" s="439"/>
      <c r="AE20" s="439"/>
      <c r="AF20" s="439"/>
      <c r="AG20" s="439"/>
      <c r="AH20" s="439"/>
      <c r="AI20" s="439"/>
      <c r="AJ20" s="439"/>
      <c r="AK20" s="439"/>
      <c r="AL20" s="440"/>
    </row>
    <row r="21" spans="2:38" x14ac:dyDescent="0.4">
      <c r="B21" s="438"/>
      <c r="C21" s="448" t="s">
        <v>323</v>
      </c>
      <c r="D21" s="439"/>
      <c r="E21" s="439"/>
      <c r="F21" s="439"/>
      <c r="G21" s="439"/>
      <c r="H21" s="449">
        <v>0.8</v>
      </c>
      <c r="I21" s="439"/>
      <c r="J21" s="439"/>
      <c r="K21" s="452" t="s">
        <v>39</v>
      </c>
      <c r="L21" s="439"/>
      <c r="M21" s="439"/>
      <c r="N21" s="439"/>
      <c r="O21" s="439"/>
      <c r="P21" s="439"/>
      <c r="Q21" s="439"/>
      <c r="R21" s="439"/>
      <c r="S21" s="439"/>
      <c r="V21" s="439"/>
      <c r="W21" s="439"/>
      <c r="X21" s="439"/>
      <c r="Y21" s="439"/>
      <c r="Z21" s="439"/>
      <c r="AA21" s="439"/>
      <c r="AB21" s="439"/>
      <c r="AC21" s="439"/>
      <c r="AD21" s="439"/>
      <c r="AE21" s="439"/>
      <c r="AF21" s="439"/>
      <c r="AG21" s="439"/>
      <c r="AH21" s="439"/>
      <c r="AI21" s="439"/>
      <c r="AJ21" s="439"/>
      <c r="AK21" s="439"/>
      <c r="AL21" s="440"/>
    </row>
    <row r="22" spans="2:38" x14ac:dyDescent="0.4">
      <c r="B22" s="438"/>
      <c r="C22" s="453" t="s">
        <v>324</v>
      </c>
      <c r="D22" s="439"/>
      <c r="E22" s="439"/>
      <c r="F22" s="439"/>
      <c r="G22" s="439"/>
      <c r="H22" s="449">
        <v>0.8</v>
      </c>
      <c r="I22" s="439"/>
      <c r="J22" s="439"/>
      <c r="K22" s="451" t="s">
        <v>40</v>
      </c>
      <c r="L22" s="439"/>
      <c r="M22" s="439"/>
      <c r="N22" s="439"/>
      <c r="O22" s="439"/>
      <c r="P22" s="439"/>
      <c r="Q22" s="473">
        <f>'7. Environmental evaluation'!H16</f>
        <v>33954.300000000003</v>
      </c>
      <c r="R22" s="439" t="s">
        <v>25</v>
      </c>
      <c r="S22" s="439"/>
      <c r="V22" s="439"/>
      <c r="W22" s="439"/>
      <c r="X22" s="439"/>
      <c r="Y22" s="439"/>
      <c r="Z22" s="439"/>
      <c r="AA22" s="439"/>
      <c r="AB22" s="439"/>
      <c r="AC22" s="439"/>
      <c r="AD22" s="439"/>
      <c r="AE22" s="439"/>
      <c r="AF22" s="439"/>
      <c r="AG22" s="439"/>
      <c r="AH22" s="439"/>
      <c r="AI22" s="439"/>
      <c r="AJ22" s="439"/>
      <c r="AK22" s="439"/>
      <c r="AL22" s="440"/>
    </row>
    <row r="23" spans="2:38" ht="16.2" x14ac:dyDescent="0.4">
      <c r="B23" s="438"/>
      <c r="C23" s="453" t="s">
        <v>389</v>
      </c>
      <c r="D23" s="439"/>
      <c r="E23" s="439"/>
      <c r="F23" s="439"/>
      <c r="G23" s="439"/>
      <c r="H23" s="449">
        <v>0.8</v>
      </c>
      <c r="I23" s="439"/>
      <c r="J23" s="439"/>
      <c r="K23" s="451" t="s">
        <v>41</v>
      </c>
      <c r="L23" s="454"/>
      <c r="M23" s="439"/>
      <c r="N23" s="439"/>
      <c r="O23" s="439"/>
      <c r="P23" s="439"/>
      <c r="Q23" s="477">
        <f>'7. Environmental evaluation'!C4*100</f>
        <v>49.28738653632891</v>
      </c>
      <c r="R23" s="439" t="s">
        <v>34</v>
      </c>
      <c r="S23" s="439"/>
      <c r="V23" s="439"/>
      <c r="W23" s="439"/>
      <c r="X23" s="439"/>
      <c r="Y23" s="439"/>
      <c r="Z23" s="439"/>
      <c r="AA23" s="439"/>
      <c r="AB23" s="439"/>
      <c r="AC23" s="439"/>
      <c r="AD23" s="439"/>
      <c r="AE23" s="439"/>
      <c r="AF23" s="439"/>
      <c r="AG23" s="439"/>
      <c r="AH23" s="439"/>
      <c r="AI23" s="439"/>
      <c r="AJ23" s="439"/>
      <c r="AK23" s="439"/>
      <c r="AL23" s="440"/>
    </row>
    <row r="24" spans="2:38" x14ac:dyDescent="0.4">
      <c r="B24" s="438"/>
      <c r="C24" s="439"/>
      <c r="D24" s="439"/>
      <c r="E24" s="439"/>
      <c r="F24" s="439"/>
      <c r="G24" s="439"/>
      <c r="H24" s="450"/>
      <c r="I24" s="439"/>
      <c r="J24" s="439"/>
      <c r="K24" s="455" t="s">
        <v>325</v>
      </c>
      <c r="L24" s="454"/>
      <c r="M24" s="439"/>
      <c r="N24" s="439"/>
      <c r="O24" s="439"/>
      <c r="P24" s="439"/>
      <c r="Q24" s="476">
        <f>'7. Environmental evaluation'!C20</f>
        <v>15.001439211350512</v>
      </c>
      <c r="R24" s="439" t="s">
        <v>25</v>
      </c>
      <c r="S24" s="439"/>
      <c r="V24" s="439"/>
      <c r="W24" s="439"/>
      <c r="X24" s="439"/>
      <c r="Y24" s="439"/>
      <c r="Z24" s="439"/>
      <c r="AA24" s="439"/>
      <c r="AB24" s="439"/>
      <c r="AC24" s="439"/>
      <c r="AD24" s="439"/>
      <c r="AE24" s="439"/>
      <c r="AF24" s="439"/>
      <c r="AG24" s="439"/>
      <c r="AH24" s="439"/>
      <c r="AI24" s="439"/>
      <c r="AJ24" s="439"/>
      <c r="AK24" s="439"/>
      <c r="AL24" s="440"/>
    </row>
    <row r="25" spans="2:38" x14ac:dyDescent="0.4">
      <c r="B25" s="438"/>
      <c r="C25" s="439"/>
      <c r="D25" s="439"/>
      <c r="E25" s="439"/>
      <c r="F25" s="439"/>
      <c r="G25" s="439"/>
      <c r="H25" s="439"/>
      <c r="I25" s="439"/>
      <c r="J25" s="439"/>
      <c r="K25" s="439"/>
      <c r="L25" s="439"/>
      <c r="M25" s="439"/>
      <c r="N25" s="439"/>
      <c r="O25" s="439"/>
      <c r="P25" s="439"/>
      <c r="Q25" s="439"/>
      <c r="R25" s="439"/>
      <c r="S25" s="439"/>
      <c r="V25" s="439"/>
      <c r="W25" s="439"/>
      <c r="X25" s="439"/>
      <c r="Y25" s="439"/>
      <c r="Z25" s="439"/>
      <c r="AA25" s="439"/>
      <c r="AB25" s="439"/>
      <c r="AC25" s="439"/>
      <c r="AD25" s="439"/>
      <c r="AE25" s="439"/>
      <c r="AF25" s="439"/>
      <c r="AG25" s="439"/>
      <c r="AH25" s="439"/>
      <c r="AI25" s="439"/>
      <c r="AJ25" s="439"/>
      <c r="AK25" s="439"/>
      <c r="AL25" s="440"/>
    </row>
    <row r="26" spans="2:38" x14ac:dyDescent="0.4">
      <c r="B26" s="438"/>
      <c r="C26" s="456" t="s">
        <v>42</v>
      </c>
      <c r="D26" s="439"/>
      <c r="E26" s="439"/>
      <c r="F26" s="439"/>
      <c r="G26" s="439"/>
      <c r="H26" s="439"/>
      <c r="I26" s="439"/>
      <c r="J26" s="439"/>
      <c r="K26" s="439"/>
      <c r="L26" s="439"/>
      <c r="M26" s="439"/>
      <c r="N26" s="439"/>
      <c r="O26" s="439"/>
      <c r="P26" s="439"/>
      <c r="Q26" s="439"/>
      <c r="R26" s="439"/>
      <c r="S26" s="439"/>
      <c r="V26" s="439"/>
      <c r="W26" s="439"/>
      <c r="X26" s="439"/>
      <c r="Y26" s="439"/>
      <c r="Z26" s="439"/>
      <c r="AA26" s="439"/>
      <c r="AB26" s="439"/>
      <c r="AC26" s="439"/>
      <c r="AD26" s="439"/>
      <c r="AE26" s="439"/>
      <c r="AF26" s="439"/>
      <c r="AG26" s="439"/>
      <c r="AH26" s="439"/>
      <c r="AI26" s="439"/>
      <c r="AJ26" s="439"/>
      <c r="AK26" s="439"/>
      <c r="AL26" s="440"/>
    </row>
    <row r="27" spans="2:38" x14ac:dyDescent="0.4">
      <c r="B27" s="438"/>
      <c r="C27" s="453" t="s">
        <v>326</v>
      </c>
      <c r="D27" s="439"/>
      <c r="E27" s="439"/>
      <c r="F27" s="439"/>
      <c r="G27" s="439"/>
      <c r="H27" s="449">
        <f>0.14</f>
        <v>0.14000000000000001</v>
      </c>
      <c r="I27" s="439" t="s">
        <v>43</v>
      </c>
      <c r="J27" s="439"/>
      <c r="K27" s="439"/>
      <c r="L27" s="439"/>
      <c r="M27" s="439"/>
      <c r="N27" s="439"/>
      <c r="O27" s="439"/>
      <c r="P27" s="439"/>
      <c r="Q27" s="439"/>
      <c r="R27" s="439"/>
      <c r="S27" s="439"/>
      <c r="V27" s="439"/>
      <c r="W27" s="439"/>
      <c r="X27" s="439"/>
      <c r="Y27" s="439"/>
      <c r="Z27" s="439"/>
      <c r="AA27" s="439"/>
      <c r="AB27" s="439"/>
      <c r="AC27" s="439"/>
      <c r="AD27" s="439"/>
      <c r="AE27" s="439"/>
      <c r="AF27" s="439"/>
      <c r="AG27" s="439"/>
      <c r="AH27" s="439"/>
      <c r="AI27" s="439"/>
      <c r="AJ27" s="439"/>
      <c r="AK27" s="439"/>
      <c r="AL27" s="440"/>
    </row>
    <row r="28" spans="2:38" x14ac:dyDescent="0.4">
      <c r="B28" s="438"/>
      <c r="C28" s="453" t="s">
        <v>354</v>
      </c>
      <c r="D28" s="439"/>
      <c r="E28" s="439"/>
      <c r="F28" s="439"/>
      <c r="G28" s="439"/>
      <c r="H28" s="449">
        <f>0.78</f>
        <v>0.78</v>
      </c>
      <c r="I28" s="439" t="s">
        <v>43</v>
      </c>
      <c r="J28" s="439"/>
      <c r="K28" s="439"/>
      <c r="L28" s="439"/>
      <c r="M28" s="439"/>
      <c r="N28" s="439"/>
      <c r="O28" s="439"/>
      <c r="P28" s="439"/>
      <c r="Q28" s="439"/>
      <c r="R28" s="439"/>
      <c r="S28" s="439"/>
      <c r="V28" s="439"/>
      <c r="W28" s="439"/>
      <c r="X28" s="439"/>
      <c r="Y28" s="439"/>
      <c r="Z28" s="439"/>
      <c r="AA28" s="439"/>
      <c r="AB28" s="439"/>
      <c r="AC28" s="439"/>
      <c r="AD28" s="439"/>
      <c r="AE28" s="439"/>
      <c r="AF28" s="439"/>
      <c r="AG28" s="439"/>
      <c r="AH28" s="439"/>
      <c r="AI28" s="439"/>
      <c r="AJ28" s="439"/>
      <c r="AK28" s="439"/>
      <c r="AL28" s="440"/>
    </row>
    <row r="29" spans="2:38" x14ac:dyDescent="0.4">
      <c r="B29" s="438"/>
      <c r="C29" s="453" t="s">
        <v>328</v>
      </c>
      <c r="D29" s="439"/>
      <c r="E29" s="439"/>
      <c r="F29" s="439"/>
      <c r="G29" s="439"/>
      <c r="H29" s="449">
        <f>0.12</f>
        <v>0.12</v>
      </c>
      <c r="I29" s="439" t="s">
        <v>43</v>
      </c>
      <c r="J29" s="439"/>
      <c r="K29" s="439"/>
      <c r="L29" s="439"/>
      <c r="M29" s="439"/>
      <c r="N29" s="439"/>
      <c r="O29" s="439"/>
      <c r="P29" s="439"/>
      <c r="Q29" s="439"/>
      <c r="R29" s="439"/>
      <c r="S29" s="439"/>
      <c r="V29" s="439"/>
      <c r="W29" s="439"/>
      <c r="X29" s="439"/>
      <c r="Y29" s="439"/>
      <c r="Z29" s="439"/>
      <c r="AA29" s="439"/>
      <c r="AB29" s="439"/>
      <c r="AC29" s="439"/>
      <c r="AD29" s="439"/>
      <c r="AE29" s="439"/>
      <c r="AF29" s="439"/>
      <c r="AG29" s="439"/>
      <c r="AH29" s="439"/>
      <c r="AI29" s="439"/>
      <c r="AJ29" s="439"/>
      <c r="AK29" s="439"/>
      <c r="AL29" s="440"/>
    </row>
    <row r="30" spans="2:38" x14ac:dyDescent="0.4">
      <c r="B30" s="438"/>
      <c r="C30" s="439" t="s">
        <v>44</v>
      </c>
      <c r="D30" s="439"/>
      <c r="E30" s="439"/>
      <c r="F30" s="439"/>
      <c r="G30" s="439"/>
      <c r="H30" s="449">
        <v>0.17899999999999999</v>
      </c>
      <c r="I30" s="439" t="s">
        <v>43</v>
      </c>
      <c r="J30" s="439"/>
      <c r="K30" s="439"/>
      <c r="L30" s="439"/>
      <c r="M30" s="439"/>
      <c r="N30" s="439"/>
      <c r="O30" s="439"/>
      <c r="P30" s="439"/>
      <c r="Q30" s="439"/>
      <c r="R30" s="439"/>
      <c r="S30" s="439"/>
      <c r="V30" s="439"/>
      <c r="W30" s="439"/>
      <c r="X30" s="439"/>
      <c r="Y30" s="439"/>
      <c r="Z30" s="439"/>
      <c r="AA30" s="439"/>
      <c r="AB30" s="439"/>
      <c r="AC30" s="439"/>
      <c r="AD30" s="439"/>
      <c r="AE30" s="439"/>
      <c r="AF30" s="439"/>
      <c r="AG30" s="439"/>
      <c r="AH30" s="439"/>
      <c r="AI30" s="439"/>
      <c r="AJ30" s="439"/>
      <c r="AK30" s="439"/>
      <c r="AL30" s="440"/>
    </row>
    <row r="31" spans="2:38" x14ac:dyDescent="0.4">
      <c r="B31" s="438"/>
      <c r="C31" s="439" t="s">
        <v>45</v>
      </c>
      <c r="D31" s="439"/>
      <c r="E31" s="439"/>
      <c r="F31" s="439"/>
      <c r="G31" s="439"/>
      <c r="H31" s="449">
        <f>0.23</f>
        <v>0.23</v>
      </c>
      <c r="I31" s="439" t="s">
        <v>43</v>
      </c>
      <c r="J31" s="439"/>
      <c r="K31" s="439"/>
      <c r="L31" s="439"/>
      <c r="M31" s="439"/>
      <c r="N31" s="439"/>
      <c r="O31" s="439"/>
      <c r="P31" s="439"/>
      <c r="Q31" s="439"/>
      <c r="R31" s="439"/>
      <c r="S31" s="439"/>
      <c r="V31" s="439"/>
      <c r="W31" s="439"/>
      <c r="X31" s="439"/>
      <c r="Y31" s="439"/>
      <c r="Z31" s="439"/>
      <c r="AA31" s="439"/>
      <c r="AB31" s="439"/>
      <c r="AC31" s="439"/>
      <c r="AD31" s="439"/>
      <c r="AE31" s="439"/>
      <c r="AF31" s="439"/>
      <c r="AG31" s="439"/>
      <c r="AH31" s="439"/>
      <c r="AI31" s="439"/>
      <c r="AJ31" s="439"/>
      <c r="AK31" s="439"/>
      <c r="AL31" s="440"/>
    </row>
    <row r="32" spans="2:38" x14ac:dyDescent="0.4">
      <c r="B32" s="438"/>
      <c r="C32" s="453" t="s">
        <v>329</v>
      </c>
      <c r="D32" s="439"/>
      <c r="E32" s="439"/>
      <c r="F32" s="439"/>
      <c r="G32" s="439"/>
      <c r="H32" s="449">
        <f>0.26</f>
        <v>0.26</v>
      </c>
      <c r="I32" s="439" t="s">
        <v>43</v>
      </c>
      <c r="J32" s="439"/>
      <c r="K32" s="439"/>
      <c r="L32" s="439"/>
      <c r="M32" s="439"/>
      <c r="N32" s="439"/>
      <c r="O32" s="439"/>
      <c r="P32" s="439"/>
      <c r="Q32" s="439"/>
      <c r="R32" s="439"/>
      <c r="S32" s="439"/>
      <c r="V32" s="439"/>
      <c r="W32" s="439"/>
      <c r="X32" s="439"/>
      <c r="Y32" s="439"/>
      <c r="Z32" s="439"/>
      <c r="AA32" s="439"/>
      <c r="AB32" s="439"/>
      <c r="AC32" s="439"/>
      <c r="AD32" s="439"/>
      <c r="AE32" s="439"/>
      <c r="AF32" s="439"/>
      <c r="AG32" s="439"/>
      <c r="AH32" s="439"/>
      <c r="AI32" s="439"/>
      <c r="AJ32" s="439"/>
      <c r="AK32" s="439"/>
      <c r="AL32" s="440"/>
    </row>
    <row r="33" spans="2:38" x14ac:dyDescent="0.4">
      <c r="B33" s="438"/>
      <c r="C33" s="439"/>
      <c r="D33" s="439"/>
      <c r="E33" s="439"/>
      <c r="F33" s="439"/>
      <c r="G33" s="439"/>
      <c r="H33" s="439"/>
      <c r="I33" s="439"/>
      <c r="J33" s="439"/>
      <c r="K33" s="439"/>
      <c r="L33" s="439"/>
      <c r="M33" s="439"/>
      <c r="N33" s="439"/>
      <c r="O33" s="439"/>
      <c r="P33" s="439"/>
      <c r="Q33" s="439"/>
      <c r="R33" s="439"/>
      <c r="S33" s="439"/>
      <c r="V33" s="439"/>
      <c r="W33" s="439"/>
      <c r="X33" s="439"/>
      <c r="Y33" s="439"/>
      <c r="Z33" s="439"/>
      <c r="AA33" s="439"/>
      <c r="AB33" s="439"/>
      <c r="AC33" s="439"/>
      <c r="AD33" s="439"/>
      <c r="AE33" s="439"/>
      <c r="AF33" s="439"/>
      <c r="AG33" s="439"/>
      <c r="AH33" s="439"/>
      <c r="AI33" s="439"/>
      <c r="AJ33" s="439"/>
      <c r="AK33" s="439"/>
      <c r="AL33" s="440"/>
    </row>
    <row r="34" spans="2:38" x14ac:dyDescent="0.4">
      <c r="B34" s="438"/>
      <c r="C34" s="439"/>
      <c r="D34" s="439"/>
      <c r="E34" s="439"/>
      <c r="F34" s="439"/>
      <c r="G34" s="439"/>
      <c r="H34" s="439"/>
      <c r="I34" s="439"/>
      <c r="J34" s="439"/>
      <c r="K34" s="439"/>
      <c r="L34" s="439"/>
      <c r="M34" s="439"/>
      <c r="N34" s="439"/>
      <c r="O34" s="439"/>
      <c r="P34" s="439"/>
      <c r="Q34" s="439"/>
      <c r="R34" s="439"/>
      <c r="S34" s="439"/>
      <c r="V34" s="439"/>
      <c r="W34" s="439"/>
      <c r="X34" s="439"/>
      <c r="Y34" s="439"/>
      <c r="Z34" s="439"/>
      <c r="AA34" s="439"/>
      <c r="AB34" s="439"/>
      <c r="AC34" s="439"/>
      <c r="AD34" s="439"/>
      <c r="AE34" s="439"/>
      <c r="AF34" s="439"/>
      <c r="AG34" s="439"/>
      <c r="AH34" s="439"/>
      <c r="AI34" s="439"/>
      <c r="AJ34" s="439"/>
      <c r="AK34" s="439"/>
      <c r="AL34" s="440"/>
    </row>
    <row r="35" spans="2:38" x14ac:dyDescent="0.4">
      <c r="B35" s="438"/>
      <c r="C35" s="443" t="s">
        <v>46</v>
      </c>
      <c r="D35" s="439"/>
      <c r="E35" s="439"/>
      <c r="F35" s="439"/>
      <c r="G35" s="439"/>
      <c r="H35" s="439"/>
      <c r="I35" s="439"/>
      <c r="J35" s="439"/>
      <c r="K35" s="439"/>
      <c r="L35" s="439"/>
      <c r="M35" s="439"/>
      <c r="N35" s="439"/>
      <c r="O35" s="439"/>
      <c r="P35" s="439"/>
      <c r="Q35" s="439"/>
      <c r="R35" s="439"/>
      <c r="S35" s="439"/>
      <c r="V35" s="439"/>
      <c r="W35" s="439"/>
      <c r="X35" s="439"/>
      <c r="Y35" s="439"/>
      <c r="Z35" s="439"/>
      <c r="AA35" s="439"/>
      <c r="AB35" s="439"/>
      <c r="AC35" s="439"/>
      <c r="AD35" s="439"/>
      <c r="AE35" s="439"/>
      <c r="AF35" s="439"/>
      <c r="AG35" s="439"/>
      <c r="AH35" s="439"/>
      <c r="AI35" s="439"/>
      <c r="AJ35" s="439"/>
      <c r="AK35" s="439"/>
      <c r="AL35" s="440"/>
    </row>
    <row r="36" spans="2:38" x14ac:dyDescent="0.4">
      <c r="B36" s="438"/>
      <c r="C36" s="453" t="s">
        <v>330</v>
      </c>
      <c r="D36" s="439"/>
      <c r="E36" s="439"/>
      <c r="F36" s="439"/>
      <c r="G36" s="439"/>
      <c r="H36" s="449">
        <v>2.8</v>
      </c>
      <c r="I36" s="439" t="s">
        <v>43</v>
      </c>
      <c r="J36" s="439"/>
      <c r="K36" s="439"/>
      <c r="L36" s="439"/>
      <c r="M36" s="439"/>
      <c r="N36" s="439"/>
      <c r="O36" s="439"/>
      <c r="P36" s="439"/>
      <c r="Q36" s="439"/>
      <c r="R36" s="439"/>
      <c r="S36" s="439"/>
      <c r="V36" s="439"/>
      <c r="W36" s="439"/>
      <c r="X36" s="439"/>
      <c r="Y36" s="439"/>
      <c r="Z36" s="439"/>
      <c r="AA36" s="439"/>
      <c r="AB36" s="439"/>
      <c r="AC36" s="439"/>
      <c r="AD36" s="439"/>
      <c r="AE36" s="439"/>
      <c r="AF36" s="439"/>
      <c r="AG36" s="439"/>
      <c r="AH36" s="439"/>
      <c r="AI36" s="439"/>
      <c r="AJ36" s="439"/>
      <c r="AK36" s="439"/>
      <c r="AL36" s="440"/>
    </row>
    <row r="37" spans="2:38" x14ac:dyDescent="0.4">
      <c r="B37" s="438"/>
      <c r="C37" s="453" t="s">
        <v>331</v>
      </c>
      <c r="D37" s="439"/>
      <c r="E37" s="439"/>
      <c r="F37" s="439"/>
      <c r="G37" s="439"/>
      <c r="H37" s="449">
        <v>72.994</v>
      </c>
      <c r="I37" s="439" t="s">
        <v>43</v>
      </c>
      <c r="J37" s="439"/>
      <c r="K37" s="439"/>
      <c r="L37" s="439"/>
      <c r="M37" s="439"/>
      <c r="N37" s="439"/>
      <c r="O37" s="439"/>
      <c r="P37" s="439"/>
      <c r="Q37" s="439"/>
      <c r="R37" s="439"/>
      <c r="S37" s="439"/>
      <c r="V37" s="439"/>
      <c r="W37" s="439"/>
      <c r="X37" s="439"/>
      <c r="Y37" s="439"/>
      <c r="Z37" s="439"/>
      <c r="AA37" s="439"/>
      <c r="AB37" s="439"/>
      <c r="AC37" s="439"/>
      <c r="AD37" s="439"/>
      <c r="AE37" s="439"/>
      <c r="AF37" s="439"/>
      <c r="AG37" s="439"/>
      <c r="AH37" s="439"/>
      <c r="AI37" s="439"/>
      <c r="AJ37" s="439"/>
      <c r="AK37" s="439"/>
      <c r="AL37" s="440"/>
    </row>
    <row r="38" spans="2:38" x14ac:dyDescent="0.4">
      <c r="B38" s="438"/>
      <c r="C38" s="439"/>
      <c r="D38" s="439"/>
      <c r="E38" s="439"/>
      <c r="F38" s="439"/>
      <c r="G38" s="439"/>
      <c r="H38" s="439"/>
      <c r="I38" s="439"/>
      <c r="J38" s="439"/>
      <c r="K38" s="439"/>
      <c r="L38" s="439"/>
      <c r="M38" s="439"/>
      <c r="N38" s="439"/>
      <c r="O38" s="439"/>
      <c r="P38" s="439"/>
      <c r="Q38" s="439"/>
      <c r="R38" s="439"/>
      <c r="S38" s="439"/>
      <c r="V38" s="439"/>
      <c r="W38" s="439"/>
      <c r="X38" s="439"/>
      <c r="Y38" s="439"/>
      <c r="Z38" s="439"/>
      <c r="AA38" s="439"/>
      <c r="AB38" s="439"/>
      <c r="AC38" s="439"/>
      <c r="AD38" s="439"/>
      <c r="AE38" s="439"/>
      <c r="AF38" s="439"/>
      <c r="AG38" s="439"/>
      <c r="AH38" s="439"/>
      <c r="AI38" s="439"/>
      <c r="AJ38" s="439"/>
      <c r="AK38" s="439"/>
      <c r="AL38" s="440"/>
    </row>
    <row r="39" spans="2:38" x14ac:dyDescent="0.4">
      <c r="B39" s="438"/>
      <c r="C39" s="439"/>
      <c r="D39" s="439"/>
      <c r="E39" s="439"/>
      <c r="F39" s="439"/>
      <c r="G39" s="439"/>
      <c r="H39" s="439"/>
      <c r="I39" s="439"/>
      <c r="J39" s="439"/>
      <c r="K39" s="439"/>
      <c r="L39" s="439"/>
      <c r="M39" s="439"/>
      <c r="N39" s="439"/>
      <c r="O39" s="439"/>
      <c r="P39" s="439"/>
      <c r="Q39" s="439"/>
      <c r="R39" s="439"/>
      <c r="S39" s="439"/>
      <c r="V39" s="439"/>
      <c r="W39" s="439"/>
      <c r="X39" s="439"/>
      <c r="Y39" s="439"/>
      <c r="Z39" s="439"/>
      <c r="AA39" s="439"/>
      <c r="AB39" s="439"/>
      <c r="AC39" s="439"/>
      <c r="AD39" s="439"/>
      <c r="AE39" s="439"/>
      <c r="AF39" s="439"/>
      <c r="AG39" s="439"/>
      <c r="AH39" s="439"/>
      <c r="AI39" s="439"/>
      <c r="AJ39" s="439"/>
      <c r="AK39" s="439"/>
      <c r="AL39" s="440"/>
    </row>
    <row r="40" spans="2:38" x14ac:dyDescent="0.4">
      <c r="B40" s="438"/>
      <c r="C40" s="443" t="s">
        <v>47</v>
      </c>
      <c r="D40" s="439"/>
      <c r="E40" s="439"/>
      <c r="F40" s="439"/>
      <c r="G40" s="439"/>
      <c r="H40" s="439"/>
      <c r="I40" s="439"/>
      <c r="J40" s="439"/>
      <c r="K40" s="439"/>
      <c r="L40" s="439"/>
      <c r="M40" s="439"/>
      <c r="N40" s="439"/>
      <c r="O40" s="439"/>
      <c r="P40" s="439"/>
      <c r="Q40" s="439"/>
      <c r="R40" s="439"/>
      <c r="S40" s="439"/>
      <c r="V40" s="439"/>
      <c r="W40" s="439"/>
      <c r="X40" s="439"/>
      <c r="Y40" s="439"/>
      <c r="Z40" s="439"/>
      <c r="AA40" s="439"/>
      <c r="AB40" s="439"/>
      <c r="AC40" s="439"/>
      <c r="AD40" s="439"/>
      <c r="AE40" s="439"/>
      <c r="AF40" s="439"/>
      <c r="AG40" s="439"/>
      <c r="AH40" s="439"/>
      <c r="AI40" s="439"/>
      <c r="AJ40" s="439"/>
      <c r="AK40" s="439"/>
      <c r="AL40" s="440"/>
    </row>
    <row r="41" spans="2:38" x14ac:dyDescent="0.4">
      <c r="B41" s="438"/>
      <c r="C41" s="439" t="s">
        <v>48</v>
      </c>
      <c r="D41" s="439"/>
      <c r="E41" s="439"/>
      <c r="F41" s="439"/>
      <c r="G41" s="439"/>
      <c r="H41" s="449">
        <f>0.07</f>
        <v>7.0000000000000007E-2</v>
      </c>
      <c r="I41" s="439" t="s">
        <v>49</v>
      </c>
      <c r="J41" s="439"/>
      <c r="K41" s="439"/>
      <c r="L41" s="439"/>
      <c r="M41" s="439"/>
      <c r="N41" s="439"/>
      <c r="O41" s="439"/>
      <c r="P41" s="439"/>
      <c r="Q41" s="439"/>
      <c r="R41" s="439"/>
      <c r="S41" s="439"/>
      <c r="V41" s="439"/>
      <c r="W41" s="439"/>
      <c r="X41" s="439"/>
      <c r="Y41" s="439"/>
      <c r="Z41" s="439"/>
      <c r="AA41" s="439"/>
      <c r="AB41" s="439"/>
      <c r="AC41" s="439"/>
      <c r="AD41" s="439"/>
      <c r="AE41" s="439"/>
      <c r="AF41" s="439"/>
      <c r="AG41" s="439"/>
      <c r="AH41" s="439"/>
      <c r="AI41" s="439"/>
      <c r="AJ41" s="439"/>
      <c r="AK41" s="439"/>
      <c r="AL41" s="440"/>
    </row>
    <row r="42" spans="2:38" x14ac:dyDescent="0.4">
      <c r="B42" s="438"/>
      <c r="C42" s="439"/>
      <c r="D42" s="439"/>
      <c r="E42" s="439"/>
      <c r="F42" s="439"/>
      <c r="G42" s="439"/>
      <c r="H42" s="439"/>
      <c r="I42" s="439"/>
      <c r="J42" s="439"/>
      <c r="K42" s="439"/>
      <c r="L42" s="439"/>
      <c r="M42" s="439"/>
      <c r="N42" s="439"/>
      <c r="O42" s="439"/>
      <c r="P42" s="439"/>
      <c r="Q42" s="439"/>
      <c r="R42" s="439"/>
      <c r="S42" s="439"/>
      <c r="V42" s="439"/>
      <c r="W42" s="439"/>
      <c r="X42" s="439"/>
      <c r="Y42" s="439"/>
      <c r="Z42" s="439"/>
      <c r="AA42" s="439"/>
      <c r="AB42" s="439"/>
      <c r="AC42" s="439"/>
      <c r="AD42" s="439"/>
      <c r="AE42" s="439"/>
      <c r="AF42" s="439"/>
      <c r="AG42" s="439"/>
      <c r="AH42" s="439"/>
      <c r="AI42" s="439"/>
      <c r="AJ42" s="439"/>
      <c r="AK42" s="439"/>
      <c r="AL42" s="440"/>
    </row>
    <row r="43" spans="2:38" x14ac:dyDescent="0.4">
      <c r="B43" s="438"/>
      <c r="C43" s="439"/>
      <c r="D43" s="439"/>
      <c r="E43" s="439"/>
      <c r="F43" s="439"/>
      <c r="G43" s="439"/>
      <c r="H43" s="439"/>
      <c r="I43" s="439"/>
      <c r="J43" s="439"/>
      <c r="K43" s="439"/>
      <c r="L43" s="439"/>
      <c r="M43" s="439"/>
      <c r="N43" s="439"/>
      <c r="O43" s="439"/>
      <c r="P43" s="439"/>
      <c r="Q43" s="439"/>
      <c r="R43" s="439"/>
      <c r="S43" s="439"/>
      <c r="V43" s="439"/>
      <c r="W43" s="439"/>
      <c r="X43" s="439"/>
      <c r="Y43" s="439"/>
      <c r="Z43" s="439"/>
      <c r="AA43" s="439"/>
      <c r="AB43" s="439"/>
      <c r="AC43" s="439"/>
      <c r="AD43" s="439"/>
      <c r="AE43" s="439"/>
      <c r="AF43" s="439"/>
      <c r="AG43" s="439"/>
      <c r="AH43" s="439"/>
      <c r="AI43" s="439"/>
      <c r="AJ43" s="439"/>
      <c r="AK43" s="439"/>
      <c r="AL43" s="440"/>
    </row>
    <row r="44" spans="2:38" x14ac:dyDescent="0.4">
      <c r="B44" s="438"/>
      <c r="C44" s="443" t="s">
        <v>50</v>
      </c>
      <c r="D44" s="439"/>
      <c r="E44" s="439"/>
      <c r="F44" s="439"/>
      <c r="G44" s="439"/>
      <c r="H44" s="439"/>
      <c r="I44" s="439"/>
      <c r="J44" s="439"/>
      <c r="K44" s="439"/>
      <c r="L44" s="439"/>
      <c r="M44" s="439"/>
      <c r="N44" s="439"/>
      <c r="O44" s="439"/>
      <c r="P44" s="439"/>
      <c r="Q44" s="439"/>
      <c r="R44" s="439"/>
      <c r="S44" s="439"/>
      <c r="V44" s="439"/>
      <c r="W44" s="439"/>
      <c r="X44" s="439"/>
      <c r="Y44" s="439"/>
      <c r="Z44" s="439"/>
      <c r="AA44" s="439"/>
      <c r="AB44" s="439"/>
      <c r="AC44" s="439"/>
      <c r="AD44" s="439"/>
      <c r="AE44" s="439"/>
      <c r="AF44" s="439"/>
      <c r="AG44" s="439"/>
      <c r="AH44" s="439"/>
      <c r="AI44" s="439"/>
      <c r="AJ44" s="439"/>
      <c r="AK44" s="439"/>
      <c r="AL44" s="440"/>
    </row>
    <row r="45" spans="2:38" x14ac:dyDescent="0.4">
      <c r="B45" s="438"/>
      <c r="C45" s="439" t="s">
        <v>51</v>
      </c>
      <c r="D45" s="439"/>
      <c r="E45" s="439"/>
      <c r="F45" s="439"/>
      <c r="G45" s="439"/>
      <c r="H45" s="449">
        <v>10</v>
      </c>
      <c r="I45" s="439" t="s">
        <v>52</v>
      </c>
      <c r="J45" s="439"/>
      <c r="K45" s="439"/>
      <c r="L45" s="439"/>
      <c r="M45" s="439"/>
      <c r="N45" s="439"/>
      <c r="O45" s="439"/>
      <c r="P45" s="439"/>
      <c r="Q45" s="439"/>
      <c r="R45" s="439"/>
      <c r="S45" s="439"/>
      <c r="V45" s="439"/>
      <c r="W45" s="439"/>
      <c r="X45" s="439"/>
      <c r="Y45" s="439"/>
      <c r="Z45" s="439"/>
      <c r="AA45" s="439"/>
      <c r="AB45" s="439"/>
      <c r="AC45" s="439"/>
      <c r="AD45" s="439"/>
      <c r="AE45" s="439"/>
      <c r="AF45" s="439"/>
      <c r="AG45" s="439"/>
      <c r="AH45" s="439"/>
      <c r="AI45" s="439"/>
      <c r="AJ45" s="439"/>
      <c r="AK45" s="439"/>
      <c r="AL45" s="440"/>
    </row>
    <row r="46" spans="2:38" x14ac:dyDescent="0.4">
      <c r="B46" s="438"/>
      <c r="C46" s="439" t="s">
        <v>53</v>
      </c>
      <c r="D46" s="439"/>
      <c r="E46" s="439"/>
      <c r="F46" s="439"/>
      <c r="G46" s="439"/>
      <c r="H46" s="449">
        <v>330</v>
      </c>
      <c r="I46" s="439" t="s">
        <v>54</v>
      </c>
      <c r="J46" s="439"/>
      <c r="K46" s="439"/>
      <c r="L46" s="439"/>
      <c r="M46" s="439"/>
      <c r="N46" s="439"/>
      <c r="O46" s="439"/>
      <c r="P46" s="439"/>
      <c r="Q46" s="439"/>
      <c r="R46" s="439"/>
      <c r="S46" s="439"/>
      <c r="V46" s="439"/>
      <c r="W46" s="439"/>
      <c r="X46" s="439"/>
      <c r="Y46" s="439"/>
      <c r="Z46" s="439"/>
      <c r="AA46" s="439"/>
      <c r="AB46" s="439"/>
      <c r="AC46" s="439"/>
      <c r="AD46" s="439"/>
      <c r="AE46" s="439"/>
      <c r="AF46" s="439"/>
      <c r="AG46" s="439"/>
      <c r="AH46" s="439"/>
      <c r="AI46" s="439"/>
      <c r="AJ46" s="439"/>
      <c r="AK46" s="439"/>
      <c r="AL46" s="440"/>
    </row>
    <row r="47" spans="2:38" x14ac:dyDescent="0.4">
      <c r="B47" s="438"/>
      <c r="C47" s="439" t="s">
        <v>55</v>
      </c>
      <c r="D47" s="439"/>
      <c r="E47" s="439"/>
      <c r="F47" s="439"/>
      <c r="G47" s="439"/>
      <c r="H47" s="449">
        <v>0.35</v>
      </c>
      <c r="I47" s="439"/>
      <c r="J47" s="439"/>
      <c r="K47" s="439"/>
      <c r="L47" s="439"/>
      <c r="M47" s="439"/>
      <c r="N47" s="439"/>
      <c r="O47" s="439"/>
      <c r="P47" s="439"/>
      <c r="Q47" s="439"/>
      <c r="R47" s="439"/>
      <c r="S47" s="439"/>
      <c r="V47" s="439"/>
      <c r="W47" s="457"/>
      <c r="X47" s="458"/>
      <c r="Y47" s="458"/>
      <c r="Z47" s="458"/>
      <c r="AA47" s="458"/>
      <c r="AB47" s="458"/>
      <c r="AC47" s="458"/>
      <c r="AD47" s="458"/>
      <c r="AE47" s="458"/>
      <c r="AF47" s="458"/>
      <c r="AG47" s="458"/>
      <c r="AH47" s="458"/>
      <c r="AI47" s="458"/>
      <c r="AJ47" s="458"/>
      <c r="AK47" s="459"/>
      <c r="AL47" s="440"/>
    </row>
    <row r="48" spans="2:38" x14ac:dyDescent="0.4">
      <c r="B48" s="438"/>
      <c r="C48" s="439" t="s">
        <v>56</v>
      </c>
      <c r="D48" s="439"/>
      <c r="E48" s="439"/>
      <c r="F48" s="439"/>
      <c r="G48" s="439"/>
      <c r="H48" s="449">
        <v>10</v>
      </c>
      <c r="I48" s="439" t="s">
        <v>52</v>
      </c>
      <c r="J48" s="439"/>
      <c r="K48" s="439"/>
      <c r="L48" s="439"/>
      <c r="M48" s="439"/>
      <c r="N48" s="439"/>
      <c r="O48" s="439"/>
      <c r="P48" s="439"/>
      <c r="Q48" s="439"/>
      <c r="R48" s="439"/>
      <c r="S48" s="439"/>
      <c r="T48" s="429" t="s">
        <v>58</v>
      </c>
      <c r="U48" s="429" t="s">
        <v>59</v>
      </c>
      <c r="V48" s="439"/>
      <c r="W48" s="460"/>
      <c r="X48" s="461"/>
      <c r="Y48" s="461"/>
      <c r="Z48" s="461"/>
      <c r="AA48" s="461"/>
      <c r="AB48" s="461"/>
      <c r="AC48" s="461"/>
      <c r="AD48" s="461"/>
      <c r="AE48" s="461"/>
      <c r="AF48" s="461"/>
      <c r="AG48" s="461"/>
      <c r="AH48" s="461"/>
      <c r="AI48" s="461"/>
      <c r="AJ48" s="461"/>
      <c r="AK48" s="462"/>
      <c r="AL48" s="440"/>
    </row>
    <row r="49" spans="2:38" x14ac:dyDescent="0.4">
      <c r="B49" s="438"/>
      <c r="C49" s="439" t="s">
        <v>57</v>
      </c>
      <c r="D49" s="439"/>
      <c r="E49" s="439"/>
      <c r="F49" s="439"/>
      <c r="G49" s="439"/>
      <c r="H49" s="449">
        <v>0.3</v>
      </c>
      <c r="I49" s="439"/>
      <c r="J49" s="439"/>
      <c r="K49" s="439"/>
      <c r="L49" s="439"/>
      <c r="M49" s="439"/>
      <c r="N49" s="439"/>
      <c r="O49" s="439"/>
      <c r="P49" s="439"/>
      <c r="Q49" s="439"/>
      <c r="R49" s="439"/>
      <c r="S49" s="439"/>
      <c r="T49" s="429" t="s">
        <v>62</v>
      </c>
      <c r="U49" s="429">
        <f>161.65</f>
        <v>161.65</v>
      </c>
      <c r="V49" s="439"/>
      <c r="W49" s="460"/>
      <c r="X49" s="461"/>
      <c r="Y49" s="461"/>
      <c r="Z49" s="461"/>
      <c r="AA49" s="461"/>
      <c r="AB49" s="461"/>
      <c r="AC49" s="461"/>
      <c r="AD49" s="461"/>
      <c r="AE49" s="461"/>
      <c r="AF49" s="461"/>
      <c r="AG49" s="461"/>
      <c r="AH49" s="461"/>
      <c r="AI49" s="461"/>
      <c r="AJ49" s="461"/>
      <c r="AK49" s="462"/>
      <c r="AL49" s="440"/>
    </row>
    <row r="50" spans="2:38" x14ac:dyDescent="0.4">
      <c r="B50" s="438"/>
      <c r="C50" s="439"/>
      <c r="D50" s="439"/>
      <c r="E50" s="439"/>
      <c r="F50" s="439"/>
      <c r="G50" s="439"/>
      <c r="H50" s="439"/>
      <c r="I50" s="439"/>
      <c r="J50" s="439"/>
      <c r="K50" s="439"/>
      <c r="L50" s="439"/>
      <c r="M50" s="439"/>
      <c r="N50" s="439"/>
      <c r="O50" s="439"/>
      <c r="P50" s="439"/>
      <c r="Q50" s="439"/>
      <c r="R50" s="439"/>
      <c r="S50" s="439"/>
      <c r="T50" s="429" t="s">
        <v>64</v>
      </c>
      <c r="U50" s="429">
        <f>304.59</f>
        <v>304.58999999999997</v>
      </c>
      <c r="V50" s="439"/>
      <c r="W50" s="460"/>
      <c r="X50" s="461"/>
      <c r="Y50" s="461"/>
      <c r="Z50" s="461"/>
      <c r="AA50" s="461"/>
      <c r="AB50" s="461"/>
      <c r="AC50" s="461"/>
      <c r="AD50" s="461"/>
      <c r="AE50" s="461"/>
      <c r="AF50" s="461"/>
      <c r="AG50" s="461"/>
      <c r="AH50" s="461"/>
      <c r="AI50" s="461"/>
      <c r="AJ50" s="461"/>
      <c r="AK50" s="462"/>
      <c r="AL50" s="440"/>
    </row>
    <row r="51" spans="2:38" x14ac:dyDescent="0.4">
      <c r="B51" s="438"/>
      <c r="C51" s="456" t="s">
        <v>332</v>
      </c>
      <c r="D51" s="439"/>
      <c r="E51" s="439"/>
      <c r="F51" s="439"/>
      <c r="G51" s="439"/>
      <c r="H51" s="439"/>
      <c r="I51" s="439"/>
      <c r="J51" s="439"/>
      <c r="K51" s="439"/>
      <c r="L51" s="439"/>
      <c r="M51" s="439"/>
      <c r="N51" s="439"/>
      <c r="O51" s="439"/>
      <c r="P51" s="439"/>
      <c r="Q51" s="439"/>
      <c r="R51" s="439"/>
      <c r="S51" s="439"/>
      <c r="T51" s="429" t="s">
        <v>61</v>
      </c>
      <c r="U51" s="429">
        <f>40.16</f>
        <v>40.159999999999997</v>
      </c>
      <c r="V51" s="439"/>
      <c r="W51" s="460"/>
      <c r="X51" s="461"/>
      <c r="Y51" s="461"/>
      <c r="Z51" s="461"/>
      <c r="AA51" s="461"/>
      <c r="AB51" s="461"/>
      <c r="AC51" s="461"/>
      <c r="AD51" s="461"/>
      <c r="AE51" s="461"/>
      <c r="AF51" s="461"/>
      <c r="AG51" s="461"/>
      <c r="AH51" s="461"/>
      <c r="AI51" s="461"/>
      <c r="AJ51" s="461"/>
      <c r="AK51" s="462"/>
      <c r="AL51" s="440"/>
    </row>
    <row r="52" spans="2:38" x14ac:dyDescent="0.4">
      <c r="B52" s="438"/>
      <c r="C52" s="439" t="s">
        <v>60</v>
      </c>
      <c r="D52" s="439"/>
      <c r="E52" s="439"/>
      <c r="F52" s="439"/>
      <c r="G52" s="439"/>
      <c r="H52" s="463" t="s">
        <v>61</v>
      </c>
      <c r="I52" s="439"/>
      <c r="J52" s="439"/>
      <c r="K52" s="439"/>
      <c r="L52" s="439"/>
      <c r="M52" s="439"/>
      <c r="N52" s="439"/>
      <c r="O52" s="439"/>
      <c r="P52" s="439"/>
      <c r="Q52" s="439"/>
      <c r="R52" s="439"/>
      <c r="S52" s="439"/>
      <c r="T52" s="429" t="s">
        <v>65</v>
      </c>
      <c r="U52" s="429">
        <f>40.16</f>
        <v>40.159999999999997</v>
      </c>
      <c r="V52" s="439"/>
      <c r="W52" s="460"/>
      <c r="X52" s="461"/>
      <c r="Y52" s="461"/>
      <c r="Z52" s="461"/>
      <c r="AA52" s="461"/>
      <c r="AB52" s="461"/>
      <c r="AC52" s="461"/>
      <c r="AD52" s="461"/>
      <c r="AE52" s="461"/>
      <c r="AF52" s="461"/>
      <c r="AG52" s="461"/>
      <c r="AH52" s="461"/>
      <c r="AI52" s="461"/>
      <c r="AJ52" s="461"/>
      <c r="AK52" s="462"/>
      <c r="AL52" s="440"/>
    </row>
    <row r="53" spans="2:38" x14ac:dyDescent="0.4">
      <c r="B53" s="438"/>
      <c r="C53" s="439" t="s">
        <v>333</v>
      </c>
      <c r="D53" s="439"/>
      <c r="E53" s="439"/>
      <c r="F53" s="439"/>
      <c r="G53" s="439"/>
      <c r="H53" s="449">
        <f>VLOOKUP(H52,T49:U64,2,0)</f>
        <v>40.159999999999997</v>
      </c>
      <c r="I53" s="439" t="s">
        <v>63</v>
      </c>
      <c r="J53" s="439"/>
      <c r="K53" s="439"/>
      <c r="L53" s="439"/>
      <c r="M53" s="439"/>
      <c r="N53" s="439"/>
      <c r="O53" s="439"/>
      <c r="P53" s="439"/>
      <c r="Q53" s="439"/>
      <c r="R53" s="439"/>
      <c r="S53" s="439"/>
      <c r="T53" s="429" t="s">
        <v>66</v>
      </c>
      <c r="U53" s="429">
        <f>225.35</f>
        <v>225.35</v>
      </c>
      <c r="V53" s="439"/>
      <c r="W53" s="460"/>
      <c r="X53" s="461"/>
      <c r="Y53" s="461"/>
      <c r="Z53" s="461"/>
      <c r="AA53" s="461"/>
      <c r="AB53" s="461"/>
      <c r="AC53" s="461"/>
      <c r="AD53" s="461"/>
      <c r="AE53" s="461"/>
      <c r="AF53" s="461"/>
      <c r="AG53" s="461"/>
      <c r="AH53" s="461"/>
      <c r="AI53" s="461"/>
      <c r="AJ53" s="461"/>
      <c r="AK53" s="462"/>
      <c r="AL53" s="440"/>
    </row>
    <row r="54" spans="2:38" x14ac:dyDescent="0.4">
      <c r="B54" s="438"/>
      <c r="C54" s="439"/>
      <c r="D54" s="439"/>
      <c r="E54" s="439"/>
      <c r="F54" s="439"/>
      <c r="G54" s="439"/>
      <c r="H54" s="439"/>
      <c r="I54" s="439"/>
      <c r="J54" s="439"/>
      <c r="K54" s="439"/>
      <c r="L54" s="439"/>
      <c r="M54" s="439"/>
      <c r="N54" s="439"/>
      <c r="O54" s="439"/>
      <c r="P54" s="439"/>
      <c r="Q54" s="439"/>
      <c r="R54" s="439"/>
      <c r="S54" s="439"/>
      <c r="T54" s="429" t="s">
        <v>67</v>
      </c>
      <c r="U54" s="429">
        <f>87.28</f>
        <v>87.28</v>
      </c>
      <c r="V54" s="439"/>
      <c r="W54" s="460"/>
      <c r="X54" s="461"/>
      <c r="Y54" s="461"/>
      <c r="Z54" s="461"/>
      <c r="AA54" s="461"/>
      <c r="AB54" s="461"/>
      <c r="AC54" s="461"/>
      <c r="AD54" s="461"/>
      <c r="AE54" s="461"/>
      <c r="AF54" s="461"/>
      <c r="AG54" s="461"/>
      <c r="AH54" s="461"/>
      <c r="AI54" s="461"/>
      <c r="AJ54" s="461"/>
      <c r="AK54" s="462"/>
      <c r="AL54" s="440"/>
    </row>
    <row r="55" spans="2:38" x14ac:dyDescent="0.4">
      <c r="B55" s="438"/>
      <c r="C55" s="439"/>
      <c r="D55" s="439"/>
      <c r="E55" s="439"/>
      <c r="F55" s="439"/>
      <c r="G55" s="439"/>
      <c r="H55" s="439"/>
      <c r="I55" s="439"/>
      <c r="J55" s="439"/>
      <c r="K55" s="439"/>
      <c r="L55" s="439"/>
      <c r="M55" s="439"/>
      <c r="N55" s="439"/>
      <c r="O55" s="439"/>
      <c r="P55" s="439"/>
      <c r="Q55" s="439"/>
      <c r="R55" s="439"/>
      <c r="S55" s="439"/>
      <c r="T55" s="429" t="s">
        <v>68</v>
      </c>
      <c r="U55" s="429">
        <f>95.08</f>
        <v>95.08</v>
      </c>
      <c r="V55" s="439"/>
      <c r="W55" s="460"/>
      <c r="X55" s="461"/>
      <c r="Y55" s="461"/>
      <c r="Z55" s="461"/>
      <c r="AA55" s="461"/>
      <c r="AB55" s="461"/>
      <c r="AC55" s="461"/>
      <c r="AD55" s="461"/>
      <c r="AE55" s="461"/>
      <c r="AF55" s="461"/>
      <c r="AG55" s="461"/>
      <c r="AH55" s="461"/>
      <c r="AI55" s="461"/>
      <c r="AJ55" s="461"/>
      <c r="AK55" s="462"/>
      <c r="AL55" s="440"/>
    </row>
    <row r="56" spans="2:38" x14ac:dyDescent="0.4">
      <c r="B56" s="438"/>
      <c r="C56" s="439"/>
      <c r="D56" s="439"/>
      <c r="E56" s="439"/>
      <c r="F56" s="439"/>
      <c r="G56" s="439"/>
      <c r="H56" s="439"/>
      <c r="I56" s="439"/>
      <c r="J56" s="439"/>
      <c r="K56" s="439"/>
      <c r="L56" s="439"/>
      <c r="M56" s="464"/>
      <c r="N56" s="439"/>
      <c r="O56" s="439"/>
      <c r="P56" s="439"/>
      <c r="Q56" s="439"/>
      <c r="R56" s="439"/>
      <c r="S56" s="439"/>
      <c r="T56" s="429" t="s">
        <v>69</v>
      </c>
      <c r="U56" s="429">
        <f>107.63</f>
        <v>107.63</v>
      </c>
      <c r="V56" s="439"/>
      <c r="W56" s="460"/>
      <c r="X56" s="461"/>
      <c r="Y56" s="461"/>
      <c r="Z56" s="461"/>
      <c r="AA56" s="461"/>
      <c r="AB56" s="461"/>
      <c r="AC56" s="461"/>
      <c r="AD56" s="461"/>
      <c r="AE56" s="461"/>
      <c r="AF56" s="461"/>
      <c r="AG56" s="461"/>
      <c r="AH56" s="461"/>
      <c r="AI56" s="461"/>
      <c r="AJ56" s="461"/>
      <c r="AK56" s="462"/>
      <c r="AL56" s="440"/>
    </row>
    <row r="57" spans="2:38" x14ac:dyDescent="0.4">
      <c r="B57" s="438"/>
      <c r="C57" s="439"/>
      <c r="D57" s="439"/>
      <c r="E57" s="439"/>
      <c r="F57" s="439"/>
      <c r="G57" s="439"/>
      <c r="H57" s="439"/>
      <c r="I57" s="439"/>
      <c r="J57" s="439"/>
      <c r="K57" s="439"/>
      <c r="L57" s="439"/>
      <c r="M57" s="439"/>
      <c r="N57" s="439"/>
      <c r="O57" s="439"/>
      <c r="P57" s="439"/>
      <c r="Q57" s="439"/>
      <c r="R57" s="439"/>
      <c r="S57" s="439"/>
      <c r="T57" s="429" t="s">
        <v>70</v>
      </c>
      <c r="U57" s="429">
        <f>147.22</f>
        <v>147.22</v>
      </c>
      <c r="V57" s="439"/>
      <c r="W57" s="460"/>
      <c r="X57" s="461"/>
      <c r="Y57" s="461"/>
      <c r="Z57" s="461"/>
      <c r="AA57" s="461"/>
      <c r="AB57" s="461"/>
      <c r="AC57" s="461"/>
      <c r="AD57" s="461"/>
      <c r="AE57" s="461"/>
      <c r="AF57" s="461"/>
      <c r="AG57" s="461"/>
      <c r="AH57" s="461"/>
      <c r="AI57" s="461"/>
      <c r="AJ57" s="461"/>
      <c r="AK57" s="462"/>
      <c r="AL57" s="440"/>
    </row>
    <row r="58" spans="2:38" x14ac:dyDescent="0.4">
      <c r="B58" s="438"/>
      <c r="C58" s="439"/>
      <c r="D58" s="439"/>
      <c r="E58" s="439"/>
      <c r="F58" s="439"/>
      <c r="G58" s="439"/>
      <c r="H58" s="439"/>
      <c r="I58" s="439"/>
      <c r="J58" s="439"/>
      <c r="K58" s="439"/>
      <c r="L58" s="439"/>
      <c r="M58" s="439"/>
      <c r="N58" s="439"/>
      <c r="O58" s="439"/>
      <c r="P58" s="439"/>
      <c r="Q58" s="439"/>
      <c r="R58" s="439"/>
      <c r="S58" s="439"/>
      <c r="T58" s="429" t="s">
        <v>71</v>
      </c>
      <c r="U58" s="429">
        <f>193.72</f>
        <v>193.72</v>
      </c>
      <c r="V58" s="439"/>
      <c r="W58" s="460"/>
      <c r="X58" s="461"/>
      <c r="Y58" s="461"/>
      <c r="Z58" s="461"/>
      <c r="AA58" s="461"/>
      <c r="AB58" s="461"/>
      <c r="AC58" s="461"/>
      <c r="AD58" s="461"/>
      <c r="AE58" s="461"/>
      <c r="AF58" s="461"/>
      <c r="AG58" s="461"/>
      <c r="AH58" s="461"/>
      <c r="AI58" s="461"/>
      <c r="AJ58" s="461"/>
      <c r="AK58" s="462"/>
      <c r="AL58" s="440"/>
    </row>
    <row r="59" spans="2:38" x14ac:dyDescent="0.4">
      <c r="B59" s="438"/>
      <c r="C59" s="439"/>
      <c r="D59" s="439"/>
      <c r="E59" s="439"/>
      <c r="F59" s="439"/>
      <c r="G59" s="439"/>
      <c r="H59" s="439"/>
      <c r="I59" s="439"/>
      <c r="J59" s="439"/>
      <c r="K59" s="439"/>
      <c r="L59" s="439"/>
      <c r="M59" s="439"/>
      <c r="N59" s="439"/>
      <c r="O59" s="439"/>
      <c r="P59" s="439"/>
      <c r="Q59" s="439"/>
      <c r="R59" s="439"/>
      <c r="S59" s="439"/>
      <c r="T59" s="429" t="s">
        <v>72</v>
      </c>
      <c r="U59" s="429">
        <f>244.39</f>
        <v>244.39</v>
      </c>
      <c r="V59" s="439"/>
      <c r="W59" s="460"/>
      <c r="X59" s="461"/>
      <c r="Y59" s="461"/>
      <c r="Z59" s="461"/>
      <c r="AA59" s="461"/>
      <c r="AB59" s="461"/>
      <c r="AC59" s="461"/>
      <c r="AD59" s="461"/>
      <c r="AE59" s="461"/>
      <c r="AF59" s="461"/>
      <c r="AG59" s="461"/>
      <c r="AH59" s="461"/>
      <c r="AI59" s="461"/>
      <c r="AJ59" s="461"/>
      <c r="AK59" s="462"/>
      <c r="AL59" s="440"/>
    </row>
    <row r="60" spans="2:38" x14ac:dyDescent="0.4">
      <c r="B60" s="438"/>
      <c r="C60" s="439"/>
      <c r="D60" s="439"/>
      <c r="E60" s="439"/>
      <c r="F60" s="439"/>
      <c r="G60" s="439"/>
      <c r="H60" s="439"/>
      <c r="I60" s="439"/>
      <c r="J60" s="439"/>
      <c r="K60" s="439"/>
      <c r="L60" s="439"/>
      <c r="M60" s="439"/>
      <c r="N60" s="439"/>
      <c r="O60" s="439"/>
      <c r="P60" s="439"/>
      <c r="Q60" s="439"/>
      <c r="R60" s="439"/>
      <c r="S60" s="439"/>
      <c r="T60" s="429" t="s">
        <v>73</v>
      </c>
      <c r="U60" s="429">
        <f>150.14</f>
        <v>150.13999999999999</v>
      </c>
      <c r="V60" s="439"/>
      <c r="W60" s="460"/>
      <c r="X60" s="461"/>
      <c r="Y60" s="461"/>
      <c r="Z60" s="461"/>
      <c r="AA60" s="461"/>
      <c r="AB60" s="461"/>
      <c r="AC60" s="461"/>
      <c r="AD60" s="461"/>
      <c r="AE60" s="461"/>
      <c r="AF60" s="461"/>
      <c r="AG60" s="461"/>
      <c r="AH60" s="461"/>
      <c r="AI60" s="461"/>
      <c r="AJ60" s="461"/>
      <c r="AK60" s="462"/>
      <c r="AL60" s="440"/>
    </row>
    <row r="61" spans="2:38" x14ac:dyDescent="0.4">
      <c r="B61" s="438"/>
      <c r="C61" s="439"/>
      <c r="D61" s="439"/>
      <c r="E61" s="439"/>
      <c r="F61" s="439"/>
      <c r="G61" s="439"/>
      <c r="H61" s="439"/>
      <c r="I61" s="439"/>
      <c r="J61" s="439"/>
      <c r="K61" s="439"/>
      <c r="L61" s="439"/>
      <c r="M61" s="439"/>
      <c r="N61" s="439"/>
      <c r="O61" s="439"/>
      <c r="P61" s="439"/>
      <c r="Q61" s="439"/>
      <c r="R61" s="439"/>
      <c r="S61" s="439"/>
      <c r="T61" s="429" t="s">
        <v>74</v>
      </c>
      <c r="U61" s="429">
        <f>245.36</f>
        <v>245.36</v>
      </c>
      <c r="V61" s="439"/>
      <c r="W61" s="460"/>
      <c r="X61" s="461"/>
      <c r="Y61" s="461"/>
      <c r="Z61" s="461"/>
      <c r="AA61" s="461"/>
      <c r="AB61" s="461"/>
      <c r="AC61" s="461"/>
      <c r="AD61" s="461"/>
      <c r="AE61" s="461"/>
      <c r="AF61" s="461"/>
      <c r="AG61" s="461"/>
      <c r="AH61" s="461"/>
      <c r="AI61" s="461"/>
      <c r="AJ61" s="461"/>
      <c r="AK61" s="462"/>
      <c r="AL61" s="440"/>
    </row>
    <row r="62" spans="2:38" x14ac:dyDescent="0.4">
      <c r="B62" s="438"/>
      <c r="C62" s="439"/>
      <c r="D62" s="439"/>
      <c r="E62" s="439"/>
      <c r="F62" s="439"/>
      <c r="G62" s="439"/>
      <c r="H62" s="439"/>
      <c r="I62" s="439"/>
      <c r="J62" s="439"/>
      <c r="K62" s="439"/>
      <c r="L62" s="439"/>
      <c r="M62" s="439"/>
      <c r="N62" s="439"/>
      <c r="O62" s="439"/>
      <c r="P62" s="439"/>
      <c r="Q62" s="439"/>
      <c r="R62" s="439"/>
      <c r="S62" s="439"/>
      <c r="T62" s="429" t="s">
        <v>75</v>
      </c>
      <c r="U62" s="429">
        <f>202.26</f>
        <v>202.26</v>
      </c>
      <c r="V62" s="439"/>
      <c r="W62" s="460"/>
      <c r="X62" s="461"/>
      <c r="Y62" s="461"/>
      <c r="Z62" s="461"/>
      <c r="AA62" s="461"/>
      <c r="AB62" s="461"/>
      <c r="AC62" s="461"/>
      <c r="AD62" s="461"/>
      <c r="AE62" s="461"/>
      <c r="AF62" s="461"/>
      <c r="AG62" s="461"/>
      <c r="AH62" s="461"/>
      <c r="AI62" s="461"/>
      <c r="AJ62" s="461"/>
      <c r="AK62" s="462"/>
      <c r="AL62" s="440"/>
    </row>
    <row r="63" spans="2:38" x14ac:dyDescent="0.4">
      <c r="B63" s="438"/>
      <c r="C63" s="439"/>
      <c r="D63" s="439"/>
      <c r="E63" s="439"/>
      <c r="F63" s="439"/>
      <c r="G63" s="439"/>
      <c r="H63" s="439"/>
      <c r="I63" s="439"/>
      <c r="J63" s="439"/>
      <c r="K63" s="439"/>
      <c r="L63" s="439"/>
      <c r="M63" s="439"/>
      <c r="N63" s="439"/>
      <c r="O63" s="439"/>
      <c r="P63" s="439"/>
      <c r="Q63" s="439"/>
      <c r="R63" s="439"/>
      <c r="S63" s="439"/>
      <c r="T63" s="429" t="s">
        <v>76</v>
      </c>
      <c r="U63" s="429">
        <f>147.94</f>
        <v>147.94</v>
      </c>
      <c r="V63" s="439"/>
      <c r="W63" s="460"/>
      <c r="X63" s="461"/>
      <c r="Y63" s="461"/>
      <c r="Z63" s="461"/>
      <c r="AA63" s="461"/>
      <c r="AB63" s="461"/>
      <c r="AC63" s="461"/>
      <c r="AD63" s="461"/>
      <c r="AE63" s="461"/>
      <c r="AF63" s="461"/>
      <c r="AG63" s="461"/>
      <c r="AH63" s="461"/>
      <c r="AI63" s="461"/>
      <c r="AJ63" s="461"/>
      <c r="AK63" s="462"/>
      <c r="AL63" s="440"/>
    </row>
    <row r="64" spans="2:38" x14ac:dyDescent="0.4">
      <c r="B64" s="438"/>
      <c r="C64" s="439"/>
      <c r="D64" s="439"/>
      <c r="E64" s="439"/>
      <c r="F64" s="439"/>
      <c r="G64" s="439"/>
      <c r="H64" s="439"/>
      <c r="I64" s="439"/>
      <c r="J64" s="439"/>
      <c r="K64" s="439"/>
      <c r="L64" s="439"/>
      <c r="M64" s="439"/>
      <c r="N64" s="439"/>
      <c r="O64" s="439"/>
      <c r="P64" s="439"/>
      <c r="Q64" s="439"/>
      <c r="R64" s="439"/>
      <c r="S64" s="439"/>
      <c r="T64" s="429" t="s">
        <v>77</v>
      </c>
      <c r="U64" s="429">
        <f>132.49</f>
        <v>132.49</v>
      </c>
      <c r="V64" s="439"/>
      <c r="W64" s="460"/>
      <c r="X64" s="461"/>
      <c r="Y64" s="461"/>
      <c r="Z64" s="461"/>
      <c r="AA64" s="461"/>
      <c r="AB64" s="461"/>
      <c r="AC64" s="461"/>
      <c r="AD64" s="461"/>
      <c r="AE64" s="461"/>
      <c r="AF64" s="461"/>
      <c r="AG64" s="461"/>
      <c r="AH64" s="461"/>
      <c r="AI64" s="461"/>
      <c r="AJ64" s="461"/>
      <c r="AK64" s="462"/>
      <c r="AL64" s="440"/>
    </row>
    <row r="65" spans="2:38" x14ac:dyDescent="0.4">
      <c r="B65" s="438"/>
      <c r="C65" s="439"/>
      <c r="D65" s="439"/>
      <c r="E65" s="439"/>
      <c r="F65" s="439"/>
      <c r="G65" s="439"/>
      <c r="H65" s="439"/>
      <c r="I65" s="439"/>
      <c r="J65" s="439"/>
      <c r="K65" s="439"/>
      <c r="L65" s="439"/>
      <c r="M65" s="439"/>
      <c r="N65" s="439"/>
      <c r="O65" s="439"/>
      <c r="P65" s="439"/>
      <c r="Q65" s="439"/>
      <c r="R65" s="439"/>
      <c r="S65" s="439"/>
      <c r="V65" s="439"/>
      <c r="W65" s="460"/>
      <c r="X65" s="461"/>
      <c r="Y65" s="461"/>
      <c r="Z65" s="461"/>
      <c r="AA65" s="461"/>
      <c r="AB65" s="461"/>
      <c r="AC65" s="461"/>
      <c r="AD65" s="461"/>
      <c r="AE65" s="461"/>
      <c r="AF65" s="461"/>
      <c r="AG65" s="461"/>
      <c r="AH65" s="461"/>
      <c r="AI65" s="461"/>
      <c r="AJ65" s="461"/>
      <c r="AK65" s="462"/>
      <c r="AL65" s="440"/>
    </row>
    <row r="66" spans="2:38" x14ac:dyDescent="0.4">
      <c r="B66" s="438"/>
      <c r="C66" s="439"/>
      <c r="D66" s="439"/>
      <c r="E66" s="439"/>
      <c r="F66" s="439"/>
      <c r="G66" s="439"/>
      <c r="H66" s="439"/>
      <c r="I66" s="439"/>
      <c r="J66" s="439"/>
      <c r="K66" s="439"/>
      <c r="L66" s="439"/>
      <c r="M66" s="439"/>
      <c r="N66" s="439"/>
      <c r="O66" s="439"/>
      <c r="P66" s="439"/>
      <c r="Q66" s="439"/>
      <c r="R66" s="439"/>
      <c r="S66" s="439"/>
      <c r="V66" s="439"/>
      <c r="W66" s="460"/>
      <c r="X66" s="461"/>
      <c r="Y66" s="461"/>
      <c r="Z66" s="461"/>
      <c r="AA66" s="461"/>
      <c r="AB66" s="461"/>
      <c r="AC66" s="461"/>
      <c r="AD66" s="461"/>
      <c r="AE66" s="461"/>
      <c r="AF66" s="461"/>
      <c r="AG66" s="461"/>
      <c r="AH66" s="461"/>
      <c r="AI66" s="461"/>
      <c r="AJ66" s="461"/>
      <c r="AK66" s="462"/>
      <c r="AL66" s="440"/>
    </row>
    <row r="67" spans="2:38" x14ac:dyDescent="0.4">
      <c r="B67" s="438"/>
      <c r="C67" s="439"/>
      <c r="D67" s="439"/>
      <c r="E67" s="439"/>
      <c r="F67" s="439"/>
      <c r="G67" s="439"/>
      <c r="H67" s="439"/>
      <c r="I67" s="439"/>
      <c r="J67" s="439"/>
      <c r="K67" s="439"/>
      <c r="L67" s="439"/>
      <c r="M67" s="439"/>
      <c r="N67" s="439"/>
      <c r="O67" s="439"/>
      <c r="P67" s="439"/>
      <c r="Q67" s="439"/>
      <c r="R67" s="439"/>
      <c r="S67" s="439"/>
      <c r="V67" s="439"/>
      <c r="W67" s="460"/>
      <c r="X67" s="461"/>
      <c r="Y67" s="461"/>
      <c r="Z67" s="461"/>
      <c r="AA67" s="461"/>
      <c r="AB67" s="461"/>
      <c r="AC67" s="461"/>
      <c r="AD67" s="461"/>
      <c r="AE67" s="461"/>
      <c r="AF67" s="461"/>
      <c r="AG67" s="461"/>
      <c r="AH67" s="461"/>
      <c r="AI67" s="461"/>
      <c r="AJ67" s="461"/>
      <c r="AK67" s="462"/>
      <c r="AL67" s="440"/>
    </row>
    <row r="68" spans="2:38" x14ac:dyDescent="0.4">
      <c r="B68" s="438"/>
      <c r="C68" s="439"/>
      <c r="D68" s="439"/>
      <c r="E68" s="439"/>
      <c r="F68" s="439"/>
      <c r="G68" s="439"/>
      <c r="H68" s="439"/>
      <c r="I68" s="439"/>
      <c r="J68" s="439"/>
      <c r="K68" s="439"/>
      <c r="L68" s="439"/>
      <c r="M68" s="439"/>
      <c r="N68" s="439"/>
      <c r="O68" s="439"/>
      <c r="P68" s="439"/>
      <c r="Q68" s="439"/>
      <c r="R68" s="439"/>
      <c r="S68" s="439"/>
      <c r="V68" s="439"/>
      <c r="W68" s="465"/>
      <c r="X68" s="466"/>
      <c r="Y68" s="466"/>
      <c r="Z68" s="466"/>
      <c r="AA68" s="466"/>
      <c r="AB68" s="466"/>
      <c r="AC68" s="466"/>
      <c r="AD68" s="466"/>
      <c r="AE68" s="466"/>
      <c r="AF68" s="466"/>
      <c r="AG68" s="466"/>
      <c r="AH68" s="466"/>
      <c r="AI68" s="466"/>
      <c r="AJ68" s="466"/>
      <c r="AK68" s="467"/>
      <c r="AL68" s="440"/>
    </row>
    <row r="69" spans="2:38" x14ac:dyDescent="0.4">
      <c r="B69" s="438"/>
      <c r="C69" s="439"/>
      <c r="D69" s="439"/>
      <c r="E69" s="439"/>
      <c r="F69" s="439"/>
      <c r="G69" s="439"/>
      <c r="H69" s="439"/>
      <c r="I69" s="439"/>
      <c r="J69" s="439"/>
      <c r="K69" s="439"/>
      <c r="L69" s="439"/>
      <c r="M69" s="439"/>
      <c r="N69" s="439"/>
      <c r="O69" s="439"/>
      <c r="P69" s="439"/>
      <c r="Q69" s="439"/>
      <c r="R69" s="439"/>
      <c r="S69" s="439"/>
      <c r="V69" s="439"/>
      <c r="W69" s="439"/>
      <c r="X69" s="439"/>
      <c r="Y69" s="439"/>
      <c r="Z69" s="439"/>
      <c r="AA69" s="439"/>
      <c r="AB69" s="439"/>
      <c r="AC69" s="439"/>
      <c r="AD69" s="439"/>
      <c r="AE69" s="439"/>
      <c r="AF69" s="439"/>
      <c r="AG69" s="439"/>
      <c r="AH69" s="439"/>
      <c r="AI69" s="439"/>
      <c r="AJ69" s="439"/>
      <c r="AK69" s="439"/>
      <c r="AL69" s="440"/>
    </row>
    <row r="70" spans="2:38" x14ac:dyDescent="0.4">
      <c r="B70" s="438"/>
      <c r="C70" s="439"/>
      <c r="D70" s="439"/>
      <c r="E70" s="439"/>
      <c r="F70" s="439"/>
      <c r="G70" s="439"/>
      <c r="H70" s="439"/>
      <c r="I70" s="439"/>
      <c r="J70" s="439"/>
      <c r="K70" s="439"/>
      <c r="L70" s="439"/>
      <c r="M70" s="439"/>
      <c r="N70" s="439"/>
      <c r="O70" s="439"/>
      <c r="P70" s="439"/>
      <c r="Q70" s="439"/>
      <c r="R70" s="439"/>
      <c r="S70" s="439"/>
      <c r="V70" s="439"/>
      <c r="W70" s="439"/>
      <c r="X70" s="439"/>
      <c r="Y70" s="439"/>
      <c r="Z70" s="439"/>
      <c r="AA70" s="439"/>
      <c r="AB70" s="439"/>
      <c r="AC70" s="439"/>
      <c r="AD70" s="439"/>
      <c r="AE70" s="439"/>
      <c r="AF70" s="439"/>
      <c r="AG70" s="439"/>
      <c r="AH70" s="439"/>
      <c r="AI70" s="439"/>
      <c r="AJ70" s="439"/>
      <c r="AK70" s="439"/>
      <c r="AL70" s="440"/>
    </row>
    <row r="71" spans="2:38" ht="14.4" thickBot="1" x14ac:dyDescent="0.45">
      <c r="B71" s="468"/>
      <c r="C71" s="469"/>
      <c r="D71" s="469"/>
      <c r="E71" s="469"/>
      <c r="F71" s="469"/>
      <c r="G71" s="469"/>
      <c r="H71" s="469"/>
      <c r="I71" s="469"/>
      <c r="J71" s="469"/>
      <c r="K71" s="469"/>
      <c r="L71" s="469"/>
      <c r="M71" s="469"/>
      <c r="N71" s="469"/>
      <c r="O71" s="469"/>
      <c r="P71" s="469"/>
      <c r="Q71" s="469"/>
      <c r="R71" s="469"/>
      <c r="S71" s="469"/>
      <c r="T71" s="470"/>
      <c r="U71" s="470"/>
      <c r="V71" s="469"/>
      <c r="W71" s="469"/>
      <c r="X71" s="469"/>
      <c r="Y71" s="469"/>
      <c r="Z71" s="469"/>
      <c r="AA71" s="469"/>
      <c r="AB71" s="469"/>
      <c r="AC71" s="469"/>
      <c r="AD71" s="469"/>
      <c r="AE71" s="469"/>
      <c r="AF71" s="469"/>
      <c r="AG71" s="469"/>
      <c r="AH71" s="469"/>
      <c r="AI71" s="469"/>
      <c r="AJ71" s="469"/>
      <c r="AK71" s="469"/>
      <c r="AL71" s="471"/>
    </row>
  </sheetData>
  <sheetProtection algorithmName="SHA-512" hashValue="fiXyGsEyRBnFrcIkPaR9W0dKNvJuCuTxyNIv+3bTxfcgtLOpI3dLOq09xqqzBZxe06e3OPr7xRWQ9pocysK99Q==" saltValue="vYZYuvdezGDw1pV443Js/Q==" spinCount="100000" sheet="1" objects="1" scenarios="1"/>
  <sortState xmlns:xlrd2="http://schemas.microsoft.com/office/spreadsheetml/2017/richdata2" ref="C27:C35">
    <sortCondition ref="C27:C35"/>
  </sortState>
  <phoneticPr fontId="1" type="noConversion"/>
  <dataValidations count="2">
    <dataValidation type="list" allowBlank="1" showInputMessage="1" showErrorMessage="1" sqref="H52" xr:uid="{00000000-0002-0000-0300-000001000000}">
      <formula1>Coaltype</formula1>
    </dataValidation>
    <dataValidation allowBlank="1" showInputMessage="1" showErrorMessage="1" promptTitle="Form" prompt="Please enter a range of 0 to 1." sqref="H13:H23 H47 H49" xr:uid="{FBB25893-2998-449F-BA1B-AFA7F75BF732}"/>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B2:AB75"/>
  <sheetViews>
    <sheetView showGridLines="0" zoomScale="70" zoomScaleNormal="70" workbookViewId="0"/>
  </sheetViews>
  <sheetFormatPr defaultColWidth="8.69921875" defaultRowHeight="13.8" x14ac:dyDescent="0.4"/>
  <cols>
    <col min="1" max="2" width="8.69921875" style="1"/>
    <col min="3" max="5" width="11.8984375" style="1" bestFit="1" customWidth="1"/>
    <col min="6" max="6" width="13" style="1" bestFit="1" customWidth="1"/>
    <col min="7" max="8" width="11.8984375" style="1" bestFit="1" customWidth="1"/>
    <col min="9" max="9" width="13" style="1" bestFit="1" customWidth="1"/>
    <col min="10" max="10" width="11.8984375" style="1" bestFit="1" customWidth="1"/>
    <col min="11" max="11" width="10.69921875" style="1" bestFit="1" customWidth="1"/>
    <col min="12" max="12" width="11.8984375" style="1" bestFit="1" customWidth="1"/>
    <col min="13" max="13" width="10.19921875" style="1" customWidth="1"/>
    <col min="14" max="14" width="38.09765625" style="1" bestFit="1" customWidth="1"/>
    <col min="15" max="15" width="15.5" style="1" bestFit="1" customWidth="1"/>
    <col min="16" max="16" width="18.09765625" style="1" bestFit="1" customWidth="1"/>
    <col min="17" max="17" width="15" style="1" bestFit="1" customWidth="1"/>
    <col min="18" max="18" width="13.69921875" style="1" bestFit="1" customWidth="1"/>
    <col min="19" max="19" width="8.69921875" style="1"/>
    <col min="20" max="20" width="9" style="1" customWidth="1"/>
    <col min="21" max="21" width="10.09765625" style="1" hidden="1" customWidth="1"/>
    <col min="22" max="22" width="11.8984375" style="1" hidden="1" customWidth="1"/>
    <col min="23" max="23" width="13" style="1" hidden="1" customWidth="1"/>
    <col min="24" max="24" width="11.8984375" style="1" hidden="1" customWidth="1"/>
    <col min="25" max="25" width="13.69921875" style="1" hidden="1" customWidth="1"/>
    <col min="26" max="26" width="12.09765625" style="1" hidden="1" customWidth="1"/>
    <col min="27" max="28" width="11.8984375" style="1" hidden="1" customWidth="1"/>
    <col min="29" max="29" width="9" style="1" bestFit="1" customWidth="1"/>
    <col min="30" max="16384" width="8.69921875" style="1"/>
  </cols>
  <sheetData>
    <row r="2" spans="2:26" ht="30" x14ac:dyDescent="0.4">
      <c r="B2" s="208" t="s">
        <v>407</v>
      </c>
    </row>
    <row r="3" spans="2:26" ht="14.4" thickBot="1" x14ac:dyDescent="0.45"/>
    <row r="4" spans="2:26" ht="17.399999999999999" x14ac:dyDescent="0.4">
      <c r="B4" s="357" t="s">
        <v>78</v>
      </c>
      <c r="C4" s="358"/>
      <c r="D4" s="358"/>
      <c r="E4" s="358"/>
      <c r="F4" s="358"/>
      <c r="G4" s="358"/>
      <c r="H4" s="358"/>
      <c r="I4" s="358"/>
      <c r="J4" s="358"/>
      <c r="K4" s="358"/>
      <c r="L4" s="359"/>
      <c r="N4" s="357" t="s">
        <v>79</v>
      </c>
      <c r="O4" s="358"/>
      <c r="P4" s="358"/>
      <c r="Q4" s="358"/>
      <c r="R4" s="359"/>
      <c r="U4" s="351" t="s">
        <v>80</v>
      </c>
      <c r="V4" s="351"/>
      <c r="W4" s="351"/>
      <c r="X4" s="351"/>
      <c r="Y4" s="351"/>
      <c r="Z4" s="351"/>
    </row>
    <row r="5" spans="2:26" ht="17.399999999999999" x14ac:dyDescent="0.4">
      <c r="B5" s="354" t="s">
        <v>81</v>
      </c>
      <c r="C5" s="355"/>
      <c r="D5" s="355"/>
      <c r="E5" s="355"/>
      <c r="F5" s="355"/>
      <c r="G5" s="355"/>
      <c r="H5" s="355"/>
      <c r="I5" s="355"/>
      <c r="J5" s="355"/>
      <c r="K5" s="355"/>
      <c r="L5" s="356"/>
      <c r="N5" s="241"/>
      <c r="O5" s="5" t="s">
        <v>488</v>
      </c>
      <c r="P5" s="5" t="s">
        <v>336</v>
      </c>
      <c r="Q5" s="5" t="s">
        <v>489</v>
      </c>
      <c r="R5" s="242" t="s">
        <v>82</v>
      </c>
      <c r="U5" s="222"/>
      <c r="V5" s="8" t="s">
        <v>337</v>
      </c>
      <c r="W5" s="8" t="s">
        <v>83</v>
      </c>
      <c r="X5" s="223" t="s">
        <v>84</v>
      </c>
      <c r="Y5" s="5" t="s">
        <v>85</v>
      </c>
      <c r="Z5" s="8" t="s">
        <v>338</v>
      </c>
    </row>
    <row r="6" spans="2:26" ht="15" x14ac:dyDescent="0.4">
      <c r="B6" s="362" t="str">
        <f>'3. Inputs &amp; results'!H13*100 &amp;"% conversion"</f>
        <v>74% conversion</v>
      </c>
      <c r="C6" s="363"/>
      <c r="D6" s="363"/>
      <c r="E6" s="363"/>
      <c r="F6" s="363"/>
      <c r="G6" s="363"/>
      <c r="H6" s="363"/>
      <c r="I6" s="363"/>
      <c r="J6" s="5"/>
      <c r="K6" s="352" t="s">
        <v>86</v>
      </c>
      <c r="L6" s="353"/>
      <c r="N6" s="241"/>
      <c r="O6" s="5"/>
      <c r="P6" s="5"/>
      <c r="Q6" s="5"/>
      <c r="R6" s="242"/>
      <c r="U6" s="222"/>
      <c r="V6" s="8"/>
      <c r="W6" s="8"/>
      <c r="X6" s="223"/>
      <c r="Y6" s="5"/>
      <c r="Z6" s="8"/>
    </row>
    <row r="7" spans="2:26" ht="16.2" x14ac:dyDescent="0.4">
      <c r="B7" s="248"/>
      <c r="C7" s="8" t="s">
        <v>337</v>
      </c>
      <c r="D7" s="8" t="s">
        <v>83</v>
      </c>
      <c r="E7" s="223" t="s">
        <v>84</v>
      </c>
      <c r="F7" s="5" t="s">
        <v>85</v>
      </c>
      <c r="G7" s="8" t="s">
        <v>338</v>
      </c>
      <c r="H7" s="222"/>
      <c r="I7" s="237"/>
      <c r="J7" s="5"/>
      <c r="K7" s="258" t="s">
        <v>87</v>
      </c>
      <c r="L7" s="259" t="s">
        <v>88</v>
      </c>
      <c r="N7" s="245" t="s">
        <v>81</v>
      </c>
      <c r="O7" s="4">
        <f>206</f>
        <v>206</v>
      </c>
      <c r="P7" s="6">
        <f>C9*'3. Inputs &amp; results'!H13*1000*O7</f>
        <v>171666666666.66669</v>
      </c>
      <c r="Q7" s="6">
        <f>P7/('3. Inputs &amp; results'!H46*24)</f>
        <v>21675084.175084177</v>
      </c>
      <c r="R7" s="243">
        <f>Q7*0.0002777778</f>
        <v>6020.8571969696977</v>
      </c>
      <c r="U7" s="222" t="s">
        <v>89</v>
      </c>
      <c r="V7" s="7">
        <f>ROUND(V8*16,1)</f>
        <v>13333332.800000001</v>
      </c>
      <c r="W7" s="7">
        <f>W8*18</f>
        <v>14999999.4</v>
      </c>
      <c r="X7" s="7"/>
      <c r="Y7" s="7">
        <f>Y8*28</f>
        <v>23333332.400000002</v>
      </c>
      <c r="Z7" s="7">
        <f>Z8*2</f>
        <v>5000000</v>
      </c>
    </row>
    <row r="8" spans="2:26" ht="17.399999999999999" x14ac:dyDescent="0.4">
      <c r="B8" s="248" t="s">
        <v>89</v>
      </c>
      <c r="C8" s="7">
        <f>ROUND(C9*16,1)</f>
        <v>18018018</v>
      </c>
      <c r="D8" s="7">
        <f>D9*18</f>
        <v>20270270.270270269</v>
      </c>
      <c r="E8" s="7"/>
      <c r="F8" s="7">
        <f>F9*28</f>
        <v>23333333.333333336</v>
      </c>
      <c r="G8" s="7">
        <f>G9*2</f>
        <v>5000000</v>
      </c>
      <c r="K8" s="236">
        <f>K9*16</f>
        <v>4684684.8</v>
      </c>
      <c r="L8" s="249">
        <f>L9*18</f>
        <v>5270270.3999999994</v>
      </c>
      <c r="N8" s="241"/>
      <c r="O8" s="5" t="s">
        <v>90</v>
      </c>
      <c r="P8" s="5" t="s">
        <v>339</v>
      </c>
      <c r="Q8" s="5" t="s">
        <v>91</v>
      </c>
      <c r="R8" s="242" t="s">
        <v>82</v>
      </c>
      <c r="U8" s="222" t="s">
        <v>92</v>
      </c>
      <c r="V8" s="7">
        <f>ROUND(Z8/3,1)</f>
        <v>833333.3</v>
      </c>
      <c r="W8" s="7">
        <f>ROUND(Z8/3,1)</f>
        <v>833333.3</v>
      </c>
      <c r="X8" s="7"/>
      <c r="Y8" s="7">
        <f>ROUND(Z8/3,1)</f>
        <v>833333.3</v>
      </c>
      <c r="Z8" s="216">
        <f>('3. Inputs &amp; results'!H9*1000/2)*3/(3+'3. Inputs &amp; results'!H14)</f>
        <v>2500000</v>
      </c>
    </row>
    <row r="9" spans="2:26" x14ac:dyDescent="0.4">
      <c r="B9" s="248" t="s">
        <v>92</v>
      </c>
      <c r="C9" s="7">
        <f>G9/3/'3. Inputs &amp; results'!H13</f>
        <v>1126126.1261261262</v>
      </c>
      <c r="D9" s="7">
        <f>G9/3/'3. Inputs &amp; results'!H13</f>
        <v>1126126.1261261262</v>
      </c>
      <c r="E9" s="7"/>
      <c r="F9" s="7">
        <f>G9/3</f>
        <v>833333.33333333337</v>
      </c>
      <c r="G9" s="7">
        <f>('3. Inputs &amp; results'!H9*1000/2)*3/(3+'3. Inputs &amp; results'!H14)</f>
        <v>2500000</v>
      </c>
      <c r="K9" s="236">
        <f>ROUND(C9*(1-'3. Inputs &amp; results'!H13),1)</f>
        <v>292792.8</v>
      </c>
      <c r="L9" s="249">
        <f>ROUND(D9*(1-'3. Inputs &amp; results'!H13),1)</f>
        <v>292792.8</v>
      </c>
      <c r="N9" s="245" t="s">
        <v>93</v>
      </c>
      <c r="O9" s="4">
        <f>D10*'3. Inputs &amp; results'!H13/('3. Inputs &amp; results'!H46*24*60*60)</f>
        <v>5.2609504769921434E-4</v>
      </c>
      <c r="P9" s="4">
        <f>165.33</f>
        <v>165.33</v>
      </c>
      <c r="Q9" s="240">
        <f>D9*'3. Inputs &amp; results'!H13*1000/('3. Inputs &amp; results'!H46*24*60*60)</f>
        <v>29.227459783015341</v>
      </c>
      <c r="R9" s="243">
        <f>P9*Q9</f>
        <v>4832.175925925927</v>
      </c>
      <c r="U9" s="222" t="s">
        <v>94</v>
      </c>
      <c r="V9" s="7">
        <f>ROUND(V7/1000,1)</f>
        <v>13333.3</v>
      </c>
      <c r="W9" s="7">
        <f>W7/1000</f>
        <v>14999.999400000001</v>
      </c>
      <c r="X9" s="7"/>
      <c r="Y9" s="7">
        <f>ROUND(Y7/1000,1)</f>
        <v>23333.3</v>
      </c>
      <c r="Z9" s="7">
        <f>Z7/1000</f>
        <v>5000</v>
      </c>
    </row>
    <row r="10" spans="2:26" ht="17.399999999999999" x14ac:dyDescent="0.4">
      <c r="B10" s="248" t="s">
        <v>94</v>
      </c>
      <c r="C10" s="7">
        <f>ROUND(C8/1000,1)</f>
        <v>18018</v>
      </c>
      <c r="D10" s="7">
        <f>ROUND(D8/1000,1)</f>
        <v>20270.3</v>
      </c>
      <c r="E10" s="7"/>
      <c r="F10" s="7">
        <f>ROUND(F8/1000,1)</f>
        <v>23333.3</v>
      </c>
      <c r="G10" s="7">
        <f>G8/1000</f>
        <v>5000</v>
      </c>
      <c r="K10" s="236">
        <f>ROUND(K8/1000,1)</f>
        <v>4684.7</v>
      </c>
      <c r="L10" s="249">
        <f>ROUND(L8/1000,1)</f>
        <v>5270.3</v>
      </c>
      <c r="N10" s="241"/>
      <c r="O10" s="5" t="s">
        <v>488</v>
      </c>
      <c r="P10" s="5" t="s">
        <v>336</v>
      </c>
      <c r="Q10" s="5" t="s">
        <v>489</v>
      </c>
      <c r="R10" s="242" t="s">
        <v>82</v>
      </c>
    </row>
    <row r="11" spans="2:26" ht="16.2" x14ac:dyDescent="0.4">
      <c r="B11" s="230"/>
      <c r="L11" s="199"/>
      <c r="N11" s="245" t="s">
        <v>490</v>
      </c>
      <c r="O11" s="4">
        <f>178</f>
        <v>178</v>
      </c>
      <c r="P11" s="6">
        <f>V23*1000*O11</f>
        <v>74166672600</v>
      </c>
      <c r="Q11" s="6">
        <f>P11/('3. Inputs &amp; results'!H46*24)</f>
        <v>9364478.8636363633</v>
      </c>
      <c r="R11" s="243">
        <f>Q11*0.0002777778</f>
        <v>2601.2443368874087</v>
      </c>
    </row>
    <row r="12" spans="2:26" ht="16.2" x14ac:dyDescent="0.4">
      <c r="B12" s="354" t="s">
        <v>95</v>
      </c>
      <c r="C12" s="355"/>
      <c r="D12" s="355"/>
      <c r="E12" s="355"/>
      <c r="F12" s="355"/>
      <c r="G12" s="355"/>
      <c r="H12" s="355"/>
      <c r="I12" s="355"/>
      <c r="J12" s="355"/>
      <c r="K12" s="355"/>
      <c r="L12" s="356"/>
      <c r="N12" s="245" t="s">
        <v>491</v>
      </c>
      <c r="O12" s="360" t="s">
        <v>96</v>
      </c>
      <c r="P12" s="360"/>
      <c r="Q12" s="360"/>
      <c r="R12" s="361"/>
      <c r="U12" s="351" t="s">
        <v>97</v>
      </c>
      <c r="V12" s="351"/>
      <c r="W12" s="351"/>
      <c r="X12" s="351"/>
      <c r="Y12" s="351"/>
      <c r="Z12" s="351"/>
    </row>
    <row r="13" spans="2:26" ht="16.2" x14ac:dyDescent="0.4">
      <c r="B13" s="364" t="str">
        <f>'3. Inputs &amp; results'!H14*100 &amp;"% conversion"</f>
        <v>90% conversion</v>
      </c>
      <c r="C13" s="365"/>
      <c r="D13" s="365"/>
      <c r="E13" s="365"/>
      <c r="F13" s="365"/>
      <c r="G13" s="365"/>
      <c r="H13" s="365"/>
      <c r="I13" s="365"/>
      <c r="J13" s="5"/>
      <c r="K13" s="265"/>
      <c r="L13" s="257"/>
      <c r="N13" s="245" t="s">
        <v>492</v>
      </c>
      <c r="O13" s="360"/>
      <c r="P13" s="360"/>
      <c r="Q13" s="360"/>
      <c r="R13" s="361"/>
      <c r="U13" s="222"/>
      <c r="V13" s="5" t="s">
        <v>85</v>
      </c>
      <c r="W13" s="8" t="s">
        <v>83</v>
      </c>
      <c r="X13" s="223" t="s">
        <v>84</v>
      </c>
      <c r="Y13" s="8" t="s">
        <v>98</v>
      </c>
      <c r="Z13" s="8" t="s">
        <v>99</v>
      </c>
    </row>
    <row r="14" spans="2:26" ht="16.2" x14ac:dyDescent="0.4">
      <c r="B14" s="248"/>
      <c r="C14" s="5" t="s">
        <v>85</v>
      </c>
      <c r="D14" s="8" t="s">
        <v>83</v>
      </c>
      <c r="E14" s="223" t="s">
        <v>84</v>
      </c>
      <c r="F14" s="8" t="s">
        <v>98</v>
      </c>
      <c r="G14" s="8" t="s">
        <v>99</v>
      </c>
      <c r="H14" s="222"/>
      <c r="I14" s="237"/>
      <c r="J14" s="5"/>
      <c r="K14" s="264" t="s">
        <v>85</v>
      </c>
      <c r="L14" s="259" t="s">
        <v>88</v>
      </c>
      <c r="N14" s="245" t="s">
        <v>493</v>
      </c>
      <c r="O14" s="4">
        <f>85</f>
        <v>85</v>
      </c>
      <c r="P14" s="4">
        <f>X38*1000*O14</f>
        <v>35416665250</v>
      </c>
      <c r="Q14" s="6">
        <f>P14/('3. Inputs &amp; results'!H46*24)</f>
        <v>4471801.1679292927</v>
      </c>
      <c r="R14" s="243">
        <f>Q14*0.0002777778</f>
        <v>1242.1670904648295</v>
      </c>
      <c r="U14" s="222"/>
      <c r="V14" s="5"/>
      <c r="W14" s="8"/>
      <c r="X14" s="223"/>
      <c r="Y14" s="8"/>
      <c r="Z14" s="8"/>
    </row>
    <row r="15" spans="2:26" ht="16.2" x14ac:dyDescent="0.4">
      <c r="B15" s="248" t="s">
        <v>89</v>
      </c>
      <c r="C15" s="7">
        <f>F8</f>
        <v>23333333.333333336</v>
      </c>
      <c r="D15" s="7">
        <f>D16*18</f>
        <v>15000000</v>
      </c>
      <c r="E15" s="7"/>
      <c r="F15" s="7">
        <f>F16*44</f>
        <v>33000000</v>
      </c>
      <c r="G15" s="7">
        <f>G16*2</f>
        <v>1500000</v>
      </c>
      <c r="K15" s="236">
        <f>K16*28</f>
        <v>2333332.4</v>
      </c>
      <c r="L15" s="249">
        <f>L16*18</f>
        <v>1499999.4000000001</v>
      </c>
      <c r="N15" s="245" t="s">
        <v>494</v>
      </c>
      <c r="O15" s="4">
        <f>96.7</f>
        <v>96.7</v>
      </c>
      <c r="P15" s="6">
        <f>Z43*1000*O15</f>
        <v>40291669890</v>
      </c>
      <c r="Q15" s="6">
        <f>P15/('3. Inputs &amp; results'!H46*24)</f>
        <v>5087332.0568181816</v>
      </c>
      <c r="R15" s="243">
        <f>Q15*0.0002777778</f>
        <v>1413.1479066124296</v>
      </c>
      <c r="U15" s="222" t="s">
        <v>89</v>
      </c>
      <c r="V15" s="7">
        <f>V16*28</f>
        <v>23333333.333333336</v>
      </c>
      <c r="W15" s="7">
        <f>W16*18</f>
        <v>15000000</v>
      </c>
      <c r="X15" s="7"/>
      <c r="Y15" s="7">
        <f>Y16*44</f>
        <v>36666665.200000003</v>
      </c>
      <c r="Z15" s="7">
        <f>Z16*2</f>
        <v>1666666.6</v>
      </c>
    </row>
    <row r="16" spans="2:26" x14ac:dyDescent="0.4">
      <c r="B16" s="248" t="s">
        <v>92</v>
      </c>
      <c r="C16" s="7">
        <f>F9</f>
        <v>833333.33333333337</v>
      </c>
      <c r="D16" s="7">
        <f>C16</f>
        <v>833333.33333333337</v>
      </c>
      <c r="E16" s="7"/>
      <c r="F16" s="7">
        <f>ROUND(C16*'3. Inputs &amp; results'!H14,1)</f>
        <v>750000</v>
      </c>
      <c r="G16" s="7">
        <f>ROUND(C16*'3. Inputs &amp; results'!H14,1)</f>
        <v>750000</v>
      </c>
      <c r="K16" s="236">
        <f>ROUND(C16*(1-'3. Inputs &amp; results'!H14),1)</f>
        <v>83333.3</v>
      </c>
      <c r="L16" s="249">
        <f>ROUND(D16*(1-'3. Inputs &amp; results'!H14),1)</f>
        <v>83333.3</v>
      </c>
      <c r="N16" s="245"/>
      <c r="O16" s="4"/>
      <c r="P16" s="4"/>
      <c r="Q16" s="4"/>
      <c r="R16" s="244"/>
      <c r="U16" s="222" t="s">
        <v>92</v>
      </c>
      <c r="V16" s="7">
        <f>Z8/3</f>
        <v>833333.33333333337</v>
      </c>
      <c r="W16" s="7">
        <f>Z8/3</f>
        <v>833333.33333333337</v>
      </c>
      <c r="X16" s="7"/>
      <c r="Y16" s="7">
        <f>ROUND(Z8/3,1)</f>
        <v>833333.3</v>
      </c>
      <c r="Z16" s="7">
        <f>ROUND(Z8/3,1)</f>
        <v>833333.3</v>
      </c>
    </row>
    <row r="17" spans="2:28" ht="14.4" thickBot="1" x14ac:dyDescent="0.45">
      <c r="B17" s="248" t="s">
        <v>94</v>
      </c>
      <c r="C17" s="7">
        <f>F10</f>
        <v>23333.3</v>
      </c>
      <c r="D17" s="7">
        <f>ROUND(D15/1000,1)</f>
        <v>15000</v>
      </c>
      <c r="E17" s="7"/>
      <c r="F17" s="7">
        <f>ROUND(F15/1000,1)</f>
        <v>33000</v>
      </c>
      <c r="G17" s="7">
        <f>ROUND(G15/1000,1)</f>
        <v>1500</v>
      </c>
      <c r="K17" s="236">
        <f>ROUND(K15/1000,1)</f>
        <v>2333.3000000000002</v>
      </c>
      <c r="L17" s="249">
        <f>ROUND(L15/1000,1)</f>
        <v>1500</v>
      </c>
      <c r="N17" s="266" t="s">
        <v>100</v>
      </c>
      <c r="O17" s="267">
        <f>SUM(R7,R9,R11:R15)</f>
        <v>16109.592456860291</v>
      </c>
      <c r="P17" s="246"/>
      <c r="Q17" s="246"/>
      <c r="R17" s="247"/>
      <c r="U17" s="222" t="s">
        <v>94</v>
      </c>
      <c r="V17" s="7">
        <f>ROUND(V15/1000,1)</f>
        <v>23333.3</v>
      </c>
      <c r="W17" s="7">
        <f>W15/1000</f>
        <v>15000</v>
      </c>
      <c r="X17" s="7"/>
      <c r="Y17" s="7">
        <f>ROUND(Y15/1000,1)</f>
        <v>36666.699999999997</v>
      </c>
      <c r="Z17" s="7">
        <f>ROUND(Z15/1000,1)</f>
        <v>1666.7</v>
      </c>
    </row>
    <row r="18" spans="2:28" x14ac:dyDescent="0.4">
      <c r="B18" s="230"/>
      <c r="L18" s="199"/>
    </row>
    <row r="19" spans="2:28" x14ac:dyDescent="0.4">
      <c r="B19" s="230"/>
      <c r="L19" s="199"/>
    </row>
    <row r="20" spans="2:28" x14ac:dyDescent="0.4">
      <c r="B20" s="354" t="s">
        <v>101</v>
      </c>
      <c r="C20" s="355"/>
      <c r="D20" s="355"/>
      <c r="E20" s="355"/>
      <c r="F20" s="355"/>
      <c r="G20" s="355"/>
      <c r="H20" s="355"/>
      <c r="I20" s="355"/>
      <c r="J20" s="355"/>
      <c r="K20" s="355"/>
      <c r="L20" s="356"/>
      <c r="U20" s="351" t="s">
        <v>102</v>
      </c>
      <c r="V20" s="351"/>
      <c r="W20" s="351"/>
      <c r="X20" s="351"/>
      <c r="Y20" s="351"/>
      <c r="Z20" s="351"/>
      <c r="AA20" s="351"/>
      <c r="AB20" s="4"/>
    </row>
    <row r="21" spans="2:28" ht="16.2" x14ac:dyDescent="0.4">
      <c r="B21" s="364" t="str">
        <f>'3. Inputs &amp; results'!H15*100 &amp;"% conversion"</f>
        <v>80% conversion</v>
      </c>
      <c r="C21" s="365"/>
      <c r="D21" s="365"/>
      <c r="E21" s="365"/>
      <c r="F21" s="365"/>
      <c r="G21" s="365"/>
      <c r="H21" s="365"/>
      <c r="I21" s="365"/>
      <c r="J21" s="352" t="s">
        <v>86</v>
      </c>
      <c r="K21" s="352"/>
      <c r="L21" s="353"/>
      <c r="U21" s="222"/>
      <c r="V21" s="8" t="s">
        <v>103</v>
      </c>
      <c r="W21" s="8" t="s">
        <v>84</v>
      </c>
      <c r="X21" s="8" t="s">
        <v>98</v>
      </c>
      <c r="Y21" s="8" t="s">
        <v>104</v>
      </c>
      <c r="Z21" s="222"/>
      <c r="AA21" s="222"/>
    </row>
    <row r="22" spans="2:28" ht="16.2" x14ac:dyDescent="0.4">
      <c r="B22" s="248"/>
      <c r="C22" s="8" t="s">
        <v>103</v>
      </c>
      <c r="D22" s="223" t="s">
        <v>84</v>
      </c>
      <c r="E22" s="8" t="s">
        <v>98</v>
      </c>
      <c r="F22" s="5" t="s">
        <v>104</v>
      </c>
      <c r="G22" s="222"/>
      <c r="H22" s="222"/>
      <c r="I22" s="222"/>
      <c r="J22" s="260"/>
      <c r="K22" s="260"/>
      <c r="L22" s="259" t="s">
        <v>105</v>
      </c>
      <c r="U22" s="222" t="s">
        <v>89</v>
      </c>
      <c r="V22" s="7">
        <f>V23*100</f>
        <v>41666670</v>
      </c>
      <c r="W22" s="7"/>
      <c r="X22" s="7">
        <f>X23*44</f>
        <v>18333334.800000001</v>
      </c>
      <c r="Y22" s="7">
        <f>X23*56</f>
        <v>23333335.199999999</v>
      </c>
      <c r="Z22" s="224"/>
      <c r="AA22" s="224"/>
    </row>
    <row r="23" spans="2:28" x14ac:dyDescent="0.4">
      <c r="B23" s="248" t="s">
        <v>89</v>
      </c>
      <c r="C23" s="7">
        <f>C24*100</f>
        <v>39062500</v>
      </c>
      <c r="D23" s="7"/>
      <c r="E23" s="7">
        <f>E24*44</f>
        <v>13750000</v>
      </c>
      <c r="F23" s="7">
        <f>E24*56</f>
        <v>17500000</v>
      </c>
      <c r="L23" s="249">
        <f>L24*100</f>
        <v>7812499.9999999981</v>
      </c>
      <c r="U23" s="222" t="s">
        <v>92</v>
      </c>
      <c r="V23" s="7">
        <f>Y23</f>
        <v>416666.7</v>
      </c>
      <c r="W23" s="7"/>
      <c r="X23" s="7">
        <f>Y23</f>
        <v>416666.7</v>
      </c>
      <c r="Y23" s="7">
        <f>V28</f>
        <v>416666.7</v>
      </c>
      <c r="Z23" s="224"/>
      <c r="AA23" s="224"/>
    </row>
    <row r="24" spans="2:28" x14ac:dyDescent="0.4">
      <c r="B24" s="248" t="s">
        <v>92</v>
      </c>
      <c r="C24" s="7">
        <f>F24/'3. Inputs &amp; results'!H15</f>
        <v>390625</v>
      </c>
      <c r="D24" s="7"/>
      <c r="E24" s="7">
        <f>F24</f>
        <v>312500</v>
      </c>
      <c r="F24" s="7">
        <f>C30</f>
        <v>312500</v>
      </c>
      <c r="L24" s="249">
        <f>C24*(1-'3. Inputs &amp; results'!H15)</f>
        <v>78124.999999999985</v>
      </c>
      <c r="U24" s="222" t="s">
        <v>94</v>
      </c>
      <c r="V24" s="7">
        <f>ROUND(V22/1000,1)</f>
        <v>41666.699999999997</v>
      </c>
      <c r="W24" s="7"/>
      <c r="X24" s="7">
        <f>ROUND(X22/1000,1)</f>
        <v>18333.3</v>
      </c>
      <c r="Y24" s="7">
        <f>ROUND(Y22/1000,1)</f>
        <v>23333.3</v>
      </c>
      <c r="Z24" s="224"/>
      <c r="AA24" s="224"/>
    </row>
    <row r="25" spans="2:28" x14ac:dyDescent="0.4">
      <c r="B25" s="248" t="s">
        <v>94</v>
      </c>
      <c r="C25" s="7">
        <f>ROUND(C23/1000,1)</f>
        <v>39062.5</v>
      </c>
      <c r="D25" s="7"/>
      <c r="E25" s="7">
        <f>ROUND(E23/1000,1)</f>
        <v>13750</v>
      </c>
      <c r="F25" s="7">
        <f>ROUND(F23/1000,1)</f>
        <v>17500</v>
      </c>
      <c r="L25" s="249">
        <f>ROUND(L23/1000,1)</f>
        <v>7812.5</v>
      </c>
      <c r="V25" s="224"/>
      <c r="W25" s="224"/>
      <c r="X25" s="224"/>
      <c r="Y25" s="224"/>
      <c r="Z25" s="224"/>
      <c r="AA25" s="224"/>
    </row>
    <row r="26" spans="2:28" ht="16.2" x14ac:dyDescent="0.4">
      <c r="B26" s="230"/>
      <c r="L26" s="199"/>
      <c r="U26" s="222"/>
      <c r="V26" s="8" t="s">
        <v>104</v>
      </c>
      <c r="W26" s="8" t="s">
        <v>83</v>
      </c>
      <c r="X26" s="8" t="s">
        <v>84</v>
      </c>
      <c r="Y26" s="8" t="s">
        <v>106</v>
      </c>
      <c r="Z26" s="225"/>
      <c r="AA26" s="225"/>
    </row>
    <row r="27" spans="2:28" x14ac:dyDescent="0.4">
      <c r="B27" s="364" t="str">
        <f>'3. Inputs &amp; results'!H16*100 &amp;"% conversion"</f>
        <v>90% conversion</v>
      </c>
      <c r="C27" s="365"/>
      <c r="D27" s="365"/>
      <c r="E27" s="365"/>
      <c r="F27" s="365"/>
      <c r="G27" s="365"/>
      <c r="H27" s="365"/>
      <c r="I27" s="365"/>
      <c r="J27" s="352"/>
      <c r="K27" s="352"/>
      <c r="L27" s="353"/>
      <c r="U27" s="222" t="s">
        <v>89</v>
      </c>
      <c r="V27" s="7">
        <f>V28*56</f>
        <v>23333335.199999999</v>
      </c>
      <c r="W27" s="7">
        <f>W28*18</f>
        <v>7500000.6000000006</v>
      </c>
      <c r="X27" s="7"/>
      <c r="Y27" s="7">
        <f>Y28*74</f>
        <v>30833335.800000001</v>
      </c>
      <c r="Z27" s="224"/>
      <c r="AA27" s="224"/>
    </row>
    <row r="28" spans="2:28" ht="16.2" x14ac:dyDescent="0.4">
      <c r="B28" s="248"/>
      <c r="C28" s="5" t="s">
        <v>104</v>
      </c>
      <c r="D28" s="8" t="s">
        <v>83</v>
      </c>
      <c r="E28" s="223" t="s">
        <v>84</v>
      </c>
      <c r="F28" s="8" t="s">
        <v>106</v>
      </c>
      <c r="G28" s="222"/>
      <c r="H28" s="222"/>
      <c r="I28" s="222"/>
      <c r="J28" s="260"/>
      <c r="K28" s="258" t="s">
        <v>104</v>
      </c>
      <c r="L28" s="259" t="s">
        <v>88</v>
      </c>
      <c r="U28" s="222" t="s">
        <v>92</v>
      </c>
      <c r="V28" s="7">
        <f>Y28</f>
        <v>416666.7</v>
      </c>
      <c r="W28" s="7">
        <f>Y28</f>
        <v>416666.7</v>
      </c>
      <c r="X28" s="7"/>
      <c r="Y28" s="7">
        <f>ROUND(W43,1)</f>
        <v>416666.7</v>
      </c>
      <c r="Z28" s="224"/>
      <c r="AA28" s="224"/>
    </row>
    <row r="29" spans="2:28" x14ac:dyDescent="0.4">
      <c r="B29" s="248" t="s">
        <v>89</v>
      </c>
      <c r="C29" s="7">
        <f>C30*56</f>
        <v>17500000</v>
      </c>
      <c r="D29" s="7">
        <f>D30*18</f>
        <v>5625000</v>
      </c>
      <c r="E29" s="7"/>
      <c r="F29" s="7">
        <f>F30*74</f>
        <v>20812500</v>
      </c>
      <c r="K29" s="236">
        <f>K30*56</f>
        <v>1750000</v>
      </c>
      <c r="L29" s="249">
        <f>L30*18</f>
        <v>562500</v>
      </c>
      <c r="U29" s="222" t="s">
        <v>94</v>
      </c>
      <c r="V29" s="7">
        <f>ROUND(V27/1000,1)</f>
        <v>23333.3</v>
      </c>
      <c r="W29" s="7">
        <f>ROUND(W27/1000,1)</f>
        <v>7500</v>
      </c>
      <c r="X29" s="7"/>
      <c r="Y29" s="7">
        <f>ROUND(Y27/1000,1)</f>
        <v>30833.3</v>
      </c>
      <c r="Z29" s="224"/>
      <c r="AA29" s="224"/>
    </row>
    <row r="30" spans="2:28" x14ac:dyDescent="0.4">
      <c r="B30" s="248" t="s">
        <v>92</v>
      </c>
      <c r="C30" s="7">
        <f>ROUND(F30/'3. Inputs &amp; results'!H16,1)</f>
        <v>312500</v>
      </c>
      <c r="D30" s="7">
        <f>ROUND(F30/'3. Inputs &amp; results'!H16,1)</f>
        <v>312500</v>
      </c>
      <c r="E30" s="7"/>
      <c r="F30" s="7">
        <f>ROUND(D48,1)</f>
        <v>281250</v>
      </c>
      <c r="K30" s="236">
        <f>ROUND(C30*(1-'3. Inputs &amp; results'!H16),1)</f>
        <v>31250</v>
      </c>
      <c r="L30" s="249">
        <f>ROUND(D30*(1-'3. Inputs &amp; results'!H16),1)</f>
        <v>31250</v>
      </c>
      <c r="V30" s="224"/>
      <c r="W30" s="224"/>
      <c r="X30" s="224"/>
      <c r="Y30" s="224"/>
      <c r="Z30" s="224"/>
      <c r="AA30" s="224"/>
    </row>
    <row r="31" spans="2:28" ht="16.2" x14ac:dyDescent="0.4">
      <c r="B31" s="248" t="s">
        <v>94</v>
      </c>
      <c r="C31" s="7">
        <f>ROUND(C29/1000,1)</f>
        <v>17500</v>
      </c>
      <c r="D31" s="7">
        <f>ROUND(D29/1000,1)</f>
        <v>5625</v>
      </c>
      <c r="E31" s="7"/>
      <c r="F31" s="7">
        <f>ROUND(F29/1000,1)</f>
        <v>20812.5</v>
      </c>
      <c r="K31" s="236">
        <f>ROUND(K29/1000,1)</f>
        <v>1750</v>
      </c>
      <c r="L31" s="249">
        <f>ROUND(L29/1000,1)</f>
        <v>562.5</v>
      </c>
      <c r="U31" s="222"/>
      <c r="V31" s="8" t="s">
        <v>107</v>
      </c>
      <c r="W31" s="8" t="s">
        <v>108</v>
      </c>
      <c r="X31" s="8" t="s">
        <v>98</v>
      </c>
      <c r="Y31" s="8" t="s">
        <v>84</v>
      </c>
      <c r="Z31" s="8" t="s">
        <v>109</v>
      </c>
      <c r="AA31" s="8" t="s">
        <v>110</v>
      </c>
    </row>
    <row r="32" spans="2:28" x14ac:dyDescent="0.4">
      <c r="B32" s="230"/>
      <c r="L32" s="199"/>
      <c r="U32" s="222" t="s">
        <v>89</v>
      </c>
      <c r="V32" s="7">
        <f>V33*58.4</f>
        <v>48666664.719999999</v>
      </c>
      <c r="W32" s="7">
        <f>W33*35</f>
        <v>29166665.5</v>
      </c>
      <c r="X32" s="7">
        <f>X33*44</f>
        <v>36666665.200000003</v>
      </c>
      <c r="Y32" s="7"/>
      <c r="Z32" s="7">
        <f>Z33*84</f>
        <v>69999997.200000003</v>
      </c>
      <c r="AA32" s="7">
        <f>AA33*53.5</f>
        <v>44583331.550000004</v>
      </c>
    </row>
    <row r="33" spans="2:27" x14ac:dyDescent="0.4">
      <c r="B33" s="364" t="str">
        <f>'3. Inputs &amp; results'!H17*100 &amp;"% conversion"</f>
        <v>75% conversion</v>
      </c>
      <c r="C33" s="365"/>
      <c r="D33" s="365"/>
      <c r="E33" s="365"/>
      <c r="F33" s="365"/>
      <c r="G33" s="365"/>
      <c r="H33" s="365"/>
      <c r="I33" s="365"/>
      <c r="J33" s="352"/>
      <c r="K33" s="352"/>
      <c r="L33" s="353"/>
      <c r="U33" s="222" t="s">
        <v>92</v>
      </c>
      <c r="V33" s="7">
        <f>ROUND($Z$8/3,1)</f>
        <v>833333.3</v>
      </c>
      <c r="W33" s="7">
        <f>ROUND($Z$8/3,1)</f>
        <v>833333.3</v>
      </c>
      <c r="X33" s="7">
        <f>ROUND($Z$8/3,1)</f>
        <v>833333.3</v>
      </c>
      <c r="Y33" s="7"/>
      <c r="Z33" s="7">
        <f>ROUND($Z$8/3,1)</f>
        <v>833333.3</v>
      </c>
      <c r="AA33" s="7">
        <f>ROUND($Z$8/3,1)</f>
        <v>833333.3</v>
      </c>
    </row>
    <row r="34" spans="2:27" ht="16.2" x14ac:dyDescent="0.4">
      <c r="B34" s="248"/>
      <c r="C34" s="5" t="s">
        <v>107</v>
      </c>
      <c r="D34" s="8" t="s">
        <v>108</v>
      </c>
      <c r="E34" s="8" t="s">
        <v>98</v>
      </c>
      <c r="F34" s="223" t="s">
        <v>84</v>
      </c>
      <c r="G34" s="8" t="s">
        <v>109</v>
      </c>
      <c r="H34" s="8" t="s">
        <v>110</v>
      </c>
      <c r="I34" s="222"/>
      <c r="J34" s="264" t="s">
        <v>107</v>
      </c>
      <c r="K34" s="258" t="s">
        <v>111</v>
      </c>
      <c r="L34" s="259" t="s">
        <v>112</v>
      </c>
      <c r="U34" s="222" t="s">
        <v>94</v>
      </c>
      <c r="V34" s="7">
        <f>ROUND(V32/1000,1)</f>
        <v>48666.7</v>
      </c>
      <c r="W34" s="7">
        <f>ROUND(W32/1000,1)</f>
        <v>29166.7</v>
      </c>
      <c r="X34" s="7">
        <f>ROUND(X32/1000,1)</f>
        <v>36666.699999999997</v>
      </c>
      <c r="Y34" s="7"/>
      <c r="Z34" s="7">
        <f>ROUND(Z32/1000,1)</f>
        <v>70000</v>
      </c>
      <c r="AA34" s="7">
        <f>ROUND(AA32/1000,1)</f>
        <v>44583.3</v>
      </c>
    </row>
    <row r="35" spans="2:27" x14ac:dyDescent="0.4">
      <c r="B35" s="248" t="s">
        <v>89</v>
      </c>
      <c r="C35" s="7">
        <f>C36*58.4</f>
        <v>43800000</v>
      </c>
      <c r="D35" s="7">
        <f>D36*35</f>
        <v>26250000</v>
      </c>
      <c r="E35" s="7">
        <f>F15</f>
        <v>33000000</v>
      </c>
      <c r="F35" s="7"/>
      <c r="G35" s="7">
        <f>G36*84</f>
        <v>47250000</v>
      </c>
      <c r="H35" s="7">
        <f>H36*53.5</f>
        <v>30093750</v>
      </c>
      <c r="J35" s="236">
        <f>ROUND(J36*58.4,1)</f>
        <v>10950000</v>
      </c>
      <c r="K35" s="236">
        <f>K36*35</f>
        <v>6562500</v>
      </c>
      <c r="L35" s="249">
        <f>L36*44</f>
        <v>8250000</v>
      </c>
      <c r="V35" s="224"/>
      <c r="W35" s="224"/>
      <c r="X35" s="224"/>
      <c r="Y35" s="224"/>
      <c r="Z35" s="224"/>
      <c r="AA35" s="224"/>
    </row>
    <row r="36" spans="2:27" ht="16.2" x14ac:dyDescent="0.4">
      <c r="B36" s="248" t="s">
        <v>92</v>
      </c>
      <c r="C36" s="7">
        <f>E36</f>
        <v>750000</v>
      </c>
      <c r="D36" s="7">
        <f>E36</f>
        <v>750000</v>
      </c>
      <c r="E36" s="7">
        <f>F16</f>
        <v>750000</v>
      </c>
      <c r="F36" s="7"/>
      <c r="G36" s="7">
        <f>ROUND(E36*'3. Inputs &amp; results'!H17,1)</f>
        <v>562500</v>
      </c>
      <c r="H36" s="7">
        <f>ROUND(E36*'3. Inputs &amp; results'!H17,1)</f>
        <v>562500</v>
      </c>
      <c r="J36" s="236">
        <f>ROUND(C36*(1-'3. Inputs &amp; results'!H17),1)</f>
        <v>187500</v>
      </c>
      <c r="K36" s="236">
        <f>ROUND(D36*(1-'3. Inputs &amp; results'!H17),1)</f>
        <v>187500</v>
      </c>
      <c r="L36" s="249">
        <f>ROUND(E36*(1-'3. Inputs &amp; results'!H17),1)</f>
        <v>187500</v>
      </c>
      <c r="U36" s="222"/>
      <c r="V36" s="8" t="s">
        <v>113</v>
      </c>
      <c r="W36" s="8" t="s">
        <v>84</v>
      </c>
      <c r="X36" s="8" t="s">
        <v>340</v>
      </c>
      <c r="Y36" s="8" t="s">
        <v>83</v>
      </c>
      <c r="Z36" s="8" t="s">
        <v>98</v>
      </c>
      <c r="AA36" s="225"/>
    </row>
    <row r="37" spans="2:27" x14ac:dyDescent="0.4">
      <c r="B37" s="248" t="s">
        <v>94</v>
      </c>
      <c r="C37" s="7">
        <f>ROUND(C35/1000,1)</f>
        <v>43800</v>
      </c>
      <c r="D37" s="7">
        <f>ROUND(D35/1000,1)</f>
        <v>26250</v>
      </c>
      <c r="E37" s="7">
        <f>F17</f>
        <v>33000</v>
      </c>
      <c r="F37" s="7"/>
      <c r="G37" s="7">
        <f>ROUND(G35/1000,1)</f>
        <v>47250</v>
      </c>
      <c r="H37" s="7">
        <f>ROUND(H35/1000,1)</f>
        <v>30093.8</v>
      </c>
      <c r="J37" s="236">
        <f>ROUND(J35/1000,1)</f>
        <v>10950</v>
      </c>
      <c r="K37" s="236">
        <f>ROUND(K35/1000,1)</f>
        <v>6562.5</v>
      </c>
      <c r="L37" s="249">
        <f>ROUND(L35/1000,1)</f>
        <v>8250</v>
      </c>
      <c r="U37" s="222" t="s">
        <v>89</v>
      </c>
      <c r="V37" s="7">
        <f>V38*84</f>
        <v>69999997.200000003</v>
      </c>
      <c r="W37" s="7"/>
      <c r="X37" s="7">
        <f>X38*106</f>
        <v>44166664.900000006</v>
      </c>
      <c r="Y37" s="7">
        <f>Y38*18</f>
        <v>7499999.7000000002</v>
      </c>
      <c r="Z37" s="7">
        <f>Z38*44</f>
        <v>18333332.600000001</v>
      </c>
      <c r="AA37" s="224"/>
    </row>
    <row r="38" spans="2:27" x14ac:dyDescent="0.4">
      <c r="B38" s="230"/>
      <c r="L38" s="199"/>
      <c r="U38" s="222" t="s">
        <v>92</v>
      </c>
      <c r="V38" s="7">
        <f>ROUND($Z$8/3,1)</f>
        <v>833333.3</v>
      </c>
      <c r="W38" s="7"/>
      <c r="X38" s="7">
        <f>V38/2</f>
        <v>416666.65</v>
      </c>
      <c r="Y38" s="7">
        <f>V38/2</f>
        <v>416666.65</v>
      </c>
      <c r="Z38" s="7">
        <f>V38/2</f>
        <v>416666.65</v>
      </c>
      <c r="AA38" s="224"/>
    </row>
    <row r="39" spans="2:27" x14ac:dyDescent="0.4">
      <c r="B39" s="364" t="str">
        <f>'3. Inputs &amp; results'!H18*100 &amp;"% conversion"</f>
        <v>75% conversion</v>
      </c>
      <c r="C39" s="365"/>
      <c r="D39" s="365"/>
      <c r="E39" s="365"/>
      <c r="F39" s="365"/>
      <c r="G39" s="365"/>
      <c r="H39" s="365"/>
      <c r="I39" s="365"/>
      <c r="J39" s="352"/>
      <c r="K39" s="352"/>
      <c r="L39" s="353"/>
      <c r="U39" s="222" t="s">
        <v>94</v>
      </c>
      <c r="V39" s="7">
        <f>ROUND(V37/1000,1)</f>
        <v>70000</v>
      </c>
      <c r="W39" s="7"/>
      <c r="X39" s="7">
        <f>ROUND(X37/1000,1)</f>
        <v>44166.7</v>
      </c>
      <c r="Y39" s="7">
        <f>ROUND(Y37/1000,1)</f>
        <v>7500</v>
      </c>
      <c r="Z39" s="7">
        <f>ROUND(Z37/1000,1)</f>
        <v>18333.3</v>
      </c>
      <c r="AA39" s="224"/>
    </row>
    <row r="40" spans="2:27" ht="16.2" x14ac:dyDescent="0.4">
      <c r="B40" s="248"/>
      <c r="C40" s="8" t="s">
        <v>113</v>
      </c>
      <c r="D40" s="223" t="s">
        <v>84</v>
      </c>
      <c r="E40" s="8" t="s">
        <v>340</v>
      </c>
      <c r="F40" s="8" t="s">
        <v>83</v>
      </c>
      <c r="G40" s="8" t="s">
        <v>98</v>
      </c>
      <c r="H40" s="222"/>
      <c r="I40" s="222"/>
      <c r="J40" s="260"/>
      <c r="K40" s="260"/>
      <c r="L40" s="259" t="s">
        <v>114</v>
      </c>
      <c r="V40" s="224"/>
      <c r="W40" s="224"/>
      <c r="X40" s="224"/>
      <c r="Y40" s="224"/>
      <c r="Z40" s="224"/>
      <c r="AA40" s="224"/>
    </row>
    <row r="41" spans="2:27" ht="16.2" x14ac:dyDescent="0.4">
      <c r="B41" s="248" t="s">
        <v>89</v>
      </c>
      <c r="C41" s="7">
        <f>G35</f>
        <v>47250000</v>
      </c>
      <c r="D41" s="7"/>
      <c r="E41" s="7">
        <f>E42*105.98844</f>
        <v>22356936.5625</v>
      </c>
      <c r="F41" s="7">
        <f>F42*18</f>
        <v>3796875</v>
      </c>
      <c r="G41" s="7">
        <f>G42*44</f>
        <v>9281250</v>
      </c>
      <c r="L41" s="249">
        <f>L42*84</f>
        <v>11812500</v>
      </c>
      <c r="U41" s="222"/>
      <c r="V41" s="8" t="s">
        <v>115</v>
      </c>
      <c r="W41" s="8" t="s">
        <v>106</v>
      </c>
      <c r="X41" s="8" t="s">
        <v>84</v>
      </c>
      <c r="Y41" s="8" t="s">
        <v>116</v>
      </c>
      <c r="Z41" s="8" t="s">
        <v>117</v>
      </c>
      <c r="AA41" s="8" t="s">
        <v>341</v>
      </c>
    </row>
    <row r="42" spans="2:27" x14ac:dyDescent="0.4">
      <c r="B42" s="248" t="s">
        <v>92</v>
      </c>
      <c r="C42" s="7">
        <f>G36</f>
        <v>562500</v>
      </c>
      <c r="D42" s="7"/>
      <c r="E42" s="7">
        <f>C42/2*'3. Inputs &amp; results'!H18</f>
        <v>210937.5</v>
      </c>
      <c r="F42" s="7">
        <f>C42/2*'3. Inputs &amp; results'!H18</f>
        <v>210937.5</v>
      </c>
      <c r="G42" s="7">
        <f>C42/2*'3. Inputs &amp; results'!H18</f>
        <v>210937.5</v>
      </c>
      <c r="L42" s="249">
        <f>C42*(1-'3. Inputs &amp; results'!H18)</f>
        <v>140625</v>
      </c>
      <c r="U42" s="222" t="s">
        <v>89</v>
      </c>
      <c r="V42" s="7">
        <f>V43*53.5</f>
        <v>44583331.550000004</v>
      </c>
      <c r="W42" s="7">
        <f>W43*74</f>
        <v>30833335.800000001</v>
      </c>
      <c r="X42" s="7"/>
      <c r="Y42" s="7">
        <f>Y43*17</f>
        <v>14166666.100000001</v>
      </c>
      <c r="Z42" s="7">
        <f>Z43*111</f>
        <v>46250003.700000003</v>
      </c>
      <c r="AA42" s="7">
        <f>AA43*18</f>
        <v>14999999.4</v>
      </c>
    </row>
    <row r="43" spans="2:27" x14ac:dyDescent="0.4">
      <c r="B43" s="248" t="s">
        <v>94</v>
      </c>
      <c r="C43" s="7">
        <f>G37</f>
        <v>47250</v>
      </c>
      <c r="D43" s="7"/>
      <c r="E43" s="7">
        <f>ROUND(E41/1000,1)</f>
        <v>22356.9</v>
      </c>
      <c r="F43" s="7">
        <f>ROUND(F41/1000,1)</f>
        <v>3796.9</v>
      </c>
      <c r="G43" s="7">
        <f>ROUND(G41/1000,1)</f>
        <v>9281.2999999999993</v>
      </c>
      <c r="L43" s="249">
        <f>ROUND(L41/1000,1)</f>
        <v>11812.5</v>
      </c>
      <c r="U43" s="222" t="s">
        <v>92</v>
      </c>
      <c r="V43" s="7">
        <f>ROUND(AA33,1)</f>
        <v>833333.3</v>
      </c>
      <c r="W43" s="7">
        <f>ROUND(V43/2,1)</f>
        <v>416666.7</v>
      </c>
      <c r="X43" s="7"/>
      <c r="Y43" s="7">
        <f>V43</f>
        <v>833333.3</v>
      </c>
      <c r="Z43" s="7">
        <f>ROUND(V43/2,1)</f>
        <v>416666.7</v>
      </c>
      <c r="AA43" s="7">
        <f>V43</f>
        <v>833333.3</v>
      </c>
    </row>
    <row r="44" spans="2:27" x14ac:dyDescent="0.4">
      <c r="B44" s="230"/>
      <c r="L44" s="199"/>
      <c r="U44" s="222" t="s">
        <v>94</v>
      </c>
      <c r="V44" s="7">
        <f t="shared" ref="V44:AA44" si="0">ROUND(V42/1000,1)</f>
        <v>44583.3</v>
      </c>
      <c r="W44" s="7">
        <f t="shared" si="0"/>
        <v>30833.3</v>
      </c>
      <c r="X44" s="7"/>
      <c r="Y44" s="7">
        <f t="shared" si="0"/>
        <v>14166.7</v>
      </c>
      <c r="Z44" s="7">
        <f t="shared" si="0"/>
        <v>46250</v>
      </c>
      <c r="AA44" s="7">
        <f t="shared" si="0"/>
        <v>15000</v>
      </c>
    </row>
    <row r="45" spans="2:27" x14ac:dyDescent="0.4">
      <c r="B45" s="364" t="str">
        <f>'3. Inputs &amp; results'!H19*100 &amp;"% conversion"</f>
        <v>98% conversion</v>
      </c>
      <c r="C45" s="365"/>
      <c r="D45" s="365"/>
      <c r="E45" s="365"/>
      <c r="F45" s="365"/>
      <c r="G45" s="365"/>
      <c r="H45" s="365"/>
      <c r="I45" s="365"/>
      <c r="J45" s="352"/>
      <c r="K45" s="352"/>
      <c r="L45" s="353"/>
    </row>
    <row r="46" spans="2:27" ht="16.2" x14ac:dyDescent="0.4">
      <c r="B46" s="248"/>
      <c r="C46" s="8" t="s">
        <v>115</v>
      </c>
      <c r="D46" s="8" t="s">
        <v>106</v>
      </c>
      <c r="E46" s="223" t="s">
        <v>84</v>
      </c>
      <c r="F46" s="8" t="s">
        <v>116</v>
      </c>
      <c r="G46" s="8" t="s">
        <v>117</v>
      </c>
      <c r="H46" s="8" t="s">
        <v>341</v>
      </c>
      <c r="I46" s="222"/>
      <c r="J46" s="260"/>
      <c r="K46" s="258" t="s">
        <v>118</v>
      </c>
      <c r="L46" s="259" t="s">
        <v>119</v>
      </c>
    </row>
    <row r="47" spans="2:27" x14ac:dyDescent="0.4">
      <c r="B47" s="248" t="s">
        <v>89</v>
      </c>
      <c r="C47" s="7">
        <f>C48*53.5</f>
        <v>30093750</v>
      </c>
      <c r="D47" s="7">
        <f>D48*74</f>
        <v>20812500</v>
      </c>
      <c r="E47" s="7"/>
      <c r="F47" s="7">
        <f>F48*17</f>
        <v>9371250</v>
      </c>
      <c r="G47" s="7">
        <f>G48*111</f>
        <v>30594375</v>
      </c>
      <c r="H47" s="7">
        <f>H48*18</f>
        <v>9922500</v>
      </c>
      <c r="K47" s="236">
        <f>K48*53.5</f>
        <v>601875.00000000047</v>
      </c>
      <c r="L47" s="249">
        <f>L48*74</f>
        <v>416250.00000000035</v>
      </c>
    </row>
    <row r="48" spans="2:27" x14ac:dyDescent="0.4">
      <c r="B48" s="248" t="s">
        <v>92</v>
      </c>
      <c r="C48" s="7">
        <f>ROUND(H36,1)</f>
        <v>562500</v>
      </c>
      <c r="D48" s="7">
        <f>ROUND(C48/2,1)</f>
        <v>281250</v>
      </c>
      <c r="E48" s="7"/>
      <c r="F48" s="7">
        <f>C48*'3. Inputs &amp; results'!H19</f>
        <v>551250</v>
      </c>
      <c r="G48" s="7">
        <f>ROUND(C48/2*'3. Inputs &amp; results'!H19,1)</f>
        <v>275625</v>
      </c>
      <c r="H48" s="7">
        <f>C48*'3. Inputs &amp; results'!H19</f>
        <v>551250</v>
      </c>
      <c r="K48" s="236">
        <f>C48*(1-'3. Inputs &amp; results'!H19)</f>
        <v>11250.000000000009</v>
      </c>
      <c r="L48" s="249">
        <f>D48*(1-'3. Inputs &amp; results'!H19)</f>
        <v>5625.0000000000045</v>
      </c>
    </row>
    <row r="49" spans="2:28" x14ac:dyDescent="0.4">
      <c r="B49" s="248" t="s">
        <v>94</v>
      </c>
      <c r="C49" s="7">
        <f t="shared" ref="C49:H49" si="1">ROUND(C47/1000,1)</f>
        <v>30093.8</v>
      </c>
      <c r="D49" s="7">
        <f t="shared" si="1"/>
        <v>20812.5</v>
      </c>
      <c r="E49" s="7"/>
      <c r="F49" s="7">
        <f t="shared" si="1"/>
        <v>9371.2999999999993</v>
      </c>
      <c r="G49" s="7">
        <f t="shared" si="1"/>
        <v>30594.400000000001</v>
      </c>
      <c r="H49" s="7">
        <f t="shared" si="1"/>
        <v>9922.5</v>
      </c>
      <c r="K49" s="236">
        <f>ROUND(K47/1000,1)</f>
        <v>601.9</v>
      </c>
      <c r="L49" s="249">
        <f>ROUND(L47/1000,1)</f>
        <v>416.3</v>
      </c>
    </row>
    <row r="50" spans="2:28" x14ac:dyDescent="0.4">
      <c r="B50" s="230"/>
      <c r="L50" s="199"/>
    </row>
    <row r="51" spans="2:28" x14ac:dyDescent="0.4">
      <c r="B51" s="230"/>
      <c r="L51" s="199"/>
    </row>
    <row r="52" spans="2:28" x14ac:dyDescent="0.4">
      <c r="B52" s="354" t="s">
        <v>120</v>
      </c>
      <c r="C52" s="355"/>
      <c r="D52" s="355"/>
      <c r="E52" s="355"/>
      <c r="F52" s="355"/>
      <c r="G52" s="355"/>
      <c r="H52" s="355"/>
      <c r="I52" s="355"/>
      <c r="J52" s="355"/>
      <c r="K52" s="355"/>
      <c r="L52" s="356"/>
      <c r="U52" s="351" t="s">
        <v>121</v>
      </c>
      <c r="V52" s="351"/>
      <c r="W52" s="351"/>
      <c r="X52" s="351"/>
      <c r="Y52" s="351"/>
      <c r="Z52" s="351"/>
      <c r="AA52" s="351"/>
      <c r="AB52" s="351"/>
    </row>
    <row r="53" spans="2:28" ht="16.2" x14ac:dyDescent="0.4">
      <c r="B53" s="364" t="str">
        <f>'3. Inputs &amp; results'!H20*100 &amp;"% conversion"</f>
        <v>90% conversion</v>
      </c>
      <c r="C53" s="365"/>
      <c r="D53" s="365"/>
      <c r="E53" s="365"/>
      <c r="F53" s="365"/>
      <c r="G53" s="365"/>
      <c r="H53" s="365"/>
      <c r="I53" s="365"/>
      <c r="J53" s="5"/>
      <c r="K53" s="352" t="s">
        <v>86</v>
      </c>
      <c r="L53" s="353"/>
      <c r="U53" s="222"/>
      <c r="V53" s="8" t="s">
        <v>342</v>
      </c>
      <c r="W53" s="8" t="s">
        <v>340</v>
      </c>
      <c r="X53" s="223" t="s">
        <v>84</v>
      </c>
      <c r="Y53" s="8" t="s">
        <v>130</v>
      </c>
      <c r="Z53" s="8" t="s">
        <v>343</v>
      </c>
      <c r="AA53" s="8" t="s">
        <v>122</v>
      </c>
      <c r="AB53" s="8" t="s">
        <v>344</v>
      </c>
    </row>
    <row r="54" spans="2:28" ht="16.2" x14ac:dyDescent="0.4">
      <c r="B54" s="248"/>
      <c r="C54" s="8" t="s">
        <v>342</v>
      </c>
      <c r="D54" s="8" t="s">
        <v>340</v>
      </c>
      <c r="E54" s="8" t="s">
        <v>84</v>
      </c>
      <c r="F54" s="8" t="s">
        <v>130</v>
      </c>
      <c r="G54" s="8" t="s">
        <v>343</v>
      </c>
      <c r="H54" s="8" t="s">
        <v>123</v>
      </c>
      <c r="I54" s="8" t="s">
        <v>344</v>
      </c>
      <c r="J54" s="222"/>
      <c r="K54" s="258" t="s">
        <v>124</v>
      </c>
      <c r="L54" s="259" t="s">
        <v>125</v>
      </c>
      <c r="U54" s="222" t="s">
        <v>89</v>
      </c>
      <c r="V54" s="7">
        <f>V55*98</f>
        <v>40833331.700000003</v>
      </c>
      <c r="W54" s="7">
        <f>X37/2</f>
        <v>22083332.450000003</v>
      </c>
      <c r="X54" s="7"/>
      <c r="Y54" s="7">
        <f>Y55*73.88</f>
        <v>15391666.050999999</v>
      </c>
      <c r="Z54" s="7">
        <f>Z55*62</f>
        <v>12916666.15</v>
      </c>
      <c r="AA54" s="7">
        <f>AA55*75</f>
        <v>15624999.375</v>
      </c>
      <c r="AB54" s="7">
        <f>AB55*91</f>
        <v>18958332.574999999</v>
      </c>
    </row>
    <row r="55" spans="2:28" x14ac:dyDescent="0.4">
      <c r="B55" s="248" t="s">
        <v>126</v>
      </c>
      <c r="C55" s="7">
        <f>C56*97.872994</f>
        <v>20645084.671875</v>
      </c>
      <c r="D55" s="7">
        <f>E41/2</f>
        <v>11178468.28125</v>
      </c>
      <c r="E55" s="7"/>
      <c r="F55" s="7">
        <f>F56*73.88</f>
        <v>7012828.125</v>
      </c>
      <c r="G55" s="7">
        <f>G56*62</f>
        <v>5885156.25</v>
      </c>
      <c r="H55" s="7">
        <f>H56*75</f>
        <v>7119140.625</v>
      </c>
      <c r="I55" s="7">
        <f>I56*91</f>
        <v>8637890.625</v>
      </c>
      <c r="K55" s="236">
        <f>K56*98</f>
        <v>2067187.4999999995</v>
      </c>
      <c r="L55" s="249">
        <f>L56*106</f>
        <v>1117968.7499999998</v>
      </c>
      <c r="U55" s="222" t="s">
        <v>92</v>
      </c>
      <c r="V55" s="7">
        <f>W55*2</f>
        <v>416666.65</v>
      </c>
      <c r="W55" s="7">
        <f>X38/2</f>
        <v>208333.32500000001</v>
      </c>
      <c r="X55" s="7"/>
      <c r="Y55" s="7">
        <f>W55</f>
        <v>208333.32500000001</v>
      </c>
      <c r="Z55" s="7">
        <f>Y55</f>
        <v>208333.32500000001</v>
      </c>
      <c r="AA55" s="7">
        <f>Y55</f>
        <v>208333.32500000001</v>
      </c>
      <c r="AB55" s="7">
        <f>Y55</f>
        <v>208333.32500000001</v>
      </c>
    </row>
    <row r="56" spans="2:28" x14ac:dyDescent="0.4">
      <c r="B56" s="248" t="s">
        <v>127</v>
      </c>
      <c r="C56" s="7">
        <f>D56*2</f>
        <v>210937.5</v>
      </c>
      <c r="D56" s="7">
        <f>E42/2</f>
        <v>105468.75</v>
      </c>
      <c r="E56" s="7"/>
      <c r="F56" s="7">
        <f>D56*'3. Inputs &amp; results'!H20</f>
        <v>94921.875</v>
      </c>
      <c r="G56" s="7">
        <f>F56</f>
        <v>94921.875</v>
      </c>
      <c r="H56" s="7">
        <f>F56</f>
        <v>94921.875</v>
      </c>
      <c r="I56" s="7">
        <f>F56</f>
        <v>94921.875</v>
      </c>
      <c r="K56" s="236">
        <f>C56*(1-'3. Inputs &amp; results'!H20)</f>
        <v>21093.749999999996</v>
      </c>
      <c r="L56" s="249">
        <f>D56*(1-'3. Inputs &amp; results'!H20)</f>
        <v>10546.874999999998</v>
      </c>
      <c r="U56" s="222" t="s">
        <v>94</v>
      </c>
      <c r="V56" s="7">
        <f>ROUND(V54/1000,1)</f>
        <v>40833.300000000003</v>
      </c>
      <c r="W56" s="7">
        <f>X39/2</f>
        <v>22083.35</v>
      </c>
      <c r="X56" s="7"/>
      <c r="Y56" s="7">
        <f>ROUND(Y54/1000,1)</f>
        <v>15391.7</v>
      </c>
      <c r="Z56" s="7">
        <f>ROUND(Z54/1000,1)</f>
        <v>12916.7</v>
      </c>
      <c r="AA56" s="7">
        <f>ROUND(AA54/1000,1)</f>
        <v>15625</v>
      </c>
      <c r="AB56" s="7">
        <f>ROUND(AB54/1000,1)</f>
        <v>18958.3</v>
      </c>
    </row>
    <row r="57" spans="2:28" x14ac:dyDescent="0.4">
      <c r="B57" s="248" t="s">
        <v>128</v>
      </c>
      <c r="C57" s="7">
        <f>ROUND(C55/1000,1)</f>
        <v>20645.099999999999</v>
      </c>
      <c r="D57" s="7">
        <f>E43/2</f>
        <v>11178.45</v>
      </c>
      <c r="E57" s="7"/>
      <c r="F57" s="7">
        <f>ROUND(F55/1000,1)</f>
        <v>7012.8</v>
      </c>
      <c r="G57" s="7">
        <f>ROUND(G55/1000,1)</f>
        <v>5885.2</v>
      </c>
      <c r="H57" s="7">
        <f>ROUND(H55/1000,1)</f>
        <v>7119.1</v>
      </c>
      <c r="I57" s="7">
        <f>ROUND(I55/1000,1)</f>
        <v>8637.9</v>
      </c>
      <c r="K57" s="236">
        <f>ROUND(K55/1000,1)</f>
        <v>2067.1999999999998</v>
      </c>
      <c r="L57" s="249">
        <f>ROUND(L55/1000,1)</f>
        <v>1118</v>
      </c>
    </row>
    <row r="58" spans="2:28" ht="16.2" x14ac:dyDescent="0.4">
      <c r="B58" s="230"/>
      <c r="L58" s="199"/>
      <c r="U58" s="222"/>
      <c r="V58" s="8" t="s">
        <v>130</v>
      </c>
      <c r="W58" s="8" t="s">
        <v>83</v>
      </c>
      <c r="X58" s="223" t="s">
        <v>84</v>
      </c>
      <c r="Y58" s="8" t="s">
        <v>345</v>
      </c>
      <c r="Z58" s="8"/>
      <c r="AA58" s="222"/>
      <c r="AB58" s="222"/>
    </row>
    <row r="59" spans="2:28" x14ac:dyDescent="0.4">
      <c r="B59" s="364" t="str">
        <f>'3. Inputs &amp; results'!H21*100 &amp;"% conversion"</f>
        <v>80% conversion</v>
      </c>
      <c r="C59" s="365"/>
      <c r="D59" s="365"/>
      <c r="E59" s="365"/>
      <c r="F59" s="365"/>
      <c r="G59" s="365"/>
      <c r="H59" s="365"/>
      <c r="I59" s="365"/>
      <c r="J59" s="222"/>
      <c r="K59" s="260"/>
      <c r="L59" s="261"/>
      <c r="U59" s="222" t="s">
        <v>89</v>
      </c>
      <c r="V59" s="7">
        <f>Y54</f>
        <v>15391666.050999999</v>
      </c>
      <c r="W59" s="7">
        <f>W60*18</f>
        <v>3749999.85</v>
      </c>
      <c r="X59" s="7"/>
      <c r="Y59" s="7">
        <f>V59+W59</f>
        <v>19141665.901000001</v>
      </c>
      <c r="Z59" s="224"/>
      <c r="AA59" s="224"/>
      <c r="AB59" s="224"/>
    </row>
    <row r="60" spans="2:28" ht="16.2" x14ac:dyDescent="0.4">
      <c r="B60" s="248"/>
      <c r="C60" s="8" t="s">
        <v>130</v>
      </c>
      <c r="D60" s="8" t="s">
        <v>83</v>
      </c>
      <c r="E60" s="223" t="s">
        <v>84</v>
      </c>
      <c r="F60" s="8" t="s">
        <v>345</v>
      </c>
      <c r="G60" s="222"/>
      <c r="H60" s="222"/>
      <c r="I60" s="222"/>
      <c r="J60" s="222"/>
      <c r="K60" s="258" t="s">
        <v>129</v>
      </c>
      <c r="L60" s="259" t="s">
        <v>88</v>
      </c>
      <c r="U60" s="222" t="s">
        <v>92</v>
      </c>
      <c r="V60" s="7">
        <f>Y55</f>
        <v>208333.32500000001</v>
      </c>
      <c r="W60" s="7">
        <f>V60</f>
        <v>208333.32500000001</v>
      </c>
      <c r="X60" s="7"/>
      <c r="Y60" s="7">
        <f>W60</f>
        <v>208333.32500000001</v>
      </c>
      <c r="Z60" s="224"/>
      <c r="AA60" s="224"/>
      <c r="AB60" s="224"/>
    </row>
    <row r="61" spans="2:28" x14ac:dyDescent="0.4">
      <c r="B61" s="248" t="s">
        <v>126</v>
      </c>
      <c r="C61" s="7">
        <f>F55</f>
        <v>7012828.125</v>
      </c>
      <c r="D61" s="7">
        <f>D62*18</f>
        <v>1708593.75</v>
      </c>
      <c r="E61" s="7"/>
      <c r="F61" s="7">
        <f>(73.88+18)*F62</f>
        <v>6977137.5</v>
      </c>
      <c r="I61" s="224"/>
      <c r="K61" s="238">
        <f>K62*73.88</f>
        <v>1402565.6249999995</v>
      </c>
      <c r="L61" s="250">
        <f>L62*18</f>
        <v>341718.74999999994</v>
      </c>
      <c r="U61" s="222" t="s">
        <v>94</v>
      </c>
      <c r="V61" s="7">
        <f>Y56</f>
        <v>15391.7</v>
      </c>
      <c r="W61" s="7">
        <f>W59/1000</f>
        <v>3749.9998500000002</v>
      </c>
      <c r="X61" s="7"/>
      <c r="Y61" s="7">
        <f>V61+W61</f>
        <v>19141.699850000001</v>
      </c>
      <c r="Z61" s="224"/>
      <c r="AA61" s="224"/>
      <c r="AB61" s="224"/>
    </row>
    <row r="62" spans="2:28" x14ac:dyDescent="0.4">
      <c r="B62" s="248" t="s">
        <v>127</v>
      </c>
      <c r="C62" s="7">
        <f>F56</f>
        <v>94921.875</v>
      </c>
      <c r="D62" s="7">
        <f>C62</f>
        <v>94921.875</v>
      </c>
      <c r="E62" s="7"/>
      <c r="F62" s="7">
        <f>D62*'3. Inputs &amp; results'!H21</f>
        <v>75937.5</v>
      </c>
      <c r="K62" s="238">
        <f>C62*(1-'3. Inputs &amp; results'!H21)</f>
        <v>18984.374999999996</v>
      </c>
      <c r="L62" s="250">
        <f>D62*(1-'3. Inputs &amp; results'!H21)</f>
        <v>18984.374999999996</v>
      </c>
    </row>
    <row r="63" spans="2:28" ht="16.2" x14ac:dyDescent="0.4">
      <c r="B63" s="248" t="s">
        <v>128</v>
      </c>
      <c r="C63" s="7">
        <f>F57</f>
        <v>7012.8</v>
      </c>
      <c r="D63" s="7">
        <f>D61/1000</f>
        <v>1708.59375</v>
      </c>
      <c r="E63" s="7"/>
      <c r="F63" s="7">
        <f>F61/1000</f>
        <v>6977.1374999999998</v>
      </c>
      <c r="K63" s="238">
        <f>K61/1000</f>
        <v>1402.5656249999995</v>
      </c>
      <c r="L63" s="250">
        <f>L61/1000</f>
        <v>341.71874999999994</v>
      </c>
      <c r="U63" s="222"/>
      <c r="V63" s="8" t="s">
        <v>130</v>
      </c>
      <c r="W63" s="8" t="s">
        <v>131</v>
      </c>
      <c r="X63" s="223" t="s">
        <v>84</v>
      </c>
      <c r="Y63" s="8" t="s">
        <v>132</v>
      </c>
      <c r="Z63" s="8" t="s">
        <v>83</v>
      </c>
      <c r="AA63" s="8" t="s">
        <v>98</v>
      </c>
      <c r="AB63" s="222"/>
    </row>
    <row r="64" spans="2:28" x14ac:dyDescent="0.4">
      <c r="B64" s="230"/>
      <c r="K64" s="239"/>
      <c r="L64" s="251"/>
      <c r="U64" s="222" t="s">
        <v>89</v>
      </c>
      <c r="V64" s="7">
        <f>V59</f>
        <v>15391666.050999999</v>
      </c>
      <c r="W64" s="7">
        <f>W65*36.458</f>
        <v>15190832.7257</v>
      </c>
      <c r="X64" s="7"/>
      <c r="Y64" s="7">
        <f>Y65*42.394</f>
        <v>17664165.960099999</v>
      </c>
      <c r="Z64" s="7">
        <f>Z65*18</f>
        <v>3749999.85</v>
      </c>
      <c r="AA64" s="7">
        <f>AA65*44</f>
        <v>9166666.3000000007</v>
      </c>
      <c r="AB64" s="224"/>
    </row>
    <row r="65" spans="2:28" x14ac:dyDescent="0.4">
      <c r="B65" s="364" t="str">
        <f>'3. Inputs &amp; results'!H22*100 &amp;"% conversion"</f>
        <v>80% conversion</v>
      </c>
      <c r="C65" s="365"/>
      <c r="D65" s="365"/>
      <c r="E65" s="365"/>
      <c r="F65" s="365"/>
      <c r="G65" s="365"/>
      <c r="H65" s="365"/>
      <c r="I65" s="365"/>
      <c r="J65" s="222"/>
      <c r="K65" s="262"/>
      <c r="L65" s="263"/>
      <c r="U65" s="222" t="s">
        <v>92</v>
      </c>
      <c r="V65" s="7">
        <f>V60</f>
        <v>208333.32500000001</v>
      </c>
      <c r="W65" s="7">
        <f>V65*2</f>
        <v>416666.65</v>
      </c>
      <c r="X65" s="7"/>
      <c r="Y65" s="7">
        <f>V65*2</f>
        <v>416666.65</v>
      </c>
      <c r="Z65" s="7">
        <f>V65</f>
        <v>208333.32500000001</v>
      </c>
      <c r="AA65" s="7">
        <f>V65</f>
        <v>208333.32500000001</v>
      </c>
      <c r="AB65" s="224"/>
    </row>
    <row r="66" spans="2:28" ht="16.2" x14ac:dyDescent="0.4">
      <c r="B66" s="248"/>
      <c r="C66" s="8" t="s">
        <v>130</v>
      </c>
      <c r="D66" s="8" t="s">
        <v>131</v>
      </c>
      <c r="E66" s="223" t="s">
        <v>84</v>
      </c>
      <c r="F66" s="8" t="s">
        <v>132</v>
      </c>
      <c r="G66" s="8" t="s">
        <v>83</v>
      </c>
      <c r="H66" s="8" t="s">
        <v>98</v>
      </c>
      <c r="I66" s="222"/>
      <c r="J66" s="222"/>
      <c r="K66" s="258" t="s">
        <v>129</v>
      </c>
      <c r="L66" s="259" t="s">
        <v>131</v>
      </c>
      <c r="U66" s="222" t="s">
        <v>94</v>
      </c>
      <c r="V66" s="7">
        <f>V61</f>
        <v>15391.7</v>
      </c>
      <c r="W66" s="7">
        <f>W64/1000</f>
        <v>15190.8327257</v>
      </c>
      <c r="X66" s="7"/>
      <c r="Y66" s="7">
        <f>Y64/1000</f>
        <v>17664.165960099999</v>
      </c>
      <c r="Z66" s="7">
        <f>Z64/1000</f>
        <v>3749.9998500000002</v>
      </c>
      <c r="AA66" s="7">
        <f>AA64/1000</f>
        <v>9166.6663000000008</v>
      </c>
      <c r="AB66" s="224"/>
    </row>
    <row r="67" spans="2:28" x14ac:dyDescent="0.4">
      <c r="B67" s="248" t="s">
        <v>126</v>
      </c>
      <c r="C67" s="7">
        <f>C68*73.88</f>
        <v>5610262.5</v>
      </c>
      <c r="D67" s="7">
        <f>D68*36.4584</f>
        <v>5537119.5</v>
      </c>
      <c r="E67" s="7"/>
      <c r="F67" s="7">
        <f>F68*42.394</f>
        <v>5150871</v>
      </c>
      <c r="G67" s="7">
        <f>G68*18</f>
        <v>1093500</v>
      </c>
      <c r="H67" s="7">
        <f>H68*44</f>
        <v>2673000</v>
      </c>
      <c r="K67" s="238">
        <f>K68*73.88</f>
        <v>1122052.4999999998</v>
      </c>
      <c r="L67" s="250">
        <f>L68*36.4584</f>
        <v>1107423.8999999997</v>
      </c>
    </row>
    <row r="68" spans="2:28" ht="16.2" x14ac:dyDescent="0.4">
      <c r="B68" s="248" t="s">
        <v>127</v>
      </c>
      <c r="C68" s="7">
        <f>C62*'3. Inputs &amp; results'!H21</f>
        <v>75937.5</v>
      </c>
      <c r="D68" s="7">
        <f>C68*2</f>
        <v>151875</v>
      </c>
      <c r="E68" s="7"/>
      <c r="F68" s="7">
        <f>D68*'3. Inputs &amp; results'!H22</f>
        <v>121500</v>
      </c>
      <c r="G68" s="7">
        <f>C68*'3. Inputs &amp; results'!H22</f>
        <v>60750</v>
      </c>
      <c r="H68" s="7">
        <f>C68*'3. Inputs &amp; results'!H22</f>
        <v>60750</v>
      </c>
      <c r="K68" s="238">
        <f>C68*(1-'3. Inputs &amp; results'!H22)</f>
        <v>15187.499999999996</v>
      </c>
      <c r="L68" s="250">
        <f>D68*(1-'3. Inputs &amp; results'!H22)</f>
        <v>30374.999999999993</v>
      </c>
      <c r="U68" s="222"/>
      <c r="V68" s="8" t="s">
        <v>132</v>
      </c>
      <c r="W68" s="8" t="s">
        <v>340</v>
      </c>
      <c r="X68" s="223" t="s">
        <v>84</v>
      </c>
      <c r="Y68" s="8" t="s">
        <v>130</v>
      </c>
      <c r="Z68" s="8" t="s">
        <v>133</v>
      </c>
      <c r="AA68" s="222"/>
      <c r="AB68" s="222"/>
    </row>
    <row r="69" spans="2:28" x14ac:dyDescent="0.4">
      <c r="B69" s="248" t="s">
        <v>128</v>
      </c>
      <c r="C69" s="7">
        <f>C67/1000</f>
        <v>5610.2624999999998</v>
      </c>
      <c r="D69" s="7">
        <f>D67/1000</f>
        <v>5537.1194999999998</v>
      </c>
      <c r="E69" s="7"/>
      <c r="F69" s="7">
        <f>F67/1000</f>
        <v>5150.8710000000001</v>
      </c>
      <c r="G69" s="7">
        <f>G67/1000</f>
        <v>1093.5</v>
      </c>
      <c r="H69" s="7">
        <f>H67/1000</f>
        <v>2673</v>
      </c>
      <c r="K69" s="238">
        <f>K67/1000</f>
        <v>1122.0524999999998</v>
      </c>
      <c r="L69" s="250">
        <f>L67/1000</f>
        <v>1107.4238999999998</v>
      </c>
      <c r="U69" s="222" t="s">
        <v>89</v>
      </c>
      <c r="V69" s="7">
        <f>Y64</f>
        <v>17664165.960099999</v>
      </c>
      <c r="W69" s="7">
        <f>X37/2</f>
        <v>22083332.450000003</v>
      </c>
      <c r="X69" s="7"/>
      <c r="Y69" s="7">
        <f>Y70*73.88</f>
        <v>15391666.050999999</v>
      </c>
      <c r="Z69" s="7">
        <f>Z70*58.44</f>
        <v>12174999.513</v>
      </c>
      <c r="AA69" s="224"/>
      <c r="AB69" s="224"/>
    </row>
    <row r="70" spans="2:28" x14ac:dyDescent="0.4">
      <c r="B70" s="230"/>
      <c r="K70" s="239"/>
      <c r="L70" s="251"/>
      <c r="U70" s="222" t="s">
        <v>92</v>
      </c>
      <c r="V70" s="7">
        <f>Y65</f>
        <v>416666.65</v>
      </c>
      <c r="W70" s="7">
        <f>X38/2</f>
        <v>208333.32500000001</v>
      </c>
      <c r="X70" s="7"/>
      <c r="Y70" s="7">
        <f>V70/2</f>
        <v>208333.32500000001</v>
      </c>
      <c r="Z70" s="7">
        <f>V70/2</f>
        <v>208333.32500000001</v>
      </c>
      <c r="AA70" s="224"/>
      <c r="AB70" s="224"/>
    </row>
    <row r="71" spans="2:28" x14ac:dyDescent="0.4">
      <c r="B71" s="364" t="str">
        <f>'3. Inputs &amp; results'!H23*100 &amp;"% conversion"</f>
        <v>80% conversion</v>
      </c>
      <c r="C71" s="365"/>
      <c r="D71" s="365"/>
      <c r="E71" s="365"/>
      <c r="F71" s="365"/>
      <c r="G71" s="365"/>
      <c r="H71" s="365"/>
      <c r="I71" s="365"/>
      <c r="J71" s="222"/>
      <c r="K71" s="262"/>
      <c r="L71" s="263"/>
      <c r="U71" s="222" t="s">
        <v>94</v>
      </c>
      <c r="V71" s="7">
        <f>Y66</f>
        <v>17664.165960099999</v>
      </c>
      <c r="W71" s="7">
        <f>X39/2</f>
        <v>22083.35</v>
      </c>
      <c r="X71" s="7"/>
      <c r="Y71" s="7">
        <f>Y69/1000</f>
        <v>15391.666050999998</v>
      </c>
      <c r="Z71" s="7">
        <f>Z69/1000</f>
        <v>12174.999513000001</v>
      </c>
      <c r="AA71" s="224"/>
      <c r="AB71" s="224"/>
    </row>
    <row r="72" spans="2:28" ht="16.2" x14ac:dyDescent="0.4">
      <c r="B72" s="248"/>
      <c r="C72" s="8" t="s">
        <v>132</v>
      </c>
      <c r="D72" s="8" t="s">
        <v>340</v>
      </c>
      <c r="E72" s="223" t="s">
        <v>84</v>
      </c>
      <c r="F72" s="8" t="s">
        <v>130</v>
      </c>
      <c r="G72" s="8" t="s">
        <v>133</v>
      </c>
      <c r="H72" s="222"/>
      <c r="I72" s="222"/>
      <c r="J72" s="222"/>
      <c r="K72" s="258" t="s">
        <v>132</v>
      </c>
      <c r="L72" s="259" t="s">
        <v>125</v>
      </c>
    </row>
    <row r="73" spans="2:28" x14ac:dyDescent="0.4">
      <c r="B73" s="248" t="s">
        <v>126</v>
      </c>
      <c r="C73" s="7">
        <f>F67</f>
        <v>5150871</v>
      </c>
      <c r="D73" s="7">
        <f>E41/2</f>
        <v>11178468.28125</v>
      </c>
      <c r="E73" s="7"/>
      <c r="F73" s="7">
        <f>F74*73.88</f>
        <v>3590568</v>
      </c>
      <c r="G73" s="7">
        <f>G74*58.44</f>
        <v>2840184</v>
      </c>
      <c r="J73" s="224"/>
      <c r="K73" s="238">
        <f>K74*42.394</f>
        <v>1030174.1999999998</v>
      </c>
      <c r="L73" s="250">
        <f>L74*106</f>
        <v>2235937.4999999995</v>
      </c>
    </row>
    <row r="74" spans="2:28" x14ac:dyDescent="0.4">
      <c r="B74" s="248" t="s">
        <v>127</v>
      </c>
      <c r="C74" s="7">
        <f>F68</f>
        <v>121500</v>
      </c>
      <c r="D74" s="7">
        <f>E42/2</f>
        <v>105468.75</v>
      </c>
      <c r="E74" s="7"/>
      <c r="F74" s="7">
        <f>C74/2*'3. Inputs &amp; results'!H23</f>
        <v>48600</v>
      </c>
      <c r="G74" s="7">
        <f>C74/2*'3. Inputs &amp; results'!H23</f>
        <v>48600</v>
      </c>
      <c r="J74" s="224"/>
      <c r="K74" s="238">
        <f>C74*(1-'3. Inputs &amp; results'!H23)</f>
        <v>24299.999999999996</v>
      </c>
      <c r="L74" s="250">
        <f>D74*(1-'3. Inputs &amp; results'!H23)</f>
        <v>21093.749999999996</v>
      </c>
    </row>
    <row r="75" spans="2:28" ht="14.4" thickBot="1" x14ac:dyDescent="0.45">
      <c r="B75" s="252" t="s">
        <v>128</v>
      </c>
      <c r="C75" s="253">
        <f>F69</f>
        <v>5150.8710000000001</v>
      </c>
      <c r="D75" s="253">
        <f>E43/2</f>
        <v>11178.45</v>
      </c>
      <c r="E75" s="253"/>
      <c r="F75" s="253">
        <f>F73/1000</f>
        <v>3590.5680000000002</v>
      </c>
      <c r="G75" s="253">
        <f>G73/1000</f>
        <v>2840.1840000000002</v>
      </c>
      <c r="H75" s="209"/>
      <c r="I75" s="209"/>
      <c r="J75" s="254"/>
      <c r="K75" s="255">
        <f>K73/1000</f>
        <v>1030.1741999999999</v>
      </c>
      <c r="L75" s="256">
        <f>L73/1000</f>
        <v>2235.9374999999995</v>
      </c>
    </row>
  </sheetData>
  <mergeCells count="29">
    <mergeCell ref="B6:I6"/>
    <mergeCell ref="K53:L53"/>
    <mergeCell ref="B53:I53"/>
    <mergeCell ref="B71:I71"/>
    <mergeCell ref="B45:I45"/>
    <mergeCell ref="B39:I39"/>
    <mergeCell ref="B33:I33"/>
    <mergeCell ref="B27:I27"/>
    <mergeCell ref="B12:L12"/>
    <mergeCell ref="B59:I59"/>
    <mergeCell ref="B65:I65"/>
    <mergeCell ref="B21:I21"/>
    <mergeCell ref="B13:I13"/>
    <mergeCell ref="U52:AB52"/>
    <mergeCell ref="J45:L45"/>
    <mergeCell ref="U4:Z4"/>
    <mergeCell ref="U12:Z12"/>
    <mergeCell ref="B20:L20"/>
    <mergeCell ref="U20:AA20"/>
    <mergeCell ref="K6:L6"/>
    <mergeCell ref="N4:R4"/>
    <mergeCell ref="O12:R13"/>
    <mergeCell ref="B52:L52"/>
    <mergeCell ref="J21:L21"/>
    <mergeCell ref="J27:L27"/>
    <mergeCell ref="J33:L33"/>
    <mergeCell ref="J39:L39"/>
    <mergeCell ref="B4:L4"/>
    <mergeCell ref="B5:L5"/>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B2:AI114"/>
  <sheetViews>
    <sheetView showGridLines="0" zoomScale="70" zoomScaleNormal="70" workbookViewId="0"/>
  </sheetViews>
  <sheetFormatPr defaultColWidth="8.69921875" defaultRowHeight="13.8" x14ac:dyDescent="0.4"/>
  <cols>
    <col min="1" max="1" width="8.69921875" style="1" customWidth="1"/>
    <col min="2" max="2" width="20.19921875" style="1" hidden="1" customWidth="1"/>
    <col min="3" max="3" width="24.59765625" style="1" hidden="1" customWidth="1"/>
    <col min="4" max="4" width="14.69921875" style="1" hidden="1" customWidth="1"/>
    <col min="5" max="5" width="10.19921875" style="1" hidden="1" customWidth="1"/>
    <col min="6" max="6" width="16.09765625" style="1" hidden="1" customWidth="1"/>
    <col min="7" max="7" width="32.5" style="1" hidden="1" customWidth="1"/>
    <col min="8" max="8" width="14.5" style="1" hidden="1" customWidth="1"/>
    <col min="9" max="9" width="10.69921875" style="1" hidden="1" customWidth="1"/>
    <col min="10" max="10" width="50.19921875" style="1" hidden="1" customWidth="1"/>
    <col min="11" max="11" width="17.69921875" style="1" hidden="1" customWidth="1"/>
    <col min="12" max="12" width="18.59765625" style="1" hidden="1" customWidth="1"/>
    <col min="13" max="13" width="11.69921875" style="1" hidden="1" customWidth="1"/>
    <col min="14" max="16" width="10.3984375" style="1" hidden="1" customWidth="1"/>
    <col min="17" max="17" width="0" style="1" hidden="1" customWidth="1"/>
    <col min="18" max="18" width="35.8984375" style="1" hidden="1" customWidth="1"/>
    <col min="19" max="19" width="38.69921875" style="1" hidden="1" customWidth="1"/>
    <col min="20" max="20" width="12.5" style="1" hidden="1" customWidth="1"/>
    <col min="21" max="21" width="12.19921875" style="1" hidden="1" customWidth="1"/>
    <col min="22" max="22" width="14" style="1" hidden="1" customWidth="1"/>
    <col min="23" max="24" width="12.19921875" style="1" hidden="1" customWidth="1"/>
    <col min="25" max="25" width="1.19921875" style="1" hidden="1" customWidth="1"/>
    <col min="26" max="26" width="0" style="1" hidden="1" customWidth="1"/>
    <col min="27" max="27" width="7.59765625" style="1" customWidth="1"/>
    <col min="28" max="28" width="52.59765625" style="1" bestFit="1" customWidth="1"/>
    <col min="29" max="29" width="21.69921875" style="1" bestFit="1" customWidth="1"/>
    <col min="30" max="30" width="22.09765625" style="1" bestFit="1" customWidth="1"/>
    <col min="31" max="31" width="14.59765625" style="1" bestFit="1" customWidth="1"/>
    <col min="32" max="16384" width="8.69921875" style="1"/>
  </cols>
  <sheetData>
    <row r="2" spans="2:35" ht="30" x14ac:dyDescent="0.4">
      <c r="B2" s="208" t="s">
        <v>407</v>
      </c>
      <c r="AA2" s="208" t="s">
        <v>407</v>
      </c>
    </row>
    <row r="3" spans="2:35" ht="14.4" thickBot="1" x14ac:dyDescent="0.45"/>
    <row r="4" spans="2:35" ht="21" thickBot="1" x14ac:dyDescent="0.45">
      <c r="B4" s="4"/>
      <c r="C4" s="4"/>
      <c r="D4" s="4"/>
      <c r="E4" s="4"/>
      <c r="F4" s="4"/>
      <c r="G4" s="4"/>
      <c r="H4" s="4"/>
      <c r="I4" s="4"/>
      <c r="J4" s="4"/>
      <c r="K4" s="4"/>
      <c r="L4" s="4"/>
      <c r="M4" s="4"/>
      <c r="N4" s="4"/>
      <c r="O4" s="4"/>
      <c r="P4" s="4"/>
      <c r="Q4" s="4"/>
      <c r="R4" s="4"/>
      <c r="S4" s="4"/>
      <c r="T4" s="4"/>
      <c r="U4" s="4"/>
      <c r="V4" s="4"/>
      <c r="AA4" s="10" t="s">
        <v>425</v>
      </c>
      <c r="AB4" s="11"/>
      <c r="AC4" s="11"/>
      <c r="AD4" s="12"/>
      <c r="AE4" s="92" t="s">
        <v>348</v>
      </c>
      <c r="AF4" s="92" t="s">
        <v>348</v>
      </c>
    </row>
    <row r="5" spans="2:35" ht="19.2" x14ac:dyDescent="0.4">
      <c r="B5" s="376" t="s">
        <v>134</v>
      </c>
      <c r="C5" s="17"/>
      <c r="D5" s="23" t="s">
        <v>355</v>
      </c>
      <c r="E5" s="23" t="s">
        <v>356</v>
      </c>
      <c r="F5" s="24" t="s">
        <v>135</v>
      </c>
      <c r="G5" s="4"/>
      <c r="H5" s="4"/>
      <c r="I5" s="4"/>
      <c r="J5" s="43" t="s">
        <v>136</v>
      </c>
      <c r="K5" s="44" t="s">
        <v>137</v>
      </c>
      <c r="L5" s="45" t="s">
        <v>138</v>
      </c>
      <c r="M5" s="4"/>
      <c r="R5" s="46" t="s">
        <v>139</v>
      </c>
      <c r="S5" s="46"/>
      <c r="T5" s="46"/>
      <c r="U5" s="46"/>
      <c r="V5" s="46"/>
      <c r="W5" s="46"/>
      <c r="X5" s="4"/>
      <c r="Y5" s="4"/>
      <c r="AA5" s="301" t="s">
        <v>348</v>
      </c>
      <c r="AB5" s="302" t="s">
        <v>348</v>
      </c>
      <c r="AC5" s="302" t="s">
        <v>348</v>
      </c>
      <c r="AD5" s="302" t="s">
        <v>348</v>
      </c>
      <c r="AE5" s="302" t="s">
        <v>348</v>
      </c>
      <c r="AF5" s="303" t="s">
        <v>348</v>
      </c>
    </row>
    <row r="6" spans="2:35" ht="19.2" x14ac:dyDescent="0.4">
      <c r="B6" s="377"/>
      <c r="C6" s="19" t="s">
        <v>140</v>
      </c>
      <c r="D6" s="47">
        <f>S8/'3. Inputs &amp; results'!H46</f>
        <v>2525.2524242424242</v>
      </c>
      <c r="E6" s="47">
        <f>T8/'3. Inputs &amp; results'!H46</f>
        <v>2525.2524242424242</v>
      </c>
      <c r="F6" s="48">
        <f>D6+E6</f>
        <v>5050.5048484848485</v>
      </c>
      <c r="G6" s="4"/>
      <c r="H6" s="4"/>
      <c r="I6" s="4"/>
      <c r="J6" s="49" t="s">
        <v>134</v>
      </c>
      <c r="K6" s="50">
        <f>0.73*L6/2.94/1.175</f>
        <v>1677579.3284330091</v>
      </c>
      <c r="L6" s="51">
        <f>34000000*(F8/1600)^0.6</f>
        <v>7938627.1096874392</v>
      </c>
      <c r="M6" s="4"/>
      <c r="R6" s="5"/>
      <c r="S6" s="8" t="s">
        <v>355</v>
      </c>
      <c r="T6" s="8" t="s">
        <v>356</v>
      </c>
      <c r="U6" s="5"/>
      <c r="V6" s="5" t="s">
        <v>141</v>
      </c>
      <c r="W6" s="5" t="s">
        <v>381</v>
      </c>
      <c r="X6" s="4"/>
      <c r="Y6" s="4"/>
      <c r="AA6" s="304" t="s">
        <v>348</v>
      </c>
      <c r="AB6" s="101" t="s">
        <v>426</v>
      </c>
      <c r="AC6" s="294" t="s">
        <v>456</v>
      </c>
      <c r="AD6" s="101" t="s">
        <v>486</v>
      </c>
      <c r="AE6" s="101" t="s">
        <v>487</v>
      </c>
      <c r="AF6" s="305"/>
      <c r="AI6" s="16"/>
    </row>
    <row r="7" spans="2:35" ht="19.2" x14ac:dyDescent="0.4">
      <c r="B7" s="377"/>
      <c r="C7" s="19" t="s">
        <v>142</v>
      </c>
      <c r="D7" s="47"/>
      <c r="E7" s="47"/>
      <c r="F7" s="48"/>
      <c r="G7" s="4"/>
      <c r="H7" s="4"/>
      <c r="I7" s="4"/>
      <c r="J7" s="49" t="s">
        <v>143</v>
      </c>
      <c r="K7" s="50">
        <f>0.73*L7/2.94/1.175</f>
        <v>1703911.0546103416</v>
      </c>
      <c r="L7" s="51">
        <f>34000000*(F12/1600)^0.6</f>
        <v>8063233.8878786657</v>
      </c>
      <c r="M7" s="4"/>
      <c r="R7" s="5" t="s">
        <v>144</v>
      </c>
      <c r="S7" s="7">
        <f>'4. Material &amp; energy balance'!V7</f>
        <v>13333332.800000001</v>
      </c>
      <c r="T7" s="7">
        <f>ROUND('4. Material &amp; energy balance'!W7,-1)</f>
        <v>15000000</v>
      </c>
      <c r="U7" s="7"/>
      <c r="V7" s="7">
        <f>'4. Material &amp; energy balance'!Y7</f>
        <v>23333332.400000002</v>
      </c>
      <c r="W7" s="7">
        <f>'4. Material &amp; energy balance'!Z7</f>
        <v>5000000</v>
      </c>
      <c r="X7" s="4"/>
      <c r="Y7" s="4"/>
      <c r="AA7" s="304" t="s">
        <v>348</v>
      </c>
      <c r="AB7" s="109" t="s">
        <v>348</v>
      </c>
      <c r="AC7" s="109" t="s">
        <v>348</v>
      </c>
      <c r="AD7" s="295" t="s">
        <v>427</v>
      </c>
      <c r="AE7" s="109" t="s">
        <v>348</v>
      </c>
      <c r="AF7" s="306" t="s">
        <v>348</v>
      </c>
    </row>
    <row r="8" spans="2:35" ht="19.2" x14ac:dyDescent="0.4">
      <c r="B8" s="378"/>
      <c r="C8" s="21" t="s">
        <v>347</v>
      </c>
      <c r="D8" s="52">
        <f>D6*16/0.42/1000</f>
        <v>96.200092352092355</v>
      </c>
      <c r="E8" s="52">
        <f>E6*18/1000</f>
        <v>45.454543636363638</v>
      </c>
      <c r="F8" s="53">
        <f>D8+E8</f>
        <v>141.65463598845599</v>
      </c>
      <c r="G8" s="4"/>
      <c r="H8" s="4"/>
      <c r="I8" s="4"/>
      <c r="J8" s="49" t="s">
        <v>145</v>
      </c>
      <c r="K8" s="50">
        <f>0.73*L8/2.94/1.175</f>
        <v>868729.96201847214</v>
      </c>
      <c r="L8" s="51">
        <f>38000000*(393/16000)^0.6</f>
        <v>4110996.7860175511</v>
      </c>
      <c r="M8" s="4"/>
      <c r="R8" s="5" t="s">
        <v>146</v>
      </c>
      <c r="S8" s="7">
        <f>'4. Material &amp; energy balance'!V8</f>
        <v>833333.3</v>
      </c>
      <c r="T8" s="7">
        <f>'4. Material &amp; energy balance'!W8</f>
        <v>833333.3</v>
      </c>
      <c r="U8" s="7"/>
      <c r="V8" s="7">
        <f>'4. Material &amp; energy balance'!Y8</f>
        <v>833333.3</v>
      </c>
      <c r="W8" s="7">
        <f>W7/2</f>
        <v>2500000</v>
      </c>
      <c r="X8" s="4"/>
      <c r="Y8" s="4"/>
      <c r="AA8" s="304" t="s">
        <v>348</v>
      </c>
      <c r="AB8" s="101" t="s">
        <v>139</v>
      </c>
      <c r="AC8" s="109" t="s">
        <v>348</v>
      </c>
      <c r="AD8" s="109" t="s">
        <v>348</v>
      </c>
      <c r="AE8" s="109" t="s">
        <v>348</v>
      </c>
      <c r="AF8" s="306" t="s">
        <v>348</v>
      </c>
    </row>
    <row r="9" spans="2:35" ht="19.8" customHeight="1" thickBot="1" x14ac:dyDescent="0.45">
      <c r="B9" s="371" t="s">
        <v>143</v>
      </c>
      <c r="C9" s="17"/>
      <c r="D9" s="23" t="s">
        <v>356</v>
      </c>
      <c r="E9" s="17" t="s">
        <v>141</v>
      </c>
      <c r="F9" s="24" t="s">
        <v>135</v>
      </c>
      <c r="G9" s="4"/>
      <c r="H9" s="4"/>
      <c r="I9" s="4"/>
      <c r="J9" s="54" t="s">
        <v>147</v>
      </c>
      <c r="K9" s="55">
        <f>600000*('7. Environmental evaluation'!B29/1000000/50)^0.85</f>
        <v>599960.5123268147</v>
      </c>
      <c r="L9" s="56"/>
      <c r="M9" s="4"/>
      <c r="R9" s="5" t="s">
        <v>148</v>
      </c>
      <c r="S9" s="7">
        <f>ROUND(S7/1000,1)</f>
        <v>13333.3</v>
      </c>
      <c r="T9" s="7">
        <f>T7/1000</f>
        <v>15000</v>
      </c>
      <c r="U9" s="7"/>
      <c r="V9" s="7">
        <f>ROUND(V7/1000,1)</f>
        <v>23333.3</v>
      </c>
      <c r="W9" s="7">
        <f>W7/1000</f>
        <v>5000</v>
      </c>
      <c r="X9" s="4"/>
      <c r="Y9" s="4"/>
      <c r="AA9" s="304" t="s">
        <v>348</v>
      </c>
      <c r="AB9" s="109" t="s">
        <v>428</v>
      </c>
      <c r="AC9" s="292">
        <f>D8+E8</f>
        <v>141.65463598845599</v>
      </c>
      <c r="AD9" s="328" t="s">
        <v>447</v>
      </c>
      <c r="AE9" s="285">
        <f>34000000*(F8/1600)^0.6</f>
        <v>7938627.1096874392</v>
      </c>
      <c r="AF9" s="307"/>
    </row>
    <row r="10" spans="2:35" ht="19.8" customHeight="1" x14ac:dyDescent="0.4">
      <c r="B10" s="372"/>
      <c r="C10" s="19" t="s">
        <v>140</v>
      </c>
      <c r="D10" s="47">
        <f>S14/'3. Inputs &amp; results'!H46</f>
        <v>2525.2524242424242</v>
      </c>
      <c r="E10" s="47">
        <f>T14/'3. Inputs &amp; results'!H46</f>
        <v>2525.2524242424242</v>
      </c>
      <c r="F10" s="48">
        <f>D10+E10</f>
        <v>5050.5048484848485</v>
      </c>
      <c r="G10" s="4"/>
      <c r="H10" s="4"/>
      <c r="I10" s="4"/>
      <c r="M10" s="4"/>
      <c r="R10" s="4"/>
      <c r="S10" s="4"/>
      <c r="T10" s="4"/>
      <c r="U10" s="4"/>
      <c r="V10" s="4"/>
      <c r="W10" s="4"/>
      <c r="X10" s="4"/>
      <c r="Y10" s="4"/>
      <c r="AA10" s="304" t="s">
        <v>348</v>
      </c>
      <c r="AB10" s="109" t="s">
        <v>429</v>
      </c>
      <c r="AC10" s="292">
        <f>D12+E12</f>
        <v>145.37973849050138</v>
      </c>
      <c r="AD10" s="328" t="s">
        <v>447</v>
      </c>
      <c r="AE10" s="286">
        <f>34000000*(F12/1600)^0.6</f>
        <v>8063233.8878786657</v>
      </c>
      <c r="AF10" s="307"/>
    </row>
    <row r="11" spans="2:35" ht="19.8" customHeight="1" x14ac:dyDescent="0.4">
      <c r="B11" s="372"/>
      <c r="C11" s="19" t="s">
        <v>142</v>
      </c>
      <c r="D11" s="47"/>
      <c r="E11" s="47"/>
      <c r="F11" s="48"/>
      <c r="G11" s="4"/>
      <c r="H11" s="4"/>
      <c r="I11" s="4"/>
      <c r="J11" s="4"/>
      <c r="K11" s="4"/>
      <c r="L11" s="4"/>
      <c r="M11" s="4"/>
      <c r="R11" s="46" t="s">
        <v>149</v>
      </c>
      <c r="S11" s="46"/>
      <c r="T11" s="46"/>
      <c r="U11" s="46"/>
      <c r="V11" s="46"/>
      <c r="W11" s="46"/>
      <c r="X11" s="4"/>
      <c r="Y11" s="4"/>
      <c r="AA11" s="304" t="s">
        <v>348</v>
      </c>
      <c r="AB11" s="109" t="s">
        <v>145</v>
      </c>
      <c r="AC11" s="292">
        <f>D16+E16</f>
        <v>393.21412637814711</v>
      </c>
      <c r="AD11" s="328" t="s">
        <v>447</v>
      </c>
      <c r="AE11" s="286">
        <f>38000000*(393/16000)^0.6</f>
        <v>4110996.7860175511</v>
      </c>
      <c r="AF11" s="307"/>
    </row>
    <row r="12" spans="2:35" ht="19.8" customHeight="1" x14ac:dyDescent="0.4">
      <c r="B12" s="373"/>
      <c r="C12" s="21" t="s">
        <v>347</v>
      </c>
      <c r="D12" s="52">
        <f>D10*18/1000</f>
        <v>45.454543636363638</v>
      </c>
      <c r="E12" s="52">
        <f>E10*28/707.6</f>
        <v>99.925194854137743</v>
      </c>
      <c r="F12" s="57">
        <f>D12+E12</f>
        <v>145.37973849050138</v>
      </c>
      <c r="G12" s="4"/>
      <c r="H12" s="4"/>
      <c r="I12" s="4"/>
      <c r="J12" s="4"/>
      <c r="K12" s="4"/>
      <c r="L12" s="4"/>
      <c r="M12" s="4"/>
      <c r="R12" s="5"/>
      <c r="S12" s="5" t="s">
        <v>141</v>
      </c>
      <c r="T12" s="8" t="s">
        <v>356</v>
      </c>
      <c r="U12" s="5"/>
      <c r="V12" s="8" t="s">
        <v>357</v>
      </c>
      <c r="W12" s="5" t="s">
        <v>382</v>
      </c>
      <c r="X12" s="4"/>
      <c r="Y12" s="4"/>
      <c r="AA12" s="304" t="s">
        <v>348</v>
      </c>
      <c r="AB12" s="109" t="s">
        <v>430</v>
      </c>
      <c r="AC12" s="325" t="s">
        <v>431</v>
      </c>
      <c r="AD12" s="320">
        <f>600000*('7. Environmental evaluation'!B29/1000000/50)^0.85</f>
        <v>599960.5123268147</v>
      </c>
      <c r="AE12" s="285" t="s">
        <v>457</v>
      </c>
      <c r="AF12" s="307"/>
    </row>
    <row r="13" spans="2:35" ht="19.8" customHeight="1" x14ac:dyDescent="0.4">
      <c r="B13" s="371" t="s">
        <v>150</v>
      </c>
      <c r="C13" s="17"/>
      <c r="D13" s="23" t="s">
        <v>357</v>
      </c>
      <c r="E13" s="23" t="s">
        <v>358</v>
      </c>
      <c r="F13" s="24" t="s">
        <v>135</v>
      </c>
      <c r="G13" s="4"/>
      <c r="H13" s="190"/>
      <c r="I13" s="4"/>
      <c r="J13" s="58"/>
      <c r="K13" s="4"/>
      <c r="L13" s="4"/>
      <c r="M13" s="4"/>
      <c r="R13" s="5" t="s">
        <v>144</v>
      </c>
      <c r="S13" s="7">
        <f>'5. Equipment price'!V7</f>
        <v>23333332.400000002</v>
      </c>
      <c r="T13" s="7">
        <f>ROUND(T14*18,-1)</f>
        <v>15000000</v>
      </c>
      <c r="U13" s="7"/>
      <c r="V13" s="7">
        <f>V14*44</f>
        <v>36666665.200000003</v>
      </c>
      <c r="W13" s="7">
        <f>W14*2</f>
        <v>1666666.6</v>
      </c>
      <c r="X13" s="4"/>
      <c r="Y13" s="4"/>
      <c r="AA13" s="304" t="s">
        <v>348</v>
      </c>
      <c r="AB13" s="122" t="s">
        <v>432</v>
      </c>
      <c r="AC13" s="101"/>
      <c r="AD13" s="321">
        <f>SUM(AD9:AD12)</f>
        <v>599960.5123268147</v>
      </c>
      <c r="AE13" s="287">
        <f>SUM(AE9:AE12)</f>
        <v>20112857.783583656</v>
      </c>
      <c r="AF13" s="308"/>
    </row>
    <row r="14" spans="2:35" ht="19.8" customHeight="1" x14ac:dyDescent="0.4">
      <c r="B14" s="372"/>
      <c r="C14" s="19" t="s">
        <v>140</v>
      </c>
      <c r="D14" s="47">
        <f>V14/'3. Inputs &amp; results'!H46</f>
        <v>2525.2524242424242</v>
      </c>
      <c r="E14" s="47">
        <f>(W14+W8)/'3. Inputs &amp; results'!H46</f>
        <v>10101.01</v>
      </c>
      <c r="F14" s="48">
        <f>D14+E14</f>
        <v>12626.262424242424</v>
      </c>
      <c r="G14" s="4"/>
      <c r="H14" s="4"/>
      <c r="I14" s="4"/>
      <c r="J14" s="4"/>
      <c r="K14" s="4"/>
      <c r="L14" s="4"/>
      <c r="M14" s="4"/>
      <c r="R14" s="5" t="s">
        <v>146</v>
      </c>
      <c r="S14" s="7">
        <f>'5. Equipment price'!V8</f>
        <v>833333.3</v>
      </c>
      <c r="T14" s="7">
        <f>$V$8</f>
        <v>833333.3</v>
      </c>
      <c r="U14" s="7"/>
      <c r="V14" s="7">
        <f>ROUND(S14,1)</f>
        <v>833333.3</v>
      </c>
      <c r="W14" s="7">
        <f>ROUND(S14,1)</f>
        <v>833333.3</v>
      </c>
      <c r="X14" s="4"/>
      <c r="Y14" s="4"/>
      <c r="AA14" s="304" t="s">
        <v>348</v>
      </c>
      <c r="AB14" s="296"/>
      <c r="AC14" s="296"/>
      <c r="AD14" s="297"/>
      <c r="AE14" s="298"/>
      <c r="AF14" s="307"/>
    </row>
    <row r="15" spans="2:35" ht="19.8" customHeight="1" x14ac:dyDescent="0.4">
      <c r="B15" s="372"/>
      <c r="C15" s="19" t="s">
        <v>142</v>
      </c>
      <c r="D15" s="47"/>
      <c r="E15" s="47"/>
      <c r="F15" s="48"/>
      <c r="G15" s="4"/>
      <c r="H15" s="4"/>
      <c r="I15" s="4"/>
      <c r="J15" s="4"/>
      <c r="K15" s="4"/>
      <c r="L15" s="4"/>
      <c r="M15" s="4"/>
      <c r="R15" s="5" t="s">
        <v>148</v>
      </c>
      <c r="S15" s="7">
        <f>ROUND(S13/1000,1)</f>
        <v>23333.3</v>
      </c>
      <c r="T15" s="7">
        <f>T13/1000</f>
        <v>15000</v>
      </c>
      <c r="U15" s="7"/>
      <c r="V15" s="7">
        <f>ROUND(V13/1000,1)</f>
        <v>36666.699999999997</v>
      </c>
      <c r="W15" s="7">
        <f>ROUND(W13/1000,1)</f>
        <v>1666.7</v>
      </c>
      <c r="X15" s="4"/>
      <c r="Y15" s="4"/>
      <c r="AA15" s="304" t="s">
        <v>348</v>
      </c>
      <c r="AB15" s="296"/>
      <c r="AC15" s="296"/>
      <c r="AD15" s="297"/>
      <c r="AE15" s="298"/>
      <c r="AF15" s="307"/>
    </row>
    <row r="16" spans="2:35" ht="19.8" customHeight="1" x14ac:dyDescent="0.4">
      <c r="B16" s="373"/>
      <c r="C16" s="21" t="s">
        <v>347</v>
      </c>
      <c r="D16" s="52">
        <f>D14*44/1.03/1000</f>
        <v>107.87486084142394</v>
      </c>
      <c r="E16" s="52">
        <f>E14*2/70.8</f>
        <v>285.33926553672319</v>
      </c>
      <c r="F16" s="53">
        <f>D16+E16</f>
        <v>393.21412637814711</v>
      </c>
      <c r="G16" s="4"/>
      <c r="H16" s="4"/>
      <c r="I16" s="4"/>
      <c r="J16" s="4"/>
      <c r="K16" s="4"/>
      <c r="L16" s="4"/>
      <c r="M16" s="4"/>
      <c r="R16" s="4"/>
      <c r="S16" s="4"/>
      <c r="T16" s="4"/>
      <c r="U16" s="4"/>
      <c r="V16" s="4"/>
      <c r="W16" s="4"/>
      <c r="X16" s="4"/>
      <c r="Y16" s="4"/>
      <c r="AA16" s="304" t="s">
        <v>348</v>
      </c>
      <c r="AB16" s="296"/>
      <c r="AC16" s="296"/>
      <c r="AD16" s="296"/>
      <c r="AE16" s="296"/>
      <c r="AF16" s="309" t="s">
        <v>348</v>
      </c>
    </row>
    <row r="17" spans="2:32" ht="19.8" customHeight="1" thickBot="1" x14ac:dyDescent="0.45">
      <c r="B17" s="4"/>
      <c r="C17" s="4"/>
      <c r="D17" s="4"/>
      <c r="E17" s="4"/>
      <c r="F17" s="4"/>
      <c r="G17" s="4"/>
      <c r="H17" s="4"/>
      <c r="I17" s="4"/>
      <c r="J17" s="4"/>
      <c r="K17" s="4"/>
      <c r="L17" s="58"/>
      <c r="M17" s="4"/>
      <c r="R17" s="4"/>
      <c r="S17" s="4"/>
      <c r="T17" s="4"/>
      <c r="U17" s="4"/>
      <c r="V17" s="4"/>
      <c r="W17" s="4"/>
      <c r="X17" s="4"/>
      <c r="Y17" s="4"/>
      <c r="AA17" s="304" t="s">
        <v>348</v>
      </c>
      <c r="AB17" s="101" t="s">
        <v>152</v>
      </c>
      <c r="AC17" s="296" t="s">
        <v>348</v>
      </c>
      <c r="AD17" s="109"/>
      <c r="AE17" s="134" t="s">
        <v>348</v>
      </c>
      <c r="AF17" s="310"/>
    </row>
    <row r="18" spans="2:32" ht="19.8" customHeight="1" x14ac:dyDescent="0.4">
      <c r="B18" s="4"/>
      <c r="C18" s="4"/>
      <c r="D18" s="4"/>
      <c r="E18" s="4"/>
      <c r="F18" s="4"/>
      <c r="G18" s="4"/>
      <c r="H18" s="4"/>
      <c r="I18" s="4"/>
      <c r="J18" s="59" t="s">
        <v>136</v>
      </c>
      <c r="K18" s="44" t="s">
        <v>137</v>
      </c>
      <c r="L18" s="45" t="s">
        <v>138</v>
      </c>
      <c r="M18" s="4"/>
      <c r="R18" s="4"/>
      <c r="S18" s="4"/>
      <c r="T18" s="4"/>
      <c r="U18" s="4"/>
      <c r="V18" s="4"/>
      <c r="W18" s="4"/>
      <c r="X18" s="4"/>
      <c r="Y18" s="4"/>
      <c r="AA18" s="304" t="s">
        <v>348</v>
      </c>
      <c r="AB18" s="109" t="s">
        <v>151</v>
      </c>
      <c r="AC18" s="290">
        <f>D20/2710</f>
        <v>46.591378731969137</v>
      </c>
      <c r="AD18" s="320">
        <f>1.15*10^4*(46.6/1)^0.45</f>
        <v>64784.558413835752</v>
      </c>
      <c r="AE18" s="326" t="s">
        <v>447</v>
      </c>
      <c r="AF18" s="310"/>
    </row>
    <row r="19" spans="2:32" ht="19.8" customHeight="1" x14ac:dyDescent="0.4">
      <c r="B19" s="366" t="s">
        <v>151</v>
      </c>
      <c r="C19" s="17"/>
      <c r="D19" s="18" t="s">
        <v>364</v>
      </c>
      <c r="E19" s="4"/>
      <c r="F19" s="4"/>
      <c r="G19" s="4"/>
      <c r="H19" s="4"/>
      <c r="I19" s="4"/>
      <c r="J19" s="60" t="s">
        <v>151</v>
      </c>
      <c r="K19" s="61">
        <f>1.15*10^4*(46.6/1)^0.45</f>
        <v>64784.558413835752</v>
      </c>
      <c r="L19" s="62"/>
      <c r="M19" s="4"/>
      <c r="R19" s="46" t="s">
        <v>152</v>
      </c>
      <c r="S19" s="46"/>
      <c r="T19" s="46"/>
      <c r="U19" s="46"/>
      <c r="V19" s="46"/>
      <c r="W19" s="46"/>
      <c r="X19" s="46"/>
      <c r="Y19" s="4"/>
      <c r="AA19" s="304" t="s">
        <v>348</v>
      </c>
      <c r="AB19" s="109" t="s">
        <v>433</v>
      </c>
      <c r="AC19" s="324" t="s">
        <v>431</v>
      </c>
      <c r="AD19" s="320">
        <f>600000*('7. Environmental evaluation'!G26/1000000/50)^0.85</f>
        <v>77138.745261043019</v>
      </c>
      <c r="AE19" s="326" t="s">
        <v>447</v>
      </c>
      <c r="AF19" s="310"/>
    </row>
    <row r="20" spans="2:32" ht="19.8" customHeight="1" x14ac:dyDescent="0.4">
      <c r="B20" s="367"/>
      <c r="C20" s="19" t="s">
        <v>153</v>
      </c>
      <c r="D20" s="20">
        <f>S21/'3. Inputs &amp; results'!H46</f>
        <v>126262.63636363637</v>
      </c>
      <c r="E20" s="4"/>
      <c r="F20" s="4"/>
      <c r="G20" s="4"/>
      <c r="H20" s="4"/>
      <c r="I20" s="4"/>
      <c r="J20" s="60" t="s">
        <v>154</v>
      </c>
      <c r="K20" s="61">
        <f>600000*('7. Environmental evaluation'!G26/1000000/50)^0.85</f>
        <v>77138.745261043019</v>
      </c>
      <c r="L20" s="62"/>
      <c r="M20" s="4"/>
      <c r="R20" s="5"/>
      <c r="S20" s="8" t="s">
        <v>364</v>
      </c>
      <c r="T20" s="5"/>
      <c r="U20" s="8" t="s">
        <v>357</v>
      </c>
      <c r="V20" s="5" t="s">
        <v>155</v>
      </c>
      <c r="W20" s="5"/>
      <c r="X20" s="5"/>
      <c r="Y20" s="4"/>
      <c r="AA20" s="304" t="s">
        <v>348</v>
      </c>
      <c r="AB20" s="109" t="s">
        <v>434</v>
      </c>
      <c r="AC20" s="290">
        <f>SUM(D24:E24)</f>
        <v>43.89705788786064</v>
      </c>
      <c r="AD20" s="320">
        <f>F23*((90000/(1000*24))/2)^0.6</f>
        <v>136240.84737059442</v>
      </c>
      <c r="AE20" s="326" t="s">
        <v>447</v>
      </c>
      <c r="AF20" s="310"/>
    </row>
    <row r="21" spans="2:32" ht="19.8" customHeight="1" x14ac:dyDescent="0.4">
      <c r="B21" s="368"/>
      <c r="C21" s="21" t="s">
        <v>346</v>
      </c>
      <c r="D21" s="22">
        <f>D20/2710</f>
        <v>46.591378731969137</v>
      </c>
      <c r="E21" s="4"/>
      <c r="F21" s="4"/>
      <c r="G21" s="4"/>
      <c r="H21" s="4"/>
      <c r="I21" s="4"/>
      <c r="J21" s="374" t="s">
        <v>156</v>
      </c>
      <c r="K21" s="379">
        <f>F23*((90000/(1000*24))/2)^0.6</f>
        <v>136240.84737059442</v>
      </c>
      <c r="L21" s="380"/>
      <c r="M21" s="4"/>
      <c r="R21" s="5" t="s">
        <v>144</v>
      </c>
      <c r="S21" s="7">
        <f>S22*100</f>
        <v>41666670</v>
      </c>
      <c r="T21" s="7"/>
      <c r="U21" s="7">
        <f>U22*44</f>
        <v>18333334.800000001</v>
      </c>
      <c r="V21" s="7">
        <f>U22*56</f>
        <v>23333335.199999999</v>
      </c>
      <c r="W21" s="7"/>
      <c r="X21" s="7"/>
      <c r="Y21" s="4"/>
      <c r="AA21" s="304" t="s">
        <v>348</v>
      </c>
      <c r="AB21" s="109" t="s">
        <v>435</v>
      </c>
      <c r="AC21" s="290">
        <f>SUM(D27:F27)</f>
        <v>186.19381513817939</v>
      </c>
      <c r="AD21" s="320">
        <f>1.15*10^4*(G27)^0.45</f>
        <v>120832.06656809543</v>
      </c>
      <c r="AE21" s="326" t="s">
        <v>447</v>
      </c>
      <c r="AF21" s="308"/>
    </row>
    <row r="22" spans="2:32" ht="19.8" customHeight="1" x14ac:dyDescent="0.4">
      <c r="B22" s="366" t="s">
        <v>156</v>
      </c>
      <c r="C22" s="17"/>
      <c r="D22" s="17" t="s">
        <v>157</v>
      </c>
      <c r="E22" s="23" t="s">
        <v>356</v>
      </c>
      <c r="F22" s="24" t="s">
        <v>135</v>
      </c>
      <c r="G22" s="4"/>
      <c r="H22" s="4"/>
      <c r="I22" s="4"/>
      <c r="J22" s="375"/>
      <c r="K22" s="379"/>
      <c r="L22" s="380"/>
      <c r="M22" s="4"/>
      <c r="R22" s="5" t="s">
        <v>146</v>
      </c>
      <c r="S22" s="7">
        <f>V22</f>
        <v>416666.7</v>
      </c>
      <c r="T22" s="7"/>
      <c r="U22" s="7">
        <f>V22</f>
        <v>416666.7</v>
      </c>
      <c r="V22" s="7">
        <f>S27</f>
        <v>416666.7</v>
      </c>
      <c r="W22" s="7"/>
      <c r="X22" s="7"/>
      <c r="Y22" s="4"/>
      <c r="AA22" s="304" t="s">
        <v>348</v>
      </c>
      <c r="AB22" s="109" t="s">
        <v>436</v>
      </c>
      <c r="AC22" s="290">
        <f>D29/2200</f>
        <v>96.418732782369148</v>
      </c>
      <c r="AD22" s="320">
        <f>100000*(D29/(3000*24))^0.6</f>
        <v>191227.77073897255</v>
      </c>
      <c r="AE22" s="285" t="s">
        <v>447</v>
      </c>
      <c r="AF22" s="311"/>
    </row>
    <row r="23" spans="2:32" ht="19.8" customHeight="1" x14ac:dyDescent="0.4">
      <c r="B23" s="367"/>
      <c r="C23" s="19" t="s">
        <v>158</v>
      </c>
      <c r="D23" s="25">
        <f>S26/'3. Inputs &amp; results'!H46</f>
        <v>70707.076363636355</v>
      </c>
      <c r="E23" s="25">
        <f>T26/'3. Inputs &amp; results'!H46</f>
        <v>22727.274545454547</v>
      </c>
      <c r="F23" s="20">
        <f>SUM(D23:E23)</f>
        <v>93434.350909090906</v>
      </c>
      <c r="G23" s="4"/>
      <c r="H23" s="4"/>
      <c r="I23" s="4"/>
      <c r="J23" s="374" t="s">
        <v>159</v>
      </c>
      <c r="K23" s="379">
        <f>1.15*10^4*(G27)^0.45</f>
        <v>120832.06656809543</v>
      </c>
      <c r="L23" s="380"/>
      <c r="M23" s="4"/>
      <c r="R23" s="5" t="s">
        <v>148</v>
      </c>
      <c r="S23" s="7">
        <f>ROUND(S21/1000,1)</f>
        <v>41666.699999999997</v>
      </c>
      <c r="T23" s="7"/>
      <c r="U23" s="7">
        <f>ROUND(U21/1000,1)</f>
        <v>18333.3</v>
      </c>
      <c r="V23" s="7">
        <f>ROUND(V21/1000,1)</f>
        <v>23333.3</v>
      </c>
      <c r="W23" s="7"/>
      <c r="X23" s="7"/>
      <c r="Y23" s="4"/>
      <c r="AA23" s="304" t="s">
        <v>348</v>
      </c>
      <c r="AB23" s="299" t="s">
        <v>161</v>
      </c>
      <c r="AC23" s="291">
        <f>SUM(D33:E33)</f>
        <v>130.56006388411211</v>
      </c>
      <c r="AD23" s="286">
        <f>1.15*10^4*(F33)^0.45</f>
        <v>102994.13620958828</v>
      </c>
      <c r="AE23" s="285" t="s">
        <v>447</v>
      </c>
      <c r="AF23" s="311"/>
    </row>
    <row r="24" spans="2:32" ht="19.8" customHeight="1" x14ac:dyDescent="0.4">
      <c r="B24" s="368"/>
      <c r="C24" s="21" t="s">
        <v>346</v>
      </c>
      <c r="D24" s="26">
        <f>D23/3340</f>
        <v>21.169783342406095</v>
      </c>
      <c r="E24" s="26">
        <f>E23/1000</f>
        <v>22.727274545454549</v>
      </c>
      <c r="F24" s="22">
        <f>SUM(D24:E24)</f>
        <v>43.89705788786064</v>
      </c>
      <c r="G24" s="4"/>
      <c r="H24" s="4"/>
      <c r="I24" s="4"/>
      <c r="J24" s="375"/>
      <c r="K24" s="379"/>
      <c r="L24" s="380"/>
      <c r="M24" s="4"/>
      <c r="R24" s="5"/>
      <c r="S24" s="7"/>
      <c r="T24" s="7"/>
      <c r="U24" s="7"/>
      <c r="V24" s="7"/>
      <c r="W24" s="7"/>
      <c r="X24" s="7"/>
      <c r="Y24" s="4"/>
      <c r="AA24" s="304" t="s">
        <v>348</v>
      </c>
      <c r="AB24" s="299" t="s">
        <v>162</v>
      </c>
      <c r="AC24" s="291">
        <f>SUM(D36:E36)</f>
        <v>108.34538924451074</v>
      </c>
      <c r="AD24" s="286">
        <f>1.15*10^4*F36^0.45</f>
        <v>94702.738094895962</v>
      </c>
      <c r="AE24" s="285" t="s">
        <v>447</v>
      </c>
      <c r="AF24" s="311"/>
    </row>
    <row r="25" spans="2:32" ht="19.8" customHeight="1" x14ac:dyDescent="0.4">
      <c r="B25" s="366" t="s">
        <v>159</v>
      </c>
      <c r="C25" s="23"/>
      <c r="D25" s="17" t="s">
        <v>45</v>
      </c>
      <c r="E25" s="23" t="s">
        <v>359</v>
      </c>
      <c r="F25" s="23" t="s">
        <v>357</v>
      </c>
      <c r="G25" s="24" t="s">
        <v>135</v>
      </c>
      <c r="H25" s="4"/>
      <c r="I25" s="4"/>
      <c r="J25" s="374" t="s">
        <v>160</v>
      </c>
      <c r="K25" s="379">
        <f>100000*(D29/(3000*24))^0.6</f>
        <v>191227.77073897255</v>
      </c>
      <c r="L25" s="380"/>
      <c r="M25" s="4"/>
      <c r="R25" s="5"/>
      <c r="S25" s="63" t="s">
        <v>155</v>
      </c>
      <c r="T25" s="8" t="s">
        <v>356</v>
      </c>
      <c r="U25" s="63"/>
      <c r="V25" s="64" t="s">
        <v>362</v>
      </c>
      <c r="W25" s="63"/>
      <c r="X25" s="63"/>
      <c r="Y25" s="4"/>
      <c r="AA25" s="304" t="s">
        <v>348</v>
      </c>
      <c r="AB25" s="299" t="s">
        <v>448</v>
      </c>
      <c r="AC25" s="291">
        <f>SUM(D39:E39)</f>
        <v>75.107220235609987</v>
      </c>
      <c r="AD25" s="285" t="s">
        <v>447</v>
      </c>
      <c r="AE25" s="286">
        <f>38000000*(F39/16000)^0.6</f>
        <v>1523072.6527028834</v>
      </c>
      <c r="AF25" s="311"/>
    </row>
    <row r="26" spans="2:32" ht="19.8" customHeight="1" x14ac:dyDescent="0.4">
      <c r="B26" s="367"/>
      <c r="C26" s="19" t="s">
        <v>158</v>
      </c>
      <c r="D26" s="25">
        <f>S31/'3. Inputs &amp; results'!H46</f>
        <v>147474.72727272726</v>
      </c>
      <c r="E26" s="25">
        <f>T31/'3. Inputs &amp; results'!H46</f>
        <v>88383.834848484854</v>
      </c>
      <c r="F26" s="25">
        <f>U31/'3. Inputs &amp; results'!H46</f>
        <v>111111.10666666667</v>
      </c>
      <c r="G26" s="20">
        <f>SUM(D26:F26)</f>
        <v>346969.66878787882</v>
      </c>
      <c r="H26" s="4"/>
      <c r="I26" s="4"/>
      <c r="J26" s="375"/>
      <c r="K26" s="379"/>
      <c r="L26" s="380"/>
      <c r="M26" s="4"/>
      <c r="R26" s="5" t="s">
        <v>144</v>
      </c>
      <c r="S26" s="7">
        <f>S27*56</f>
        <v>23333335.199999999</v>
      </c>
      <c r="T26" s="7">
        <f>T27*18</f>
        <v>7500000.6000000006</v>
      </c>
      <c r="U26" s="7"/>
      <c r="V26" s="7">
        <f>V27*74</f>
        <v>30833335.800000001</v>
      </c>
      <c r="W26" s="7"/>
      <c r="X26" s="7"/>
      <c r="Y26" s="4"/>
      <c r="AA26" s="304" t="s">
        <v>348</v>
      </c>
      <c r="AB26" s="299" t="s">
        <v>449</v>
      </c>
      <c r="AC26" s="291">
        <f>D42</f>
        <v>21.169783342406095</v>
      </c>
      <c r="AD26" s="285" t="s">
        <v>447</v>
      </c>
      <c r="AE26" s="286">
        <f>38000000*(D42/16000)^0.6</f>
        <v>712428.77948133438</v>
      </c>
      <c r="AF26" s="311"/>
    </row>
    <row r="27" spans="2:32" ht="19.8" customHeight="1" x14ac:dyDescent="0.4">
      <c r="B27" s="368"/>
      <c r="C27" s="21" t="s">
        <v>346</v>
      </c>
      <c r="D27" s="26">
        <f>D26/2160</f>
        <v>68.275336700336695</v>
      </c>
      <c r="E27" s="26">
        <f>E26/8800</f>
        <v>10.043617596418734</v>
      </c>
      <c r="F27" s="26">
        <f>F26/1030</f>
        <v>107.87486084142395</v>
      </c>
      <c r="G27" s="22">
        <f>SUM(D27:F27)</f>
        <v>186.19381513817939</v>
      </c>
      <c r="H27" s="4"/>
      <c r="I27" s="4"/>
      <c r="J27" s="374" t="s">
        <v>161</v>
      </c>
      <c r="K27" s="379">
        <f>1.15*10^4*(F33)^0.45</f>
        <v>102994.13620958828</v>
      </c>
      <c r="L27" s="380"/>
      <c r="M27" s="4"/>
      <c r="R27" s="5" t="s">
        <v>146</v>
      </c>
      <c r="S27" s="7">
        <f>V27</f>
        <v>416666.7</v>
      </c>
      <c r="T27" s="7">
        <f>V27</f>
        <v>416666.7</v>
      </c>
      <c r="U27" s="7"/>
      <c r="V27" s="7">
        <f>ROUND(T42,1)</f>
        <v>416666.7</v>
      </c>
      <c r="W27" s="7"/>
      <c r="X27" s="7"/>
      <c r="Y27" s="4"/>
      <c r="AA27" s="304" t="s">
        <v>348</v>
      </c>
      <c r="AB27" s="299" t="s">
        <v>450</v>
      </c>
      <c r="AC27" s="291">
        <f>D45</f>
        <v>100.43617596418733</v>
      </c>
      <c r="AD27" s="285" t="s">
        <v>447</v>
      </c>
      <c r="AE27" s="286">
        <f>38000000*(D45/16000)^0.6</f>
        <v>1813199.9915592829</v>
      </c>
      <c r="AF27" s="312" t="s">
        <v>349</v>
      </c>
    </row>
    <row r="28" spans="2:32" ht="19.8" customHeight="1" x14ac:dyDescent="0.4">
      <c r="B28" s="366" t="s">
        <v>160</v>
      </c>
      <c r="C28" s="23"/>
      <c r="D28" s="18" t="s">
        <v>360</v>
      </c>
      <c r="E28" s="4"/>
      <c r="F28" s="4"/>
      <c r="G28" s="4"/>
      <c r="H28" s="4"/>
      <c r="I28" s="4"/>
      <c r="J28" s="375"/>
      <c r="K28" s="379"/>
      <c r="L28" s="380"/>
      <c r="M28" s="4"/>
      <c r="R28" s="5" t="s">
        <v>148</v>
      </c>
      <c r="S28" s="7">
        <f>ROUND(S26/1000,1)</f>
        <v>23333.3</v>
      </c>
      <c r="T28" s="7">
        <f>ROUND(T26/1000,1)</f>
        <v>7500</v>
      </c>
      <c r="U28" s="7"/>
      <c r="V28" s="7">
        <f>ROUND(V26/1000,1)</f>
        <v>30833.3</v>
      </c>
      <c r="W28" s="7"/>
      <c r="X28" s="7"/>
      <c r="Y28" s="4"/>
      <c r="AA28" s="313" t="s">
        <v>348</v>
      </c>
      <c r="AB28" s="299" t="s">
        <v>451</v>
      </c>
      <c r="AC28" s="291">
        <f>D48</f>
        <v>42.258865178241038</v>
      </c>
      <c r="AD28" s="285" t="s">
        <v>447</v>
      </c>
      <c r="AE28" s="286">
        <f>38000000*(D48/16000)^0.6</f>
        <v>1078604.6921037694</v>
      </c>
      <c r="AF28" s="311"/>
    </row>
    <row r="29" spans="2:32" ht="19.8" customHeight="1" x14ac:dyDescent="0.4">
      <c r="B29" s="367"/>
      <c r="C29" s="19" t="s">
        <v>158</v>
      </c>
      <c r="D29" s="20">
        <f>W31/'3. Inputs &amp; results'!H46</f>
        <v>212121.21212121213</v>
      </c>
      <c r="E29" s="4"/>
      <c r="F29" s="4"/>
      <c r="G29" s="4"/>
      <c r="H29" s="4"/>
      <c r="I29" s="4"/>
      <c r="J29" s="60" t="s">
        <v>162</v>
      </c>
      <c r="K29" s="61">
        <f>1.15*10^4*F36^0.45</f>
        <v>94702.738094895962</v>
      </c>
      <c r="L29" s="62"/>
      <c r="M29" s="4"/>
      <c r="R29" s="5"/>
      <c r="S29" s="7"/>
      <c r="T29" s="7"/>
      <c r="U29" s="7"/>
      <c r="V29" s="7"/>
      <c r="W29" s="7"/>
      <c r="X29" s="7"/>
      <c r="Y29" s="4"/>
      <c r="AA29" s="313" t="s">
        <v>348</v>
      </c>
      <c r="AB29" s="299" t="s">
        <v>452</v>
      </c>
      <c r="AC29" s="291">
        <f>SUM(D51:E51)</f>
        <v>184.72003918507716</v>
      </c>
      <c r="AD29" s="285" t="s">
        <v>447</v>
      </c>
      <c r="AE29" s="286">
        <f>38000000*(F51/16000)^0.6</f>
        <v>2613485.0145724141</v>
      </c>
      <c r="AF29" s="311"/>
    </row>
    <row r="30" spans="2:32" ht="19.8" customHeight="1" x14ac:dyDescent="0.4">
      <c r="B30" s="368"/>
      <c r="C30" s="27" t="s">
        <v>346</v>
      </c>
      <c r="D30" s="22">
        <f>D29/2200</f>
        <v>96.418732782369148</v>
      </c>
      <c r="E30" s="4"/>
      <c r="F30" s="4"/>
      <c r="G30" s="4"/>
      <c r="H30" s="4"/>
      <c r="I30" s="4"/>
      <c r="J30" s="65" t="s">
        <v>374</v>
      </c>
      <c r="K30" s="50">
        <f>0.73*L30/2.94/1.175</f>
        <v>321853.53494662169</v>
      </c>
      <c r="L30" s="51">
        <f>38000000*(F39/16000)^0.6</f>
        <v>1523072.6527028834</v>
      </c>
      <c r="M30" s="4"/>
      <c r="R30" s="5"/>
      <c r="S30" s="63" t="s">
        <v>163</v>
      </c>
      <c r="T30" s="64" t="s">
        <v>359</v>
      </c>
      <c r="U30" s="8" t="s">
        <v>357</v>
      </c>
      <c r="V30" s="63"/>
      <c r="W30" s="64" t="s">
        <v>365</v>
      </c>
      <c r="X30" s="64" t="s">
        <v>366</v>
      </c>
      <c r="Y30" s="4"/>
      <c r="AA30" s="313" t="s">
        <v>348</v>
      </c>
      <c r="AB30" s="299" t="s">
        <v>453</v>
      </c>
      <c r="AC30" s="291">
        <f>SUM(D51:E51)</f>
        <v>184.72003918507716</v>
      </c>
      <c r="AD30" s="285" t="s">
        <v>447</v>
      </c>
      <c r="AE30" s="286">
        <f>38000000*(F51/16000)^0.6</f>
        <v>2613485.0145724141</v>
      </c>
      <c r="AF30" s="314"/>
    </row>
    <row r="31" spans="2:32" ht="19.8" customHeight="1" x14ac:dyDescent="0.4">
      <c r="B31" s="366" t="s">
        <v>164</v>
      </c>
      <c r="C31" s="28"/>
      <c r="D31" s="23" t="s">
        <v>361</v>
      </c>
      <c r="E31" s="23" t="s">
        <v>362</v>
      </c>
      <c r="F31" s="24" t="s">
        <v>135</v>
      </c>
      <c r="H31" s="4"/>
      <c r="I31" s="4"/>
      <c r="J31" s="65" t="s">
        <v>353</v>
      </c>
      <c r="K31" s="50">
        <f t="shared" ref="K31:K37" si="0">0.73*L31/2.94/1.175</f>
        <v>150549.43089343584</v>
      </c>
      <c r="L31" s="51">
        <f>38000000*(D42/16000)^0.6</f>
        <v>712428.77948133438</v>
      </c>
      <c r="M31" s="4"/>
      <c r="R31" s="5" t="s">
        <v>144</v>
      </c>
      <c r="S31" s="7">
        <f>ROUND(S32*58.4,-1)</f>
        <v>48666660</v>
      </c>
      <c r="T31" s="7">
        <f>T32*35</f>
        <v>29166665.5</v>
      </c>
      <c r="U31" s="7">
        <f>V13</f>
        <v>36666665.200000003</v>
      </c>
      <c r="V31" s="7"/>
      <c r="W31" s="7">
        <f>ROUND(W32*84,-1)</f>
        <v>70000000</v>
      </c>
      <c r="X31" s="7">
        <f>X32*53.5</f>
        <v>44583331.550000004</v>
      </c>
      <c r="Y31" s="4"/>
      <c r="AA31" s="313" t="s">
        <v>348</v>
      </c>
      <c r="AB31" s="299" t="s">
        <v>454</v>
      </c>
      <c r="AC31" s="291">
        <f>SUM(D54:F54)</f>
        <v>129.35697723292864</v>
      </c>
      <c r="AD31" s="327" t="s">
        <v>447</v>
      </c>
      <c r="AE31" s="286">
        <f>38000000*(G54/16000)^0.6</f>
        <v>2110500.8051451137</v>
      </c>
      <c r="AF31" s="314"/>
    </row>
    <row r="32" spans="2:32" ht="19.8" customHeight="1" x14ac:dyDescent="0.4">
      <c r="B32" s="367"/>
      <c r="C32" s="29" t="s">
        <v>165</v>
      </c>
      <c r="D32" s="30">
        <f>S43/'3. Inputs &amp; results'!H46</f>
        <v>135.10090909090911</v>
      </c>
      <c r="E32" s="30">
        <f>T43/'3. Inputs &amp; results'!H46</f>
        <v>93.434242424242427</v>
      </c>
      <c r="F32" s="31">
        <f>SUM(D32:E32)</f>
        <v>228.53515151515154</v>
      </c>
      <c r="H32" s="4"/>
      <c r="I32" s="4"/>
      <c r="J32" s="65" t="s">
        <v>375</v>
      </c>
      <c r="K32" s="50">
        <f t="shared" si="0"/>
        <v>383162.82930620247</v>
      </c>
      <c r="L32" s="51">
        <f>38000000*(D45/16000)^0.6</f>
        <v>1813199.9915592829</v>
      </c>
      <c r="M32" s="4"/>
      <c r="R32" s="5" t="s">
        <v>146</v>
      </c>
      <c r="S32" s="7">
        <f>U32</f>
        <v>833333.3</v>
      </c>
      <c r="T32" s="7">
        <f>U32</f>
        <v>833333.3</v>
      </c>
      <c r="U32" s="7">
        <f>V14</f>
        <v>833333.3</v>
      </c>
      <c r="V32" s="7"/>
      <c r="W32" s="7">
        <f>U32</f>
        <v>833333.3</v>
      </c>
      <c r="X32" s="7">
        <f>U32</f>
        <v>833333.3</v>
      </c>
      <c r="Y32" s="4"/>
      <c r="AA32" s="313" t="s">
        <v>348</v>
      </c>
      <c r="AB32" s="288" t="s">
        <v>455</v>
      </c>
      <c r="AC32" s="290">
        <f>SUM(D57:F57)</f>
        <v>173.5321456927137</v>
      </c>
      <c r="AD32" s="327" t="s">
        <v>447</v>
      </c>
      <c r="AE32" s="286">
        <f>38000000*(G57/16000)^0.6</f>
        <v>2517326.6241804431</v>
      </c>
      <c r="AF32" s="307"/>
    </row>
    <row r="33" spans="2:32" ht="19.8" customHeight="1" x14ac:dyDescent="0.4">
      <c r="B33" s="368"/>
      <c r="C33" s="27" t="s">
        <v>346</v>
      </c>
      <c r="D33" s="32">
        <f>(D32*1000)/1530</f>
        <v>88.301247771836017</v>
      </c>
      <c r="E33" s="32">
        <f>(E32*1000)/2211</f>
        <v>42.258816112276087</v>
      </c>
      <c r="F33" s="33">
        <f>SUM(D33:E33)</f>
        <v>130.56006388411211</v>
      </c>
      <c r="H33" s="4"/>
      <c r="I33" s="4"/>
      <c r="J33" s="65" t="s">
        <v>376</v>
      </c>
      <c r="K33" s="50">
        <f t="shared" si="0"/>
        <v>227929.20111036379</v>
      </c>
      <c r="L33" s="51">
        <f>38000000*(D48/16000)^0.6</f>
        <v>1078604.6921037694</v>
      </c>
      <c r="M33" s="4"/>
      <c r="R33" s="5" t="s">
        <v>148</v>
      </c>
      <c r="S33" s="7">
        <f>ROUND(S31/1000,1)</f>
        <v>48666.7</v>
      </c>
      <c r="T33" s="7">
        <f>ROUND(T31/1000,1)</f>
        <v>29166.7</v>
      </c>
      <c r="U33" s="7">
        <f>ROUND(U31/1000,1)</f>
        <v>36666.699999999997</v>
      </c>
      <c r="V33" s="7"/>
      <c r="W33" s="7">
        <f>ROUND(W31/1000,1)</f>
        <v>70000</v>
      </c>
      <c r="X33" s="7">
        <f>ROUND(X31/1000,1)</f>
        <v>44583.3</v>
      </c>
      <c r="Y33" s="4"/>
      <c r="AA33" s="315"/>
      <c r="AB33" s="122" t="s">
        <v>437</v>
      </c>
      <c r="AC33" s="158"/>
      <c r="AD33" s="321">
        <f>SUM(AD18:AD32)</f>
        <v>787920.86265702534</v>
      </c>
      <c r="AE33" s="287">
        <f>SUM(AE18:AE32)</f>
        <v>14982103.574317656</v>
      </c>
      <c r="AF33" s="308"/>
    </row>
    <row r="34" spans="2:32" ht="19.8" customHeight="1" x14ac:dyDescent="0.4">
      <c r="B34" s="371" t="s">
        <v>166</v>
      </c>
      <c r="C34" s="28"/>
      <c r="D34" s="23" t="s">
        <v>363</v>
      </c>
      <c r="E34" s="23" t="s">
        <v>356</v>
      </c>
      <c r="F34" s="24" t="s">
        <v>135</v>
      </c>
      <c r="H34" s="4"/>
      <c r="I34" s="4"/>
      <c r="J34" s="65" t="s">
        <v>377</v>
      </c>
      <c r="K34" s="50">
        <f t="shared" si="0"/>
        <v>552277.9159466963</v>
      </c>
      <c r="L34" s="51">
        <f>38000000*(F51/16000)^0.6</f>
        <v>2613485.0145724141</v>
      </c>
      <c r="M34" s="4"/>
      <c r="R34" s="5"/>
      <c r="S34" s="7"/>
      <c r="T34" s="7"/>
      <c r="U34" s="7"/>
      <c r="V34" s="7"/>
      <c r="W34" s="7"/>
      <c r="X34" s="7"/>
      <c r="Y34" s="4"/>
      <c r="AA34" s="315"/>
      <c r="AB34" s="299"/>
      <c r="AC34" s="299"/>
      <c r="AD34" s="299"/>
      <c r="AE34" s="300"/>
      <c r="AF34" s="311"/>
    </row>
    <row r="35" spans="2:32" ht="19.8" customHeight="1" x14ac:dyDescent="0.4">
      <c r="B35" s="372"/>
      <c r="C35" s="29" t="s">
        <v>167</v>
      </c>
      <c r="D35" s="34">
        <f>S47/'3. Inputs &amp; results'!H46</f>
        <v>2525.2524242424242</v>
      </c>
      <c r="E35" s="35">
        <f>T47/'3. Inputs &amp; results'!H46</f>
        <v>2525.2524242424242</v>
      </c>
      <c r="F35" s="36">
        <f>SUM(D35:E35)</f>
        <v>5050.5048484848485</v>
      </c>
      <c r="H35" s="4"/>
      <c r="I35" s="4"/>
      <c r="J35" s="65" t="s">
        <v>378</v>
      </c>
      <c r="K35" s="50">
        <f t="shared" si="0"/>
        <v>552277.9159466963</v>
      </c>
      <c r="L35" s="51">
        <f>38000000*(F51/16000)^0.6</f>
        <v>2613485.0145724141</v>
      </c>
      <c r="M35" s="4"/>
      <c r="R35" s="5"/>
      <c r="S35" s="64" t="s">
        <v>360</v>
      </c>
      <c r="T35" s="63"/>
      <c r="U35" s="64" t="s">
        <v>367</v>
      </c>
      <c r="V35" s="8" t="s">
        <v>356</v>
      </c>
      <c r="W35" s="8" t="s">
        <v>357</v>
      </c>
      <c r="X35" s="63"/>
      <c r="Y35" s="4"/>
      <c r="AA35" s="315"/>
      <c r="AB35" s="296"/>
      <c r="AC35" s="296"/>
      <c r="AD35" s="296"/>
      <c r="AE35" s="296"/>
      <c r="AF35" s="309"/>
    </row>
    <row r="36" spans="2:32" ht="19.8" customHeight="1" x14ac:dyDescent="0.4">
      <c r="B36" s="373"/>
      <c r="C36" s="27" t="s">
        <v>346</v>
      </c>
      <c r="D36" s="37">
        <f>D35/682.6*17</f>
        <v>62.890845608147103</v>
      </c>
      <c r="E36" s="37">
        <f>E35*18/1000</f>
        <v>45.454543636363638</v>
      </c>
      <c r="F36" s="33">
        <f>SUM(D36:E36)</f>
        <v>108.34538924451074</v>
      </c>
      <c r="H36" s="4"/>
      <c r="I36" s="4"/>
      <c r="J36" s="65" t="s">
        <v>379</v>
      </c>
      <c r="K36" s="50">
        <f t="shared" si="0"/>
        <v>445988.01208740275</v>
      </c>
      <c r="L36" s="51">
        <f>38000000*(G54/16000)^0.6</f>
        <v>2110500.8051451137</v>
      </c>
      <c r="M36" s="4"/>
      <c r="R36" s="5" t="s">
        <v>144</v>
      </c>
      <c r="S36" s="7">
        <f>ROUND(S37*84,-1)</f>
        <v>70000000</v>
      </c>
      <c r="T36" s="7"/>
      <c r="U36" s="7">
        <f>U37*106</f>
        <v>44166664.900000006</v>
      </c>
      <c r="V36" s="7">
        <f>V37*18</f>
        <v>7499999.7000000002</v>
      </c>
      <c r="W36" s="7">
        <f>W37*44</f>
        <v>18333332.600000001</v>
      </c>
      <c r="X36" s="7"/>
      <c r="Y36" s="4"/>
      <c r="AA36" s="315"/>
      <c r="AB36" s="296"/>
      <c r="AC36" s="296"/>
      <c r="AD36" s="296"/>
      <c r="AE36" s="296"/>
      <c r="AF36" s="309"/>
    </row>
    <row r="37" spans="2:32" ht="19.8" customHeight="1" thickBot="1" x14ac:dyDescent="0.45">
      <c r="B37" s="371" t="s">
        <v>168</v>
      </c>
      <c r="C37" s="28"/>
      <c r="D37" s="23" t="s">
        <v>357</v>
      </c>
      <c r="E37" s="17" t="s">
        <v>155</v>
      </c>
      <c r="F37" s="24" t="s">
        <v>135</v>
      </c>
      <c r="H37" s="4"/>
      <c r="I37" s="4"/>
      <c r="J37" s="66" t="s">
        <v>380</v>
      </c>
      <c r="K37" s="55">
        <f t="shared" si="0"/>
        <v>531957.86239737261</v>
      </c>
      <c r="L37" s="56">
        <f>38000000*(G57/16000)^0.6</f>
        <v>2517326.6241804431</v>
      </c>
      <c r="M37" s="4"/>
      <c r="R37" s="5" t="s">
        <v>146</v>
      </c>
      <c r="S37" s="7">
        <f>ROUND($W$32,1)</f>
        <v>833333.3</v>
      </c>
      <c r="T37" s="7"/>
      <c r="U37" s="7">
        <f>S37/2</f>
        <v>416666.65</v>
      </c>
      <c r="V37" s="7">
        <f>S37/2</f>
        <v>416666.65</v>
      </c>
      <c r="W37" s="7">
        <f>S37/2</f>
        <v>416666.65</v>
      </c>
      <c r="X37" s="7"/>
      <c r="Y37" s="4"/>
      <c r="AA37" s="315"/>
      <c r="AB37" s="334" t="s">
        <v>438</v>
      </c>
      <c r="AC37" s="296"/>
      <c r="AD37" s="296"/>
      <c r="AE37" s="296"/>
      <c r="AF37" s="309"/>
    </row>
    <row r="38" spans="2:32" ht="19.8" customHeight="1" x14ac:dyDescent="0.4">
      <c r="B38" s="372"/>
      <c r="C38" s="29" t="s">
        <v>167</v>
      </c>
      <c r="D38" s="34">
        <f>U22/'3. Inputs &amp; results'!H46</f>
        <v>1262.6263636363637</v>
      </c>
      <c r="E38" s="35">
        <f>V22/'3. Inputs &amp; results'!H46</f>
        <v>1262.6263636363637</v>
      </c>
      <c r="F38" s="36">
        <f>SUM(D38:E38)</f>
        <v>2525.2527272727275</v>
      </c>
      <c r="H38" s="4"/>
      <c r="I38" s="4"/>
      <c r="J38" s="4"/>
      <c r="K38" s="4"/>
      <c r="L38" s="4"/>
      <c r="M38" s="4"/>
      <c r="R38" s="5" t="s">
        <v>148</v>
      </c>
      <c r="S38" s="7">
        <f>ROUND(S36/1000,1)</f>
        <v>70000</v>
      </c>
      <c r="T38" s="7"/>
      <c r="U38" s="7">
        <f>ROUND(U36/1000,1)</f>
        <v>44166.7</v>
      </c>
      <c r="V38" s="7">
        <f>ROUND(V36/1000,1)</f>
        <v>7500</v>
      </c>
      <c r="W38" s="7">
        <f>ROUND(W36/1000,1)</f>
        <v>18333.3</v>
      </c>
      <c r="X38" s="7"/>
      <c r="Y38" s="4"/>
      <c r="AA38" s="315"/>
      <c r="AB38" s="299" t="s">
        <v>439</v>
      </c>
      <c r="AC38" s="293">
        <f>SUM(D63:E63)</f>
        <v>50.608360598107048</v>
      </c>
      <c r="AD38" s="286">
        <v>750000</v>
      </c>
      <c r="AE38" s="299"/>
      <c r="AF38" s="311"/>
    </row>
    <row r="39" spans="2:32" ht="19.8" customHeight="1" x14ac:dyDescent="0.4">
      <c r="B39" s="373"/>
      <c r="C39" s="27" t="s">
        <v>346</v>
      </c>
      <c r="D39" s="38">
        <f>D38*44/1.03/1000</f>
        <v>53.937436893203888</v>
      </c>
      <c r="E39" s="192">
        <f>E38/3.34/1000000*1000*56</f>
        <v>21.169783342406099</v>
      </c>
      <c r="F39" s="193">
        <f>SUM(D39:E39)</f>
        <v>75.107220235609987</v>
      </c>
      <c r="H39" s="4"/>
      <c r="I39" s="4"/>
      <c r="J39" s="4"/>
      <c r="K39" s="4"/>
      <c r="L39" s="4"/>
      <c r="M39" s="4"/>
      <c r="R39" s="5"/>
      <c r="S39" s="7"/>
      <c r="T39" s="7"/>
      <c r="U39" s="7"/>
      <c r="V39" s="7"/>
      <c r="W39" s="7"/>
      <c r="X39" s="7"/>
      <c r="Y39" s="4"/>
      <c r="AA39" s="315"/>
      <c r="AB39" s="299" t="s">
        <v>440</v>
      </c>
      <c r="AC39" s="293">
        <f>SUM(D66:G66)</f>
        <v>57.83379437735892</v>
      </c>
      <c r="AD39" s="286">
        <f>K65*(H66/600)^0.6</f>
        <v>1769.0933831852644</v>
      </c>
      <c r="AE39" s="299"/>
      <c r="AF39" s="311"/>
    </row>
    <row r="40" spans="2:32" ht="19.8" customHeight="1" x14ac:dyDescent="0.4">
      <c r="B40" s="371" t="s">
        <v>169</v>
      </c>
      <c r="C40" s="28"/>
      <c r="D40" s="17" t="s">
        <v>155</v>
      </c>
      <c r="E40" s="23" t="s">
        <v>364</v>
      </c>
      <c r="F40" s="24" t="s">
        <v>135</v>
      </c>
      <c r="H40" s="4"/>
      <c r="I40" s="4"/>
      <c r="J40" s="4"/>
      <c r="K40" s="4"/>
      <c r="L40" s="4"/>
      <c r="M40" s="4"/>
      <c r="R40" s="5"/>
      <c r="S40" s="64" t="s">
        <v>366</v>
      </c>
      <c r="T40" s="64" t="s">
        <v>362</v>
      </c>
      <c r="U40" s="63"/>
      <c r="V40" s="64" t="s">
        <v>383</v>
      </c>
      <c r="W40" s="64" t="s">
        <v>368</v>
      </c>
      <c r="X40" s="64" t="s">
        <v>384</v>
      </c>
      <c r="Y40" s="4"/>
      <c r="AA40" s="315"/>
      <c r="AB40" s="299" t="s">
        <v>441</v>
      </c>
      <c r="AC40" s="293">
        <f>SUM(D69:E69)</f>
        <v>33.468618029584945</v>
      </c>
      <c r="AD40" s="286">
        <f>K68*(F69/1)^0.45</f>
        <v>55819.358537382774</v>
      </c>
      <c r="AE40" s="299"/>
      <c r="AF40" s="311"/>
    </row>
    <row r="41" spans="2:32" ht="19.8" customHeight="1" x14ac:dyDescent="0.4">
      <c r="B41" s="372"/>
      <c r="C41" s="29" t="s">
        <v>158</v>
      </c>
      <c r="D41" s="39">
        <f>S26/'3. Inputs &amp; results'!H46</f>
        <v>70707.076363636355</v>
      </c>
      <c r="E41" s="35" t="s">
        <v>170</v>
      </c>
      <c r="F41" s="40"/>
      <c r="H41" s="4"/>
      <c r="I41" s="4"/>
      <c r="J41" s="4"/>
      <c r="K41" s="4"/>
      <c r="L41" s="4"/>
      <c r="M41" s="4"/>
      <c r="R41" s="5" t="s">
        <v>144</v>
      </c>
      <c r="S41" s="7">
        <f>S42*53.5</f>
        <v>44583331.550000004</v>
      </c>
      <c r="T41" s="7">
        <f>T42*74</f>
        <v>30833335.800000001</v>
      </c>
      <c r="U41" s="7"/>
      <c r="V41" s="7">
        <f>V42*17</f>
        <v>14166666.100000001</v>
      </c>
      <c r="W41" s="7">
        <f>W42*111</f>
        <v>46250003.700000003</v>
      </c>
      <c r="X41" s="7">
        <f>X42*18</f>
        <v>14999999.4</v>
      </c>
      <c r="Y41" s="4"/>
      <c r="AA41" s="315"/>
      <c r="AB41" s="299" t="s">
        <v>442</v>
      </c>
      <c r="AC41" s="293">
        <f>SUM(D72:E72)</f>
        <v>68.564953841013022</v>
      </c>
      <c r="AD41" s="286">
        <f>K71*(F72/1)^0.45</f>
        <v>77080.37608036543</v>
      </c>
      <c r="AE41" s="299"/>
      <c r="AF41" s="311"/>
    </row>
    <row r="42" spans="2:32" ht="19.8" customHeight="1" x14ac:dyDescent="0.4">
      <c r="B42" s="373"/>
      <c r="C42" s="27" t="s">
        <v>346</v>
      </c>
      <c r="D42" s="32">
        <f>D41/3340</f>
        <v>21.169783342406095</v>
      </c>
      <c r="E42" s="37" t="s">
        <v>170</v>
      </c>
      <c r="F42" s="33">
        <f>D42</f>
        <v>21.169783342406095</v>
      </c>
      <c r="H42" s="4"/>
      <c r="I42" s="4"/>
      <c r="J42" s="67"/>
      <c r="K42" s="4"/>
      <c r="L42" s="4"/>
      <c r="M42" s="4"/>
      <c r="R42" s="5" t="s">
        <v>146</v>
      </c>
      <c r="S42" s="7">
        <f>ROUND(X32,1)</f>
        <v>833333.3</v>
      </c>
      <c r="T42" s="7">
        <f>ROUND(S42/2,1)</f>
        <v>416666.7</v>
      </c>
      <c r="U42" s="7"/>
      <c r="V42" s="7">
        <f>S42</f>
        <v>833333.3</v>
      </c>
      <c r="W42" s="7">
        <f>ROUND(S42/2,1)</f>
        <v>416666.7</v>
      </c>
      <c r="X42" s="7">
        <f>S42</f>
        <v>833333.3</v>
      </c>
      <c r="Y42" s="4"/>
      <c r="AA42" s="315"/>
      <c r="AB42" s="289" t="s">
        <v>443</v>
      </c>
      <c r="AC42" s="293">
        <f>SUM(D75:E75)</f>
        <v>52.204963203941738</v>
      </c>
      <c r="AD42" s="286">
        <f>K74*(F75/1)^0.45</f>
        <v>68181.750582580484</v>
      </c>
      <c r="AE42" s="299"/>
      <c r="AF42" s="311"/>
    </row>
    <row r="43" spans="2:32" ht="19.8" customHeight="1" x14ac:dyDescent="0.4">
      <c r="B43" s="371" t="s">
        <v>171</v>
      </c>
      <c r="C43" s="28"/>
      <c r="D43" s="23" t="s">
        <v>359</v>
      </c>
      <c r="E43" s="24" t="s">
        <v>135</v>
      </c>
      <c r="H43" s="4"/>
      <c r="I43" s="4"/>
      <c r="J43" s="4"/>
      <c r="K43" s="4"/>
      <c r="L43" s="4"/>
      <c r="M43" s="4"/>
      <c r="R43" s="5" t="s">
        <v>148</v>
      </c>
      <c r="S43" s="7">
        <f>ROUND(S41/1000,1)</f>
        <v>44583.3</v>
      </c>
      <c r="T43" s="7">
        <f>ROUND(T41/1000,1)</f>
        <v>30833.3</v>
      </c>
      <c r="U43" s="7"/>
      <c r="V43" s="7">
        <f>ROUND(V41/1000,1)</f>
        <v>14166.7</v>
      </c>
      <c r="W43" s="7">
        <f>ROUND(W41/1000,1)</f>
        <v>46250</v>
      </c>
      <c r="X43" s="7">
        <f>ROUND(X41/1000,1)</f>
        <v>15000</v>
      </c>
      <c r="Y43" s="4"/>
      <c r="AA43" s="315"/>
      <c r="AB43" s="170" t="s">
        <v>444</v>
      </c>
      <c r="AC43" s="299"/>
      <c r="AD43" s="287">
        <f>SUM(AD38:AD42)</f>
        <v>952850.57858351385</v>
      </c>
      <c r="AE43" s="299"/>
      <c r="AF43" s="311"/>
    </row>
    <row r="44" spans="2:32" ht="19.8" customHeight="1" x14ac:dyDescent="0.4">
      <c r="B44" s="372"/>
      <c r="C44" s="29" t="s">
        <v>167</v>
      </c>
      <c r="D44" s="34">
        <f>W47/'3. Inputs &amp; results'!H46</f>
        <v>2525.2524242424242</v>
      </c>
      <c r="E44" s="40">
        <f ca="1">SUM(D44:E44)</f>
        <v>0</v>
      </c>
      <c r="H44" s="4"/>
      <c r="I44" s="4"/>
      <c r="J44" s="4"/>
      <c r="K44" s="4"/>
      <c r="L44" s="4"/>
      <c r="M44" s="4"/>
      <c r="R44" s="5"/>
      <c r="S44" s="4"/>
      <c r="T44" s="4"/>
      <c r="U44" s="4"/>
      <c r="V44" s="4"/>
      <c r="W44" s="4"/>
      <c r="X44" s="4"/>
      <c r="Y44" s="4"/>
      <c r="AA44" s="315"/>
      <c r="AB44" s="299"/>
      <c r="AC44" s="299"/>
      <c r="AD44" s="299"/>
      <c r="AE44" s="299"/>
      <c r="AF44" s="311"/>
    </row>
    <row r="45" spans="2:32" ht="19.8" customHeight="1" x14ac:dyDescent="0.4">
      <c r="B45" s="373"/>
      <c r="C45" s="27" t="s">
        <v>346</v>
      </c>
      <c r="D45" s="37">
        <f>D44*35/880</f>
        <v>100.43617596418733</v>
      </c>
      <c r="E45" s="33">
        <f>D45</f>
        <v>100.43617596418733</v>
      </c>
      <c r="H45" s="4"/>
      <c r="I45" s="4"/>
      <c r="J45" s="4"/>
      <c r="K45" s="4"/>
      <c r="L45" s="4"/>
      <c r="M45" s="4"/>
      <c r="R45" s="68"/>
      <c r="S45" s="64" t="s">
        <v>363</v>
      </c>
      <c r="T45" s="8" t="s">
        <v>356</v>
      </c>
      <c r="U45" s="68" t="s">
        <v>163</v>
      </c>
      <c r="V45" s="5"/>
      <c r="W45" s="69" t="s">
        <v>359</v>
      </c>
      <c r="X45" s="68" t="s">
        <v>163</v>
      </c>
      <c r="Y45" s="4"/>
      <c r="AA45" s="315"/>
      <c r="AB45" s="299"/>
      <c r="AC45" s="299"/>
      <c r="AD45" s="299"/>
      <c r="AE45" s="299"/>
      <c r="AF45" s="311"/>
    </row>
    <row r="46" spans="2:32" ht="19.8" customHeight="1" x14ac:dyDescent="0.4">
      <c r="B46" s="371" t="s">
        <v>172</v>
      </c>
      <c r="C46" s="28"/>
      <c r="D46" s="23" t="s">
        <v>362</v>
      </c>
      <c r="E46" s="24" t="s">
        <v>135</v>
      </c>
      <c r="H46" s="4"/>
      <c r="I46" s="4"/>
      <c r="J46" s="4"/>
      <c r="K46" s="4"/>
      <c r="L46" s="4"/>
      <c r="M46" s="4"/>
      <c r="R46" s="68" t="s">
        <v>144</v>
      </c>
      <c r="S46" s="70">
        <f>S47*44</f>
        <v>36666665.200000003</v>
      </c>
      <c r="T46" s="70">
        <f>ROUND(T47*18,-1)</f>
        <v>15000000</v>
      </c>
      <c r="U46" s="70" t="s">
        <v>170</v>
      </c>
      <c r="V46" s="4"/>
      <c r="W46" s="70">
        <f>W47*35</f>
        <v>29166665.5</v>
      </c>
      <c r="X46" s="70" t="s">
        <v>170</v>
      </c>
      <c r="Y46" s="4"/>
      <c r="AA46" s="315"/>
      <c r="AB46" s="299"/>
      <c r="AC46" s="299"/>
      <c r="AD46" s="299"/>
      <c r="AE46" s="299"/>
      <c r="AF46" s="311"/>
    </row>
    <row r="47" spans="2:32" ht="19.8" customHeight="1" x14ac:dyDescent="0.4">
      <c r="B47" s="372"/>
      <c r="C47" s="29" t="s">
        <v>167</v>
      </c>
      <c r="D47" s="34">
        <f>V27/'3. Inputs &amp; results'!H46</f>
        <v>1262.6263636363637</v>
      </c>
      <c r="E47" s="40">
        <f ca="1">SUM(D47:E47)</f>
        <v>0</v>
      </c>
      <c r="H47" s="4"/>
      <c r="I47" s="4"/>
      <c r="J47" s="4"/>
      <c r="K47" s="4"/>
      <c r="L47" s="4"/>
      <c r="M47" s="4"/>
      <c r="R47" s="68" t="s">
        <v>146</v>
      </c>
      <c r="S47" s="70">
        <f>S37</f>
        <v>833333.3</v>
      </c>
      <c r="T47" s="70">
        <f>S47</f>
        <v>833333.3</v>
      </c>
      <c r="U47" s="70" t="s">
        <v>170</v>
      </c>
      <c r="V47" s="4"/>
      <c r="W47" s="70">
        <f>S47</f>
        <v>833333.3</v>
      </c>
      <c r="X47" s="70" t="s">
        <v>170</v>
      </c>
      <c r="Y47" s="4"/>
      <c r="AA47" s="315"/>
      <c r="AB47" s="339" t="s">
        <v>445</v>
      </c>
      <c r="AC47" s="340"/>
      <c r="AD47" s="341">
        <f>AD13+AD33+AD43</f>
        <v>2340731.953567354</v>
      </c>
      <c r="AE47" s="341">
        <f>AE13+AE33+AE43</f>
        <v>35094961.357901312</v>
      </c>
      <c r="AF47" s="311"/>
    </row>
    <row r="48" spans="2:32" ht="19.8" customHeight="1" thickBot="1" x14ac:dyDescent="0.45">
      <c r="B48" s="373"/>
      <c r="C48" s="27" t="s">
        <v>346</v>
      </c>
      <c r="D48" s="192">
        <f>D47/2.211/1000000*1000*74</f>
        <v>42.258865178241038</v>
      </c>
      <c r="E48" s="193">
        <f>D48</f>
        <v>42.258865178241038</v>
      </c>
      <c r="H48" s="4"/>
      <c r="I48" s="4"/>
      <c r="J48" s="4"/>
      <c r="K48" s="4"/>
      <c r="L48" s="4"/>
      <c r="M48" s="4"/>
      <c r="R48" s="68" t="s">
        <v>148</v>
      </c>
      <c r="S48" s="70">
        <f>S46/1000</f>
        <v>36666.665200000003</v>
      </c>
      <c r="T48" s="70">
        <f>T46/1000</f>
        <v>15000</v>
      </c>
      <c r="U48" s="70" t="s">
        <v>170</v>
      </c>
      <c r="V48" s="4"/>
      <c r="W48" s="70">
        <f>W46/1000</f>
        <v>29166.665499999999</v>
      </c>
      <c r="X48" s="70" t="s">
        <v>170</v>
      </c>
      <c r="Y48" s="4"/>
      <c r="AA48" s="316"/>
      <c r="AB48" s="317"/>
      <c r="AC48" s="317"/>
      <c r="AD48" s="317"/>
      <c r="AE48" s="317"/>
      <c r="AF48" s="318"/>
    </row>
    <row r="49" spans="2:25" ht="16.2" x14ac:dyDescent="0.4">
      <c r="B49" s="371" t="s">
        <v>173</v>
      </c>
      <c r="C49" s="28"/>
      <c r="D49" s="23" t="s">
        <v>365</v>
      </c>
      <c r="E49" s="23" t="s">
        <v>366</v>
      </c>
      <c r="F49" s="24" t="s">
        <v>135</v>
      </c>
      <c r="H49" s="4"/>
      <c r="I49" s="4"/>
      <c r="J49" s="4"/>
      <c r="K49" s="4"/>
      <c r="L49" s="4"/>
      <c r="M49" s="4"/>
      <c r="R49" s="4"/>
      <c r="S49" s="4"/>
      <c r="T49" s="4"/>
      <c r="U49" s="4"/>
      <c r="V49" s="4"/>
      <c r="W49" s="4"/>
      <c r="X49" s="4"/>
      <c r="Y49" s="4"/>
    </row>
    <row r="50" spans="2:25" x14ac:dyDescent="0.4">
      <c r="B50" s="372"/>
      <c r="C50" s="19" t="s">
        <v>167</v>
      </c>
      <c r="D50" s="34">
        <f>W32/'3. Inputs &amp; results'!H46</f>
        <v>2525.2524242424242</v>
      </c>
      <c r="E50" s="34">
        <f>X32/'3. Inputs &amp; results'!H46</f>
        <v>2525.2524242424242</v>
      </c>
      <c r="F50" s="41">
        <f>SUM(D50:E50)</f>
        <v>5050.5048484848485</v>
      </c>
      <c r="H50" s="4"/>
      <c r="I50" s="4"/>
      <c r="J50" s="4"/>
      <c r="K50" s="4"/>
      <c r="L50" s="4"/>
      <c r="M50" s="4"/>
      <c r="R50" s="4"/>
      <c r="S50" s="4"/>
      <c r="T50" s="4"/>
      <c r="U50" s="4"/>
      <c r="V50" s="4"/>
      <c r="W50" s="4"/>
      <c r="X50" s="4"/>
      <c r="Y50" s="4"/>
    </row>
    <row r="51" spans="2:25" ht="16.2" x14ac:dyDescent="0.4">
      <c r="B51" s="373"/>
      <c r="C51" s="21" t="s">
        <v>346</v>
      </c>
      <c r="D51" s="38">
        <f>D50/2200*84</f>
        <v>96.418728925619831</v>
      </c>
      <c r="E51" s="37">
        <f>E50/1530*53.5</f>
        <v>88.301310259457324</v>
      </c>
      <c r="F51" s="42">
        <f>SUM(D51:E51)</f>
        <v>184.72003918507716</v>
      </c>
      <c r="H51" s="4"/>
      <c r="I51" s="4"/>
      <c r="J51" s="4"/>
      <c r="K51" s="4"/>
      <c r="L51" s="4"/>
      <c r="M51" s="4"/>
      <c r="R51" s="4"/>
      <c r="S51" s="4"/>
      <c r="T51" s="4"/>
      <c r="U51" s="4"/>
      <c r="V51" s="4"/>
      <c r="W51" s="4"/>
      <c r="X51" s="4"/>
      <c r="Y51" s="4"/>
    </row>
    <row r="52" spans="2:25" ht="16.2" x14ac:dyDescent="0.4">
      <c r="B52" s="371" t="s">
        <v>174</v>
      </c>
      <c r="C52" s="23"/>
      <c r="D52" s="23" t="s">
        <v>367</v>
      </c>
      <c r="E52" s="23" t="s">
        <v>356</v>
      </c>
      <c r="F52" s="23" t="s">
        <v>357</v>
      </c>
      <c r="G52" s="24" t="s">
        <v>135</v>
      </c>
      <c r="H52" s="4"/>
      <c r="I52" s="4"/>
      <c r="J52" s="4"/>
      <c r="K52" s="4"/>
      <c r="L52" s="4"/>
      <c r="M52" s="4"/>
      <c r="R52" s="4"/>
      <c r="S52" s="4"/>
      <c r="T52" s="4"/>
      <c r="U52" s="4"/>
      <c r="V52" s="4"/>
      <c r="W52" s="4"/>
      <c r="X52" s="4"/>
      <c r="Y52" s="4"/>
    </row>
    <row r="53" spans="2:25" x14ac:dyDescent="0.4">
      <c r="B53" s="372"/>
      <c r="C53" s="19" t="s">
        <v>158</v>
      </c>
      <c r="D53" s="39">
        <f>U36/'3. Inputs &amp; results'!H46</f>
        <v>133838.37848484851</v>
      </c>
      <c r="E53" s="39">
        <f>V36/'3. Inputs &amp; results'!H46</f>
        <v>22727.27181818182</v>
      </c>
      <c r="F53" s="39">
        <f>W36/'3. Inputs &amp; results'!H46</f>
        <v>55555.553333333337</v>
      </c>
      <c r="G53" s="40"/>
      <c r="H53" s="4"/>
      <c r="I53" s="4"/>
      <c r="J53" s="4"/>
      <c r="K53" s="4"/>
      <c r="L53" s="4"/>
      <c r="M53" s="4"/>
      <c r="R53" s="4"/>
      <c r="S53" s="4"/>
      <c r="T53" s="4"/>
      <c r="U53" s="4"/>
      <c r="V53" s="4"/>
      <c r="W53" s="4"/>
      <c r="X53" s="4"/>
      <c r="Y53" s="4"/>
    </row>
    <row r="54" spans="2:25" ht="16.2" x14ac:dyDescent="0.4">
      <c r="B54" s="373"/>
      <c r="C54" s="21" t="s">
        <v>346</v>
      </c>
      <c r="D54" s="32">
        <f>D53/2540</f>
        <v>52.692274994034847</v>
      </c>
      <c r="E54" s="32">
        <f>E53/1000</f>
        <v>22.727271818181819</v>
      </c>
      <c r="F54" s="32">
        <f>F53/1030</f>
        <v>53.937430420711976</v>
      </c>
      <c r="G54" s="33">
        <f>SUM(D54:F54)</f>
        <v>129.35697723292864</v>
      </c>
      <c r="H54" s="4"/>
      <c r="I54" s="4"/>
      <c r="J54" s="4"/>
      <c r="K54" s="4"/>
      <c r="L54" s="4"/>
      <c r="M54" s="4"/>
      <c r="R54" s="4"/>
      <c r="S54" s="4"/>
      <c r="T54" s="4"/>
      <c r="U54" s="4"/>
      <c r="V54" s="4"/>
      <c r="W54" s="4"/>
      <c r="X54" s="4"/>
      <c r="Y54" s="4"/>
    </row>
    <row r="55" spans="2:25" ht="16.2" x14ac:dyDescent="0.4">
      <c r="B55" s="371" t="s">
        <v>175</v>
      </c>
      <c r="C55" s="23"/>
      <c r="D55" s="23" t="s">
        <v>363</v>
      </c>
      <c r="E55" s="23" t="s">
        <v>368</v>
      </c>
      <c r="F55" s="23" t="s">
        <v>356</v>
      </c>
      <c r="G55" s="24" t="s">
        <v>135</v>
      </c>
      <c r="H55" s="4"/>
      <c r="I55" s="4"/>
      <c r="J55" s="4"/>
      <c r="K55" s="4"/>
      <c r="L55" s="4"/>
      <c r="M55" s="4"/>
      <c r="R55" s="4"/>
      <c r="S55" s="4"/>
      <c r="T55" s="4"/>
      <c r="U55" s="4"/>
      <c r="V55" s="4"/>
      <c r="W55" s="4"/>
      <c r="X55" s="4"/>
      <c r="Y55" s="4"/>
    </row>
    <row r="56" spans="2:25" x14ac:dyDescent="0.4">
      <c r="B56" s="372"/>
      <c r="C56" s="19" t="s">
        <v>158</v>
      </c>
      <c r="D56" s="39">
        <f>V41/'3. Inputs &amp; results'!H46</f>
        <v>42929.291212121214</v>
      </c>
      <c r="E56" s="39">
        <f>W41/'3. Inputs &amp; results'!H46</f>
        <v>140151.52636363637</v>
      </c>
      <c r="F56" s="39">
        <f>X41/'3. Inputs &amp; results'!H46</f>
        <v>45454.54363636364</v>
      </c>
      <c r="G56" s="40"/>
      <c r="H56" s="4"/>
      <c r="I56" s="4"/>
      <c r="J56" s="4"/>
      <c r="K56" s="4"/>
      <c r="L56" s="4"/>
      <c r="M56" s="4"/>
      <c r="R56" s="4"/>
      <c r="S56" s="4"/>
      <c r="T56" s="4"/>
      <c r="U56" s="4"/>
      <c r="V56" s="4"/>
      <c r="W56" s="4"/>
      <c r="X56" s="4"/>
      <c r="Y56" s="4"/>
    </row>
    <row r="57" spans="2:25" ht="16.2" x14ac:dyDescent="0.4">
      <c r="B57" s="373"/>
      <c r="C57" s="21" t="s">
        <v>346</v>
      </c>
      <c r="D57" s="32">
        <f>D56/682.6</f>
        <v>62.890845608147103</v>
      </c>
      <c r="E57" s="32">
        <f>E56/2150</f>
        <v>65.186756448202956</v>
      </c>
      <c r="F57" s="32">
        <f>F56/1000</f>
        <v>45.454543636363638</v>
      </c>
      <c r="G57" s="33">
        <f>SUM(D57:F57)</f>
        <v>173.5321456927137</v>
      </c>
      <c r="H57" s="4"/>
      <c r="I57" s="4"/>
      <c r="J57" s="4"/>
      <c r="K57" s="4"/>
      <c r="L57" s="4"/>
      <c r="M57" s="4"/>
      <c r="R57" s="4"/>
      <c r="S57" s="4"/>
      <c r="T57" s="4"/>
      <c r="U57" s="4"/>
      <c r="V57" s="4"/>
      <c r="W57" s="4"/>
      <c r="X57" s="4"/>
      <c r="Y57" s="4"/>
    </row>
    <row r="58" spans="2:25" x14ac:dyDescent="0.4">
      <c r="B58" s="4"/>
      <c r="C58" s="4"/>
      <c r="D58" s="4"/>
      <c r="E58" s="4"/>
      <c r="F58" s="4"/>
      <c r="G58" s="4"/>
      <c r="H58" s="4"/>
      <c r="I58" s="4"/>
      <c r="J58" s="4"/>
      <c r="K58" s="4"/>
      <c r="L58" s="4"/>
      <c r="M58" s="4"/>
      <c r="R58" s="4"/>
      <c r="S58" s="4"/>
      <c r="T58" s="4"/>
      <c r="U58" s="4"/>
      <c r="V58" s="4"/>
      <c r="W58" s="4"/>
      <c r="X58" s="4"/>
      <c r="Y58" s="4"/>
    </row>
    <row r="59" spans="2:25" x14ac:dyDescent="0.4">
      <c r="B59" s="4"/>
      <c r="C59" s="4"/>
      <c r="D59" s="4"/>
      <c r="E59" s="4"/>
      <c r="F59" s="4"/>
      <c r="G59" s="4"/>
      <c r="H59" s="4"/>
      <c r="I59" s="4"/>
      <c r="L59" s="4"/>
      <c r="M59" s="4"/>
      <c r="R59" s="4"/>
      <c r="S59" s="4"/>
      <c r="T59" s="4"/>
      <c r="U59" s="4"/>
      <c r="V59" s="4"/>
      <c r="W59" s="4"/>
      <c r="X59" s="4"/>
      <c r="Y59" s="4"/>
    </row>
    <row r="60" spans="2:25" x14ac:dyDescent="0.4">
      <c r="G60" s="4"/>
      <c r="H60" s="4"/>
      <c r="I60" s="4"/>
      <c r="L60" s="4"/>
      <c r="M60" s="4"/>
      <c r="R60" s="46" t="s">
        <v>120</v>
      </c>
      <c r="S60" s="46"/>
      <c r="T60" s="46"/>
      <c r="U60" s="46"/>
      <c r="V60" s="46"/>
      <c r="W60" s="46"/>
      <c r="X60" s="46"/>
      <c r="Y60" s="46"/>
    </row>
    <row r="61" spans="2:25" ht="16.5" customHeight="1" x14ac:dyDescent="0.4">
      <c r="B61" s="366" t="s">
        <v>176</v>
      </c>
      <c r="C61" s="17"/>
      <c r="D61" s="23" t="s">
        <v>369</v>
      </c>
      <c r="E61" s="23" t="s">
        <v>367</v>
      </c>
      <c r="F61" s="17" t="s">
        <v>135</v>
      </c>
      <c r="G61" s="71"/>
      <c r="H61" s="72"/>
      <c r="I61" s="4"/>
      <c r="J61" s="43" t="s">
        <v>136</v>
      </c>
      <c r="K61" s="59" t="s">
        <v>137</v>
      </c>
      <c r="L61" s="4"/>
      <c r="M61" s="4"/>
      <c r="Q61" s="73"/>
      <c r="R61" s="5"/>
      <c r="S61" s="8" t="s">
        <v>369</v>
      </c>
      <c r="T61" s="64" t="s">
        <v>367</v>
      </c>
      <c r="U61" s="5"/>
      <c r="V61" s="8" t="s">
        <v>385</v>
      </c>
      <c r="W61" s="8" t="s">
        <v>370</v>
      </c>
      <c r="X61" s="5" t="s">
        <v>177</v>
      </c>
      <c r="Y61" s="8" t="s">
        <v>372</v>
      </c>
    </row>
    <row r="62" spans="2:25" x14ac:dyDescent="0.4">
      <c r="B62" s="367"/>
      <c r="C62" s="4" t="s">
        <v>165</v>
      </c>
      <c r="D62" s="74">
        <f>S62/('3. Inputs &amp; results'!H46*1000)</f>
        <v>123.73735393939393</v>
      </c>
      <c r="E62" s="74">
        <f>T62/('3. Inputs &amp; results'!H46*1000)</f>
        <v>66.919181212121202</v>
      </c>
      <c r="F62" s="74">
        <f>SUM(D62:E62)</f>
        <v>190.65653515151513</v>
      </c>
      <c r="G62" s="4"/>
      <c r="H62" s="75"/>
      <c r="I62" s="4"/>
      <c r="J62" s="369" t="s">
        <v>176</v>
      </c>
      <c r="K62" s="76"/>
      <c r="L62" s="4"/>
      <c r="M62" s="4"/>
      <c r="Q62" s="4"/>
      <c r="R62" s="5" t="s">
        <v>144</v>
      </c>
      <c r="S62" s="70">
        <f>S63*98</f>
        <v>40833326.799999997</v>
      </c>
      <c r="T62" s="70">
        <f>T63*106</f>
        <v>22083329.799999997</v>
      </c>
      <c r="U62" s="70"/>
      <c r="V62" s="70">
        <f>V63*73.88</f>
        <v>15391664.203999998</v>
      </c>
      <c r="W62" s="70">
        <f>W63*62</f>
        <v>12916664.6</v>
      </c>
      <c r="X62" s="70">
        <f>X63*75</f>
        <v>15624997.5</v>
      </c>
      <c r="Y62" s="70">
        <f>Y63*91</f>
        <v>18958330.300000001</v>
      </c>
    </row>
    <row r="63" spans="2:25" ht="16.2" x14ac:dyDescent="0.4">
      <c r="B63" s="368"/>
      <c r="C63" s="77" t="s">
        <v>346</v>
      </c>
      <c r="D63" s="26">
        <f>D62*1000/5100</f>
        <v>24.26222626262626</v>
      </c>
      <c r="E63" s="26">
        <f>E62*1000/2540</f>
        <v>26.346134335480787</v>
      </c>
      <c r="F63" s="319">
        <f>SUM(D63:E63)</f>
        <v>50.608360598107048</v>
      </c>
      <c r="G63" s="4"/>
      <c r="H63" s="75"/>
      <c r="I63" s="4"/>
      <c r="J63" s="370"/>
      <c r="K63" s="78">
        <v>750000</v>
      </c>
      <c r="L63" s="4"/>
      <c r="M63" s="4"/>
      <c r="Q63" s="4"/>
      <c r="R63" s="5" t="s">
        <v>146</v>
      </c>
      <c r="S63" s="70">
        <f>T63*2</f>
        <v>416666.6</v>
      </c>
      <c r="T63" s="70">
        <f>ROUND(U37/2,1)</f>
        <v>208333.3</v>
      </c>
      <c r="U63" s="70"/>
      <c r="V63" s="70">
        <f>T63</f>
        <v>208333.3</v>
      </c>
      <c r="W63" s="70">
        <f>V63</f>
        <v>208333.3</v>
      </c>
      <c r="X63" s="70">
        <f>V63</f>
        <v>208333.3</v>
      </c>
      <c r="Y63" s="70">
        <f>V63</f>
        <v>208333.3</v>
      </c>
    </row>
    <row r="64" spans="2:25" ht="33" customHeight="1" x14ac:dyDescent="0.4">
      <c r="B64" s="366" t="s">
        <v>178</v>
      </c>
      <c r="C64" s="17"/>
      <c r="D64" s="23" t="s">
        <v>367</v>
      </c>
      <c r="E64" s="79" t="s">
        <v>370</v>
      </c>
      <c r="F64" s="19" t="s">
        <v>371</v>
      </c>
      <c r="G64" s="80" t="s">
        <v>372</v>
      </c>
      <c r="H64" s="72" t="s">
        <v>135</v>
      </c>
      <c r="I64" s="4"/>
      <c r="J64" s="49" t="s">
        <v>136</v>
      </c>
      <c r="K64" s="59" t="s">
        <v>137</v>
      </c>
      <c r="L64" s="4"/>
      <c r="M64" s="4"/>
      <c r="Q64" s="4"/>
      <c r="R64" s="5" t="s">
        <v>148</v>
      </c>
      <c r="S64" s="70">
        <f>ROUND(S62/1000,1)</f>
        <v>40833.300000000003</v>
      </c>
      <c r="T64" s="70">
        <f>T62/1000</f>
        <v>22083.329799999996</v>
      </c>
      <c r="U64" s="70"/>
      <c r="V64" s="70">
        <f>ROUND(V62/1000,1)</f>
        <v>15391.7</v>
      </c>
      <c r="W64" s="70">
        <f>ROUND(W62/1000,1)</f>
        <v>12916.7</v>
      </c>
      <c r="X64" s="70">
        <f>ROUND(X62/1000,1)</f>
        <v>15625</v>
      </c>
      <c r="Y64" s="70">
        <f>ROUND(Y62/1000,1)</f>
        <v>18958.3</v>
      </c>
    </row>
    <row r="65" spans="2:25" x14ac:dyDescent="0.4">
      <c r="B65" s="367"/>
      <c r="C65" s="4" t="s">
        <v>165</v>
      </c>
      <c r="D65" s="74">
        <f>V64/'3. Inputs &amp; results'!H46</f>
        <v>46.641515151515151</v>
      </c>
      <c r="E65" s="74">
        <f>W64/'3. Inputs &amp; results'!H46</f>
        <v>39.141515151515151</v>
      </c>
      <c r="F65" s="74">
        <f>X64/'3. Inputs &amp; results'!H46</f>
        <v>47.348484848484851</v>
      </c>
      <c r="G65" s="74">
        <f>Y64/'3. Inputs &amp; results'!H46</f>
        <v>57.449393939393936</v>
      </c>
      <c r="H65" s="81">
        <f>SUM(D65:G65)</f>
        <v>190.58090909090907</v>
      </c>
      <c r="I65" s="4"/>
      <c r="J65" s="369" t="s">
        <v>178</v>
      </c>
      <c r="K65" s="76">
        <v>7200</v>
      </c>
      <c r="L65" s="4"/>
      <c r="M65" s="4"/>
      <c r="Q65" s="4"/>
      <c r="R65" s="5"/>
      <c r="S65" s="70"/>
      <c r="T65" s="70"/>
      <c r="U65" s="70"/>
      <c r="V65" s="70"/>
      <c r="W65" s="70"/>
      <c r="X65" s="70"/>
      <c r="Y65" s="70"/>
    </row>
    <row r="66" spans="2:25" ht="16.5" customHeight="1" x14ac:dyDescent="0.4">
      <c r="B66" s="368"/>
      <c r="C66" s="77" t="s">
        <v>346</v>
      </c>
      <c r="D66" s="26">
        <f>D65*1000/2110</f>
        <v>22.104983484130404</v>
      </c>
      <c r="E66" s="26">
        <f>E65*1000/2270</f>
        <v>17.2429582165265</v>
      </c>
      <c r="F66" s="82">
        <f>F65*1000/6440</f>
        <v>7.3522492000752866</v>
      </c>
      <c r="G66" s="82">
        <f>G65*1000/5160</f>
        <v>11.133603476626732</v>
      </c>
      <c r="H66" s="33">
        <f>SUM(D66:G66)</f>
        <v>57.83379437735892</v>
      </c>
      <c r="I66" s="4"/>
      <c r="J66" s="370"/>
      <c r="K66" s="78">
        <f>K65*(H66/600)^0.6</f>
        <v>1769.0933831852644</v>
      </c>
      <c r="L66" s="4"/>
      <c r="M66" s="4"/>
      <c r="Q66" s="73"/>
      <c r="R66" s="5"/>
      <c r="S66" s="69" t="s">
        <v>373</v>
      </c>
      <c r="T66" s="69" t="s">
        <v>356</v>
      </c>
      <c r="U66" s="68"/>
      <c r="V66" s="69" t="s">
        <v>386</v>
      </c>
      <c r="W66" s="68"/>
      <c r="X66" s="68"/>
      <c r="Y66" s="68"/>
    </row>
    <row r="67" spans="2:25" ht="16.2" x14ac:dyDescent="0.4">
      <c r="B67" s="366" t="s">
        <v>179</v>
      </c>
      <c r="C67" s="17"/>
      <c r="D67" s="79" t="s">
        <v>373</v>
      </c>
      <c r="E67" s="83" t="s">
        <v>390</v>
      </c>
      <c r="F67" s="17" t="s">
        <v>135</v>
      </c>
      <c r="G67" s="71"/>
      <c r="H67" s="72"/>
      <c r="I67" s="4"/>
      <c r="J67" s="49" t="s">
        <v>136</v>
      </c>
      <c r="K67" s="59" t="s">
        <v>137</v>
      </c>
      <c r="L67" s="4"/>
      <c r="M67" s="4"/>
      <c r="Q67" s="4"/>
      <c r="R67" s="5" t="s">
        <v>144</v>
      </c>
      <c r="S67" s="70">
        <f>V62</f>
        <v>15391664.203999998</v>
      </c>
      <c r="T67" s="70">
        <f>T68*18</f>
        <v>3749999.4</v>
      </c>
      <c r="U67" s="70"/>
      <c r="V67" s="70">
        <f>S67+T67</f>
        <v>19141663.603999998</v>
      </c>
      <c r="W67" s="70"/>
      <c r="X67" s="70"/>
      <c r="Y67" s="70"/>
    </row>
    <row r="68" spans="2:25" x14ac:dyDescent="0.4">
      <c r="B68" s="367"/>
      <c r="C68" s="4" t="s">
        <v>165</v>
      </c>
      <c r="D68" s="74">
        <f>S69/'3. Inputs &amp; results'!H46</f>
        <v>46.641515151515151</v>
      </c>
      <c r="E68" s="74">
        <f>T69/'3. Inputs &amp; results'!H46</f>
        <v>11.363634545454545</v>
      </c>
      <c r="F68" s="82">
        <f>SUM(D68:E68)</f>
        <v>58.005149696969696</v>
      </c>
      <c r="G68" s="4"/>
      <c r="H68" s="75"/>
      <c r="I68" s="4"/>
      <c r="J68" s="369" t="s">
        <v>179</v>
      </c>
      <c r="K68" s="84">
        <f>1.15 * 10^4</f>
        <v>11500</v>
      </c>
      <c r="L68" s="4"/>
      <c r="M68" s="4"/>
      <c r="Q68" s="4"/>
      <c r="R68" s="5" t="s">
        <v>146</v>
      </c>
      <c r="S68" s="70">
        <f>V63</f>
        <v>208333.3</v>
      </c>
      <c r="T68" s="70">
        <f>S68</f>
        <v>208333.3</v>
      </c>
      <c r="U68" s="70"/>
      <c r="V68" s="70">
        <f>T68</f>
        <v>208333.3</v>
      </c>
      <c r="W68" s="70"/>
      <c r="X68" s="70"/>
      <c r="Y68" s="70"/>
    </row>
    <row r="69" spans="2:25" ht="16.2" x14ac:dyDescent="0.4">
      <c r="B69" s="368"/>
      <c r="C69" s="77" t="s">
        <v>346</v>
      </c>
      <c r="D69" s="26">
        <f>D68*1000/2110</f>
        <v>22.104983484130404</v>
      </c>
      <c r="E69" s="26">
        <f>E68/1</f>
        <v>11.363634545454545</v>
      </c>
      <c r="F69" s="319">
        <f>SUM(D69:E69)</f>
        <v>33.468618029584945</v>
      </c>
      <c r="G69" s="4"/>
      <c r="H69" s="75"/>
      <c r="I69" s="4"/>
      <c r="J69" s="370"/>
      <c r="K69" s="85">
        <f>K68*(F69/1)^0.45</f>
        <v>55819.358537382774</v>
      </c>
      <c r="L69" s="4"/>
      <c r="M69" s="4"/>
      <c r="Q69" s="4"/>
      <c r="R69" s="5" t="s">
        <v>148</v>
      </c>
      <c r="S69" s="70">
        <f>V64</f>
        <v>15391.7</v>
      </c>
      <c r="T69" s="70">
        <f>T67/1000</f>
        <v>3749.9993999999997</v>
      </c>
      <c r="U69" s="70"/>
      <c r="V69" s="70">
        <f>S69+T69</f>
        <v>19141.699400000001</v>
      </c>
      <c r="W69" s="70"/>
      <c r="X69" s="70"/>
      <c r="Y69" s="70"/>
    </row>
    <row r="70" spans="2:25" ht="16.5" customHeight="1" x14ac:dyDescent="0.4">
      <c r="B70" s="366" t="s">
        <v>180</v>
      </c>
      <c r="C70" s="17"/>
      <c r="D70" s="86" t="s">
        <v>132</v>
      </c>
      <c r="E70" s="23" t="s">
        <v>356</v>
      </c>
      <c r="F70" s="19" t="s">
        <v>135</v>
      </c>
      <c r="G70" s="71"/>
      <c r="H70" s="72"/>
      <c r="I70" s="4"/>
      <c r="J70" s="49" t="s">
        <v>136</v>
      </c>
      <c r="K70" s="59" t="s">
        <v>137</v>
      </c>
      <c r="L70" s="4"/>
      <c r="M70" s="4"/>
      <c r="Q70" s="4"/>
      <c r="R70" s="5"/>
      <c r="S70" s="70"/>
      <c r="T70" s="70"/>
      <c r="U70" s="70"/>
      <c r="V70" s="70"/>
      <c r="W70" s="70"/>
      <c r="X70" s="70"/>
      <c r="Y70" s="70"/>
    </row>
    <row r="71" spans="2:25" ht="16.2" x14ac:dyDescent="0.4">
      <c r="B71" s="367"/>
      <c r="C71" s="4" t="s">
        <v>165</v>
      </c>
      <c r="D71" s="74">
        <f>S74/'3. Inputs &amp; results'!H46</f>
        <v>46.641515151515151</v>
      </c>
      <c r="E71" s="74">
        <f>T74/'3. Inputs &amp; results'!H46</f>
        <v>46.032820917575755</v>
      </c>
      <c r="F71" s="82">
        <f>SUM(D71:E71)</f>
        <v>92.674336069090913</v>
      </c>
      <c r="G71" s="4"/>
      <c r="H71" s="75"/>
      <c r="I71" s="4"/>
      <c r="J71" s="369" t="s">
        <v>180</v>
      </c>
      <c r="K71" s="84">
        <f>1.15 * 10^4</f>
        <v>11500</v>
      </c>
      <c r="L71" s="4"/>
      <c r="M71" s="4"/>
      <c r="Q71" s="4"/>
      <c r="R71" s="5"/>
      <c r="S71" s="69" t="s">
        <v>387</v>
      </c>
      <c r="T71" s="68" t="s">
        <v>131</v>
      </c>
      <c r="U71" s="68"/>
      <c r="V71" s="68" t="s">
        <v>132</v>
      </c>
      <c r="W71" s="8" t="s">
        <v>356</v>
      </c>
      <c r="X71" s="8" t="s">
        <v>357</v>
      </c>
      <c r="Y71" s="68"/>
    </row>
    <row r="72" spans="2:25" ht="16.2" x14ac:dyDescent="0.4">
      <c r="B72" s="368"/>
      <c r="C72" s="77" t="s">
        <v>346</v>
      </c>
      <c r="D72" s="26">
        <f>D71*1000/2070</f>
        <v>22.53213292343727</v>
      </c>
      <c r="E72" s="26">
        <f>E71*1000/1000</f>
        <v>46.032820917575755</v>
      </c>
      <c r="F72" s="319">
        <f>SUM(D72:E72)</f>
        <v>68.564953841013022</v>
      </c>
      <c r="G72" s="4"/>
      <c r="H72" s="75"/>
      <c r="I72" s="4"/>
      <c r="J72" s="370"/>
      <c r="K72" s="85">
        <f>K71*(F72/1)^0.45</f>
        <v>77080.37608036543</v>
      </c>
      <c r="L72" s="4"/>
      <c r="M72" s="4"/>
      <c r="Q72" s="4"/>
      <c r="R72" s="5" t="s">
        <v>144</v>
      </c>
      <c r="S72" s="70">
        <f>S67</f>
        <v>15391664.203999998</v>
      </c>
      <c r="T72" s="70">
        <f>T73*36.458</f>
        <v>15190830.902799999</v>
      </c>
      <c r="U72" s="70"/>
      <c r="V72" s="70">
        <f>V73*42.394</f>
        <v>17664163.840399999</v>
      </c>
      <c r="W72" s="70">
        <f>W73*18</f>
        <v>3749999.4</v>
      </c>
      <c r="X72" s="70">
        <f>X73*44</f>
        <v>9166665.1999999993</v>
      </c>
      <c r="Y72" s="70"/>
    </row>
    <row r="73" spans="2:25" ht="16.5" customHeight="1" x14ac:dyDescent="0.4">
      <c r="B73" s="366" t="s">
        <v>181</v>
      </c>
      <c r="C73" s="17"/>
      <c r="D73" s="86" t="s">
        <v>132</v>
      </c>
      <c r="E73" s="23" t="s">
        <v>367</v>
      </c>
      <c r="F73" s="19" t="s">
        <v>135</v>
      </c>
      <c r="G73" s="71"/>
      <c r="H73" s="72"/>
      <c r="I73" s="4"/>
      <c r="J73" s="49" t="s">
        <v>136</v>
      </c>
      <c r="K73" s="59" t="s">
        <v>137</v>
      </c>
      <c r="L73" s="4"/>
      <c r="M73" s="4"/>
      <c r="Q73" s="4"/>
      <c r="R73" s="5" t="s">
        <v>146</v>
      </c>
      <c r="S73" s="70">
        <f>S68</f>
        <v>208333.3</v>
      </c>
      <c r="T73" s="70">
        <f>S73*2</f>
        <v>416666.6</v>
      </c>
      <c r="U73" s="70"/>
      <c r="V73" s="70">
        <f>S73*2</f>
        <v>416666.6</v>
      </c>
      <c r="W73" s="70">
        <f>S73</f>
        <v>208333.3</v>
      </c>
      <c r="X73" s="70">
        <f>S73</f>
        <v>208333.3</v>
      </c>
      <c r="Y73" s="70"/>
    </row>
    <row r="74" spans="2:25" x14ac:dyDescent="0.4">
      <c r="B74" s="367"/>
      <c r="C74" s="4" t="s">
        <v>165</v>
      </c>
      <c r="D74" s="74">
        <f>S79/'3. Inputs &amp; results'!H46</f>
        <v>53.527769213333336</v>
      </c>
      <c r="E74" s="74">
        <f>T79/'3. Inputs &amp; results'!H46</f>
        <v>66.919189242424252</v>
      </c>
      <c r="F74" s="82">
        <f>SUM(D74:E74)</f>
        <v>120.4469584557576</v>
      </c>
      <c r="G74" s="4"/>
      <c r="H74" s="75"/>
      <c r="I74" s="4"/>
      <c r="J74" s="369" t="s">
        <v>181</v>
      </c>
      <c r="K74" s="84">
        <f>1.15 * 10^4</f>
        <v>11500</v>
      </c>
      <c r="L74" s="4"/>
      <c r="M74" s="4"/>
      <c r="Q74" s="4"/>
      <c r="R74" s="5" t="s">
        <v>148</v>
      </c>
      <c r="S74" s="70">
        <f>S69</f>
        <v>15391.7</v>
      </c>
      <c r="T74" s="70">
        <f>T72/1000</f>
        <v>15190.830902799999</v>
      </c>
      <c r="U74" s="70"/>
      <c r="V74" s="70">
        <f>V72/1000</f>
        <v>17664.1638404</v>
      </c>
      <c r="W74" s="70">
        <f>W72/1000</f>
        <v>3749.9993999999997</v>
      </c>
      <c r="X74" s="70">
        <f>X72/1000</f>
        <v>9166.6651999999995</v>
      </c>
      <c r="Y74" s="70"/>
    </row>
    <row r="75" spans="2:25" ht="16.8" thickBot="1" x14ac:dyDescent="0.45">
      <c r="B75" s="368"/>
      <c r="C75" s="77" t="s">
        <v>346</v>
      </c>
      <c r="D75" s="26">
        <f>D74*1000/2070</f>
        <v>25.858825706924314</v>
      </c>
      <c r="E75" s="26">
        <f>E74*1000/2540</f>
        <v>26.346137497017423</v>
      </c>
      <c r="F75" s="319">
        <f>SUM(D75:E75)</f>
        <v>52.204963203941738</v>
      </c>
      <c r="G75" s="87"/>
      <c r="H75" s="88"/>
      <c r="I75" s="4"/>
      <c r="J75" s="370"/>
      <c r="K75" s="85">
        <f>K74*(F75/1)^0.45</f>
        <v>68181.750582580484</v>
      </c>
      <c r="L75" s="4"/>
      <c r="M75" s="4"/>
      <c r="Q75" s="4"/>
      <c r="R75" s="5"/>
      <c r="S75" s="70"/>
      <c r="T75" s="70"/>
      <c r="U75" s="70"/>
      <c r="V75" s="70"/>
      <c r="W75" s="70"/>
      <c r="X75" s="70"/>
      <c r="Y75" s="70"/>
    </row>
    <row r="76" spans="2:25" ht="16.2" x14ac:dyDescent="0.4">
      <c r="B76" s="4"/>
      <c r="C76" s="4"/>
      <c r="D76" s="4"/>
      <c r="E76" s="4"/>
      <c r="F76" s="4"/>
      <c r="G76" s="4"/>
      <c r="H76" s="4"/>
      <c r="I76" s="4"/>
      <c r="L76" s="4"/>
      <c r="M76" s="4"/>
      <c r="N76" s="1" t="s">
        <v>446</v>
      </c>
      <c r="O76" s="1">
        <v>1269</v>
      </c>
      <c r="Q76" s="4"/>
      <c r="R76" s="5"/>
      <c r="S76" s="68" t="s">
        <v>132</v>
      </c>
      <c r="T76" s="64" t="s">
        <v>367</v>
      </c>
      <c r="U76" s="68"/>
      <c r="V76" s="69" t="s">
        <v>373</v>
      </c>
      <c r="W76" s="68" t="s">
        <v>133</v>
      </c>
      <c r="X76" s="68"/>
      <c r="Y76" s="68"/>
    </row>
    <row r="77" spans="2:25" x14ac:dyDescent="0.4">
      <c r="B77" s="4"/>
      <c r="C77" s="4"/>
      <c r="D77" s="4"/>
      <c r="E77" s="4"/>
      <c r="F77" s="4"/>
      <c r="G77" s="4"/>
      <c r="H77" s="4"/>
      <c r="I77" s="4"/>
      <c r="L77" s="4"/>
      <c r="M77" s="4"/>
      <c r="Q77" s="4"/>
      <c r="R77" s="5" t="s">
        <v>144</v>
      </c>
      <c r="S77" s="70">
        <f>V72</f>
        <v>17664163.840399999</v>
      </c>
      <c r="T77" s="70">
        <f>T78*106</f>
        <v>22083332.450000003</v>
      </c>
      <c r="U77" s="70"/>
      <c r="V77" s="70">
        <f>V78*73.88</f>
        <v>15391664.203999998</v>
      </c>
      <c r="W77" s="70">
        <f>W78*58.44</f>
        <v>12174998.051999999</v>
      </c>
      <c r="X77" s="70"/>
      <c r="Y77" s="70"/>
    </row>
    <row r="78" spans="2:25" x14ac:dyDescent="0.4">
      <c r="B78" s="4"/>
      <c r="C78" s="4"/>
      <c r="D78" s="4"/>
      <c r="E78" s="4"/>
      <c r="F78" s="4"/>
      <c r="G78" s="4"/>
      <c r="H78" s="4"/>
      <c r="I78" s="4"/>
      <c r="L78" s="4"/>
      <c r="M78" s="4"/>
      <c r="Q78" s="4"/>
      <c r="R78" s="5" t="s">
        <v>146</v>
      </c>
      <c r="S78" s="70">
        <f>V73</f>
        <v>416666.6</v>
      </c>
      <c r="T78" s="70">
        <f>U37/2</f>
        <v>208333.32500000001</v>
      </c>
      <c r="U78" s="70"/>
      <c r="V78" s="70">
        <f>S78/2</f>
        <v>208333.3</v>
      </c>
      <c r="W78" s="70">
        <f>S78/2</f>
        <v>208333.3</v>
      </c>
      <c r="X78" s="70"/>
      <c r="Y78" s="70"/>
    </row>
    <row r="79" spans="2:25" x14ac:dyDescent="0.4">
      <c r="B79" s="4"/>
      <c r="C79" s="4"/>
      <c r="D79" s="4"/>
      <c r="E79" s="4"/>
      <c r="F79" s="4"/>
      <c r="G79" s="4"/>
      <c r="H79" s="4"/>
      <c r="I79" s="4"/>
      <c r="J79" s="4"/>
      <c r="K79" s="4"/>
      <c r="L79" s="4"/>
      <c r="M79" s="4"/>
      <c r="Q79" s="4"/>
      <c r="R79" s="5" t="s">
        <v>148</v>
      </c>
      <c r="S79" s="70">
        <f>V74</f>
        <v>17664.1638404</v>
      </c>
      <c r="T79" s="70">
        <f>T77/1000</f>
        <v>22083.332450000002</v>
      </c>
      <c r="U79" s="70"/>
      <c r="V79" s="70">
        <f>V77/1000</f>
        <v>15391.664203999999</v>
      </c>
      <c r="W79" s="70">
        <f>W77/1000</f>
        <v>12174.998051999999</v>
      </c>
      <c r="X79" s="70"/>
      <c r="Y79" s="70"/>
    </row>
    <row r="80" spans="2:25" x14ac:dyDescent="0.4">
      <c r="B80" s="4"/>
      <c r="C80" s="4"/>
      <c r="D80" s="4"/>
      <c r="E80" s="4"/>
      <c r="F80" s="4"/>
      <c r="G80" s="4"/>
      <c r="H80" s="4"/>
      <c r="I80" s="4"/>
      <c r="J80" s="4"/>
      <c r="K80" s="4"/>
      <c r="L80" s="4"/>
      <c r="M80" s="4"/>
    </row>
    <row r="81" spans="2:22" x14ac:dyDescent="0.4">
      <c r="B81" s="4"/>
      <c r="C81" s="4"/>
      <c r="D81" s="4"/>
      <c r="E81" s="4"/>
      <c r="F81" s="4"/>
      <c r="G81" s="4"/>
      <c r="H81" s="4"/>
      <c r="I81" s="4"/>
      <c r="J81" s="4"/>
      <c r="K81" s="4"/>
      <c r="L81" s="4"/>
      <c r="M81" s="4"/>
    </row>
    <row r="82" spans="2:22" x14ac:dyDescent="0.4">
      <c r="B82" s="4"/>
      <c r="C82" s="4"/>
      <c r="D82" s="4"/>
      <c r="E82" s="4"/>
      <c r="F82" s="4"/>
      <c r="G82" s="4"/>
      <c r="H82" s="4"/>
      <c r="I82" s="4"/>
      <c r="J82" s="4"/>
      <c r="K82" s="4"/>
      <c r="L82" s="4"/>
      <c r="M82" s="4"/>
    </row>
    <row r="83" spans="2:22" x14ac:dyDescent="0.4">
      <c r="B83" s="4"/>
      <c r="C83" s="89" t="s">
        <v>182</v>
      </c>
      <c r="D83" s="90">
        <f>'6-2. Economic evaluation'!CY27</f>
        <v>39122605.862932436</v>
      </c>
      <c r="E83" s="4"/>
      <c r="F83" s="4"/>
      <c r="G83" s="4"/>
      <c r="H83" s="4"/>
      <c r="I83" s="4"/>
      <c r="J83" s="4"/>
      <c r="K83" s="4"/>
      <c r="L83" s="4"/>
      <c r="M83" s="4"/>
    </row>
    <row r="84" spans="2:22" x14ac:dyDescent="0.4">
      <c r="B84" s="4"/>
      <c r="C84" s="89" t="s">
        <v>183</v>
      </c>
      <c r="D84" s="90">
        <f>'6-2. Economic evaluation'!CY33</f>
        <v>280289920.59200001</v>
      </c>
      <c r="E84" s="4"/>
      <c r="F84" s="4"/>
      <c r="G84" s="4"/>
      <c r="H84" s="4"/>
      <c r="I84" s="4"/>
      <c r="J84" s="4"/>
      <c r="K84" s="4"/>
      <c r="L84" s="4"/>
      <c r="M84" s="4"/>
    </row>
    <row r="85" spans="2:22" x14ac:dyDescent="0.4">
      <c r="B85" s="4"/>
      <c r="C85" s="89" t="s">
        <v>184</v>
      </c>
      <c r="D85" s="90">
        <f>'6-2. Economic evaluation'!CY38</f>
        <v>9021371.7758417632</v>
      </c>
      <c r="E85" s="4"/>
      <c r="F85" s="4"/>
      <c r="G85" s="4"/>
      <c r="H85" s="4"/>
      <c r="I85" s="4"/>
      <c r="J85" s="4"/>
      <c r="K85" s="4"/>
      <c r="L85" s="4"/>
      <c r="M85" s="4"/>
    </row>
    <row r="86" spans="2:22" x14ac:dyDescent="0.4">
      <c r="B86" s="4"/>
      <c r="C86" s="4"/>
      <c r="D86" s="4"/>
      <c r="E86" s="4"/>
      <c r="F86" s="4"/>
      <c r="G86" s="4"/>
      <c r="H86" s="4"/>
      <c r="I86" s="4"/>
      <c r="J86" s="4"/>
      <c r="K86" s="4"/>
      <c r="L86" s="4"/>
      <c r="M86" s="4"/>
    </row>
    <row r="87" spans="2:22" x14ac:dyDescent="0.4">
      <c r="B87" s="4"/>
      <c r="E87" s="4"/>
      <c r="F87" s="4"/>
      <c r="G87" s="4"/>
      <c r="H87" s="4"/>
      <c r="I87" s="4"/>
      <c r="J87" s="4"/>
      <c r="K87" s="4"/>
      <c r="L87" s="4"/>
      <c r="M87" s="4"/>
    </row>
    <row r="88" spans="2:22" x14ac:dyDescent="0.4">
      <c r="B88" s="4"/>
      <c r="E88" s="4"/>
      <c r="F88" s="4"/>
      <c r="G88" s="4"/>
      <c r="H88" s="4"/>
      <c r="I88" s="4"/>
      <c r="J88" s="4"/>
      <c r="K88" s="4"/>
      <c r="L88" s="4"/>
      <c r="M88" s="4"/>
    </row>
    <row r="89" spans="2:22" x14ac:dyDescent="0.4">
      <c r="B89" s="4"/>
      <c r="E89" s="4"/>
      <c r="F89" s="4"/>
      <c r="G89" s="4"/>
      <c r="H89" s="4"/>
      <c r="I89" s="4"/>
      <c r="J89" s="4"/>
      <c r="K89" s="4"/>
      <c r="L89" s="4"/>
      <c r="M89" s="4"/>
    </row>
    <row r="90" spans="2:22" x14ac:dyDescent="0.4">
      <c r="B90" s="4"/>
      <c r="C90" s="4"/>
      <c r="D90" s="4"/>
      <c r="E90" s="4"/>
      <c r="F90" s="4"/>
      <c r="G90" s="4"/>
      <c r="H90" s="4"/>
      <c r="I90" s="4"/>
      <c r="J90" s="4"/>
      <c r="K90" s="4"/>
      <c r="L90" s="4"/>
      <c r="M90" s="4"/>
    </row>
    <row r="91" spans="2:22" x14ac:dyDescent="0.4">
      <c r="E91" s="4"/>
      <c r="I91" s="4"/>
      <c r="J91" s="4"/>
      <c r="K91" s="4"/>
      <c r="L91" s="4"/>
      <c r="M91" s="4"/>
      <c r="N91" s="4"/>
      <c r="O91" s="4"/>
      <c r="P91" s="4"/>
      <c r="Q91" s="4"/>
      <c r="R91" s="4"/>
      <c r="S91" s="4"/>
      <c r="T91" s="4"/>
      <c r="U91" s="4"/>
      <c r="V91" s="4"/>
    </row>
    <row r="92" spans="2:22" x14ac:dyDescent="0.4">
      <c r="E92" s="4"/>
      <c r="I92" s="4"/>
      <c r="J92" s="4"/>
      <c r="K92" s="4"/>
      <c r="L92" s="4"/>
      <c r="M92" s="4"/>
      <c r="N92" s="4"/>
      <c r="O92" s="4"/>
      <c r="P92" s="4"/>
      <c r="Q92" s="4"/>
      <c r="R92" s="4"/>
      <c r="S92" s="4"/>
      <c r="T92" s="4"/>
      <c r="U92" s="4"/>
      <c r="V92" s="4"/>
    </row>
    <row r="93" spans="2:22" x14ac:dyDescent="0.4">
      <c r="E93" s="4"/>
      <c r="I93" s="4"/>
      <c r="J93" s="4"/>
      <c r="K93" s="4"/>
      <c r="L93" s="4"/>
      <c r="M93" s="4"/>
      <c r="N93" s="4"/>
      <c r="O93" s="4"/>
      <c r="P93" s="4"/>
      <c r="Q93" s="4"/>
      <c r="R93" s="4"/>
      <c r="S93" s="4"/>
      <c r="T93" s="4"/>
      <c r="U93" s="4"/>
      <c r="V93" s="4"/>
    </row>
    <row r="94" spans="2:22" x14ac:dyDescent="0.4">
      <c r="E94" s="4"/>
      <c r="I94" s="4"/>
      <c r="J94" s="4"/>
      <c r="K94" s="4"/>
      <c r="L94" s="4"/>
      <c r="M94" s="4"/>
      <c r="N94" s="4"/>
      <c r="O94" s="4"/>
      <c r="P94" s="4"/>
      <c r="Q94" s="4"/>
      <c r="R94" s="4"/>
      <c r="S94" s="4"/>
      <c r="T94" s="4"/>
      <c r="U94" s="4"/>
      <c r="V94" s="4"/>
    </row>
    <row r="95" spans="2:22" x14ac:dyDescent="0.4">
      <c r="E95" s="4"/>
      <c r="I95" s="4"/>
      <c r="J95" s="4"/>
      <c r="K95" s="4"/>
      <c r="L95" s="4"/>
      <c r="M95" s="4"/>
      <c r="N95" s="4"/>
      <c r="O95" s="4"/>
      <c r="P95" s="4"/>
      <c r="Q95" s="4"/>
      <c r="R95" s="4"/>
      <c r="S95" s="4"/>
      <c r="T95" s="4"/>
      <c r="U95" s="4"/>
      <c r="V95" s="4"/>
    </row>
    <row r="96" spans="2:22" x14ac:dyDescent="0.4">
      <c r="E96" s="4"/>
      <c r="I96" s="4"/>
      <c r="J96" s="4"/>
      <c r="K96" s="4"/>
      <c r="L96" s="4"/>
      <c r="M96" s="4"/>
      <c r="N96" s="4"/>
      <c r="O96" s="4"/>
      <c r="P96" s="4"/>
      <c r="Q96" s="4"/>
      <c r="R96" s="4"/>
      <c r="S96" s="4"/>
      <c r="T96" s="4"/>
      <c r="U96" s="4"/>
      <c r="V96" s="4"/>
    </row>
    <row r="97" spans="2:22" x14ac:dyDescent="0.4">
      <c r="E97" s="4"/>
      <c r="J97" s="4"/>
      <c r="K97" s="4"/>
      <c r="L97" s="4"/>
      <c r="M97" s="4"/>
      <c r="N97" s="4"/>
      <c r="O97" s="4"/>
      <c r="P97" s="4"/>
      <c r="Q97" s="4"/>
      <c r="R97" s="4"/>
      <c r="S97" s="4"/>
      <c r="T97" s="4"/>
      <c r="U97" s="4"/>
      <c r="V97" s="4"/>
    </row>
    <row r="98" spans="2:22" x14ac:dyDescent="0.4">
      <c r="E98" s="4"/>
      <c r="I98" s="4"/>
      <c r="J98" s="4"/>
      <c r="K98" s="4"/>
      <c r="L98" s="4"/>
      <c r="M98" s="4"/>
      <c r="N98" s="4"/>
      <c r="O98" s="4"/>
      <c r="P98" s="4"/>
      <c r="Q98" s="4"/>
      <c r="R98" s="4"/>
      <c r="S98" s="4"/>
      <c r="T98" s="4"/>
      <c r="U98" s="4"/>
      <c r="V98" s="4"/>
    </row>
    <row r="99" spans="2:22" x14ac:dyDescent="0.4">
      <c r="E99" s="4"/>
      <c r="I99" s="4"/>
      <c r="J99" s="4"/>
      <c r="K99" s="4"/>
      <c r="L99" s="4"/>
      <c r="M99" s="4"/>
      <c r="N99" s="4"/>
      <c r="O99" s="4"/>
      <c r="P99" s="4"/>
      <c r="Q99" s="4"/>
      <c r="R99" s="4"/>
      <c r="S99" s="4"/>
      <c r="T99" s="4"/>
      <c r="U99" s="4"/>
      <c r="V99" s="4"/>
    </row>
    <row r="100" spans="2:22" x14ac:dyDescent="0.4">
      <c r="E100" s="4"/>
      <c r="I100" s="4"/>
      <c r="J100" s="4"/>
      <c r="K100" s="4"/>
      <c r="L100" s="4"/>
      <c r="M100" s="4"/>
      <c r="N100" s="4"/>
      <c r="O100" s="4"/>
      <c r="P100" s="4"/>
      <c r="Q100" s="4"/>
      <c r="R100" s="4"/>
      <c r="S100" s="4"/>
      <c r="T100" s="4"/>
      <c r="U100" s="4"/>
      <c r="V100" s="4"/>
    </row>
    <row r="101" spans="2:22" x14ac:dyDescent="0.4">
      <c r="E101" s="4"/>
      <c r="I101" s="4"/>
      <c r="J101" s="4"/>
      <c r="K101" s="4"/>
      <c r="L101" s="4"/>
      <c r="M101" s="4"/>
      <c r="N101" s="4"/>
      <c r="O101" s="4"/>
      <c r="P101" s="4"/>
      <c r="Q101" s="4"/>
      <c r="R101" s="4"/>
      <c r="S101" s="4"/>
      <c r="T101" s="4"/>
      <c r="U101" s="4"/>
      <c r="V101" s="4"/>
    </row>
    <row r="102" spans="2:22" x14ac:dyDescent="0.4">
      <c r="E102" s="4"/>
      <c r="I102" s="4"/>
      <c r="J102" s="4"/>
      <c r="K102" s="4"/>
      <c r="L102" s="4"/>
      <c r="M102" s="4"/>
      <c r="N102" s="4"/>
      <c r="O102" s="4"/>
      <c r="P102" s="4"/>
      <c r="Q102" s="4"/>
      <c r="R102" s="4"/>
      <c r="S102" s="4"/>
      <c r="T102" s="4"/>
      <c r="U102" s="4"/>
      <c r="V102" s="4"/>
    </row>
    <row r="103" spans="2:22" x14ac:dyDescent="0.4">
      <c r="E103" s="4"/>
      <c r="I103" s="4"/>
      <c r="J103" s="4"/>
      <c r="K103" s="4"/>
      <c r="L103" s="4"/>
      <c r="M103" s="4"/>
      <c r="N103" s="4"/>
      <c r="O103" s="4"/>
      <c r="P103" s="4"/>
      <c r="Q103" s="4"/>
      <c r="R103" s="4"/>
      <c r="S103" s="4"/>
      <c r="T103" s="4"/>
      <c r="U103" s="4"/>
      <c r="V103" s="4"/>
    </row>
    <row r="104" spans="2:22" x14ac:dyDescent="0.4">
      <c r="B104" s="4"/>
      <c r="C104" s="4"/>
      <c r="D104" s="4"/>
      <c r="E104" s="4"/>
      <c r="H104" s="4"/>
      <c r="K104" s="4"/>
      <c r="L104" s="4"/>
      <c r="M104" s="4"/>
      <c r="N104" s="4"/>
      <c r="O104" s="4"/>
      <c r="P104" s="4"/>
      <c r="Q104" s="4"/>
      <c r="R104" s="4"/>
      <c r="S104" s="4"/>
      <c r="T104" s="4"/>
      <c r="U104" s="4"/>
      <c r="V104" s="4"/>
    </row>
    <row r="105" spans="2:22" x14ac:dyDescent="0.4">
      <c r="B105" s="4"/>
      <c r="C105" s="4"/>
      <c r="D105" s="4"/>
      <c r="E105" s="4"/>
      <c r="G105" s="4"/>
      <c r="H105" s="4"/>
      <c r="K105" s="4"/>
      <c r="L105" s="4"/>
      <c r="M105" s="4"/>
      <c r="N105" s="4"/>
      <c r="O105" s="4"/>
      <c r="P105" s="4"/>
      <c r="Q105" s="4"/>
      <c r="R105" s="4"/>
      <c r="S105" s="4"/>
      <c r="T105" s="4"/>
      <c r="U105" s="4"/>
      <c r="V105" s="4"/>
    </row>
    <row r="106" spans="2:22" x14ac:dyDescent="0.4">
      <c r="B106" s="4"/>
      <c r="C106" s="4"/>
      <c r="D106" s="4"/>
      <c r="E106" s="4"/>
      <c r="G106" s="4"/>
      <c r="H106" s="4"/>
      <c r="K106" s="4"/>
      <c r="L106" s="4"/>
      <c r="M106" s="4"/>
      <c r="N106" s="4"/>
      <c r="O106" s="4"/>
      <c r="P106" s="4"/>
      <c r="Q106" s="4"/>
      <c r="R106" s="4"/>
      <c r="S106" s="4"/>
      <c r="T106" s="4"/>
      <c r="U106" s="4"/>
      <c r="V106" s="4"/>
    </row>
    <row r="107" spans="2:22" x14ac:dyDescent="0.4">
      <c r="B107" s="4"/>
      <c r="C107" s="4"/>
      <c r="D107" s="4"/>
      <c r="E107" s="4"/>
      <c r="G107" s="4"/>
      <c r="H107" s="4"/>
      <c r="K107" s="4"/>
      <c r="L107" s="4"/>
      <c r="M107" s="4"/>
      <c r="N107" s="4"/>
      <c r="O107" s="4"/>
      <c r="P107" s="4"/>
      <c r="Q107" s="4"/>
      <c r="R107" s="4"/>
      <c r="S107" s="4"/>
      <c r="T107" s="4"/>
      <c r="U107" s="4"/>
      <c r="V107" s="4"/>
    </row>
    <row r="108" spans="2:22" x14ac:dyDescent="0.4">
      <c r="B108" s="4"/>
      <c r="C108" s="4"/>
      <c r="D108" s="4"/>
      <c r="E108" s="4"/>
      <c r="G108" s="4"/>
      <c r="H108" s="4"/>
      <c r="I108" s="4"/>
      <c r="J108" s="4"/>
      <c r="K108" s="4"/>
      <c r="L108" s="4"/>
      <c r="M108" s="4"/>
      <c r="N108" s="4"/>
      <c r="O108" s="4"/>
      <c r="P108" s="4"/>
      <c r="Q108" s="4"/>
      <c r="R108" s="4"/>
      <c r="S108" s="4"/>
      <c r="T108" s="4"/>
      <c r="U108" s="4"/>
      <c r="V108" s="4"/>
    </row>
    <row r="109" spans="2:22" x14ac:dyDescent="0.4">
      <c r="B109" s="4"/>
      <c r="C109" s="4"/>
      <c r="D109" s="4"/>
      <c r="E109" s="4"/>
      <c r="G109" s="4"/>
      <c r="K109" s="4"/>
      <c r="L109" s="4"/>
      <c r="M109" s="4"/>
      <c r="N109" s="4"/>
      <c r="O109" s="4"/>
      <c r="P109" s="4"/>
      <c r="Q109" s="4"/>
      <c r="R109" s="4"/>
      <c r="S109" s="4"/>
      <c r="T109" s="4"/>
      <c r="U109" s="4"/>
      <c r="V109" s="4"/>
    </row>
    <row r="110" spans="2:22" x14ac:dyDescent="0.4">
      <c r="B110" s="4"/>
      <c r="C110" s="4"/>
      <c r="D110" s="4"/>
      <c r="E110" s="4"/>
      <c r="K110" s="4"/>
      <c r="L110" s="4"/>
      <c r="M110" s="4"/>
      <c r="N110" s="4"/>
      <c r="O110" s="4"/>
      <c r="P110" s="4"/>
      <c r="Q110" s="4"/>
      <c r="R110" s="4"/>
      <c r="S110" s="4"/>
      <c r="T110" s="4"/>
      <c r="U110" s="4"/>
      <c r="V110" s="4"/>
    </row>
    <row r="111" spans="2:22" x14ac:dyDescent="0.4">
      <c r="B111" s="4"/>
      <c r="C111" s="4"/>
      <c r="D111" s="4"/>
      <c r="E111" s="4"/>
      <c r="K111" s="4"/>
      <c r="L111" s="4"/>
      <c r="M111" s="4"/>
      <c r="N111" s="4"/>
      <c r="O111" s="4"/>
      <c r="P111" s="4"/>
      <c r="Q111" s="4"/>
      <c r="R111" s="4"/>
      <c r="S111" s="4"/>
      <c r="T111" s="4"/>
      <c r="U111" s="4"/>
      <c r="V111" s="4"/>
    </row>
    <row r="112" spans="2:22" x14ac:dyDescent="0.4">
      <c r="B112" s="4"/>
      <c r="C112" s="4"/>
      <c r="D112" s="4"/>
      <c r="E112" s="4"/>
      <c r="I112" s="4"/>
      <c r="J112" s="4"/>
      <c r="K112" s="4"/>
      <c r="L112" s="4"/>
      <c r="M112" s="4"/>
      <c r="N112" s="4"/>
      <c r="O112" s="4"/>
      <c r="P112" s="4"/>
      <c r="Q112" s="4"/>
      <c r="R112" s="4"/>
      <c r="S112" s="4"/>
      <c r="T112" s="4"/>
      <c r="U112" s="4"/>
      <c r="V112" s="4"/>
    </row>
    <row r="113" spans="2:22" x14ac:dyDescent="0.4">
      <c r="B113" s="4"/>
      <c r="C113" s="4"/>
      <c r="D113" s="4"/>
      <c r="E113" s="4"/>
      <c r="I113" s="4"/>
      <c r="J113" s="4"/>
      <c r="K113" s="4"/>
      <c r="L113" s="4"/>
      <c r="M113" s="4"/>
      <c r="N113" s="4"/>
      <c r="O113" s="4"/>
      <c r="P113" s="4"/>
      <c r="Q113" s="4"/>
      <c r="R113" s="4"/>
      <c r="S113" s="4"/>
      <c r="T113" s="4"/>
      <c r="U113" s="4"/>
      <c r="V113" s="4"/>
    </row>
    <row r="114" spans="2:22" x14ac:dyDescent="0.4">
      <c r="B114" s="4"/>
      <c r="C114" s="4"/>
      <c r="D114" s="4"/>
      <c r="E114" s="4"/>
      <c r="F114" s="4"/>
      <c r="G114" s="4"/>
      <c r="H114" s="4"/>
      <c r="I114" s="4"/>
      <c r="J114" s="4"/>
      <c r="K114" s="4"/>
      <c r="L114" s="4"/>
      <c r="M114" s="4"/>
      <c r="N114" s="4"/>
      <c r="O114" s="4"/>
      <c r="P114" s="4"/>
      <c r="Q114" s="4"/>
      <c r="R114" s="4"/>
      <c r="S114" s="4"/>
      <c r="T114" s="4"/>
      <c r="U114" s="4"/>
      <c r="V114" s="4"/>
    </row>
  </sheetData>
  <mergeCells count="38">
    <mergeCell ref="K25:K26"/>
    <mergeCell ref="L25:L26"/>
    <mergeCell ref="L21:L22"/>
    <mergeCell ref="K27:K28"/>
    <mergeCell ref="L27:L28"/>
    <mergeCell ref="K23:K24"/>
    <mergeCell ref="L23:L24"/>
    <mergeCell ref="K21:K22"/>
    <mergeCell ref="J21:J22"/>
    <mergeCell ref="J23:J24"/>
    <mergeCell ref="J25:J26"/>
    <mergeCell ref="J27:J28"/>
    <mergeCell ref="B5:B8"/>
    <mergeCell ref="B9:B12"/>
    <mergeCell ref="B13:B16"/>
    <mergeCell ref="B19:B21"/>
    <mergeCell ref="B22:B24"/>
    <mergeCell ref="B25:B27"/>
    <mergeCell ref="B28:B30"/>
    <mergeCell ref="B31:B33"/>
    <mergeCell ref="B34:B36"/>
    <mergeCell ref="B37:B39"/>
    <mergeCell ref="B40:B42"/>
    <mergeCell ref="B43:B45"/>
    <mergeCell ref="B46:B48"/>
    <mergeCell ref="B49:B51"/>
    <mergeCell ref="B52:B54"/>
    <mergeCell ref="B55:B57"/>
    <mergeCell ref="B61:B63"/>
    <mergeCell ref="B64:B66"/>
    <mergeCell ref="B67:B69"/>
    <mergeCell ref="B70:B72"/>
    <mergeCell ref="B73:B75"/>
    <mergeCell ref="J62:J63"/>
    <mergeCell ref="J65:J66"/>
    <mergeCell ref="J68:J69"/>
    <mergeCell ref="J71:J72"/>
    <mergeCell ref="J74:J75"/>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sheetPr>
  <dimension ref="B2:X216"/>
  <sheetViews>
    <sheetView showGridLines="0" topLeftCell="A5" zoomScale="55" zoomScaleNormal="55" workbookViewId="0">
      <selection activeCell="H49" sqref="H49"/>
    </sheetView>
  </sheetViews>
  <sheetFormatPr defaultColWidth="8.69921875" defaultRowHeight="13.8" x14ac:dyDescent="0.4"/>
  <cols>
    <col min="1" max="1" width="8.69921875" style="1"/>
    <col min="2" max="2" width="12.59765625" style="1" customWidth="1"/>
    <col min="3" max="3" width="42.8984375" style="1" customWidth="1"/>
    <col min="4" max="4" width="6.8984375" style="1" bestFit="1" customWidth="1"/>
    <col min="5" max="5" width="29.19921875" style="1" customWidth="1"/>
    <col min="6" max="6" width="15.3984375" style="1" bestFit="1" customWidth="1"/>
    <col min="7" max="7" width="1.69921875" style="1" bestFit="1" customWidth="1"/>
    <col min="8" max="9" width="8.69921875" style="1" customWidth="1"/>
    <col min="10" max="10" width="12.59765625" style="1" customWidth="1"/>
    <col min="11" max="11" width="33.19921875" style="1" customWidth="1"/>
    <col min="12" max="12" width="7" style="1" bestFit="1" customWidth="1"/>
    <col min="13" max="13" width="27.69921875" style="1" customWidth="1"/>
    <col min="14" max="14" width="15.8984375" style="1" bestFit="1" customWidth="1"/>
    <col min="15" max="15" width="2.09765625" style="1" bestFit="1" customWidth="1"/>
    <col min="16" max="16" width="8.69921875" style="1" customWidth="1"/>
    <col min="17" max="18" width="8.69921875" style="1"/>
    <col min="19" max="19" width="21.8984375" style="1" customWidth="1"/>
    <col min="20" max="20" width="22.59765625" style="1" customWidth="1"/>
    <col min="21" max="21" width="19.8984375" style="1" bestFit="1" customWidth="1"/>
    <col min="22" max="22" width="22.59765625" style="1" customWidth="1"/>
    <col min="23" max="23" width="17.3984375" style="1" bestFit="1" customWidth="1"/>
    <col min="24" max="16384" width="8.69921875" style="1"/>
  </cols>
  <sheetData>
    <row r="2" spans="2:24" ht="30" x14ac:dyDescent="0.4">
      <c r="B2" s="208" t="s">
        <v>407</v>
      </c>
    </row>
    <row r="5" spans="2:24" ht="14.4" thickBot="1" x14ac:dyDescent="0.45"/>
    <row r="6" spans="2:24" ht="21" thickBot="1" x14ac:dyDescent="0.45">
      <c r="B6" s="10" t="s">
        <v>186</v>
      </c>
      <c r="C6" s="11"/>
      <c r="D6" s="11"/>
      <c r="E6" s="12"/>
      <c r="F6" s="92" t="s">
        <v>348</v>
      </c>
      <c r="G6" s="92" t="s">
        <v>348</v>
      </c>
      <c r="H6" s="92" t="s">
        <v>348</v>
      </c>
      <c r="I6" s="92" t="s">
        <v>348</v>
      </c>
      <c r="J6" s="10" t="s">
        <v>352</v>
      </c>
      <c r="K6" s="11"/>
      <c r="L6" s="11"/>
      <c r="M6" s="12"/>
      <c r="N6" s="92" t="s">
        <v>348</v>
      </c>
      <c r="O6" s="92" t="s">
        <v>348</v>
      </c>
      <c r="P6" s="92" t="s">
        <v>348</v>
      </c>
      <c r="R6" s="10" t="s">
        <v>309</v>
      </c>
      <c r="S6" s="11"/>
      <c r="T6" s="11"/>
      <c r="U6" s="12"/>
      <c r="V6" s="92"/>
      <c r="W6" s="92"/>
      <c r="X6" s="92"/>
    </row>
    <row r="7" spans="2:24" ht="19.2" x14ac:dyDescent="0.4">
      <c r="B7" s="93" t="s">
        <v>348</v>
      </c>
      <c r="C7" s="94" t="s">
        <v>348</v>
      </c>
      <c r="D7" s="94" t="s">
        <v>348</v>
      </c>
      <c r="E7" s="94" t="s">
        <v>348</v>
      </c>
      <c r="F7" s="94" t="s">
        <v>348</v>
      </c>
      <c r="G7" s="94" t="s">
        <v>348</v>
      </c>
      <c r="H7" s="95" t="s">
        <v>348</v>
      </c>
      <c r="I7" s="92" t="s">
        <v>348</v>
      </c>
      <c r="J7" s="93" t="s">
        <v>348</v>
      </c>
      <c r="K7" s="94" t="s">
        <v>348</v>
      </c>
      <c r="L7" s="94" t="s">
        <v>348</v>
      </c>
      <c r="M7" s="94" t="s">
        <v>348</v>
      </c>
      <c r="N7" s="94" t="s">
        <v>348</v>
      </c>
      <c r="O7" s="94" t="s">
        <v>348</v>
      </c>
      <c r="P7" s="95" t="s">
        <v>348</v>
      </c>
      <c r="R7" s="96"/>
      <c r="S7" s="97"/>
      <c r="T7" s="97"/>
      <c r="U7" s="97"/>
      <c r="V7" s="97"/>
      <c r="W7" s="97"/>
      <c r="X7" s="98"/>
    </row>
    <row r="8" spans="2:24" ht="19.2" x14ac:dyDescent="0.4">
      <c r="B8" s="100" t="s">
        <v>348</v>
      </c>
      <c r="C8" s="101" t="s">
        <v>188</v>
      </c>
      <c r="D8" s="102" t="s">
        <v>21</v>
      </c>
      <c r="E8" s="101" t="s">
        <v>22</v>
      </c>
      <c r="F8" s="101" t="s">
        <v>189</v>
      </c>
      <c r="G8" s="101"/>
      <c r="H8" s="103"/>
      <c r="I8" s="92" t="s">
        <v>348</v>
      </c>
      <c r="J8" s="100" t="s">
        <v>348</v>
      </c>
      <c r="K8" s="101" t="s">
        <v>188</v>
      </c>
      <c r="L8" s="102" t="s">
        <v>21</v>
      </c>
      <c r="M8" s="101" t="s">
        <v>22</v>
      </c>
      <c r="N8" s="101" t="s">
        <v>189</v>
      </c>
      <c r="O8" s="101" t="s">
        <v>349</v>
      </c>
      <c r="P8" s="103" t="s">
        <v>349</v>
      </c>
      <c r="R8" s="104"/>
      <c r="S8" s="105" t="s">
        <v>188</v>
      </c>
      <c r="T8" s="105" t="s">
        <v>310</v>
      </c>
      <c r="U8" s="105" t="s">
        <v>311</v>
      </c>
      <c r="V8" s="105" t="s">
        <v>312</v>
      </c>
      <c r="W8" s="107"/>
      <c r="X8" s="108"/>
    </row>
    <row r="9" spans="2:24" ht="19.2" x14ac:dyDescent="0.4">
      <c r="B9" s="100" t="s">
        <v>348</v>
      </c>
      <c r="C9" s="109" t="s">
        <v>348</v>
      </c>
      <c r="D9" s="109" t="s">
        <v>348</v>
      </c>
      <c r="E9" s="109" t="s">
        <v>348</v>
      </c>
      <c r="F9" s="109" t="s">
        <v>348</v>
      </c>
      <c r="G9" s="109" t="s">
        <v>348</v>
      </c>
      <c r="H9" s="110" t="s">
        <v>348</v>
      </c>
      <c r="I9" s="92" t="s">
        <v>348</v>
      </c>
      <c r="J9" s="100" t="s">
        <v>348</v>
      </c>
      <c r="K9" s="109" t="s">
        <v>348</v>
      </c>
      <c r="L9" s="109" t="s">
        <v>348</v>
      </c>
      <c r="M9" s="109" t="s">
        <v>348</v>
      </c>
      <c r="N9" s="109" t="s">
        <v>348</v>
      </c>
      <c r="O9" s="109" t="s">
        <v>348</v>
      </c>
      <c r="P9" s="110" t="s">
        <v>348</v>
      </c>
      <c r="R9" s="104"/>
      <c r="S9" s="111"/>
      <c r="T9" s="111"/>
      <c r="U9" s="111"/>
      <c r="V9" s="111"/>
      <c r="W9" s="111"/>
      <c r="X9" s="112"/>
    </row>
    <row r="10" spans="2:24" ht="19.2" x14ac:dyDescent="0.4">
      <c r="B10" s="100" t="s">
        <v>348</v>
      </c>
      <c r="C10" s="101" t="s">
        <v>190</v>
      </c>
      <c r="D10" s="109" t="s">
        <v>348</v>
      </c>
      <c r="E10" s="109" t="s">
        <v>348</v>
      </c>
      <c r="F10" s="109" t="s">
        <v>348</v>
      </c>
      <c r="G10" s="109" t="s">
        <v>348</v>
      </c>
      <c r="H10" s="110" t="s">
        <v>348</v>
      </c>
      <c r="I10" s="92" t="s">
        <v>348</v>
      </c>
      <c r="J10" s="100" t="s">
        <v>348</v>
      </c>
      <c r="K10" s="101" t="s">
        <v>244</v>
      </c>
      <c r="L10" s="109" t="s">
        <v>348</v>
      </c>
      <c r="M10" s="109" t="s">
        <v>348</v>
      </c>
      <c r="N10" s="109" t="s">
        <v>348</v>
      </c>
      <c r="O10" s="109" t="s">
        <v>348</v>
      </c>
      <c r="P10" s="110" t="s">
        <v>348</v>
      </c>
      <c r="R10" s="104"/>
      <c r="S10" s="105" t="s">
        <v>313</v>
      </c>
      <c r="T10" s="111"/>
      <c r="U10" s="111"/>
      <c r="V10" s="111"/>
      <c r="W10" s="111"/>
      <c r="X10" s="112"/>
    </row>
    <row r="11" spans="2:24" ht="19.2" x14ac:dyDescent="0.4">
      <c r="B11" s="100" t="s">
        <v>348</v>
      </c>
      <c r="C11" s="109" t="s">
        <v>191</v>
      </c>
      <c r="D11" s="331">
        <v>100</v>
      </c>
      <c r="E11" s="113" t="s">
        <v>192</v>
      </c>
      <c r="F11" s="381">
        <f>SUM('5. Equipment price'!$K$9,'5. Equipment price'!$K$19:$K$20,'5. Equipment price'!$K$21,'5. Equipment price'!$K$23,'5. Equipment price'!$K$25,'5. Equipment price'!$K$27,'5. Equipment price'!$K$29,'5. Equipment price'!$K$66,'5. Equipment price'!$K$69,'5. Equipment price'!$K$72,'5. Equipment price'!$K$75,'5. Equipment price'!$K$63)</f>
        <v>2340731.953567354</v>
      </c>
      <c r="G11" s="382"/>
      <c r="H11" s="114"/>
      <c r="I11" s="92" t="s">
        <v>348</v>
      </c>
      <c r="J11" s="100" t="s">
        <v>348</v>
      </c>
      <c r="K11" s="141" t="s">
        <v>245</v>
      </c>
      <c r="L11" s="155"/>
      <c r="M11" s="155"/>
      <c r="N11" s="389">
        <f>'5. Equipment price'!$D$83</f>
        <v>39122605.862932436</v>
      </c>
      <c r="O11" s="390"/>
      <c r="P11" s="114"/>
      <c r="R11" s="104"/>
      <c r="S11" s="107" t="s">
        <v>327</v>
      </c>
      <c r="T11" s="115">
        <f>'4. Material &amp; energy balance'!C8</f>
        <v>18018018</v>
      </c>
      <c r="U11" s="322">
        <f>'3. Inputs &amp; results'!H28</f>
        <v>0.78</v>
      </c>
      <c r="V11" s="191">
        <f t="shared" ref="V11:V16" si="0">T11*U11</f>
        <v>14054054.040000001</v>
      </c>
      <c r="W11" s="107"/>
      <c r="X11" s="117"/>
    </row>
    <row r="12" spans="2:24" ht="19.2" x14ac:dyDescent="0.4">
      <c r="B12" s="100" t="s">
        <v>348</v>
      </c>
      <c r="C12" s="109" t="s">
        <v>193</v>
      </c>
      <c r="D12" s="332">
        <v>40</v>
      </c>
      <c r="E12" s="113" t="s">
        <v>192</v>
      </c>
      <c r="F12" s="381">
        <f>0.4*F11</f>
        <v>936292.78142694163</v>
      </c>
      <c r="G12" s="382"/>
      <c r="H12" s="114"/>
      <c r="I12" s="92" t="s">
        <v>348</v>
      </c>
      <c r="J12" s="100" t="s">
        <v>348</v>
      </c>
      <c r="K12" s="141" t="s">
        <v>247</v>
      </c>
      <c r="L12" s="333">
        <v>15</v>
      </c>
      <c r="M12" s="156" t="s">
        <v>248</v>
      </c>
      <c r="N12" s="389">
        <f>N48*0.15</f>
        <v>19259985.542482231</v>
      </c>
      <c r="O12" s="390"/>
      <c r="P12" s="114"/>
      <c r="R12" s="104"/>
      <c r="S12" s="107" t="s">
        <v>328</v>
      </c>
      <c r="T12" s="115">
        <f>'4. Material &amp; energy balance'!D8+'4. Material &amp; energy balance'!D15+'4. Material &amp; energy balance'!D29+'4. Material &amp; energy balance'!H47</f>
        <v>50817770.270270273</v>
      </c>
      <c r="U12" s="322">
        <f>'3. Inputs &amp; results'!H29</f>
        <v>0.12</v>
      </c>
      <c r="V12" s="191">
        <f t="shared" si="0"/>
        <v>6098132.4324324327</v>
      </c>
      <c r="W12" s="107"/>
      <c r="X12" s="117"/>
    </row>
    <row r="13" spans="2:24" ht="19.2" x14ac:dyDescent="0.4">
      <c r="B13" s="100" t="s">
        <v>348</v>
      </c>
      <c r="C13" s="109" t="s">
        <v>194</v>
      </c>
      <c r="D13" s="119">
        <v>29</v>
      </c>
      <c r="E13" s="113" t="s">
        <v>192</v>
      </c>
      <c r="F13" s="381">
        <f>F11*0.29</f>
        <v>678812.26653453265</v>
      </c>
      <c r="G13" s="382"/>
      <c r="H13" s="114"/>
      <c r="I13" s="92" t="s">
        <v>348</v>
      </c>
      <c r="J13" s="100" t="s">
        <v>348</v>
      </c>
      <c r="K13" s="141" t="s">
        <v>249</v>
      </c>
      <c r="L13" s="157">
        <v>15</v>
      </c>
      <c r="M13" s="156" t="s">
        <v>250</v>
      </c>
      <c r="N13" s="389">
        <f>0.0225*N48</f>
        <v>2888997.8313723346</v>
      </c>
      <c r="O13" s="390"/>
      <c r="P13" s="114"/>
      <c r="R13" s="104"/>
      <c r="S13" s="107" t="s">
        <v>326</v>
      </c>
      <c r="T13" s="115">
        <f>'4. Material &amp; energy balance'!C23</f>
        <v>39062500</v>
      </c>
      <c r="U13" s="322">
        <f>'3. Inputs &amp; results'!H27</f>
        <v>0.14000000000000001</v>
      </c>
      <c r="V13" s="191">
        <f t="shared" si="0"/>
        <v>5468750.0000000009</v>
      </c>
      <c r="W13" s="107"/>
      <c r="X13" s="117"/>
    </row>
    <row r="14" spans="2:24" ht="19.2" x14ac:dyDescent="0.4">
      <c r="B14" s="100" t="s">
        <v>348</v>
      </c>
      <c r="C14" s="109" t="s">
        <v>195</v>
      </c>
      <c r="D14" s="119">
        <v>45</v>
      </c>
      <c r="E14" s="113" t="s">
        <v>192</v>
      </c>
      <c r="F14" s="381">
        <f>F11*0.45</f>
        <v>1053329.3791053093</v>
      </c>
      <c r="G14" s="382"/>
      <c r="H14" s="114"/>
      <c r="I14" s="92" t="s">
        <v>348</v>
      </c>
      <c r="J14" s="100" t="s">
        <v>348</v>
      </c>
      <c r="K14" s="141" t="s">
        <v>251</v>
      </c>
      <c r="L14" s="158"/>
      <c r="M14" s="155"/>
      <c r="N14" s="389">
        <f>'5. Equipment price'!$D$85</f>
        <v>9021371.7758417632</v>
      </c>
      <c r="O14" s="390"/>
      <c r="P14" s="114"/>
      <c r="R14" s="104"/>
      <c r="S14" s="107" t="s">
        <v>45</v>
      </c>
      <c r="T14" s="115">
        <f>'4. Material &amp; energy balance'!C35</f>
        <v>43800000</v>
      </c>
      <c r="U14" s="322">
        <f>'3. Inputs &amp; results'!H31</f>
        <v>0.23</v>
      </c>
      <c r="V14" s="191">
        <f t="shared" si="0"/>
        <v>10074000</v>
      </c>
      <c r="W14" s="107"/>
      <c r="X14" s="117"/>
    </row>
    <row r="15" spans="2:24" ht="19.2" x14ac:dyDescent="0.4">
      <c r="B15" s="100" t="s">
        <v>348</v>
      </c>
      <c r="C15" s="109" t="s">
        <v>196</v>
      </c>
      <c r="D15" s="119">
        <v>25</v>
      </c>
      <c r="E15" s="113" t="s">
        <v>192</v>
      </c>
      <c r="F15" s="381">
        <f>'6-2. Economic evaluation'!D17*0.25</f>
        <v>585182.9883918385</v>
      </c>
      <c r="G15" s="382"/>
      <c r="H15" s="114"/>
      <c r="I15" s="92" t="s">
        <v>348</v>
      </c>
      <c r="J15" s="100" t="s">
        <v>348</v>
      </c>
      <c r="K15" s="141" t="s">
        <v>252</v>
      </c>
      <c r="L15" s="157">
        <v>6</v>
      </c>
      <c r="M15" s="113" t="s">
        <v>217</v>
      </c>
      <c r="N15" s="389">
        <f>0.06*'6-2. Economic evaluation'!D32</f>
        <v>3691540.8263118877</v>
      </c>
      <c r="O15" s="390"/>
      <c r="P15" s="114"/>
      <c r="R15" s="104"/>
      <c r="S15" s="107" t="s">
        <v>329</v>
      </c>
      <c r="T15" s="115">
        <f>'4. Material &amp; energy balance'!F47</f>
        <v>9371250</v>
      </c>
      <c r="U15" s="322">
        <f>'3. Inputs &amp; results'!H32</f>
        <v>0.26</v>
      </c>
      <c r="V15" s="191">
        <f t="shared" si="0"/>
        <v>2436525</v>
      </c>
      <c r="W15" s="107"/>
      <c r="X15" s="117"/>
    </row>
    <row r="16" spans="2:24" ht="19.2" x14ac:dyDescent="0.4">
      <c r="B16" s="100" t="s">
        <v>348</v>
      </c>
      <c r="C16" s="109" t="s">
        <v>197</v>
      </c>
      <c r="D16" s="119">
        <v>40</v>
      </c>
      <c r="E16" s="113" t="s">
        <v>192</v>
      </c>
      <c r="F16" s="381">
        <f>F11*0.4</f>
        <v>936292.78142694163</v>
      </c>
      <c r="G16" s="382"/>
      <c r="H16" s="114"/>
      <c r="I16" s="92" t="s">
        <v>348</v>
      </c>
      <c r="J16" s="100" t="s">
        <v>348</v>
      </c>
      <c r="K16" s="141" t="s">
        <v>253</v>
      </c>
      <c r="L16" s="119">
        <v>15</v>
      </c>
      <c r="M16" s="159" t="s">
        <v>254</v>
      </c>
      <c r="N16" s="389">
        <f>0.15*N15</f>
        <v>553731.12394678313</v>
      </c>
      <c r="O16" s="390"/>
      <c r="P16" s="114"/>
      <c r="R16" s="104"/>
      <c r="S16" s="120" t="s">
        <v>44</v>
      </c>
      <c r="T16" s="115">
        <f>'4. Material &amp; energy balance'!D67</f>
        <v>5537119.5</v>
      </c>
      <c r="U16" s="322">
        <f>'3. Inputs &amp; results'!H30</f>
        <v>0.17899999999999999</v>
      </c>
      <c r="V16" s="191">
        <f t="shared" si="0"/>
        <v>991144.39049999998</v>
      </c>
      <c r="W16" s="107"/>
      <c r="X16" s="117"/>
    </row>
    <row r="17" spans="2:24" ht="19.2" x14ac:dyDescent="0.4">
      <c r="B17" s="100" t="s">
        <v>348</v>
      </c>
      <c r="C17" s="109" t="s">
        <v>199</v>
      </c>
      <c r="D17" s="119">
        <v>70</v>
      </c>
      <c r="E17" s="113" t="s">
        <v>192</v>
      </c>
      <c r="F17" s="381">
        <f>F11*0.7</f>
        <v>1638512.3674971478</v>
      </c>
      <c r="G17" s="382"/>
      <c r="H17" s="114"/>
      <c r="I17" s="92" t="s">
        <v>348</v>
      </c>
      <c r="J17" s="100" t="s">
        <v>348</v>
      </c>
      <c r="K17" s="141" t="s">
        <v>255</v>
      </c>
      <c r="L17" s="160">
        <v>15</v>
      </c>
      <c r="M17" s="113" t="s">
        <v>250</v>
      </c>
      <c r="N17" s="389">
        <f>0.0225*N48</f>
        <v>2888997.8313723346</v>
      </c>
      <c r="O17" s="390"/>
      <c r="P17" s="114"/>
      <c r="R17" s="104"/>
      <c r="S17" s="163" t="s">
        <v>314</v>
      </c>
      <c r="T17" s="111"/>
      <c r="U17" s="107"/>
      <c r="V17" s="323">
        <f>SUM(V11:V16)</f>
        <v>39122605.862932436</v>
      </c>
      <c r="W17" s="107"/>
      <c r="X17" s="117"/>
    </row>
    <row r="18" spans="2:24" ht="19.2" x14ac:dyDescent="0.4">
      <c r="B18" s="100" t="s">
        <v>348</v>
      </c>
      <c r="C18" s="109" t="s">
        <v>205</v>
      </c>
      <c r="D18" s="119">
        <v>8</v>
      </c>
      <c r="E18" s="113" t="s">
        <v>192</v>
      </c>
      <c r="F18" s="381">
        <f>F11*0.08</f>
        <v>187258.55628538833</v>
      </c>
      <c r="G18" s="382"/>
      <c r="H18" s="114"/>
      <c r="I18" s="92" t="s">
        <v>348</v>
      </c>
      <c r="J18" s="100" t="s">
        <v>348</v>
      </c>
      <c r="K18" s="161" t="s">
        <v>256</v>
      </c>
      <c r="L18" s="162">
        <v>3</v>
      </c>
      <c r="M18" s="113" t="s">
        <v>248</v>
      </c>
      <c r="N18" s="389">
        <f>0.03*N48</f>
        <v>3851997.1084964462</v>
      </c>
      <c r="O18" s="390"/>
      <c r="P18" s="114"/>
      <c r="R18" s="104"/>
      <c r="S18" s="111"/>
      <c r="T18" s="111"/>
      <c r="U18" s="121"/>
      <c r="V18" s="107"/>
      <c r="W18" s="107"/>
      <c r="X18" s="117"/>
    </row>
    <row r="19" spans="2:24" ht="19.2" x14ac:dyDescent="0.4">
      <c r="B19" s="100" t="s">
        <v>348</v>
      </c>
      <c r="C19" s="122" t="s">
        <v>206</v>
      </c>
      <c r="D19" s="101">
        <f>SUM(D11:D18)</f>
        <v>357</v>
      </c>
      <c r="E19" s="123" t="s">
        <v>192</v>
      </c>
      <c r="F19" s="383">
        <f>SUM(F11:F18)</f>
        <v>8356413.0742354542</v>
      </c>
      <c r="G19" s="384"/>
      <c r="H19" s="114"/>
      <c r="I19" s="92" t="s">
        <v>348</v>
      </c>
      <c r="J19" s="100" t="s">
        <v>348</v>
      </c>
      <c r="K19" s="163" t="s">
        <v>257</v>
      </c>
      <c r="L19" s="122"/>
      <c r="M19" s="123"/>
      <c r="N19" s="397">
        <f>SUM(N11:N18)</f>
        <v>81279227.902756214</v>
      </c>
      <c r="O19" s="398"/>
      <c r="P19" s="114"/>
      <c r="R19" s="104"/>
      <c r="S19" s="105"/>
      <c r="T19" s="105"/>
      <c r="U19" s="124"/>
      <c r="V19" s="106"/>
      <c r="W19" s="106"/>
      <c r="X19" s="117"/>
    </row>
    <row r="20" spans="2:24" ht="19.2" x14ac:dyDescent="0.4">
      <c r="B20" s="100" t="s">
        <v>348</v>
      </c>
      <c r="C20" s="109"/>
      <c r="D20" s="127"/>
      <c r="E20" s="128"/>
      <c r="F20" s="109" t="s">
        <v>208</v>
      </c>
      <c r="G20" s="109" t="s">
        <v>348</v>
      </c>
      <c r="H20" s="129" t="s">
        <v>348</v>
      </c>
      <c r="I20" s="92" t="s">
        <v>348</v>
      </c>
      <c r="J20" s="100" t="s">
        <v>348</v>
      </c>
      <c r="K20" s="109"/>
      <c r="L20" s="127"/>
      <c r="M20" s="128"/>
      <c r="N20" s="109" t="s">
        <v>208</v>
      </c>
      <c r="O20" s="109" t="s">
        <v>348</v>
      </c>
      <c r="P20" s="129" t="s">
        <v>348</v>
      </c>
      <c r="R20" s="104"/>
      <c r="S20" s="111"/>
      <c r="T20" s="130"/>
      <c r="U20" s="121"/>
      <c r="V20" s="111"/>
      <c r="W20" s="111"/>
      <c r="X20" s="112"/>
    </row>
    <row r="21" spans="2:24" ht="19.2" x14ac:dyDescent="0.4">
      <c r="B21" s="100" t="s">
        <v>348</v>
      </c>
      <c r="C21" s="131"/>
      <c r="D21" s="131"/>
      <c r="E21" s="131"/>
      <c r="F21" s="101" t="s">
        <v>208</v>
      </c>
      <c r="G21" s="101" t="s">
        <v>349</v>
      </c>
      <c r="H21" s="132" t="s">
        <v>349</v>
      </c>
      <c r="I21" s="92" t="s">
        <v>348</v>
      </c>
      <c r="J21" s="100" t="s">
        <v>348</v>
      </c>
      <c r="K21" s="131"/>
      <c r="L21" s="131"/>
      <c r="M21" s="131"/>
      <c r="N21" s="101" t="s">
        <v>208</v>
      </c>
      <c r="O21" s="101" t="s">
        <v>349</v>
      </c>
      <c r="P21" s="132" t="s">
        <v>349</v>
      </c>
      <c r="R21" s="104"/>
      <c r="S21" s="105" t="s">
        <v>219</v>
      </c>
      <c r="T21" s="107"/>
      <c r="U21" s="107"/>
      <c r="V21" s="105"/>
      <c r="W21" s="105"/>
      <c r="X21" s="108"/>
    </row>
    <row r="22" spans="2:24" ht="19.2" x14ac:dyDescent="0.4">
      <c r="B22" s="100" t="s">
        <v>348</v>
      </c>
      <c r="C22" s="109" t="s">
        <v>348</v>
      </c>
      <c r="D22" s="109" t="s">
        <v>348</v>
      </c>
      <c r="E22" s="109" t="s">
        <v>348</v>
      </c>
      <c r="F22" s="109" t="s">
        <v>348</v>
      </c>
      <c r="G22" s="109" t="s">
        <v>348</v>
      </c>
      <c r="H22" s="129" t="s">
        <v>348</v>
      </c>
      <c r="I22" s="92" t="s">
        <v>348</v>
      </c>
      <c r="J22" s="100" t="s">
        <v>348</v>
      </c>
      <c r="K22" s="109" t="s">
        <v>348</v>
      </c>
      <c r="L22" s="109" t="s">
        <v>348</v>
      </c>
      <c r="M22" s="109" t="s">
        <v>348</v>
      </c>
      <c r="N22" s="109" t="s">
        <v>348</v>
      </c>
      <c r="O22" s="109" t="s">
        <v>348</v>
      </c>
      <c r="P22" s="129" t="s">
        <v>348</v>
      </c>
      <c r="R22" s="104"/>
      <c r="S22" s="107" t="s">
        <v>331</v>
      </c>
      <c r="T22" s="133">
        <f>'4. Material &amp; energy balance'!F73</f>
        <v>3590568</v>
      </c>
      <c r="U22" s="322">
        <f>'3. Inputs &amp; results'!H37</f>
        <v>72.994</v>
      </c>
      <c r="V22" s="191">
        <f>T22*U22</f>
        <v>262089920.59200001</v>
      </c>
      <c r="W22" s="111"/>
      <c r="X22" s="112"/>
    </row>
    <row r="23" spans="2:24" ht="19.2" x14ac:dyDescent="0.4">
      <c r="B23" s="100" t="s">
        <v>348</v>
      </c>
      <c r="C23" s="101" t="s">
        <v>211</v>
      </c>
      <c r="D23" s="109" t="s">
        <v>348</v>
      </c>
      <c r="E23" s="109" t="s">
        <v>348</v>
      </c>
      <c r="F23" s="134" t="s">
        <v>348</v>
      </c>
      <c r="G23" s="109" t="s">
        <v>348</v>
      </c>
      <c r="H23" s="129" t="s">
        <v>348</v>
      </c>
      <c r="I23" s="92" t="s">
        <v>348</v>
      </c>
      <c r="J23" s="100" t="s">
        <v>348</v>
      </c>
      <c r="K23" s="101" t="s">
        <v>258</v>
      </c>
      <c r="L23" s="109" t="s">
        <v>348</v>
      </c>
      <c r="M23" s="109" t="s">
        <v>348</v>
      </c>
      <c r="N23" s="109" t="s">
        <v>348</v>
      </c>
      <c r="O23" s="109" t="s">
        <v>348</v>
      </c>
      <c r="P23" s="129" t="s">
        <v>348</v>
      </c>
      <c r="R23" s="104"/>
      <c r="S23" s="120" t="s">
        <v>330</v>
      </c>
      <c r="T23" s="133">
        <f>'4. Material &amp; energy balance'!G8+'4. Material &amp; energy balance'!G15</f>
        <v>6500000</v>
      </c>
      <c r="U23" s="322">
        <f>'3. Inputs &amp; results'!H36</f>
        <v>2.8</v>
      </c>
      <c r="V23" s="191">
        <f>T23*U23</f>
        <v>18200000</v>
      </c>
      <c r="W23" s="111"/>
      <c r="X23" s="112"/>
    </row>
    <row r="24" spans="2:24" ht="19.2" x14ac:dyDescent="0.4">
      <c r="B24" s="100" t="s">
        <v>348</v>
      </c>
      <c r="C24" s="109" t="s">
        <v>213</v>
      </c>
      <c r="D24" s="135">
        <v>17.5</v>
      </c>
      <c r="E24" s="113" t="s">
        <v>214</v>
      </c>
      <c r="F24" s="387">
        <v>1570281.7179092616</v>
      </c>
      <c r="G24" s="388"/>
      <c r="H24" s="136"/>
      <c r="I24" s="92" t="s">
        <v>348</v>
      </c>
      <c r="J24" s="100" t="s">
        <v>348</v>
      </c>
      <c r="K24" s="141" t="s">
        <v>259</v>
      </c>
      <c r="L24" s="158"/>
      <c r="M24" s="155"/>
      <c r="N24" s="391">
        <f>'6-2. Economic evaluation'!D34/'3. Inputs &amp; results'!$H$45</f>
        <v>7238315.3457095847</v>
      </c>
      <c r="O24" s="392"/>
      <c r="P24" s="136"/>
      <c r="R24" s="104"/>
      <c r="S24" s="163" t="s">
        <v>226</v>
      </c>
      <c r="T24" s="111"/>
      <c r="U24" s="121"/>
      <c r="V24" s="323">
        <f>SUM(V22:V23)</f>
        <v>280289920.59200001</v>
      </c>
      <c r="W24" s="111"/>
      <c r="X24" s="112"/>
    </row>
    <row r="25" spans="2:24" ht="19.2" x14ac:dyDescent="0.4">
      <c r="B25" s="100" t="s">
        <v>348</v>
      </c>
      <c r="C25" s="109" t="s">
        <v>216</v>
      </c>
      <c r="D25" s="137">
        <v>2</v>
      </c>
      <c r="E25" s="113" t="s">
        <v>217</v>
      </c>
      <c r="F25" s="387">
        <v>1250363.8757222877</v>
      </c>
      <c r="G25" s="388"/>
      <c r="H25" s="136"/>
      <c r="I25" s="92" t="s">
        <v>348</v>
      </c>
      <c r="J25" s="100" t="s">
        <v>348</v>
      </c>
      <c r="K25" s="141" t="s">
        <v>260</v>
      </c>
      <c r="L25" s="426">
        <v>2.5</v>
      </c>
      <c r="M25" s="164" t="s">
        <v>217</v>
      </c>
      <c r="N25" s="391">
        <f>0.025*$F$33</f>
        <v>1541837.5393851381</v>
      </c>
      <c r="O25" s="392"/>
      <c r="P25" s="136"/>
      <c r="R25" s="104"/>
      <c r="S25" s="111"/>
      <c r="T25" s="111"/>
      <c r="U25" s="121"/>
      <c r="V25" s="111"/>
      <c r="W25" s="111"/>
      <c r="X25" s="112"/>
    </row>
    <row r="26" spans="2:24" ht="19.2" x14ac:dyDescent="0.4">
      <c r="B26" s="100" t="s">
        <v>348</v>
      </c>
      <c r="C26" s="109" t="s">
        <v>218</v>
      </c>
      <c r="D26" s="137">
        <v>15</v>
      </c>
      <c r="E26" s="113" t="s">
        <v>217</v>
      </c>
      <c r="F26" s="387">
        <v>9377729.067917157</v>
      </c>
      <c r="G26" s="388"/>
      <c r="H26" s="136"/>
      <c r="I26" s="92" t="s">
        <v>348</v>
      </c>
      <c r="J26" s="100" t="s">
        <v>348</v>
      </c>
      <c r="K26" s="141" t="s">
        <v>261</v>
      </c>
      <c r="L26" s="157">
        <v>0.75</v>
      </c>
      <c r="M26" s="113" t="s">
        <v>217</v>
      </c>
      <c r="N26" s="391">
        <f>0.0075*$F$33</f>
        <v>462551.26181554142</v>
      </c>
      <c r="O26" s="392"/>
      <c r="P26" s="136"/>
      <c r="R26" s="104"/>
      <c r="S26" s="111"/>
      <c r="T26" s="111"/>
      <c r="U26" s="121"/>
      <c r="V26" s="111"/>
      <c r="W26" s="111"/>
      <c r="X26" s="112"/>
    </row>
    <row r="27" spans="2:24" ht="19.2" x14ac:dyDescent="0.4">
      <c r="B27" s="100" t="s">
        <v>348</v>
      </c>
      <c r="C27" s="138" t="s">
        <v>221</v>
      </c>
      <c r="D27" s="137">
        <v>10</v>
      </c>
      <c r="E27" s="113" t="s">
        <v>217</v>
      </c>
      <c r="F27" s="387">
        <v>6251819.3786114389</v>
      </c>
      <c r="G27" s="388"/>
      <c r="H27" s="136"/>
      <c r="I27" s="92" t="s">
        <v>348</v>
      </c>
      <c r="J27" s="100" t="s">
        <v>348</v>
      </c>
      <c r="K27" s="141" t="s">
        <v>262</v>
      </c>
      <c r="L27" s="158"/>
      <c r="M27" s="155"/>
      <c r="N27" s="391" t="s">
        <v>447</v>
      </c>
      <c r="O27" s="392"/>
      <c r="P27" s="136"/>
      <c r="R27" s="104"/>
      <c r="S27" s="111"/>
      <c r="T27" s="111"/>
      <c r="U27" s="121"/>
      <c r="V27" s="111"/>
      <c r="W27" s="111"/>
      <c r="X27" s="112"/>
    </row>
    <row r="28" spans="2:24" ht="19.2" x14ac:dyDescent="0.4">
      <c r="B28" s="100" t="s">
        <v>348</v>
      </c>
      <c r="C28" s="101" t="s">
        <v>225</v>
      </c>
      <c r="D28" s="101"/>
      <c r="E28" s="128"/>
      <c r="F28" s="383">
        <v>18450194.040160146</v>
      </c>
      <c r="G28" s="384"/>
      <c r="H28" s="139"/>
      <c r="I28" s="92" t="s">
        <v>348</v>
      </c>
      <c r="J28" s="100" t="s">
        <v>348</v>
      </c>
      <c r="K28" s="161" t="s">
        <v>263</v>
      </c>
      <c r="L28" s="165"/>
      <c r="M28" s="166"/>
      <c r="N28" s="391" t="s">
        <v>170</v>
      </c>
      <c r="O28" s="392"/>
      <c r="P28" s="139"/>
      <c r="R28" s="104"/>
      <c r="S28" s="107"/>
      <c r="T28" s="107"/>
      <c r="U28" s="107"/>
      <c r="V28" s="107"/>
      <c r="W28" s="106"/>
      <c r="X28" s="108"/>
    </row>
    <row r="29" spans="2:24" ht="19.2" x14ac:dyDescent="0.4">
      <c r="B29" s="100" t="s">
        <v>348</v>
      </c>
      <c r="C29" s="131"/>
      <c r="D29" s="131"/>
      <c r="E29" s="131"/>
      <c r="F29" s="131"/>
      <c r="G29" s="101" t="s">
        <v>349</v>
      </c>
      <c r="H29" s="132" t="s">
        <v>349</v>
      </c>
      <c r="I29" s="92" t="s">
        <v>348</v>
      </c>
      <c r="J29" s="100" t="s">
        <v>348</v>
      </c>
      <c r="K29" s="163" t="s">
        <v>264</v>
      </c>
      <c r="L29" s="131"/>
      <c r="M29" s="131"/>
      <c r="N29" s="395">
        <f>SUM(N24:O28)</f>
        <v>9242704.1469102651</v>
      </c>
      <c r="O29" s="396"/>
      <c r="P29" s="132"/>
      <c r="R29" s="104"/>
      <c r="S29" s="107"/>
      <c r="T29" s="107"/>
      <c r="U29" s="107"/>
      <c r="V29" s="107"/>
      <c r="W29" s="105"/>
      <c r="X29" s="108"/>
    </row>
    <row r="30" spans="2:24" ht="19.2" x14ac:dyDescent="0.4">
      <c r="B30" s="100" t="s">
        <v>348</v>
      </c>
      <c r="C30" s="131"/>
      <c r="D30" s="131"/>
      <c r="E30" s="131"/>
      <c r="F30" s="131"/>
      <c r="G30" s="131"/>
      <c r="H30" s="140"/>
      <c r="I30" s="92" t="s">
        <v>348</v>
      </c>
      <c r="J30" s="167"/>
      <c r="K30" s="168"/>
      <c r="L30" s="168"/>
      <c r="M30" s="158"/>
      <c r="N30" s="402"/>
      <c r="O30" s="402"/>
      <c r="P30" s="403"/>
      <c r="R30" s="104"/>
      <c r="S30" s="106" t="s">
        <v>48</v>
      </c>
      <c r="T30" s="107"/>
      <c r="U30" s="107"/>
      <c r="V30" s="107"/>
      <c r="W30" s="107"/>
      <c r="X30" s="117"/>
    </row>
    <row r="31" spans="2:24" ht="19.2" x14ac:dyDescent="0.4">
      <c r="B31" s="100" t="s">
        <v>348</v>
      </c>
      <c r="C31" s="131"/>
      <c r="D31" s="131"/>
      <c r="E31" s="131"/>
      <c r="F31" s="131"/>
      <c r="G31" s="131"/>
      <c r="H31" s="140"/>
      <c r="I31" s="92" t="s">
        <v>348</v>
      </c>
      <c r="J31" s="167"/>
      <c r="K31" s="169"/>
      <c r="L31" s="169"/>
      <c r="M31" s="169"/>
      <c r="N31" s="402"/>
      <c r="O31" s="402"/>
      <c r="P31" s="403"/>
      <c r="R31" s="104"/>
      <c r="S31" s="107" t="s">
        <v>315</v>
      </c>
      <c r="T31" s="107" t="s">
        <v>316</v>
      </c>
      <c r="U31" s="107" t="s">
        <v>317</v>
      </c>
      <c r="V31" s="106" t="s">
        <v>318</v>
      </c>
      <c r="W31" s="106"/>
      <c r="X31" s="117"/>
    </row>
    <row r="32" spans="2:24" ht="19.2" x14ac:dyDescent="0.4">
      <c r="B32" s="100" t="s">
        <v>348</v>
      </c>
      <c r="C32" s="141" t="s">
        <v>228</v>
      </c>
      <c r="D32" s="141"/>
      <c r="E32" s="109" t="s">
        <v>348</v>
      </c>
      <c r="F32" s="391">
        <f>SUM('5. Equipment price'!$L$6:$L$8,'5. Equipment price'!$L$30:$L$37)</f>
        <v>35094961.357901312</v>
      </c>
      <c r="G32" s="392"/>
      <c r="H32" s="114"/>
      <c r="I32" s="92" t="s">
        <v>348</v>
      </c>
      <c r="J32" s="167"/>
      <c r="K32" s="131"/>
      <c r="L32" s="131"/>
      <c r="M32" s="131"/>
      <c r="N32" s="131"/>
      <c r="O32" s="131"/>
      <c r="P32" s="114"/>
      <c r="R32" s="104"/>
      <c r="S32" s="116">
        <f>'4. Material &amp; energy balance'!O17</f>
        <v>16109.592456860291</v>
      </c>
      <c r="T32" s="142">
        <f>'3. Inputs &amp; results'!H41</f>
        <v>7.0000000000000007E-2</v>
      </c>
      <c r="U32" s="116">
        <v>128876740</v>
      </c>
      <c r="V32" s="323">
        <f>T32*U32</f>
        <v>9021371.8000000007</v>
      </c>
      <c r="W32" s="107"/>
      <c r="X32" s="117"/>
    </row>
    <row r="33" spans="2:24" ht="19.8" thickBot="1" x14ac:dyDescent="0.45">
      <c r="B33" s="100" t="s">
        <v>348</v>
      </c>
      <c r="C33" s="101" t="s">
        <v>231</v>
      </c>
      <c r="D33" s="101"/>
      <c r="E33" s="101"/>
      <c r="F33" s="391">
        <f>SUM(F32,F19,F24)/0.73</f>
        <v>61673501.575405523</v>
      </c>
      <c r="G33" s="392"/>
      <c r="H33" s="143"/>
      <c r="I33" s="92" t="s">
        <v>348</v>
      </c>
      <c r="J33" s="167"/>
      <c r="K33" s="170" t="s">
        <v>227</v>
      </c>
      <c r="L33" s="157">
        <v>10</v>
      </c>
      <c r="M33" s="156" t="s">
        <v>248</v>
      </c>
      <c r="N33" s="397">
        <f>N48*0.1</f>
        <v>12839990.361654822</v>
      </c>
      <c r="O33" s="398"/>
      <c r="P33" s="171"/>
      <c r="R33" s="152"/>
      <c r="S33" s="153"/>
      <c r="T33" s="153"/>
      <c r="U33" s="153"/>
      <c r="V33" s="153"/>
      <c r="W33" s="153"/>
      <c r="X33" s="154"/>
    </row>
    <row r="34" spans="2:24" ht="19.2" x14ac:dyDescent="0.4">
      <c r="B34" s="100" t="s">
        <v>348</v>
      </c>
      <c r="C34" s="144" t="s">
        <v>236</v>
      </c>
      <c r="D34" s="145">
        <v>15</v>
      </c>
      <c r="E34" s="113" t="s">
        <v>237</v>
      </c>
      <c r="F34" s="393">
        <f>F35*0.15</f>
        <v>10883559.101542152</v>
      </c>
      <c r="G34" s="394"/>
      <c r="H34" s="110" t="s">
        <v>348</v>
      </c>
      <c r="I34" s="92" t="s">
        <v>348</v>
      </c>
      <c r="J34" s="167"/>
      <c r="K34" s="158"/>
      <c r="L34" s="158"/>
      <c r="M34" s="158"/>
      <c r="N34" s="158"/>
      <c r="O34" s="158"/>
      <c r="P34" s="129"/>
    </row>
    <row r="35" spans="2:24" ht="15.6" x14ac:dyDescent="0.4">
      <c r="B35" s="147"/>
      <c r="C35" s="101" t="s">
        <v>240</v>
      </c>
      <c r="D35" s="122"/>
      <c r="E35" s="101"/>
      <c r="F35" s="385">
        <f>F33/0.85</f>
        <v>72557060.676947683</v>
      </c>
      <c r="G35" s="386"/>
      <c r="H35" s="148"/>
      <c r="J35" s="167"/>
      <c r="K35" s="158"/>
      <c r="L35" s="172"/>
      <c r="M35" s="158"/>
      <c r="N35" s="158"/>
      <c r="O35" s="158"/>
      <c r="P35" s="129"/>
    </row>
    <row r="36" spans="2:24" ht="15.6" thickBot="1" x14ac:dyDescent="0.45">
      <c r="B36" s="149"/>
      <c r="C36" s="150"/>
      <c r="D36" s="150"/>
      <c r="E36" s="150"/>
      <c r="F36" s="150"/>
      <c r="G36" s="150"/>
      <c r="H36" s="151"/>
      <c r="J36" s="167"/>
      <c r="K36" s="131"/>
      <c r="L36" s="131"/>
      <c r="M36" s="158"/>
      <c r="N36" s="158"/>
      <c r="O36" s="158"/>
      <c r="P36" s="129"/>
    </row>
    <row r="37" spans="2:24" ht="15.6" x14ac:dyDescent="0.4">
      <c r="J37" s="167"/>
      <c r="K37" s="169" t="s">
        <v>269</v>
      </c>
      <c r="L37" s="172"/>
      <c r="M37" s="158"/>
      <c r="N37" s="158"/>
      <c r="O37" s="158"/>
      <c r="P37" s="129"/>
    </row>
    <row r="38" spans="2:24" ht="15" x14ac:dyDescent="0.4">
      <c r="J38" s="167"/>
      <c r="K38" s="141" t="s">
        <v>269</v>
      </c>
      <c r="L38" s="157">
        <v>3.5</v>
      </c>
      <c r="M38" s="113" t="s">
        <v>248</v>
      </c>
      <c r="N38" s="389">
        <f>0.035*N48</f>
        <v>4493996.6265791878</v>
      </c>
      <c r="O38" s="390"/>
      <c r="P38" s="129"/>
    </row>
    <row r="39" spans="2:24" ht="15" x14ac:dyDescent="0.4">
      <c r="J39" s="167"/>
      <c r="K39" s="141" t="s">
        <v>241</v>
      </c>
      <c r="L39" s="157">
        <v>11</v>
      </c>
      <c r="M39" s="113" t="s">
        <v>248</v>
      </c>
      <c r="N39" s="389">
        <f>0.11*N48</f>
        <v>14123989.397820303</v>
      </c>
      <c r="O39" s="390"/>
      <c r="P39" s="129"/>
    </row>
    <row r="40" spans="2:24" ht="19.2" x14ac:dyDescent="0.4">
      <c r="I40" s="92" t="s">
        <v>348</v>
      </c>
      <c r="J40" s="167"/>
      <c r="K40" s="161" t="s">
        <v>243</v>
      </c>
      <c r="L40" s="157">
        <v>5</v>
      </c>
      <c r="M40" s="113" t="s">
        <v>248</v>
      </c>
      <c r="N40" s="389">
        <f>0.05*N48</f>
        <v>6419995.1808274109</v>
      </c>
      <c r="O40" s="390"/>
      <c r="P40" s="129"/>
    </row>
    <row r="41" spans="2:24" ht="19.2" x14ac:dyDescent="0.4">
      <c r="I41" s="92" t="s">
        <v>348</v>
      </c>
      <c r="J41" s="167"/>
      <c r="K41" s="163" t="s">
        <v>267</v>
      </c>
      <c r="L41" s="175"/>
      <c r="M41" s="158"/>
      <c r="N41" s="397">
        <f>SUM(N38:N40)</f>
        <v>25037981.205226898</v>
      </c>
      <c r="O41" s="398"/>
      <c r="P41" s="129"/>
    </row>
    <row r="42" spans="2:24" ht="19.2" x14ac:dyDescent="0.4">
      <c r="I42" s="92" t="s">
        <v>348</v>
      </c>
      <c r="J42" s="167"/>
      <c r="K42" s="176"/>
      <c r="L42" s="158"/>
      <c r="M42" s="158"/>
      <c r="N42" s="158"/>
      <c r="O42" s="158"/>
      <c r="P42" s="129"/>
    </row>
    <row r="43" spans="2:24" ht="19.2" x14ac:dyDescent="0.4">
      <c r="I43" s="92" t="s">
        <v>348</v>
      </c>
      <c r="J43" s="167"/>
      <c r="K43" s="169"/>
      <c r="L43" s="169"/>
      <c r="M43" s="158"/>
      <c r="N43" s="158"/>
      <c r="O43" s="158"/>
      <c r="P43" s="129"/>
    </row>
    <row r="44" spans="2:24" ht="19.2" x14ac:dyDescent="0.4">
      <c r="I44" s="92" t="s">
        <v>348</v>
      </c>
      <c r="J44" s="167"/>
      <c r="K44" s="158"/>
      <c r="L44" s="158"/>
      <c r="M44" s="158"/>
      <c r="N44" s="177"/>
      <c r="O44" s="158"/>
      <c r="P44" s="129"/>
      <c r="W44" s="16"/>
    </row>
    <row r="45" spans="2:24" ht="19.2" x14ac:dyDescent="0.4">
      <c r="I45" s="92" t="s">
        <v>348</v>
      </c>
      <c r="J45" s="100" t="s">
        <v>348</v>
      </c>
      <c r="K45" s="399"/>
      <c r="L45" s="399"/>
      <c r="M45" s="109" t="s">
        <v>348</v>
      </c>
      <c r="N45" s="400"/>
      <c r="O45" s="400"/>
      <c r="P45" s="401"/>
      <c r="W45" s="99"/>
    </row>
    <row r="46" spans="2:24" ht="19.2" x14ac:dyDescent="0.4">
      <c r="I46" s="92" t="s">
        <v>348</v>
      </c>
      <c r="J46" s="100" t="s">
        <v>348</v>
      </c>
      <c r="K46" s="163" t="s">
        <v>270</v>
      </c>
      <c r="L46" s="101"/>
      <c r="M46" s="101"/>
      <c r="N46" s="404">
        <f>SUM(N19,N29,N33)</f>
        <v>103361922.4113213</v>
      </c>
      <c r="O46" s="405"/>
      <c r="P46" s="178"/>
      <c r="W46" s="99"/>
    </row>
    <row r="47" spans="2:24" ht="19.2" x14ac:dyDescent="0.4">
      <c r="I47" s="92" t="s">
        <v>348</v>
      </c>
      <c r="J47" s="100" t="s">
        <v>348</v>
      </c>
      <c r="K47" s="163" t="s">
        <v>267</v>
      </c>
      <c r="L47" s="158"/>
      <c r="M47" s="155"/>
      <c r="N47" s="406">
        <f>N41</f>
        <v>25037981.205226898</v>
      </c>
      <c r="O47" s="407"/>
      <c r="P47" s="179"/>
      <c r="W47" s="99"/>
    </row>
    <row r="48" spans="2:24" ht="19.2" x14ac:dyDescent="0.4">
      <c r="I48" s="92" t="s">
        <v>348</v>
      </c>
      <c r="J48" s="100" t="s">
        <v>348</v>
      </c>
      <c r="K48" s="122" t="s">
        <v>271</v>
      </c>
      <c r="L48" s="122"/>
      <c r="M48" s="122"/>
      <c r="N48" s="385">
        <f>SUM(N11,N14:O16,N29)/(1-0.15-0.0225-0.0225-0.03-0.11-0.05-0.035-0.1)</f>
        <v>128399903.61654821</v>
      </c>
      <c r="O48" s="386"/>
      <c r="P48" s="180"/>
      <c r="W48" s="99"/>
    </row>
    <row r="49" spans="9:23" ht="19.8" thickBot="1" x14ac:dyDescent="0.45">
      <c r="I49" s="92" t="s">
        <v>348</v>
      </c>
      <c r="J49" s="181" t="s">
        <v>348</v>
      </c>
      <c r="K49" s="182" t="s">
        <v>348</v>
      </c>
      <c r="L49" s="182" t="s">
        <v>348</v>
      </c>
      <c r="M49" s="182" t="s">
        <v>348</v>
      </c>
      <c r="N49" s="182" t="s">
        <v>348</v>
      </c>
      <c r="O49" s="182" t="s">
        <v>348</v>
      </c>
      <c r="P49" s="183" t="s">
        <v>348</v>
      </c>
      <c r="W49" s="99"/>
    </row>
    <row r="50" spans="9:23" ht="19.2" x14ac:dyDescent="0.4">
      <c r="I50" s="92" t="s">
        <v>348</v>
      </c>
      <c r="W50" s="99"/>
    </row>
    <row r="51" spans="9:23" ht="19.2" x14ac:dyDescent="0.4">
      <c r="I51" s="92" t="s">
        <v>348</v>
      </c>
      <c r="W51" s="99"/>
    </row>
    <row r="52" spans="9:23" ht="19.2" x14ac:dyDescent="0.4">
      <c r="I52" s="92" t="s">
        <v>348</v>
      </c>
      <c r="W52" s="99"/>
    </row>
    <row r="53" spans="9:23" ht="19.2" x14ac:dyDescent="0.4">
      <c r="I53" s="92" t="s">
        <v>348</v>
      </c>
      <c r="W53" s="99"/>
    </row>
    <row r="54" spans="9:23" ht="19.2" x14ac:dyDescent="0.4">
      <c r="I54" s="92" t="s">
        <v>348</v>
      </c>
    </row>
    <row r="55" spans="9:23" ht="19.2" x14ac:dyDescent="0.4">
      <c r="I55" s="92" t="s">
        <v>348</v>
      </c>
    </row>
    <row r="56" spans="9:23" ht="19.2" x14ac:dyDescent="0.4">
      <c r="I56" s="92" t="s">
        <v>348</v>
      </c>
    </row>
    <row r="57" spans="9:23" ht="19.2" x14ac:dyDescent="0.4">
      <c r="I57" s="92" t="s">
        <v>348</v>
      </c>
    </row>
    <row r="58" spans="9:23" ht="19.2" x14ac:dyDescent="0.4">
      <c r="I58" s="92" t="s">
        <v>348</v>
      </c>
    </row>
    <row r="59" spans="9:23" ht="19.2" x14ac:dyDescent="0.4">
      <c r="I59" s="92" t="s">
        <v>348</v>
      </c>
    </row>
    <row r="60" spans="9:23" ht="19.2" x14ac:dyDescent="0.4">
      <c r="I60" s="92" t="s">
        <v>348</v>
      </c>
    </row>
    <row r="61" spans="9:23" ht="19.2" x14ac:dyDescent="0.4">
      <c r="I61" s="92" t="s">
        <v>348</v>
      </c>
      <c r="W61" s="16"/>
    </row>
    <row r="62" spans="9:23" ht="19.2" x14ac:dyDescent="0.4">
      <c r="I62" s="92" t="s">
        <v>348</v>
      </c>
    </row>
    <row r="63" spans="9:23" ht="19.2" x14ac:dyDescent="0.4">
      <c r="I63" s="92" t="s">
        <v>348</v>
      </c>
    </row>
    <row r="64" spans="9:23" ht="19.2" x14ac:dyDescent="0.4">
      <c r="I64" s="92" t="s">
        <v>348</v>
      </c>
    </row>
    <row r="65" spans="9:23" ht="19.2" x14ac:dyDescent="0.4">
      <c r="I65" s="92" t="s">
        <v>348</v>
      </c>
      <c r="U65" s="92"/>
      <c r="V65" s="92"/>
      <c r="W65" s="92"/>
    </row>
    <row r="66" spans="9:23" ht="19.2" x14ac:dyDescent="0.4">
      <c r="I66" s="92" t="s">
        <v>348</v>
      </c>
      <c r="U66" s="92"/>
      <c r="V66" s="92"/>
      <c r="W66" s="92"/>
    </row>
    <row r="67" spans="9:23" ht="19.2" x14ac:dyDescent="0.4">
      <c r="I67" s="92" t="s">
        <v>348</v>
      </c>
      <c r="U67" s="92"/>
      <c r="V67" s="92"/>
      <c r="W67" s="92"/>
    </row>
    <row r="68" spans="9:23" ht="16.5" customHeight="1" x14ac:dyDescent="0.4">
      <c r="I68" s="92" t="s">
        <v>348</v>
      </c>
      <c r="U68" s="92"/>
      <c r="V68" s="92"/>
      <c r="W68" s="92"/>
    </row>
    <row r="69" spans="9:23" ht="15" x14ac:dyDescent="0.4">
      <c r="I69" s="92"/>
      <c r="U69" s="92"/>
      <c r="V69" s="92"/>
      <c r="W69" s="92"/>
    </row>
    <row r="70" spans="9:23" ht="15" x14ac:dyDescent="0.4">
      <c r="I70" s="92"/>
      <c r="U70" s="92"/>
      <c r="V70" s="92"/>
      <c r="W70" s="92"/>
    </row>
    <row r="71" spans="9:23" ht="15" x14ac:dyDescent="0.4">
      <c r="I71" s="92"/>
      <c r="N71" s="92"/>
      <c r="U71" s="92"/>
      <c r="V71" s="92"/>
      <c r="W71" s="92"/>
    </row>
    <row r="72" spans="9:23" ht="15" x14ac:dyDescent="0.4">
      <c r="I72" s="92"/>
      <c r="N72" s="92"/>
      <c r="U72" s="92"/>
      <c r="V72" s="92"/>
      <c r="W72" s="92"/>
    </row>
    <row r="73" spans="9:23" ht="15.6" x14ac:dyDescent="0.4">
      <c r="I73" s="92"/>
      <c r="N73" s="92"/>
      <c r="U73" s="173"/>
      <c r="V73" s="173"/>
      <c r="W73" s="92"/>
    </row>
    <row r="74" spans="9:23" ht="15.6" x14ac:dyDescent="0.4">
      <c r="I74" s="92"/>
      <c r="N74" s="92"/>
      <c r="U74" s="173"/>
      <c r="V74" s="174"/>
      <c r="W74" s="92"/>
    </row>
    <row r="75" spans="9:23" ht="15.6" x14ac:dyDescent="0.4">
      <c r="I75" s="92"/>
      <c r="N75" s="92"/>
      <c r="U75" s="173"/>
      <c r="V75" s="173"/>
      <c r="W75" s="92"/>
    </row>
    <row r="76" spans="9:23" ht="15.6" x14ac:dyDescent="0.4">
      <c r="I76" s="92"/>
      <c r="N76" s="92"/>
      <c r="U76" s="173"/>
      <c r="V76" s="173"/>
      <c r="W76" s="92"/>
    </row>
    <row r="77" spans="9:23" ht="15.6" x14ac:dyDescent="0.4">
      <c r="I77" s="92"/>
      <c r="N77" s="92"/>
      <c r="U77" s="173"/>
      <c r="V77" s="173"/>
      <c r="W77" s="92"/>
    </row>
    <row r="78" spans="9:23" ht="15.6" x14ac:dyDescent="0.4">
      <c r="I78" s="92"/>
      <c r="N78" s="92"/>
      <c r="U78" s="173"/>
      <c r="V78" s="173"/>
      <c r="W78" s="92"/>
    </row>
    <row r="79" spans="9:23" ht="19.2" x14ac:dyDescent="0.4">
      <c r="I79" s="92" t="s">
        <v>348</v>
      </c>
      <c r="N79" s="92"/>
      <c r="U79" s="173"/>
      <c r="V79" s="173"/>
      <c r="W79" s="92"/>
    </row>
    <row r="80" spans="9:23" ht="19.2" x14ac:dyDescent="0.4">
      <c r="I80" s="92" t="s">
        <v>348</v>
      </c>
      <c r="N80" s="92"/>
      <c r="U80" s="92"/>
      <c r="V80" s="92"/>
      <c r="W80" s="92"/>
    </row>
    <row r="81" spans="8:23" ht="19.2" x14ac:dyDescent="0.4">
      <c r="I81" s="92" t="s">
        <v>348</v>
      </c>
      <c r="N81" s="92"/>
      <c r="U81" s="173"/>
      <c r="V81" s="173"/>
      <c r="W81" s="92"/>
    </row>
    <row r="82" spans="8:23" ht="19.2" x14ac:dyDescent="0.4">
      <c r="I82" s="92" t="s">
        <v>348</v>
      </c>
      <c r="N82" s="92"/>
      <c r="U82" s="173"/>
      <c r="V82" s="173"/>
      <c r="W82" s="92"/>
    </row>
    <row r="83" spans="8:23" ht="19.2" x14ac:dyDescent="0.4">
      <c r="I83" s="92" t="s">
        <v>348</v>
      </c>
      <c r="N83" s="92"/>
      <c r="U83" s="92"/>
      <c r="V83" s="92"/>
      <c r="W83" s="92"/>
    </row>
    <row r="84" spans="8:23" ht="15" x14ac:dyDescent="0.4">
      <c r="N84" s="92"/>
      <c r="U84" s="92"/>
      <c r="V84" s="92"/>
      <c r="W84" s="92"/>
    </row>
    <row r="85" spans="8:23" ht="15" x14ac:dyDescent="0.4">
      <c r="N85" s="92"/>
      <c r="U85" s="92"/>
      <c r="V85" s="92"/>
      <c r="W85" s="92"/>
    </row>
    <row r="86" spans="8:23" ht="15" x14ac:dyDescent="0.4">
      <c r="N86" s="92"/>
      <c r="U86" s="92"/>
      <c r="V86" s="92"/>
      <c r="W86" s="92"/>
    </row>
    <row r="87" spans="8:23" ht="15" x14ac:dyDescent="0.4">
      <c r="N87" s="92"/>
      <c r="U87" s="92"/>
      <c r="V87" s="92"/>
      <c r="W87" s="92"/>
    </row>
    <row r="88" spans="8:23" ht="15" x14ac:dyDescent="0.4">
      <c r="N88" s="92"/>
      <c r="U88" s="92"/>
      <c r="V88" s="92"/>
      <c r="W88" s="92"/>
    </row>
    <row r="89" spans="8:23" ht="15" x14ac:dyDescent="0.4">
      <c r="J89" s="92"/>
      <c r="K89" s="92"/>
      <c r="L89" s="92"/>
      <c r="M89" s="92"/>
      <c r="N89" s="92"/>
      <c r="U89" s="92"/>
      <c r="V89" s="92"/>
      <c r="W89" s="92"/>
    </row>
    <row r="90" spans="8:23" ht="15" x14ac:dyDescent="0.4">
      <c r="J90" s="92"/>
      <c r="K90" s="92"/>
      <c r="L90" s="92"/>
      <c r="M90" s="92"/>
      <c r="N90" s="92"/>
      <c r="U90" s="92"/>
      <c r="V90" s="92"/>
      <c r="W90" s="92"/>
    </row>
    <row r="91" spans="8:23" ht="15" x14ac:dyDescent="0.4">
      <c r="J91" s="92"/>
      <c r="K91" s="92"/>
      <c r="L91" s="92"/>
      <c r="M91" s="92"/>
      <c r="N91" s="92"/>
      <c r="U91" s="92"/>
      <c r="V91" s="92"/>
      <c r="W91" s="92"/>
    </row>
    <row r="92" spans="8:23" ht="15" x14ac:dyDescent="0.4">
      <c r="J92" s="92"/>
      <c r="K92" s="92"/>
      <c r="L92" s="92"/>
      <c r="M92" s="92"/>
      <c r="N92" s="92"/>
      <c r="U92" s="92"/>
      <c r="V92" s="92"/>
      <c r="W92" s="92"/>
    </row>
    <row r="93" spans="8:23" ht="15" x14ac:dyDescent="0.4">
      <c r="J93" s="92"/>
      <c r="K93" s="92"/>
      <c r="L93" s="92"/>
      <c r="M93" s="92"/>
      <c r="N93" s="92"/>
      <c r="U93" s="92"/>
      <c r="V93" s="92"/>
      <c r="W93" s="92"/>
    </row>
    <row r="94" spans="8:23" ht="15" x14ac:dyDescent="0.4">
      <c r="H94" s="16"/>
      <c r="I94" s="16"/>
      <c r="J94" s="92"/>
      <c r="K94" s="92"/>
      <c r="L94" s="92"/>
      <c r="M94" s="92"/>
      <c r="N94" s="92"/>
      <c r="U94" s="92"/>
      <c r="V94" s="92"/>
      <c r="W94" s="92"/>
    </row>
    <row r="95" spans="8:23" ht="15" x14ac:dyDescent="0.4">
      <c r="H95" s="99"/>
      <c r="I95" s="4"/>
      <c r="J95" s="92"/>
      <c r="K95" s="92"/>
      <c r="L95" s="92"/>
      <c r="M95" s="92"/>
      <c r="N95" s="92"/>
      <c r="U95" s="92"/>
      <c r="V95" s="92"/>
      <c r="W95" s="92"/>
    </row>
    <row r="96" spans="8:23" ht="15" x14ac:dyDescent="0.4">
      <c r="H96" s="99"/>
      <c r="I96" s="4"/>
      <c r="U96" s="92"/>
      <c r="V96" s="92"/>
      <c r="W96" s="92"/>
    </row>
    <row r="97" spans="3:23" ht="15" x14ac:dyDescent="0.4">
      <c r="H97" s="99"/>
      <c r="I97" s="4"/>
      <c r="U97" s="92"/>
      <c r="V97" s="92"/>
      <c r="W97" s="92"/>
    </row>
    <row r="98" spans="3:23" ht="15" x14ac:dyDescent="0.4">
      <c r="H98" s="99"/>
      <c r="I98" s="4"/>
      <c r="U98" s="92"/>
      <c r="V98" s="92"/>
      <c r="W98" s="92"/>
    </row>
    <row r="99" spans="3:23" ht="15" x14ac:dyDescent="0.4">
      <c r="D99" s="16"/>
      <c r="E99" s="16"/>
      <c r="F99" s="16"/>
      <c r="H99" s="99"/>
      <c r="I99" s="4"/>
      <c r="U99" s="92"/>
      <c r="V99" s="92"/>
      <c r="W99" s="92"/>
    </row>
    <row r="100" spans="3:23" ht="15" x14ac:dyDescent="0.4">
      <c r="D100" s="99"/>
      <c r="E100" s="4"/>
      <c r="F100" s="61"/>
      <c r="H100" s="99"/>
      <c r="I100" s="4"/>
      <c r="U100" s="92"/>
      <c r="V100" s="92"/>
      <c r="W100" s="92"/>
    </row>
    <row r="101" spans="3:23" ht="15" x14ac:dyDescent="0.4">
      <c r="D101" s="99"/>
      <c r="E101" s="4"/>
      <c r="F101" s="61"/>
      <c r="H101" s="99"/>
      <c r="I101" s="4"/>
      <c r="U101" s="92"/>
      <c r="V101" s="92"/>
      <c r="W101" s="92"/>
    </row>
    <row r="102" spans="3:23" ht="15" x14ac:dyDescent="0.4">
      <c r="D102" s="99"/>
      <c r="E102" s="4"/>
      <c r="F102" s="61"/>
      <c r="H102" s="99"/>
      <c r="I102" s="4"/>
      <c r="U102" s="92"/>
      <c r="V102" s="92"/>
      <c r="W102" s="92"/>
    </row>
    <row r="103" spans="3:23" ht="15" x14ac:dyDescent="0.4">
      <c r="D103" s="99"/>
      <c r="E103" s="4"/>
      <c r="F103" s="61"/>
      <c r="H103" s="99"/>
      <c r="I103" s="4"/>
      <c r="U103" s="92"/>
      <c r="V103" s="92"/>
      <c r="W103" s="92"/>
    </row>
    <row r="104" spans="3:23" ht="15" x14ac:dyDescent="0.4">
      <c r="D104" s="99"/>
      <c r="E104" s="4"/>
      <c r="F104" s="61"/>
      <c r="I104" s="4"/>
      <c r="U104" s="92"/>
      <c r="V104" s="92"/>
      <c r="W104" s="92"/>
    </row>
    <row r="105" spans="3:23" ht="15" x14ac:dyDescent="0.4">
      <c r="D105" s="99"/>
      <c r="E105" s="4"/>
      <c r="F105" s="61"/>
      <c r="I105" s="4"/>
      <c r="U105" s="92"/>
      <c r="V105" s="92"/>
      <c r="W105" s="92"/>
    </row>
    <row r="106" spans="3:23" ht="15" x14ac:dyDescent="0.4">
      <c r="D106" s="99"/>
      <c r="E106" s="4"/>
      <c r="F106" s="61"/>
      <c r="I106" s="4"/>
      <c r="U106" s="92"/>
      <c r="V106" s="92"/>
      <c r="W106" s="92"/>
    </row>
    <row r="107" spans="3:23" ht="15" x14ac:dyDescent="0.25">
      <c r="C107" s="14"/>
      <c r="D107" s="14"/>
      <c r="E107" s="14"/>
      <c r="F107" s="61"/>
      <c r="I107" s="4"/>
      <c r="U107" s="92"/>
      <c r="V107" s="92"/>
      <c r="W107" s="92"/>
    </row>
    <row r="108" spans="3:23" ht="15" x14ac:dyDescent="0.4">
      <c r="C108" s="16"/>
      <c r="D108" s="125"/>
      <c r="F108" s="61"/>
      <c r="I108" s="4"/>
      <c r="U108" s="92"/>
      <c r="V108" s="92"/>
      <c r="W108" s="92"/>
    </row>
    <row r="109" spans="3:23" ht="15" x14ac:dyDescent="0.25">
      <c r="D109" s="125"/>
      <c r="F109" s="61"/>
      <c r="G109" s="13"/>
      <c r="U109" s="92"/>
      <c r="V109" s="92"/>
      <c r="W109" s="92"/>
    </row>
    <row r="110" spans="3:23" ht="15" x14ac:dyDescent="0.4">
      <c r="D110" s="125"/>
      <c r="F110" s="61"/>
      <c r="G110" s="16"/>
      <c r="U110" s="92"/>
      <c r="V110" s="92"/>
    </row>
    <row r="111" spans="3:23" ht="15" x14ac:dyDescent="0.4">
      <c r="F111" s="61"/>
      <c r="G111" s="16"/>
      <c r="H111" s="16"/>
      <c r="I111" s="16"/>
      <c r="U111" s="92"/>
      <c r="V111" s="92"/>
    </row>
    <row r="112" spans="3:23" ht="15" x14ac:dyDescent="0.4">
      <c r="C112" s="16"/>
      <c r="F112" s="61"/>
      <c r="U112" s="92"/>
      <c r="V112" s="92"/>
    </row>
    <row r="113" spans="2:22" ht="15" x14ac:dyDescent="0.25">
      <c r="C113" s="184"/>
      <c r="E113" s="185"/>
      <c r="F113" s="61"/>
      <c r="U113" s="92"/>
      <c r="V113" s="92"/>
    </row>
    <row r="114" spans="2:22" ht="15" x14ac:dyDescent="0.25">
      <c r="C114" s="186"/>
      <c r="E114" s="186"/>
      <c r="F114" s="50"/>
      <c r="U114" s="92"/>
      <c r="V114" s="92"/>
    </row>
    <row r="115" spans="2:22" ht="15" x14ac:dyDescent="0.25">
      <c r="C115" s="184"/>
      <c r="E115" s="185"/>
      <c r="F115" s="61"/>
      <c r="U115" s="92"/>
      <c r="V115" s="92"/>
    </row>
    <row r="116" spans="2:22" ht="15" x14ac:dyDescent="0.25">
      <c r="C116" s="184"/>
      <c r="E116" s="185"/>
      <c r="F116" s="146"/>
      <c r="U116" s="92"/>
      <c r="V116" s="92"/>
    </row>
    <row r="117" spans="2:22" ht="15" x14ac:dyDescent="0.25">
      <c r="C117" s="184"/>
      <c r="E117" s="185"/>
      <c r="U117" s="92"/>
      <c r="V117" s="92"/>
    </row>
    <row r="118" spans="2:22" ht="15" x14ac:dyDescent="0.25">
      <c r="C118" s="184"/>
      <c r="E118" s="185"/>
      <c r="U118" s="92"/>
      <c r="V118" s="92"/>
    </row>
    <row r="119" spans="2:22" ht="15.6" x14ac:dyDescent="0.25">
      <c r="B119" s="126"/>
      <c r="C119" s="184"/>
      <c r="E119" s="185"/>
      <c r="F119" s="126"/>
      <c r="G119" s="126"/>
      <c r="L119" s="92"/>
      <c r="M119" s="187"/>
    </row>
    <row r="120" spans="2:22" ht="15.6" x14ac:dyDescent="0.25">
      <c r="C120" s="184"/>
      <c r="E120" s="185"/>
      <c r="L120" s="92"/>
      <c r="M120" s="187"/>
    </row>
    <row r="121" spans="2:22" ht="15.6" x14ac:dyDescent="0.25">
      <c r="C121" s="184"/>
      <c r="E121" s="185"/>
      <c r="L121" s="92"/>
      <c r="M121" s="173"/>
    </row>
    <row r="122" spans="2:22" ht="15" x14ac:dyDescent="0.25">
      <c r="C122" s="184"/>
      <c r="E122" s="185"/>
      <c r="L122" s="92"/>
      <c r="M122" s="92"/>
    </row>
    <row r="123" spans="2:22" ht="15" x14ac:dyDescent="0.25">
      <c r="D123" s="186"/>
      <c r="E123" s="186"/>
      <c r="L123" s="92"/>
      <c r="M123" s="92"/>
    </row>
    <row r="124" spans="2:22" ht="15" x14ac:dyDescent="0.25">
      <c r="C124" s="184"/>
      <c r="E124" s="185"/>
      <c r="L124" s="92"/>
      <c r="M124" s="92"/>
    </row>
    <row r="125" spans="2:22" ht="15" x14ac:dyDescent="0.25">
      <c r="B125" s="4"/>
      <c r="C125" s="184"/>
      <c r="E125" s="186"/>
      <c r="L125" s="92"/>
      <c r="M125" s="92"/>
    </row>
    <row r="126" spans="2:22" ht="15.6" x14ac:dyDescent="0.25">
      <c r="D126" s="186"/>
      <c r="E126" s="186"/>
      <c r="L126" s="92"/>
      <c r="M126" s="173"/>
    </row>
    <row r="127" spans="2:22" ht="15" x14ac:dyDescent="0.25">
      <c r="C127" s="184"/>
      <c r="E127" s="185"/>
      <c r="L127" s="92"/>
      <c r="M127" s="92"/>
    </row>
    <row r="128" spans="2:22" ht="15" x14ac:dyDescent="0.25">
      <c r="C128" s="184"/>
      <c r="E128" s="185"/>
      <c r="L128" s="92"/>
      <c r="M128" s="92"/>
    </row>
    <row r="129" spans="2:13" ht="15" x14ac:dyDescent="0.25">
      <c r="C129" s="184"/>
      <c r="E129" s="185"/>
      <c r="L129" s="92"/>
      <c r="M129" s="92"/>
    </row>
    <row r="130" spans="2:13" ht="15" x14ac:dyDescent="0.4">
      <c r="L130" s="92"/>
      <c r="M130" s="92"/>
    </row>
    <row r="131" spans="2:13" ht="15" x14ac:dyDescent="0.4">
      <c r="L131" s="92"/>
      <c r="M131" s="92"/>
    </row>
    <row r="132" spans="2:13" ht="15" x14ac:dyDescent="0.4">
      <c r="B132" s="16"/>
      <c r="C132" s="16"/>
      <c r="L132" s="92"/>
      <c r="M132" s="92"/>
    </row>
    <row r="133" spans="2:13" ht="15" x14ac:dyDescent="0.4">
      <c r="B133" s="4"/>
      <c r="C133" s="61"/>
      <c r="L133" s="92"/>
      <c r="M133" s="92"/>
    </row>
    <row r="134" spans="2:13" ht="15" x14ac:dyDescent="0.4">
      <c r="B134" s="4"/>
      <c r="C134" s="61"/>
      <c r="L134" s="92"/>
      <c r="M134" s="92"/>
    </row>
    <row r="135" spans="2:13" ht="15.6" x14ac:dyDescent="0.4">
      <c r="B135" s="4"/>
      <c r="C135" s="61"/>
      <c r="L135" s="92"/>
      <c r="M135" s="187"/>
    </row>
    <row r="136" spans="2:13" ht="15.6" x14ac:dyDescent="0.4">
      <c r="B136" s="4"/>
      <c r="C136" s="61"/>
      <c r="L136" s="92"/>
      <c r="M136" s="187"/>
    </row>
    <row r="137" spans="2:13" ht="15.6" x14ac:dyDescent="0.4">
      <c r="B137" s="4"/>
      <c r="C137" s="61"/>
      <c r="L137" s="92"/>
      <c r="M137" s="173"/>
    </row>
    <row r="138" spans="2:13" ht="15" x14ac:dyDescent="0.4">
      <c r="L138" s="92"/>
      <c r="M138" s="92"/>
    </row>
    <row r="139" spans="2:13" ht="15" x14ac:dyDescent="0.4">
      <c r="L139" s="92"/>
      <c r="M139" s="92"/>
    </row>
    <row r="140" spans="2:13" ht="15" x14ac:dyDescent="0.4">
      <c r="L140" s="92"/>
      <c r="M140" s="92"/>
    </row>
    <row r="141" spans="2:13" ht="15" x14ac:dyDescent="0.4">
      <c r="L141" s="92"/>
      <c r="M141" s="92"/>
    </row>
    <row r="142" spans="2:13" ht="15.6" x14ac:dyDescent="0.4">
      <c r="L142" s="92"/>
      <c r="M142" s="173"/>
    </row>
    <row r="143" spans="2:13" ht="15" x14ac:dyDescent="0.4">
      <c r="L143" s="92"/>
      <c r="M143" s="92"/>
    </row>
    <row r="144" spans="2:13" ht="15" x14ac:dyDescent="0.4">
      <c r="L144" s="92"/>
      <c r="M144" s="92"/>
    </row>
    <row r="145" spans="12:23" ht="15" x14ac:dyDescent="0.4">
      <c r="L145" s="92"/>
      <c r="M145" s="92"/>
    </row>
    <row r="146" spans="12:23" ht="15" x14ac:dyDescent="0.4">
      <c r="L146" s="92"/>
      <c r="M146" s="92"/>
    </row>
    <row r="147" spans="12:23" ht="15" x14ac:dyDescent="0.4">
      <c r="L147" s="92"/>
      <c r="M147" s="92"/>
    </row>
    <row r="148" spans="12:23" ht="15" x14ac:dyDescent="0.4">
      <c r="L148" s="92"/>
      <c r="M148" s="92"/>
    </row>
    <row r="149" spans="12:23" ht="15" x14ac:dyDescent="0.4">
      <c r="L149" s="92"/>
      <c r="M149" s="92"/>
    </row>
    <row r="150" spans="12:23" ht="15" x14ac:dyDescent="0.4">
      <c r="L150" s="92"/>
      <c r="M150" s="92"/>
    </row>
    <row r="151" spans="12:23" ht="15.6" x14ac:dyDescent="0.4">
      <c r="L151" s="92"/>
      <c r="M151" s="187"/>
    </row>
    <row r="152" spans="12:23" ht="15.6" x14ac:dyDescent="0.4">
      <c r="L152" s="92"/>
      <c r="M152" s="187"/>
    </row>
    <row r="153" spans="12:23" ht="15.6" x14ac:dyDescent="0.4">
      <c r="L153" s="92"/>
      <c r="M153" s="173"/>
    </row>
    <row r="154" spans="12:23" ht="15" x14ac:dyDescent="0.4">
      <c r="L154" s="92"/>
      <c r="M154" s="92"/>
    </row>
    <row r="155" spans="12:23" ht="15" x14ac:dyDescent="0.4">
      <c r="L155" s="92"/>
      <c r="M155" s="92"/>
    </row>
    <row r="156" spans="12:23" ht="15" x14ac:dyDescent="0.4">
      <c r="L156" s="92"/>
      <c r="M156" s="92"/>
    </row>
    <row r="157" spans="12:23" ht="15" x14ac:dyDescent="0.4">
      <c r="L157" s="92"/>
      <c r="M157" s="92"/>
    </row>
    <row r="158" spans="12:23" ht="15.6" x14ac:dyDescent="0.4">
      <c r="L158" s="92"/>
      <c r="M158" s="173"/>
    </row>
    <row r="159" spans="12:23" ht="15" x14ac:dyDescent="0.4">
      <c r="L159" s="92"/>
      <c r="M159" s="92"/>
      <c r="N159" s="92"/>
      <c r="O159" s="92"/>
      <c r="P159" s="92"/>
      <c r="Q159" s="92"/>
      <c r="R159" s="92"/>
      <c r="S159" s="92"/>
      <c r="T159" s="92"/>
      <c r="U159" s="92"/>
      <c r="V159" s="92"/>
      <c r="W159" s="92"/>
    </row>
    <row r="160" spans="12:23" ht="15" x14ac:dyDescent="0.4">
      <c r="L160" s="92"/>
      <c r="M160" s="92"/>
      <c r="N160" s="92"/>
      <c r="O160" s="92"/>
      <c r="P160" s="92"/>
      <c r="Q160" s="92"/>
      <c r="R160" s="92"/>
      <c r="S160" s="92"/>
      <c r="T160" s="92"/>
      <c r="U160" s="92"/>
      <c r="V160" s="92"/>
      <c r="W160" s="92"/>
    </row>
    <row r="161" spans="12:23" ht="15" x14ac:dyDescent="0.4">
      <c r="L161" s="92"/>
      <c r="M161" s="92"/>
      <c r="N161" s="92"/>
      <c r="O161" s="92"/>
      <c r="P161" s="92"/>
      <c r="Q161" s="92"/>
      <c r="R161" s="92"/>
      <c r="S161" s="92"/>
      <c r="T161" s="92"/>
      <c r="U161" s="92"/>
      <c r="V161" s="92"/>
      <c r="W161" s="92"/>
    </row>
    <row r="162" spans="12:23" ht="15" x14ac:dyDescent="0.4">
      <c r="L162" s="92"/>
      <c r="M162" s="92"/>
      <c r="N162" s="92"/>
      <c r="O162" s="92"/>
      <c r="P162" s="92"/>
      <c r="Q162" s="92"/>
      <c r="R162" s="92"/>
      <c r="S162" s="92"/>
      <c r="T162" s="92"/>
      <c r="U162" s="92"/>
      <c r="V162" s="92"/>
      <c r="W162" s="92"/>
    </row>
    <row r="163" spans="12:23" ht="15" x14ac:dyDescent="0.4">
      <c r="L163" s="92"/>
      <c r="M163" s="92"/>
      <c r="N163" s="92"/>
      <c r="O163" s="92"/>
      <c r="P163" s="92"/>
      <c r="Q163" s="92"/>
      <c r="R163" s="92"/>
      <c r="S163" s="92"/>
      <c r="T163" s="92"/>
      <c r="U163" s="92"/>
      <c r="V163" s="92"/>
      <c r="W163" s="92"/>
    </row>
    <row r="164" spans="12:23" ht="15" x14ac:dyDescent="0.4">
      <c r="L164" s="92"/>
      <c r="M164" s="92"/>
      <c r="N164" s="92"/>
      <c r="O164" s="92"/>
      <c r="P164" s="92"/>
      <c r="Q164" s="92"/>
      <c r="R164" s="92"/>
      <c r="S164" s="92"/>
      <c r="T164" s="92"/>
      <c r="U164" s="92"/>
      <c r="V164" s="92"/>
      <c r="W164" s="92"/>
    </row>
    <row r="165" spans="12:23" ht="15" x14ac:dyDescent="0.4">
      <c r="L165" s="92"/>
      <c r="M165" s="92"/>
      <c r="N165" s="92"/>
      <c r="O165" s="92"/>
      <c r="P165" s="92"/>
      <c r="Q165" s="92"/>
      <c r="R165" s="92"/>
      <c r="S165" s="92"/>
      <c r="T165" s="92"/>
      <c r="U165" s="92"/>
      <c r="V165" s="92"/>
      <c r="W165" s="92"/>
    </row>
    <row r="166" spans="12:23" ht="15" x14ac:dyDescent="0.4">
      <c r="L166" s="92"/>
      <c r="M166" s="92"/>
      <c r="N166" s="92"/>
      <c r="O166" s="92"/>
      <c r="P166" s="92"/>
      <c r="Q166" s="92"/>
      <c r="R166" s="92"/>
      <c r="S166" s="92"/>
      <c r="T166" s="92"/>
      <c r="U166" s="92"/>
      <c r="V166" s="92"/>
      <c r="W166" s="92"/>
    </row>
    <row r="167" spans="12:23" ht="15.6" x14ac:dyDescent="0.4">
      <c r="L167" s="92"/>
      <c r="M167" s="187"/>
      <c r="N167" s="187"/>
      <c r="O167" s="92"/>
      <c r="P167" s="92"/>
      <c r="Q167" s="92"/>
      <c r="R167" s="92"/>
      <c r="S167" s="92"/>
      <c r="T167" s="92"/>
      <c r="U167" s="92"/>
      <c r="V167" s="92"/>
      <c r="W167" s="92"/>
    </row>
    <row r="168" spans="12:23" ht="15.6" x14ac:dyDescent="0.4">
      <c r="L168" s="92"/>
      <c r="M168" s="187"/>
      <c r="N168" s="92"/>
      <c r="O168" s="92"/>
      <c r="P168" s="92"/>
      <c r="Q168" s="92"/>
      <c r="R168" s="92"/>
      <c r="S168" s="92"/>
      <c r="T168" s="92"/>
      <c r="U168" s="92"/>
      <c r="V168" s="92"/>
      <c r="W168" s="92"/>
    </row>
    <row r="169" spans="12:23" ht="15.6" x14ac:dyDescent="0.4">
      <c r="L169" s="92"/>
      <c r="M169" s="173"/>
      <c r="N169" s="173"/>
      <c r="O169" s="92"/>
      <c r="P169" s="92"/>
      <c r="Q169" s="92"/>
      <c r="R169" s="92"/>
      <c r="S169" s="92"/>
      <c r="T169" s="92"/>
      <c r="U169" s="92"/>
      <c r="V169" s="92"/>
      <c r="W169" s="92"/>
    </row>
    <row r="170" spans="12:23" ht="15.6" x14ac:dyDescent="0.4">
      <c r="L170" s="92"/>
      <c r="M170" s="92"/>
      <c r="N170" s="92"/>
      <c r="O170" s="92"/>
      <c r="P170" s="174"/>
      <c r="Q170" s="92"/>
      <c r="R170" s="92"/>
      <c r="S170" s="92"/>
      <c r="T170" s="92"/>
      <c r="U170" s="92"/>
      <c r="V170" s="92"/>
      <c r="W170" s="92"/>
    </row>
    <row r="171" spans="12:23" ht="15.6" x14ac:dyDescent="0.4">
      <c r="L171" s="92"/>
      <c r="M171" s="92"/>
      <c r="N171" s="92"/>
      <c r="O171" s="92"/>
      <c r="P171" s="174"/>
      <c r="Q171" s="92"/>
      <c r="R171" s="92"/>
      <c r="S171" s="92"/>
      <c r="T171" s="92"/>
      <c r="U171" s="92"/>
      <c r="V171" s="92"/>
      <c r="W171" s="92"/>
    </row>
    <row r="172" spans="12:23" ht="15" x14ac:dyDescent="0.4">
      <c r="L172" s="92"/>
      <c r="M172" s="92"/>
      <c r="N172" s="188"/>
      <c r="O172" s="189"/>
      <c r="P172" s="92"/>
      <c r="Q172" s="92"/>
      <c r="R172" s="92"/>
      <c r="S172" s="92"/>
      <c r="T172" s="92"/>
      <c r="U172" s="92"/>
      <c r="V172" s="92"/>
      <c r="W172" s="92"/>
    </row>
    <row r="173" spans="12:23" ht="15" x14ac:dyDescent="0.4">
      <c r="L173" s="92"/>
      <c r="M173" s="92"/>
      <c r="N173" s="92"/>
      <c r="O173" s="92"/>
      <c r="P173" s="92"/>
      <c r="Q173" s="92"/>
      <c r="R173" s="92"/>
      <c r="S173" s="92"/>
      <c r="T173" s="92"/>
      <c r="U173" s="92"/>
      <c r="V173" s="92"/>
      <c r="W173" s="92"/>
    </row>
    <row r="174" spans="12:23" ht="15.6" x14ac:dyDescent="0.4">
      <c r="L174" s="92"/>
      <c r="M174" s="173"/>
      <c r="N174" s="173"/>
      <c r="O174" s="173"/>
      <c r="P174" s="92"/>
      <c r="Q174" s="92"/>
      <c r="R174" s="92"/>
      <c r="S174" s="92"/>
      <c r="T174" s="92"/>
      <c r="U174" s="92"/>
      <c r="V174" s="92"/>
      <c r="W174" s="92"/>
    </row>
    <row r="175" spans="12:23" ht="15" x14ac:dyDescent="0.4">
      <c r="L175" s="92"/>
      <c r="M175" s="92"/>
      <c r="N175" s="92"/>
      <c r="O175" s="92"/>
      <c r="P175" s="92"/>
      <c r="Q175" s="92"/>
      <c r="R175" s="92"/>
      <c r="S175" s="92"/>
      <c r="T175" s="92"/>
      <c r="U175" s="92"/>
      <c r="V175" s="92"/>
      <c r="W175" s="92"/>
    </row>
    <row r="176" spans="12:23" ht="15" x14ac:dyDescent="0.4">
      <c r="L176" s="92"/>
      <c r="M176" s="92"/>
      <c r="N176" s="92"/>
      <c r="O176" s="92"/>
      <c r="P176" s="92"/>
      <c r="Q176" s="92"/>
      <c r="R176" s="92"/>
      <c r="S176" s="92"/>
      <c r="T176" s="92"/>
      <c r="U176" s="92"/>
      <c r="V176" s="92"/>
      <c r="W176" s="92"/>
    </row>
    <row r="177" spans="12:23" ht="15" x14ac:dyDescent="0.4">
      <c r="L177" s="92"/>
      <c r="M177" s="92"/>
      <c r="N177" s="92"/>
      <c r="O177" s="92"/>
      <c r="P177" s="92"/>
      <c r="Q177" s="92"/>
      <c r="R177" s="92"/>
      <c r="S177" s="92"/>
      <c r="T177" s="92"/>
      <c r="U177" s="92"/>
      <c r="V177" s="92"/>
      <c r="W177" s="92"/>
    </row>
    <row r="178" spans="12:23" ht="15" x14ac:dyDescent="0.4">
      <c r="L178" s="92"/>
      <c r="M178" s="92"/>
      <c r="N178" s="92"/>
      <c r="O178" s="92"/>
      <c r="P178" s="92"/>
      <c r="Q178" s="92"/>
      <c r="R178" s="92"/>
      <c r="S178" s="92"/>
      <c r="T178" s="92"/>
      <c r="U178" s="92"/>
      <c r="V178" s="92"/>
      <c r="W178" s="92"/>
    </row>
    <row r="179" spans="12:23" ht="15" x14ac:dyDescent="0.4">
      <c r="L179" s="92"/>
      <c r="M179" s="92"/>
      <c r="N179" s="92"/>
      <c r="O179" s="92"/>
      <c r="P179" s="92"/>
      <c r="Q179" s="92"/>
      <c r="R179" s="92"/>
      <c r="S179" s="92"/>
      <c r="T179" s="92"/>
      <c r="U179" s="92"/>
      <c r="V179" s="92"/>
      <c r="W179" s="92"/>
    </row>
    <row r="180" spans="12:23" ht="15" x14ac:dyDescent="0.4">
      <c r="L180" s="92"/>
      <c r="M180" s="92"/>
      <c r="N180" s="92"/>
      <c r="O180" s="92"/>
      <c r="P180" s="92"/>
      <c r="Q180" s="92"/>
      <c r="R180" s="92"/>
      <c r="S180" s="92"/>
      <c r="T180" s="92"/>
      <c r="U180" s="92"/>
      <c r="V180" s="92"/>
      <c r="W180" s="92"/>
    </row>
    <row r="181" spans="12:23" ht="15" x14ac:dyDescent="0.4">
      <c r="L181" s="92"/>
      <c r="M181" s="92"/>
      <c r="N181" s="92"/>
      <c r="O181" s="92"/>
      <c r="P181" s="92"/>
      <c r="Q181" s="92"/>
      <c r="R181" s="92"/>
      <c r="S181" s="92"/>
      <c r="T181" s="92"/>
      <c r="U181" s="92"/>
      <c r="V181" s="92"/>
      <c r="W181" s="92"/>
    </row>
    <row r="182" spans="12:23" ht="15" x14ac:dyDescent="0.4">
      <c r="L182" s="92"/>
      <c r="M182" s="92"/>
      <c r="N182" s="92"/>
      <c r="O182" s="92"/>
      <c r="P182" s="92"/>
      <c r="Q182" s="92"/>
      <c r="R182" s="92"/>
      <c r="S182" s="92"/>
      <c r="T182" s="92"/>
      <c r="U182" s="92"/>
      <c r="V182" s="92"/>
      <c r="W182" s="92"/>
    </row>
    <row r="183" spans="12:23" ht="15.6" x14ac:dyDescent="0.4">
      <c r="L183" s="92"/>
      <c r="M183" s="187"/>
      <c r="N183" s="187"/>
      <c r="O183" s="92"/>
      <c r="P183" s="92"/>
      <c r="Q183" s="92"/>
      <c r="R183" s="92"/>
      <c r="S183" s="92"/>
      <c r="T183" s="92"/>
      <c r="U183" s="92"/>
      <c r="V183" s="92"/>
      <c r="W183" s="92"/>
    </row>
    <row r="184" spans="12:23" ht="15.6" x14ac:dyDescent="0.4">
      <c r="L184" s="92"/>
      <c r="M184" s="187"/>
      <c r="N184" s="92"/>
      <c r="O184" s="92"/>
      <c r="P184" s="92"/>
      <c r="Q184" s="92"/>
      <c r="R184" s="92"/>
      <c r="S184" s="92"/>
      <c r="T184" s="92"/>
      <c r="U184" s="92"/>
      <c r="V184" s="92"/>
      <c r="W184" s="92"/>
    </row>
    <row r="185" spans="12:23" ht="15.6" x14ac:dyDescent="0.4">
      <c r="L185" s="92"/>
      <c r="M185" s="173"/>
      <c r="N185" s="173"/>
      <c r="O185" s="92"/>
      <c r="P185" s="92"/>
      <c r="Q185" s="92"/>
      <c r="R185" s="92"/>
      <c r="S185" s="92"/>
      <c r="T185" s="92"/>
      <c r="U185" s="92"/>
      <c r="V185" s="92"/>
      <c r="W185" s="92"/>
    </row>
    <row r="186" spans="12:23" ht="15.6" x14ac:dyDescent="0.4">
      <c r="L186" s="92"/>
      <c r="M186" s="92"/>
      <c r="N186" s="92"/>
      <c r="O186" s="92"/>
      <c r="P186" s="174"/>
      <c r="Q186" s="92"/>
      <c r="R186" s="92"/>
      <c r="S186" s="92"/>
      <c r="T186" s="92"/>
      <c r="U186" s="92"/>
      <c r="V186" s="92"/>
      <c r="W186" s="92"/>
    </row>
    <row r="187" spans="12:23" ht="15.6" x14ac:dyDescent="0.4">
      <c r="L187" s="92"/>
      <c r="M187" s="92"/>
      <c r="N187" s="92"/>
      <c r="O187" s="92"/>
      <c r="P187" s="174"/>
      <c r="Q187" s="92"/>
      <c r="R187" s="92"/>
      <c r="S187" s="92"/>
      <c r="T187" s="92"/>
      <c r="U187" s="92"/>
      <c r="V187" s="92"/>
      <c r="W187" s="92"/>
    </row>
    <row r="188" spans="12:23" ht="15" x14ac:dyDescent="0.4">
      <c r="L188" s="92"/>
      <c r="M188" s="92"/>
      <c r="N188" s="188"/>
      <c r="O188" s="189"/>
      <c r="P188" s="92"/>
      <c r="Q188" s="92"/>
      <c r="R188" s="92"/>
      <c r="S188" s="92"/>
      <c r="T188" s="92"/>
      <c r="U188" s="92"/>
      <c r="V188" s="92"/>
      <c r="W188" s="92"/>
    </row>
    <row r="189" spans="12:23" ht="15" x14ac:dyDescent="0.4">
      <c r="L189" s="92"/>
      <c r="M189" s="92"/>
      <c r="N189" s="92"/>
      <c r="O189" s="92"/>
      <c r="P189" s="92"/>
      <c r="Q189" s="92"/>
      <c r="R189" s="92"/>
      <c r="S189" s="92"/>
      <c r="T189" s="92"/>
      <c r="U189" s="92"/>
      <c r="V189" s="92"/>
      <c r="W189" s="92"/>
    </row>
    <row r="190" spans="12:23" ht="15.6" x14ac:dyDescent="0.4">
      <c r="L190" s="92"/>
      <c r="M190" s="173"/>
      <c r="N190" s="173"/>
      <c r="O190" s="173"/>
      <c r="P190" s="92"/>
      <c r="Q190" s="92"/>
      <c r="R190" s="92"/>
      <c r="S190" s="92"/>
      <c r="T190" s="92"/>
      <c r="U190" s="92"/>
      <c r="V190" s="92"/>
      <c r="W190" s="92"/>
    </row>
    <row r="191" spans="12:23" ht="15" x14ac:dyDescent="0.4">
      <c r="L191" s="92"/>
      <c r="M191" s="92"/>
      <c r="N191" s="92"/>
      <c r="O191" s="92"/>
      <c r="P191" s="92"/>
      <c r="Q191" s="92"/>
      <c r="R191" s="92"/>
      <c r="S191" s="92"/>
      <c r="T191" s="92"/>
      <c r="U191" s="92"/>
      <c r="V191" s="92"/>
      <c r="W191" s="92"/>
    </row>
    <row r="192" spans="12:23" ht="15" x14ac:dyDescent="0.4">
      <c r="L192" s="92"/>
      <c r="M192" s="92"/>
      <c r="N192" s="92"/>
      <c r="O192" s="92"/>
      <c r="P192" s="92"/>
      <c r="Q192" s="92"/>
      <c r="R192" s="92"/>
      <c r="S192" s="92"/>
      <c r="T192" s="92"/>
      <c r="U192" s="92"/>
      <c r="V192" s="92"/>
      <c r="W192" s="92"/>
    </row>
    <row r="193" spans="12:23" ht="15" x14ac:dyDescent="0.4">
      <c r="L193" s="92"/>
      <c r="M193" s="92"/>
      <c r="N193" s="92"/>
      <c r="O193" s="92"/>
      <c r="P193" s="92"/>
      <c r="Q193" s="92"/>
      <c r="R193" s="92"/>
      <c r="S193" s="92"/>
      <c r="T193" s="92"/>
      <c r="U193" s="92"/>
      <c r="V193" s="92"/>
      <c r="W193" s="92"/>
    </row>
    <row r="194" spans="12:23" ht="15" x14ac:dyDescent="0.4">
      <c r="L194" s="92"/>
      <c r="M194" s="92"/>
      <c r="N194" s="92"/>
      <c r="O194" s="92"/>
      <c r="P194" s="92"/>
      <c r="Q194" s="92"/>
      <c r="R194" s="92"/>
      <c r="S194" s="92"/>
      <c r="T194" s="92"/>
      <c r="U194" s="92"/>
      <c r="V194" s="92"/>
      <c r="W194" s="92"/>
    </row>
    <row r="195" spans="12:23" ht="15" x14ac:dyDescent="0.4">
      <c r="L195" s="92"/>
      <c r="M195" s="92"/>
      <c r="N195" s="92"/>
      <c r="O195" s="92"/>
      <c r="P195" s="92"/>
      <c r="Q195" s="92"/>
      <c r="R195" s="92"/>
      <c r="S195" s="92"/>
      <c r="T195" s="92"/>
      <c r="U195" s="92"/>
      <c r="V195" s="92"/>
      <c r="W195" s="92"/>
    </row>
    <row r="196" spans="12:23" ht="15" x14ac:dyDescent="0.4">
      <c r="L196" s="92"/>
      <c r="M196" s="92"/>
      <c r="N196" s="92"/>
      <c r="O196" s="92"/>
      <c r="P196" s="92"/>
      <c r="Q196" s="92"/>
      <c r="R196" s="92"/>
      <c r="S196" s="92"/>
      <c r="T196" s="92"/>
      <c r="U196" s="92"/>
      <c r="V196" s="92"/>
      <c r="W196" s="92"/>
    </row>
    <row r="197" spans="12:23" ht="15" x14ac:dyDescent="0.4">
      <c r="L197" s="92"/>
      <c r="M197" s="92"/>
      <c r="N197" s="92"/>
      <c r="O197" s="92"/>
      <c r="P197" s="92"/>
      <c r="Q197" s="92"/>
      <c r="R197" s="92"/>
      <c r="S197" s="92"/>
      <c r="T197" s="92"/>
      <c r="U197" s="92"/>
      <c r="V197" s="92"/>
      <c r="W197" s="92"/>
    </row>
    <row r="198" spans="12:23" ht="15" x14ac:dyDescent="0.4">
      <c r="L198" s="92"/>
      <c r="M198" s="92"/>
      <c r="N198" s="92"/>
      <c r="O198" s="92"/>
      <c r="P198" s="92"/>
      <c r="Q198" s="92"/>
      <c r="R198" s="92"/>
      <c r="S198" s="92"/>
      <c r="T198" s="92"/>
      <c r="U198" s="92"/>
      <c r="V198" s="92"/>
      <c r="W198" s="92"/>
    </row>
    <row r="199" spans="12:23" ht="15.6" x14ac:dyDescent="0.4">
      <c r="L199" s="92"/>
      <c r="M199" s="187"/>
      <c r="N199" s="187"/>
      <c r="O199" s="92"/>
      <c r="P199" s="92"/>
      <c r="Q199" s="92"/>
      <c r="R199" s="92"/>
      <c r="S199" s="92"/>
      <c r="T199" s="92"/>
      <c r="U199" s="92"/>
      <c r="V199" s="92"/>
      <c r="W199" s="92"/>
    </row>
    <row r="200" spans="12:23" ht="15.6" x14ac:dyDescent="0.4">
      <c r="L200" s="92"/>
      <c r="M200" s="187"/>
      <c r="N200" s="92"/>
      <c r="O200" s="92"/>
      <c r="P200" s="92"/>
      <c r="Q200" s="92"/>
      <c r="R200" s="92"/>
      <c r="S200" s="92"/>
      <c r="T200" s="92"/>
      <c r="U200" s="92"/>
      <c r="V200" s="92"/>
      <c r="W200" s="92"/>
    </row>
    <row r="201" spans="12:23" ht="15.6" x14ac:dyDescent="0.4">
      <c r="L201" s="92"/>
      <c r="M201" s="173"/>
      <c r="N201" s="173"/>
      <c r="O201" s="92"/>
      <c r="P201" s="92"/>
      <c r="Q201" s="92"/>
      <c r="R201" s="92"/>
      <c r="S201" s="92"/>
      <c r="T201" s="92"/>
      <c r="U201" s="92"/>
      <c r="V201" s="92"/>
      <c r="W201" s="92"/>
    </row>
    <row r="202" spans="12:23" ht="15.6" x14ac:dyDescent="0.4">
      <c r="L202" s="92"/>
      <c r="M202" s="92"/>
      <c r="N202" s="92"/>
      <c r="O202" s="92"/>
      <c r="P202" s="174"/>
      <c r="Q202" s="92"/>
      <c r="R202" s="92"/>
      <c r="S202" s="92"/>
      <c r="T202" s="92"/>
      <c r="U202" s="92"/>
      <c r="V202" s="92"/>
      <c r="W202" s="92"/>
    </row>
    <row r="203" spans="12:23" ht="15.6" x14ac:dyDescent="0.4">
      <c r="L203" s="92"/>
      <c r="M203" s="92"/>
      <c r="N203" s="92"/>
      <c r="O203" s="92"/>
      <c r="P203" s="174"/>
      <c r="Q203" s="92"/>
      <c r="R203" s="92"/>
      <c r="S203" s="92"/>
      <c r="T203" s="92"/>
      <c r="U203" s="92"/>
      <c r="V203" s="92"/>
      <c r="W203" s="92"/>
    </row>
    <row r="204" spans="12:23" ht="15" x14ac:dyDescent="0.4">
      <c r="L204" s="92"/>
      <c r="M204" s="92"/>
      <c r="N204" s="188"/>
      <c r="O204" s="189"/>
      <c r="P204" s="92"/>
      <c r="Q204" s="92"/>
      <c r="R204" s="92"/>
      <c r="S204" s="92"/>
      <c r="T204" s="92"/>
      <c r="U204" s="92"/>
      <c r="V204" s="92"/>
      <c r="W204" s="92"/>
    </row>
    <row r="205" spans="12:23" ht="15" x14ac:dyDescent="0.4">
      <c r="L205" s="92"/>
      <c r="M205" s="92"/>
      <c r="N205" s="92"/>
      <c r="O205" s="92"/>
      <c r="P205" s="92"/>
      <c r="Q205" s="92"/>
      <c r="R205" s="92"/>
      <c r="S205" s="92"/>
      <c r="T205" s="92"/>
      <c r="U205" s="92"/>
      <c r="V205" s="92"/>
      <c r="W205" s="92"/>
    </row>
    <row r="206" spans="12:23" ht="15.6" x14ac:dyDescent="0.4">
      <c r="L206" s="92"/>
      <c r="M206" s="173"/>
      <c r="N206" s="173"/>
      <c r="O206" s="173"/>
      <c r="P206" s="92"/>
      <c r="Q206" s="92"/>
      <c r="R206" s="92"/>
      <c r="S206" s="92"/>
      <c r="T206" s="92"/>
      <c r="U206" s="92"/>
      <c r="V206" s="92"/>
      <c r="W206" s="92"/>
    </row>
    <row r="207" spans="12:23" ht="15" x14ac:dyDescent="0.4">
      <c r="L207" s="92"/>
      <c r="M207" s="92"/>
      <c r="N207" s="92"/>
      <c r="O207" s="92"/>
      <c r="P207" s="92"/>
      <c r="Q207" s="92"/>
      <c r="R207" s="92"/>
      <c r="S207" s="92"/>
      <c r="T207" s="92"/>
      <c r="U207" s="92"/>
      <c r="V207" s="92"/>
      <c r="W207" s="92"/>
    </row>
    <row r="208" spans="12:23" ht="15" x14ac:dyDescent="0.4">
      <c r="L208" s="92"/>
      <c r="M208" s="92"/>
      <c r="N208" s="92"/>
      <c r="O208" s="92"/>
      <c r="P208" s="92"/>
      <c r="Q208" s="92"/>
      <c r="R208" s="92"/>
      <c r="S208" s="92"/>
      <c r="T208" s="92"/>
      <c r="U208" s="92"/>
      <c r="V208" s="92"/>
      <c r="W208" s="92"/>
    </row>
    <row r="209" spans="12:23" ht="15" x14ac:dyDescent="0.4">
      <c r="L209" s="92"/>
      <c r="M209" s="92"/>
      <c r="N209" s="92"/>
      <c r="O209" s="92"/>
      <c r="P209" s="92"/>
      <c r="Q209" s="92"/>
      <c r="R209" s="92"/>
      <c r="S209" s="92"/>
      <c r="T209" s="92"/>
      <c r="U209" s="92"/>
      <c r="V209" s="92"/>
      <c r="W209" s="92"/>
    </row>
    <row r="210" spans="12:23" ht="15" x14ac:dyDescent="0.4">
      <c r="L210" s="92"/>
      <c r="M210" s="92"/>
      <c r="N210" s="92"/>
      <c r="O210" s="92"/>
      <c r="P210" s="92"/>
      <c r="Q210" s="92"/>
      <c r="R210" s="92"/>
      <c r="S210" s="92"/>
      <c r="T210" s="92"/>
      <c r="U210" s="92"/>
      <c r="V210" s="92"/>
      <c r="W210" s="92"/>
    </row>
    <row r="211" spans="12:23" ht="15" x14ac:dyDescent="0.4">
      <c r="L211" s="92"/>
      <c r="M211" s="92"/>
      <c r="N211" s="92"/>
      <c r="O211" s="92"/>
      <c r="P211" s="92"/>
      <c r="Q211" s="92"/>
      <c r="R211" s="92"/>
      <c r="S211" s="92"/>
      <c r="T211" s="92"/>
      <c r="U211" s="92"/>
      <c r="V211" s="92"/>
      <c r="W211" s="92"/>
    </row>
    <row r="212" spans="12:23" ht="15" x14ac:dyDescent="0.4">
      <c r="L212" s="92"/>
      <c r="M212" s="92"/>
      <c r="N212" s="92"/>
      <c r="O212" s="92"/>
      <c r="P212" s="92"/>
      <c r="Q212" s="92"/>
      <c r="R212" s="92"/>
      <c r="S212" s="92"/>
      <c r="T212" s="92"/>
      <c r="U212" s="92"/>
      <c r="V212" s="92"/>
      <c r="W212" s="92"/>
    </row>
    <row r="213" spans="12:23" ht="15" x14ac:dyDescent="0.4">
      <c r="L213" s="92"/>
      <c r="M213" s="92"/>
      <c r="N213" s="92"/>
      <c r="O213" s="92"/>
      <c r="P213" s="92"/>
      <c r="Q213" s="92"/>
      <c r="R213" s="92"/>
      <c r="S213" s="92"/>
      <c r="T213" s="92"/>
      <c r="U213" s="92"/>
      <c r="V213" s="92"/>
      <c r="W213" s="92"/>
    </row>
    <row r="214" spans="12:23" ht="15" x14ac:dyDescent="0.4">
      <c r="L214" s="92"/>
      <c r="M214" s="92"/>
      <c r="N214" s="92"/>
      <c r="O214" s="92"/>
      <c r="P214" s="92"/>
      <c r="Q214" s="92"/>
      <c r="R214" s="92"/>
      <c r="S214" s="92"/>
      <c r="T214" s="92"/>
      <c r="U214" s="92"/>
      <c r="V214" s="92"/>
      <c r="W214" s="92"/>
    </row>
    <row r="215" spans="12:23" ht="15" x14ac:dyDescent="0.4">
      <c r="L215" s="92"/>
      <c r="M215" s="92"/>
      <c r="N215" s="92"/>
      <c r="O215" s="92"/>
      <c r="P215" s="92"/>
      <c r="Q215" s="92"/>
      <c r="R215" s="92"/>
      <c r="S215" s="92"/>
      <c r="T215" s="92"/>
      <c r="U215" s="92"/>
      <c r="V215" s="92"/>
      <c r="W215" s="92"/>
    </row>
    <row r="216" spans="12:23" ht="15" x14ac:dyDescent="0.4">
      <c r="L216" s="92"/>
      <c r="M216" s="92"/>
      <c r="N216" s="92"/>
      <c r="O216" s="92"/>
      <c r="P216" s="92"/>
      <c r="Q216" s="92"/>
      <c r="R216" s="92"/>
      <c r="S216" s="92"/>
      <c r="T216" s="92"/>
      <c r="U216" s="92"/>
      <c r="V216" s="92"/>
      <c r="W216" s="92"/>
    </row>
  </sheetData>
  <mergeCells count="45">
    <mergeCell ref="N46:O46"/>
    <mergeCell ref="N47:O47"/>
    <mergeCell ref="N48:O48"/>
    <mergeCell ref="N38:O38"/>
    <mergeCell ref="N39:O39"/>
    <mergeCell ref="N40:O40"/>
    <mergeCell ref="N41:O41"/>
    <mergeCell ref="K45:L45"/>
    <mergeCell ref="N45:P45"/>
    <mergeCell ref="N30:P30"/>
    <mergeCell ref="N31:P31"/>
    <mergeCell ref="N33:O33"/>
    <mergeCell ref="N11:O11"/>
    <mergeCell ref="N12:O12"/>
    <mergeCell ref="N13:O13"/>
    <mergeCell ref="N14:O14"/>
    <mergeCell ref="N15:O15"/>
    <mergeCell ref="N16:O16"/>
    <mergeCell ref="N17:O17"/>
    <mergeCell ref="F32:G32"/>
    <mergeCell ref="F33:G33"/>
    <mergeCell ref="F34:G34"/>
    <mergeCell ref="F24:G24"/>
    <mergeCell ref="N27:O27"/>
    <mergeCell ref="N28:O28"/>
    <mergeCell ref="N29:O29"/>
    <mergeCell ref="N18:O18"/>
    <mergeCell ref="N19:O19"/>
    <mergeCell ref="N24:O24"/>
    <mergeCell ref="N25:O25"/>
    <mergeCell ref="N26:O26"/>
    <mergeCell ref="F16:G16"/>
    <mergeCell ref="F17:G17"/>
    <mergeCell ref="F18:G18"/>
    <mergeCell ref="F19:G19"/>
    <mergeCell ref="F35:G35"/>
    <mergeCell ref="F25:G25"/>
    <mergeCell ref="F26:G26"/>
    <mergeCell ref="F27:G27"/>
    <mergeCell ref="F28:G28"/>
    <mergeCell ref="F11:G11"/>
    <mergeCell ref="F12:G12"/>
    <mergeCell ref="F13:G13"/>
    <mergeCell ref="F14:G14"/>
    <mergeCell ref="F15:G15"/>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B2:CZ216"/>
  <sheetViews>
    <sheetView showGridLines="0" zoomScale="60" zoomScaleNormal="60" workbookViewId="0">
      <selection activeCell="B2" sqref="B2"/>
    </sheetView>
  </sheetViews>
  <sheetFormatPr defaultColWidth="8.69921875" defaultRowHeight="13.8" x14ac:dyDescent="0.4"/>
  <cols>
    <col min="1" max="1" width="8.69921875" style="1"/>
    <col min="2" max="2" width="37.69921875" style="1" customWidth="1"/>
    <col min="3" max="3" width="40.3984375" style="1" customWidth="1"/>
    <col min="4" max="4" width="16.3984375" style="1" bestFit="1" customWidth="1"/>
    <col min="5" max="5" width="16.09765625" style="1" customWidth="1"/>
    <col min="6" max="6" width="13.8984375" style="1" bestFit="1" customWidth="1"/>
    <col min="7" max="7" width="13.19921875" style="1" bestFit="1" customWidth="1"/>
    <col min="8" max="8" width="34.8984375" style="1" bestFit="1" customWidth="1"/>
    <col min="9" max="9" width="21.09765625" style="1" customWidth="1"/>
    <col min="10" max="17" width="8.69921875" style="1" customWidth="1"/>
    <col min="18" max="18" width="29.5" style="1" bestFit="1" customWidth="1"/>
    <col min="19" max="19" width="40.59765625" style="1" bestFit="1" customWidth="1"/>
    <col min="20" max="20" width="14.8984375" style="1" bestFit="1" customWidth="1"/>
    <col min="21" max="21" width="71" style="1" customWidth="1"/>
    <col min="22" max="22" width="13.69921875" style="1" bestFit="1" customWidth="1"/>
    <col min="23" max="23" width="19.09765625" style="1" customWidth="1"/>
    <col min="24" max="24" width="15.19921875" style="1" bestFit="1" customWidth="1"/>
    <col min="25" max="25" width="8.69921875" style="1"/>
    <col min="26" max="26" width="20.8984375" style="1" bestFit="1" customWidth="1"/>
    <col min="27" max="27" width="20.5" style="1" bestFit="1" customWidth="1"/>
    <col min="28" max="28" width="22.59765625" style="1" bestFit="1" customWidth="1"/>
    <col min="29" max="29" width="16.8984375" style="1" bestFit="1" customWidth="1"/>
    <col min="30" max="30" width="22.59765625" style="1" bestFit="1" customWidth="1"/>
    <col min="31" max="31" width="17.3984375" style="1" bestFit="1" customWidth="1"/>
    <col min="32" max="32" width="38.69921875" style="1" bestFit="1" customWidth="1"/>
    <col min="33" max="33" width="13.3984375" style="1" customWidth="1"/>
    <col min="34" max="34" width="22.5" style="1" bestFit="1" customWidth="1"/>
    <col min="35" max="41" width="8.69921875" style="1" customWidth="1"/>
    <col min="42" max="47" width="8.69921875" style="1"/>
    <col min="48" max="51" width="8.69921875" style="1" customWidth="1"/>
    <col min="52" max="16384" width="8.69921875" style="1"/>
  </cols>
  <sheetData>
    <row r="2" spans="2:100" ht="30" x14ac:dyDescent="0.4">
      <c r="B2" s="208" t="s">
        <v>408</v>
      </c>
    </row>
    <row r="3" spans="2:100" x14ac:dyDescent="0.4">
      <c r="AH3" s="4"/>
      <c r="AI3" s="91"/>
      <c r="AJ3" s="4"/>
      <c r="AK3" s="4"/>
    </row>
    <row r="4" spans="2:100" ht="14.4" thickBot="1" x14ac:dyDescent="0.45"/>
    <row r="5" spans="2:100" x14ac:dyDescent="0.4">
      <c r="B5" s="410" t="s">
        <v>185</v>
      </c>
      <c r="C5" s="412"/>
      <c r="D5" s="16"/>
    </row>
    <row r="6" spans="2:100" x14ac:dyDescent="0.4">
      <c r="B6" s="273" t="s">
        <v>187</v>
      </c>
      <c r="C6" s="268">
        <f>'5. Equipment price'!D84-D62</f>
        <v>151900025.69826096</v>
      </c>
      <c r="F6" s="16"/>
      <c r="G6" s="16"/>
      <c r="H6" s="16"/>
      <c r="I6" s="16"/>
      <c r="J6" s="16"/>
      <c r="K6" s="16"/>
      <c r="L6" s="16"/>
      <c r="M6" s="16"/>
      <c r="N6" s="16"/>
      <c r="O6" s="16"/>
      <c r="P6" s="16"/>
    </row>
    <row r="7" spans="2:100" x14ac:dyDescent="0.4">
      <c r="B7" s="273" t="s">
        <v>416</v>
      </c>
      <c r="C7" s="268">
        <f>($C$6)*(1-'3. Inputs &amp; results'!H47)</f>
        <v>98735016.703869626</v>
      </c>
      <c r="F7" s="99"/>
      <c r="G7" s="99"/>
      <c r="H7" s="99"/>
      <c r="I7" s="99"/>
      <c r="J7" s="99"/>
      <c r="K7" s="4"/>
      <c r="L7" s="61"/>
      <c r="M7" s="61"/>
      <c r="N7" s="61"/>
      <c r="O7" s="61"/>
      <c r="P7" s="61"/>
    </row>
    <row r="8" spans="2:100" x14ac:dyDescent="0.4">
      <c r="B8" s="273" t="s">
        <v>417</v>
      </c>
      <c r="C8" s="268">
        <f>(C6)*(1-'3. Inputs &amp; results'!H47)+D49</f>
        <v>105973332.0495792</v>
      </c>
      <c r="F8" s="99"/>
      <c r="G8" s="99"/>
      <c r="H8" s="99"/>
      <c r="I8" s="99"/>
      <c r="J8" s="99"/>
      <c r="K8" s="4"/>
      <c r="L8" s="61"/>
      <c r="M8" s="61"/>
      <c r="N8" s="61"/>
      <c r="O8" s="61"/>
      <c r="P8" s="61"/>
    </row>
    <row r="9" spans="2:100" x14ac:dyDescent="0.4">
      <c r="B9" s="273" t="s">
        <v>418</v>
      </c>
      <c r="C9" s="269" t="str">
        <f>ROUND('6-2. Economic evaluation'!C7/'6-2. Economic evaluation'!D34*100,1)&amp;"%"</f>
        <v>136.4%</v>
      </c>
      <c r="F9" s="99"/>
      <c r="G9" s="99"/>
      <c r="H9" s="99"/>
      <c r="I9" s="99"/>
      <c r="J9" s="99"/>
      <c r="K9" s="4"/>
      <c r="L9" s="61"/>
      <c r="M9" s="61"/>
      <c r="N9" s="61"/>
      <c r="O9" s="61"/>
      <c r="P9" s="61"/>
    </row>
    <row r="10" spans="2:100" x14ac:dyDescent="0.4">
      <c r="B10" s="273" t="s">
        <v>419</v>
      </c>
      <c r="C10" s="269">
        <f>ROUND(('6-2. Economic evaluation'!D32)/'6-2. Economic evaluation'!C8,2)</f>
        <v>0.57999999999999996</v>
      </c>
      <c r="F10" s="99"/>
      <c r="G10" s="99"/>
      <c r="H10" s="99"/>
      <c r="I10" s="99"/>
      <c r="J10" s="99"/>
      <c r="K10" s="4"/>
      <c r="L10" s="61"/>
      <c r="M10" s="61"/>
      <c r="N10" s="61"/>
      <c r="O10" s="61"/>
      <c r="P10" s="61"/>
    </row>
    <row r="11" spans="2:100" x14ac:dyDescent="0.4">
      <c r="B11" s="273" t="s">
        <v>422</v>
      </c>
      <c r="C11" s="270">
        <f>C8*((1+'3. Inputs &amp; results'!H49)^('3. Inputs &amp; results'!H48)-1)/'3. Inputs &amp; results'!H49/(1+'3. Inputs &amp; results'!H49)^('3. Inputs &amp; results'!H48)-D34*((1+'3. Inputs &amp; results'!H49)^('3. Inputs &amp; results'!H48)-1)/'3. Inputs &amp; results'!H49/(1+'3. Inputs &amp; results'!H49)^('3. Inputs &amp; results'!H48)</f>
        <v>103845363.89864865</v>
      </c>
      <c r="F11" s="99"/>
      <c r="G11" s="99"/>
      <c r="H11" s="99"/>
      <c r="I11" s="99"/>
      <c r="J11" s="99"/>
      <c r="K11" s="4"/>
      <c r="L11" s="61"/>
      <c r="M11" s="61"/>
      <c r="N11" s="61"/>
      <c r="O11" s="61"/>
      <c r="P11" s="61"/>
    </row>
    <row r="12" spans="2:100" ht="14.4" thickBot="1" x14ac:dyDescent="0.45">
      <c r="B12" s="283" t="s">
        <v>420</v>
      </c>
      <c r="C12" s="271">
        <f>D54/(CY33-D48-D61-D55)</f>
        <v>5.732914782306215E-2</v>
      </c>
      <c r="F12" s="99"/>
      <c r="G12" s="99"/>
      <c r="H12" s="99"/>
      <c r="I12" s="99"/>
      <c r="J12" s="99"/>
      <c r="K12" s="4"/>
      <c r="L12" s="61"/>
      <c r="M12" s="61"/>
      <c r="N12" s="61"/>
      <c r="O12" s="61"/>
      <c r="P12" s="61"/>
    </row>
    <row r="13" spans="2:100" x14ac:dyDescent="0.4">
      <c r="F13" s="99"/>
      <c r="G13" s="99"/>
      <c r="K13" s="4"/>
      <c r="L13" s="61"/>
      <c r="M13" s="61"/>
      <c r="N13" s="61"/>
      <c r="O13" s="61"/>
      <c r="P13" s="61"/>
    </row>
    <row r="14" spans="2:100" x14ac:dyDescent="0.4">
      <c r="F14" s="99"/>
      <c r="G14" s="99"/>
      <c r="K14" s="4"/>
      <c r="L14" s="61"/>
      <c r="M14" s="61"/>
      <c r="N14" s="61"/>
      <c r="O14" s="61"/>
      <c r="P14" s="61"/>
    </row>
    <row r="15" spans="2:100" ht="14.4" thickBot="1" x14ac:dyDescent="0.45">
      <c r="E15" s="4"/>
      <c r="CV15" s="284" t="s">
        <v>424</v>
      </c>
    </row>
    <row r="16" spans="2:100" x14ac:dyDescent="0.4">
      <c r="B16" s="410" t="s">
        <v>186</v>
      </c>
      <c r="C16" s="411"/>
      <c r="D16" s="412"/>
      <c r="Y16" s="61"/>
      <c r="CV16" s="16"/>
    </row>
    <row r="17" spans="2:103" x14ac:dyDescent="0.4">
      <c r="B17" s="419" t="s">
        <v>190</v>
      </c>
      <c r="C17" s="4" t="s">
        <v>204</v>
      </c>
      <c r="D17" s="272">
        <f>SUM('5. Equipment price'!$K$9,'5. Equipment price'!$K$19:$K$20,'5. Equipment price'!$K$21,'5. Equipment price'!$K$23,'5. Equipment price'!$K$25,'5. Equipment price'!$K$27,'5. Equipment price'!$K$29,'5. Equipment price'!$K$66,'5. Equipment price'!$K$69,'5. Equipment price'!$K$72,'5. Equipment price'!$K$75,'5. Equipment price'!$K$63)</f>
        <v>2340731.953567354</v>
      </c>
      <c r="Y17" s="4"/>
    </row>
    <row r="18" spans="2:103" x14ac:dyDescent="0.25">
      <c r="B18" s="419"/>
      <c r="C18" s="4" t="s">
        <v>193</v>
      </c>
      <c r="D18" s="272">
        <f>0.4*D17</f>
        <v>936292.78142694163</v>
      </c>
      <c r="Y18" s="4"/>
      <c r="Z18" s="13"/>
    </row>
    <row r="19" spans="2:103" x14ac:dyDescent="0.4">
      <c r="B19" s="419"/>
      <c r="C19" s="4" t="s">
        <v>207</v>
      </c>
      <c r="D19" s="272">
        <f>D17*0.29</f>
        <v>678812.26653453265</v>
      </c>
      <c r="F19" s="4"/>
      <c r="Y19" s="61"/>
      <c r="CV19" s="409" t="s">
        <v>198</v>
      </c>
      <c r="CW19" s="409"/>
      <c r="CX19" s="409"/>
      <c r="CY19" s="409"/>
    </row>
    <row r="20" spans="2:103" x14ac:dyDescent="0.4">
      <c r="B20" s="419"/>
      <c r="C20" s="4" t="s">
        <v>195</v>
      </c>
      <c r="D20" s="272">
        <f>D17*0.45</f>
        <v>1053329.3791053093</v>
      </c>
      <c r="F20" s="4"/>
      <c r="Y20" s="61"/>
      <c r="AA20" s="16"/>
      <c r="CV20" s="5" t="s">
        <v>200</v>
      </c>
      <c r="CW20" s="5" t="s">
        <v>201</v>
      </c>
      <c r="CX20" s="5" t="s">
        <v>202</v>
      </c>
      <c r="CY20" s="5" t="s">
        <v>203</v>
      </c>
    </row>
    <row r="21" spans="2:103" x14ac:dyDescent="0.4">
      <c r="B21" s="419"/>
      <c r="C21" s="4" t="s">
        <v>209</v>
      </c>
      <c r="D21" s="272">
        <f>$D$17*0.25</f>
        <v>585182.9883918385</v>
      </c>
      <c r="F21" s="4"/>
      <c r="Y21" s="61"/>
      <c r="CV21" s="9" t="s">
        <v>327</v>
      </c>
      <c r="CW21" s="6">
        <f>'4. Material &amp; energy balance'!C8</f>
        <v>18018018</v>
      </c>
      <c r="CX21" s="4">
        <f>'3. Inputs &amp; results'!H28</f>
        <v>0.78</v>
      </c>
      <c r="CY21" s="6">
        <f t="shared" ref="CY21:CY26" si="0">CW21*CX21</f>
        <v>14054054.040000001</v>
      </c>
    </row>
    <row r="22" spans="2:103" x14ac:dyDescent="0.4">
      <c r="B22" s="419"/>
      <c r="C22" s="4" t="s">
        <v>210</v>
      </c>
      <c r="D22" s="272">
        <f>D17*0.4</f>
        <v>936292.78142694163</v>
      </c>
      <c r="F22" s="4"/>
      <c r="Y22" s="4"/>
      <c r="CV22" s="9" t="s">
        <v>328</v>
      </c>
      <c r="CW22" s="6">
        <f>'4. Material &amp; energy balance'!D8+'4. Material &amp; energy balance'!D15+'4. Material &amp; energy balance'!D29+'4. Material &amp; energy balance'!H47</f>
        <v>50817770.270270273</v>
      </c>
      <c r="CX22" s="4">
        <f>'3. Inputs &amp; results'!H29</f>
        <v>0.12</v>
      </c>
      <c r="CY22" s="6">
        <f t="shared" si="0"/>
        <v>6098132.4324324327</v>
      </c>
    </row>
    <row r="23" spans="2:103" x14ac:dyDescent="0.4">
      <c r="B23" s="419"/>
      <c r="C23" s="4" t="s">
        <v>212</v>
      </c>
      <c r="D23" s="272">
        <f>D17*0.7</f>
        <v>1638512.3674971478</v>
      </c>
      <c r="F23" s="4"/>
      <c r="Y23" s="4"/>
      <c r="CV23" s="9" t="s">
        <v>326</v>
      </c>
      <c r="CW23" s="6">
        <f>'4. Material &amp; energy balance'!C23</f>
        <v>39062500</v>
      </c>
      <c r="CX23" s="4">
        <f>'3. Inputs &amp; results'!H27</f>
        <v>0.14000000000000001</v>
      </c>
      <c r="CY23" s="6">
        <f t="shared" si="0"/>
        <v>5468750.0000000009</v>
      </c>
    </row>
    <row r="24" spans="2:103" x14ac:dyDescent="0.4">
      <c r="B24" s="419"/>
      <c r="C24" s="4" t="s">
        <v>205</v>
      </c>
      <c r="D24" s="272">
        <f>D17*0.08</f>
        <v>187258.55628538833</v>
      </c>
      <c r="Y24" s="4"/>
      <c r="CV24" s="4" t="s">
        <v>45</v>
      </c>
      <c r="CW24" s="6">
        <f>'4. Material &amp; energy balance'!C35</f>
        <v>43800000</v>
      </c>
      <c r="CX24" s="4">
        <f>'3. Inputs &amp; results'!H31</f>
        <v>0.23</v>
      </c>
      <c r="CY24" s="6">
        <f t="shared" si="0"/>
        <v>10074000</v>
      </c>
    </row>
    <row r="25" spans="2:103" ht="17.399999999999999" customHeight="1" x14ac:dyDescent="0.4">
      <c r="B25" s="418" t="s">
        <v>206</v>
      </c>
      <c r="C25" s="351"/>
      <c r="D25" s="272">
        <f>SUM(D17:D24)</f>
        <v>8356413.0742354542</v>
      </c>
      <c r="Y25" s="4"/>
      <c r="CV25" s="9" t="s">
        <v>329</v>
      </c>
      <c r="CW25" s="6">
        <f>'4. Material &amp; energy balance'!F47</f>
        <v>9371250</v>
      </c>
      <c r="CX25" s="4">
        <f>'3. Inputs &amp; results'!H32</f>
        <v>0.26</v>
      </c>
      <c r="CY25" s="6">
        <f t="shared" si="0"/>
        <v>2436525</v>
      </c>
    </row>
    <row r="26" spans="2:103" x14ac:dyDescent="0.4">
      <c r="B26" s="420" t="s">
        <v>211</v>
      </c>
      <c r="C26" s="4" t="s">
        <v>220</v>
      </c>
      <c r="D26" s="272">
        <f>D25*0.175</f>
        <v>1462372.2879912043</v>
      </c>
      <c r="CV26" s="4" t="s">
        <v>44</v>
      </c>
      <c r="CW26" s="6">
        <f>'4. Material &amp; energy balance'!D67</f>
        <v>5537119.5</v>
      </c>
      <c r="CX26" s="4">
        <f>'3. Inputs &amp; results'!H30</f>
        <v>0.17899999999999999</v>
      </c>
      <c r="CY26" s="6">
        <f t="shared" si="0"/>
        <v>991144.39049999998</v>
      </c>
    </row>
    <row r="27" spans="2:103" x14ac:dyDescent="0.4">
      <c r="B27" s="420"/>
      <c r="C27" s="4" t="s">
        <v>216</v>
      </c>
      <c r="D27" s="272">
        <f>D32*0.02</f>
        <v>1230513.6087706294</v>
      </c>
      <c r="CV27" s="408" t="s">
        <v>215</v>
      </c>
      <c r="CW27" s="408"/>
      <c r="CX27" s="408"/>
      <c r="CY27" s="6">
        <f>SUM(CY21:CY26)</f>
        <v>39122605.862932436</v>
      </c>
    </row>
    <row r="28" spans="2:103" x14ac:dyDescent="0.4">
      <c r="B28" s="420"/>
      <c r="C28" s="4" t="s">
        <v>218</v>
      </c>
      <c r="D28" s="272">
        <f>D32*0.15</f>
        <v>9228852.0657797195</v>
      </c>
      <c r="Y28" s="126"/>
      <c r="Z28" s="126"/>
    </row>
    <row r="29" spans="2:103" x14ac:dyDescent="0.4">
      <c r="B29" s="420"/>
      <c r="C29" s="4" t="s">
        <v>221</v>
      </c>
      <c r="D29" s="272">
        <f>D32*0.1</f>
        <v>6152568.043853147</v>
      </c>
      <c r="CV29" s="409" t="s">
        <v>219</v>
      </c>
      <c r="CW29" s="409"/>
      <c r="CX29" s="409"/>
      <c r="CY29" s="409"/>
    </row>
    <row r="30" spans="2:103" ht="17.399999999999999" customHeight="1" x14ac:dyDescent="0.4">
      <c r="B30" s="418" t="s">
        <v>225</v>
      </c>
      <c r="C30" s="351"/>
      <c r="D30" s="272">
        <f>SUM(D26:D29)</f>
        <v>18074306.006394699</v>
      </c>
      <c r="CV30" s="5" t="s">
        <v>222</v>
      </c>
      <c r="CW30" s="5" t="s">
        <v>201</v>
      </c>
      <c r="CX30" s="5" t="s">
        <v>223</v>
      </c>
      <c r="CY30" s="5" t="s">
        <v>224</v>
      </c>
    </row>
    <row r="31" spans="2:103" ht="16.5" customHeight="1" x14ac:dyDescent="0.4">
      <c r="B31" s="420" t="s">
        <v>228</v>
      </c>
      <c r="C31" s="421"/>
      <c r="D31" s="274">
        <f>SUM('5. Equipment price'!L6:L8,'5. Equipment price'!L30:L37)</f>
        <v>35094961.357901312</v>
      </c>
      <c r="CV31" s="9" t="s">
        <v>331</v>
      </c>
      <c r="CW31" s="6">
        <f>'4. Material &amp; energy balance'!F73</f>
        <v>3590568</v>
      </c>
      <c r="CX31" s="4">
        <f>'3. Inputs &amp; results'!H37</f>
        <v>72.994</v>
      </c>
      <c r="CY31" s="6">
        <f>CW31*CX31</f>
        <v>262089920.59200001</v>
      </c>
    </row>
    <row r="32" spans="2:103" ht="16.5" customHeight="1" x14ac:dyDescent="0.4">
      <c r="B32" s="420" t="s">
        <v>230</v>
      </c>
      <c r="C32" s="421"/>
      <c r="D32" s="275">
        <f>SUM(D31,D25,D26)/0.73</f>
        <v>61525680.438531466</v>
      </c>
      <c r="CV32" s="9" t="s">
        <v>330</v>
      </c>
      <c r="CW32" s="6">
        <f>'4. Material &amp; energy balance'!G8+'4. Material &amp; energy balance'!G15</f>
        <v>6500000</v>
      </c>
      <c r="CX32" s="4">
        <f>'3. Inputs &amp; results'!H36</f>
        <v>2.8</v>
      </c>
      <c r="CY32" s="6">
        <f>CW32*CX32</f>
        <v>18200000</v>
      </c>
    </row>
    <row r="33" spans="2:104" ht="16.5" customHeight="1" x14ac:dyDescent="0.4">
      <c r="B33" s="420" t="s">
        <v>236</v>
      </c>
      <c r="C33" s="421"/>
      <c r="D33" s="272">
        <f>D34*0.15</f>
        <v>10857473.018564377</v>
      </c>
      <c r="F33" s="4"/>
      <c r="CV33" s="408" t="s">
        <v>226</v>
      </c>
      <c r="CW33" s="408"/>
      <c r="CX33" s="408"/>
      <c r="CY33" s="6">
        <f>SUM(CY31:CY32)</f>
        <v>280289920.59200001</v>
      </c>
    </row>
    <row r="34" spans="2:104" ht="14.4" thickBot="1" x14ac:dyDescent="0.45">
      <c r="B34" s="416" t="s">
        <v>239</v>
      </c>
      <c r="C34" s="417"/>
      <c r="D34" s="276">
        <f>D32/0.85</f>
        <v>72383153.457095847</v>
      </c>
      <c r="F34" s="4"/>
      <c r="CV34" s="4"/>
      <c r="CW34" s="4"/>
      <c r="CX34" s="4"/>
      <c r="CY34" s="4"/>
    </row>
    <row r="35" spans="2:104" x14ac:dyDescent="0.4">
      <c r="CV35" s="409" t="s">
        <v>229</v>
      </c>
      <c r="CW35" s="409"/>
      <c r="CX35" s="409"/>
      <c r="CY35" s="409"/>
    </row>
    <row r="36" spans="2:104" x14ac:dyDescent="0.4">
      <c r="E36" s="4"/>
      <c r="F36" s="4"/>
      <c r="CV36" s="5" t="s">
        <v>232</v>
      </c>
      <c r="CW36" s="5" t="s">
        <v>233</v>
      </c>
      <c r="CX36" s="5" t="s">
        <v>234</v>
      </c>
      <c r="CY36" s="5" t="s">
        <v>235</v>
      </c>
    </row>
    <row r="37" spans="2:104" ht="14.4" thickBot="1" x14ac:dyDescent="0.45">
      <c r="F37" s="4"/>
      <c r="CV37" s="6">
        <f>'4. Material &amp; energy balance'!O17</f>
        <v>16109.592456860291</v>
      </c>
      <c r="CW37" s="4">
        <f>'3. Inputs &amp; results'!H41</f>
        <v>7.0000000000000007E-2</v>
      </c>
      <c r="CX37" s="6">
        <f>CV37*8000</f>
        <v>128876739.65488233</v>
      </c>
      <c r="CY37" s="6">
        <f>CX37*CW37</f>
        <v>9021371.7758417632</v>
      </c>
    </row>
    <row r="38" spans="2:104" x14ac:dyDescent="0.4">
      <c r="B38" s="410" t="s">
        <v>395</v>
      </c>
      <c r="C38" s="411"/>
      <c r="D38" s="412"/>
      <c r="CV38" s="408" t="s">
        <v>242</v>
      </c>
      <c r="CW38" s="408"/>
      <c r="CX38" s="408"/>
      <c r="CY38" s="6">
        <f>CY37</f>
        <v>9021371.7758417632</v>
      </c>
    </row>
    <row r="39" spans="2:104" x14ac:dyDescent="0.4">
      <c r="B39" s="413" t="s">
        <v>246</v>
      </c>
      <c r="C39" s="414"/>
      <c r="D39" s="415"/>
    </row>
    <row r="40" spans="2:104" x14ac:dyDescent="0.4">
      <c r="B40" s="420" t="s">
        <v>244</v>
      </c>
      <c r="C40" s="4" t="s">
        <v>245</v>
      </c>
      <c r="D40" s="268">
        <f>'5. Equipment price'!$D$83</f>
        <v>39122605.862932436</v>
      </c>
    </row>
    <row r="41" spans="2:104" x14ac:dyDescent="0.4">
      <c r="B41" s="420"/>
      <c r="C41" s="4" t="s">
        <v>247</v>
      </c>
      <c r="D41" s="268">
        <f>D62*0.15</f>
        <v>19258484.234060854</v>
      </c>
    </row>
    <row r="42" spans="2:104" x14ac:dyDescent="0.4">
      <c r="B42" s="420"/>
      <c r="C42" s="4" t="s">
        <v>249</v>
      </c>
      <c r="D42" s="268">
        <f>0.0225*D62</f>
        <v>2888772.635109128</v>
      </c>
    </row>
    <row r="43" spans="2:104" x14ac:dyDescent="0.4">
      <c r="B43" s="420"/>
      <c r="C43" s="4" t="s">
        <v>251</v>
      </c>
      <c r="D43" s="268">
        <f>'5. Equipment price'!$D$85</f>
        <v>9021371.7758417632</v>
      </c>
    </row>
    <row r="44" spans="2:104" x14ac:dyDescent="0.4">
      <c r="B44" s="420"/>
      <c r="C44" s="4" t="s">
        <v>252</v>
      </c>
      <c r="D44" s="268">
        <f>0.06*'6-2. Economic evaluation'!$D$32</f>
        <v>3691540.8263118877</v>
      </c>
      <c r="CV44" s="4"/>
      <c r="CW44" s="4" t="s">
        <v>272</v>
      </c>
      <c r="CX44" s="4" t="s">
        <v>273</v>
      </c>
    </row>
    <row r="45" spans="2:104" x14ac:dyDescent="0.4">
      <c r="B45" s="420"/>
      <c r="C45" s="4" t="s">
        <v>253</v>
      </c>
      <c r="D45" s="268">
        <f>0.15*D44</f>
        <v>553731.12394678313</v>
      </c>
      <c r="CV45" s="4" t="s">
        <v>275</v>
      </c>
      <c r="CW45" s="50">
        <f t="shared" ref="CW45:CW54" si="1">$C$8</f>
        <v>105973332.0495792</v>
      </c>
      <c r="CX45" s="118">
        <f>SUM($CW$45:CW45)</f>
        <v>105973332.0495792</v>
      </c>
    </row>
    <row r="46" spans="2:104" x14ac:dyDescent="0.4">
      <c r="B46" s="420"/>
      <c r="C46" s="4" t="s">
        <v>255</v>
      </c>
      <c r="D46" s="268">
        <f>0.0225*D62</f>
        <v>2888772.635109128</v>
      </c>
      <c r="CV46" s="4" t="s">
        <v>276</v>
      </c>
      <c r="CW46" s="50">
        <f t="shared" si="1"/>
        <v>105973332.0495792</v>
      </c>
      <c r="CX46" s="118">
        <f>SUM($CW$45:CW46)</f>
        <v>211946664.09915841</v>
      </c>
      <c r="CZ46" s="1" t="s">
        <v>402</v>
      </c>
    </row>
    <row r="47" spans="2:104" x14ac:dyDescent="0.4">
      <c r="B47" s="420"/>
      <c r="C47" s="4" t="s">
        <v>256</v>
      </c>
      <c r="D47" s="268">
        <f>0.03*D62</f>
        <v>3851696.8468121709</v>
      </c>
      <c r="CV47" s="4" t="s">
        <v>277</v>
      </c>
      <c r="CW47" s="50">
        <f t="shared" si="1"/>
        <v>105973332.0495792</v>
      </c>
      <c r="CX47" s="118">
        <f>SUM($CW$45:CW47)</f>
        <v>317919996.14873761</v>
      </c>
    </row>
    <row r="48" spans="2:104" ht="17.399999999999999" customHeight="1" x14ac:dyDescent="0.4">
      <c r="B48" s="418" t="s">
        <v>257</v>
      </c>
      <c r="C48" s="351"/>
      <c r="D48" s="268">
        <f>SUM(D40:D47)</f>
        <v>81276975.940124154</v>
      </c>
      <c r="CV48" s="4" t="s">
        <v>278</v>
      </c>
      <c r="CW48" s="50">
        <f t="shared" si="1"/>
        <v>105973332.0495792</v>
      </c>
      <c r="CX48" s="118">
        <f>SUM($CW$45:CW48)</f>
        <v>423893328.19831681</v>
      </c>
    </row>
    <row r="49" spans="2:102" x14ac:dyDescent="0.4">
      <c r="B49" s="420" t="s">
        <v>258</v>
      </c>
      <c r="C49" s="4" t="s">
        <v>259</v>
      </c>
      <c r="D49" s="268">
        <f>'6-2. Economic evaluation'!$D$34/'3. Inputs &amp; results'!$H$45</f>
        <v>7238315.3457095847</v>
      </c>
      <c r="CV49" s="4" t="s">
        <v>279</v>
      </c>
      <c r="CW49" s="50">
        <f t="shared" si="1"/>
        <v>105973332.0495792</v>
      </c>
      <c r="CX49" s="118">
        <f>SUM($CW$45:CW49)</f>
        <v>529866660.24789602</v>
      </c>
    </row>
    <row r="50" spans="2:102" x14ac:dyDescent="0.4">
      <c r="B50" s="420"/>
      <c r="C50" s="4" t="s">
        <v>260</v>
      </c>
      <c r="D50" s="268">
        <f>0.025*'6-2. Economic evaluation'!$D$32</f>
        <v>1538142.0109632867</v>
      </c>
      <c r="CV50" s="4" t="s">
        <v>280</v>
      </c>
      <c r="CW50" s="50">
        <f t="shared" si="1"/>
        <v>105973332.0495792</v>
      </c>
      <c r="CX50" s="118">
        <f>SUM($CW$45:CW50)</f>
        <v>635839992.29747522</v>
      </c>
    </row>
    <row r="51" spans="2:102" x14ac:dyDescent="0.4">
      <c r="B51" s="420"/>
      <c r="C51" s="4" t="s">
        <v>261</v>
      </c>
      <c r="D51" s="268">
        <f>0.0075*'6-2. Economic evaluation'!$D$32</f>
        <v>461442.60328898596</v>
      </c>
      <c r="CV51" s="4" t="s">
        <v>281</v>
      </c>
      <c r="CW51" s="50">
        <f t="shared" si="1"/>
        <v>105973332.0495792</v>
      </c>
      <c r="CX51" s="118">
        <f>SUM($CW$45:CW51)</f>
        <v>741813324.34705448</v>
      </c>
    </row>
    <row r="52" spans="2:102" x14ac:dyDescent="0.4">
      <c r="B52" s="420"/>
      <c r="C52" s="4" t="s">
        <v>262</v>
      </c>
      <c r="D52" s="268" t="s">
        <v>170</v>
      </c>
      <c r="CV52" s="4" t="s">
        <v>282</v>
      </c>
      <c r="CW52" s="50">
        <f t="shared" si="1"/>
        <v>105973332.0495792</v>
      </c>
      <c r="CX52" s="118">
        <f>SUM($CW$45:CW52)</f>
        <v>847786656.39663363</v>
      </c>
    </row>
    <row r="53" spans="2:102" x14ac:dyDescent="0.4">
      <c r="B53" s="420"/>
      <c r="C53" s="4" t="s">
        <v>263</v>
      </c>
      <c r="D53" s="268" t="s">
        <v>170</v>
      </c>
      <c r="K53" s="126"/>
      <c r="CV53" s="4" t="s">
        <v>283</v>
      </c>
      <c r="CW53" s="50">
        <f t="shared" si="1"/>
        <v>105973332.0495792</v>
      </c>
      <c r="CX53" s="118">
        <f>SUM($CW$45:CW53)</f>
        <v>953759988.44621277</v>
      </c>
    </row>
    <row r="54" spans="2:102" ht="17.399999999999999" customHeight="1" x14ac:dyDescent="0.4">
      <c r="B54" s="418" t="s">
        <v>264</v>
      </c>
      <c r="C54" s="351"/>
      <c r="D54" s="268">
        <f>SUM(D49:D53)</f>
        <v>9237899.9599618576</v>
      </c>
      <c r="CV54" s="4" t="s">
        <v>284</v>
      </c>
      <c r="CW54" s="50">
        <f t="shared" si="1"/>
        <v>105973332.0495792</v>
      </c>
      <c r="CX54" s="118">
        <f>SUM($CW$45:CW54)</f>
        <v>1059733320.4957919</v>
      </c>
    </row>
    <row r="55" spans="2:102" ht="17.399999999999999" customHeight="1" x14ac:dyDescent="0.4">
      <c r="B55" s="413" t="s">
        <v>227</v>
      </c>
      <c r="C55" s="414"/>
      <c r="D55" s="268">
        <f>D62*0.1</f>
        <v>12838989.489373904</v>
      </c>
    </row>
    <row r="56" spans="2:102" x14ac:dyDescent="0.4">
      <c r="B56" s="418" t="s">
        <v>265</v>
      </c>
      <c r="C56" s="351"/>
      <c r="D56" s="277">
        <f>SUM(D48,D54,D55)</f>
        <v>103353865.38945992</v>
      </c>
    </row>
    <row r="57" spans="2:102" x14ac:dyDescent="0.4">
      <c r="B57" s="413" t="s">
        <v>266</v>
      </c>
      <c r="C57" s="414"/>
      <c r="D57" s="415"/>
    </row>
    <row r="58" spans="2:102" ht="17.399999999999999" customHeight="1" x14ac:dyDescent="0.4">
      <c r="B58" s="420" t="s">
        <v>238</v>
      </c>
      <c r="C58" s="421"/>
      <c r="D58" s="268">
        <f>0.035*D62</f>
        <v>4493646.3212808669</v>
      </c>
      <c r="CV58" s="1" t="s">
        <v>393</v>
      </c>
      <c r="CW58" s="126">
        <f>D48</f>
        <v>81276975.940124154</v>
      </c>
    </row>
    <row r="59" spans="2:102" ht="17.399999999999999" customHeight="1" x14ac:dyDescent="0.4">
      <c r="B59" s="420" t="s">
        <v>241</v>
      </c>
      <c r="C59" s="421"/>
      <c r="D59" s="268">
        <f>D62*0.11</f>
        <v>14122888.438311294</v>
      </c>
      <c r="CV59" s="1" t="s">
        <v>394</v>
      </c>
      <c r="CW59" s="126">
        <f>D54</f>
        <v>9237899.9599618576</v>
      </c>
    </row>
    <row r="60" spans="2:102" ht="17.399999999999999" customHeight="1" x14ac:dyDescent="0.4">
      <c r="B60" s="420" t="s">
        <v>243</v>
      </c>
      <c r="C60" s="421"/>
      <c r="D60" s="268">
        <f>0.05*D62</f>
        <v>6419494.7446869519</v>
      </c>
      <c r="CV60" s="1" t="s">
        <v>227</v>
      </c>
      <c r="CW60" s="126">
        <f>D55</f>
        <v>12838989.489373904</v>
      </c>
    </row>
    <row r="61" spans="2:102" x14ac:dyDescent="0.4">
      <c r="B61" s="418" t="s">
        <v>267</v>
      </c>
      <c r="C61" s="351"/>
      <c r="D61" s="277">
        <f>SUM(D58:D60)</f>
        <v>25036029.504279114</v>
      </c>
      <c r="CV61" s="1" t="s">
        <v>392</v>
      </c>
      <c r="CW61" s="126">
        <f>D61</f>
        <v>25036029.504279114</v>
      </c>
    </row>
    <row r="62" spans="2:102" ht="14.4" thickBot="1" x14ac:dyDescent="0.45">
      <c r="B62" s="416" t="s">
        <v>268</v>
      </c>
      <c r="C62" s="417"/>
      <c r="D62" s="278">
        <f>SUM(D40,D43:D45,D54)/(1-0.15-0.0225-0.0225-0.03-0.11-0.05-0.035-0.1)</f>
        <v>128389894.89373903</v>
      </c>
    </row>
    <row r="65" spans="2:101" ht="14.4" thickBot="1" x14ac:dyDescent="0.45">
      <c r="E65" s="126"/>
      <c r="CV65" s="16" t="s">
        <v>302</v>
      </c>
    </row>
    <row r="66" spans="2:101" ht="17.399999999999999" customHeight="1" x14ac:dyDescent="0.4">
      <c r="B66" s="410" t="s">
        <v>414</v>
      </c>
      <c r="C66" s="411"/>
      <c r="D66" s="411"/>
      <c r="E66" s="412"/>
      <c r="F66" s="16"/>
      <c r="CV66" s="16" t="s">
        <v>303</v>
      </c>
    </row>
    <row r="67" spans="2:101" ht="17.399999999999999" customHeight="1" x14ac:dyDescent="0.4">
      <c r="B67" s="422" t="s">
        <v>301</v>
      </c>
      <c r="C67" s="233" t="s">
        <v>308</v>
      </c>
      <c r="D67" s="233" t="s">
        <v>306</v>
      </c>
      <c r="E67" s="279"/>
    </row>
    <row r="68" spans="2:101" ht="16.5" customHeight="1" x14ac:dyDescent="0.4">
      <c r="B68" s="422"/>
      <c r="C68" s="4" t="s">
        <v>350</v>
      </c>
      <c r="D68" s="61">
        <f>$C$12*CY31</f>
        <v>15025391.800553389</v>
      </c>
      <c r="E68" s="280" t="s">
        <v>457</v>
      </c>
      <c r="CV68" s="195" t="s">
        <v>397</v>
      </c>
      <c r="CW68" s="125">
        <f>D25</f>
        <v>8356413.0742354542</v>
      </c>
    </row>
    <row r="69" spans="2:101" ht="16.5" customHeight="1" x14ac:dyDescent="0.4">
      <c r="B69" s="422"/>
      <c r="C69" s="4" t="s">
        <v>351</v>
      </c>
      <c r="D69" s="61">
        <f>$C$12*CY32</f>
        <v>1043390.4903797312</v>
      </c>
      <c r="E69" s="280" t="s">
        <v>457</v>
      </c>
      <c r="F69" s="125"/>
      <c r="CV69" s="195" t="s">
        <v>398</v>
      </c>
      <c r="CW69" s="125">
        <f>D30</f>
        <v>18074306.006394699</v>
      </c>
    </row>
    <row r="70" spans="2:101" ht="17.399999999999999" customHeight="1" x14ac:dyDescent="0.4">
      <c r="B70" s="423" t="s">
        <v>302</v>
      </c>
      <c r="C70" s="355"/>
      <c r="D70" s="61">
        <f>$C$12*CY33</f>
        <v>16068782.290933121</v>
      </c>
      <c r="E70" s="280" t="s">
        <v>457</v>
      </c>
      <c r="CV70" s="195" t="s">
        <v>396</v>
      </c>
      <c r="CW70" s="118">
        <f>D31</f>
        <v>35094961.357901312</v>
      </c>
    </row>
    <row r="71" spans="2:101" ht="17.399999999999999" customHeight="1" x14ac:dyDescent="0.4">
      <c r="B71" s="422" t="s">
        <v>304</v>
      </c>
      <c r="C71" s="233" t="s">
        <v>308</v>
      </c>
      <c r="D71" s="233"/>
      <c r="E71" s="279" t="s">
        <v>307</v>
      </c>
      <c r="F71" s="16"/>
      <c r="CV71" s="195" t="s">
        <v>399</v>
      </c>
      <c r="CW71" s="118">
        <f>D32</f>
        <v>61525680.438531466</v>
      </c>
    </row>
    <row r="72" spans="2:101" x14ac:dyDescent="0.25">
      <c r="B72" s="422"/>
      <c r="C72" s="235" t="str">
        <f>$B$48</f>
        <v>Total variable cost</v>
      </c>
      <c r="D72" s="186"/>
      <c r="E72" s="281"/>
      <c r="CV72" s="1" t="s">
        <v>400</v>
      </c>
      <c r="CW72" s="118">
        <f>D33</f>
        <v>10857473.018564377</v>
      </c>
    </row>
    <row r="73" spans="2:101" x14ac:dyDescent="0.25">
      <c r="B73" s="422"/>
      <c r="C73" s="186" t="str">
        <f t="shared" ref="C73:C80" si="2">$C40</f>
        <v>Raw materials</v>
      </c>
      <c r="D73" s="186" t="s">
        <v>457</v>
      </c>
      <c r="E73" s="272">
        <f t="shared" ref="E73:E80" si="3">$C$12*D40</f>
        <v>2242865.6547394516</v>
      </c>
      <c r="F73" s="125"/>
    </row>
    <row r="74" spans="2:101" x14ac:dyDescent="0.25">
      <c r="B74" s="422"/>
      <c r="C74" s="186" t="str">
        <f t="shared" si="2"/>
        <v>Operating labor</v>
      </c>
      <c r="D74" s="186" t="s">
        <v>457</v>
      </c>
      <c r="E74" s="272">
        <f t="shared" si="3"/>
        <v>1104072.4895025864</v>
      </c>
      <c r="F74" s="125"/>
    </row>
    <row r="75" spans="2:101" x14ac:dyDescent="0.25">
      <c r="B75" s="422"/>
      <c r="C75" s="186" t="str">
        <f t="shared" si="2"/>
        <v>Direct Supervisory and clerical labor</v>
      </c>
      <c r="D75" s="186" t="s">
        <v>457</v>
      </c>
      <c r="E75" s="272">
        <f t="shared" si="3"/>
        <v>165610.87342538798</v>
      </c>
      <c r="F75" s="125"/>
    </row>
    <row r="76" spans="2:101" x14ac:dyDescent="0.25">
      <c r="B76" s="422"/>
      <c r="C76" s="186" t="str">
        <f t="shared" si="2"/>
        <v>Utilities</v>
      </c>
      <c r="D76" s="186" t="s">
        <v>457</v>
      </c>
      <c r="E76" s="272">
        <f t="shared" si="3"/>
        <v>517187.55610403314</v>
      </c>
      <c r="F76" s="125"/>
    </row>
    <row r="77" spans="2:101" x14ac:dyDescent="0.25">
      <c r="B77" s="422"/>
      <c r="C77" s="186" t="str">
        <f t="shared" si="2"/>
        <v>Maintenance and repairs</v>
      </c>
      <c r="D77" s="186" t="s">
        <v>457</v>
      </c>
      <c r="E77" s="272">
        <f t="shared" si="3"/>
        <v>211632.8897265032</v>
      </c>
      <c r="F77" s="125"/>
      <c r="CV77" s="1" t="s">
        <v>461</v>
      </c>
    </row>
    <row r="78" spans="2:101" x14ac:dyDescent="0.25">
      <c r="B78" s="422"/>
      <c r="C78" s="186" t="str">
        <f t="shared" si="2"/>
        <v>Operating supplies</v>
      </c>
      <c r="D78" s="186" t="s">
        <v>457</v>
      </c>
      <c r="E78" s="272">
        <f t="shared" si="3"/>
        <v>31744.93345897548</v>
      </c>
      <c r="F78" s="125"/>
      <c r="CV78" s="1" t="s">
        <v>462</v>
      </c>
    </row>
    <row r="79" spans="2:101" x14ac:dyDescent="0.25">
      <c r="B79" s="422"/>
      <c r="C79" s="186" t="str">
        <f t="shared" si="2"/>
        <v>Laboratory charges</v>
      </c>
      <c r="D79" s="186" t="s">
        <v>457</v>
      </c>
      <c r="E79" s="272">
        <f t="shared" si="3"/>
        <v>165610.87342538798</v>
      </c>
      <c r="F79" s="125"/>
      <c r="G79" s="4"/>
      <c r="H79" s="4"/>
      <c r="I79" s="4"/>
      <c r="J79" s="4"/>
    </row>
    <row r="80" spans="2:101" x14ac:dyDescent="0.25">
      <c r="B80" s="422"/>
      <c r="C80" s="186" t="str">
        <f t="shared" si="2"/>
        <v>Patents and royal</v>
      </c>
      <c r="D80" s="186" t="s">
        <v>457</v>
      </c>
      <c r="E80" s="272">
        <f t="shared" si="3"/>
        <v>220814.49790051731</v>
      </c>
      <c r="F80" s="125"/>
      <c r="G80" s="4"/>
      <c r="H80" s="4"/>
      <c r="I80" s="4"/>
      <c r="J80" s="4"/>
    </row>
    <row r="81" spans="2:25" x14ac:dyDescent="0.25">
      <c r="B81" s="422"/>
      <c r="C81" s="234" t="str">
        <f>B57</f>
        <v>General Expenses</v>
      </c>
      <c r="D81" s="186"/>
      <c r="E81" s="282"/>
      <c r="F81" s="125"/>
      <c r="G81" s="4"/>
      <c r="H81" s="4"/>
      <c r="I81" s="4"/>
      <c r="J81" s="4"/>
    </row>
    <row r="82" spans="2:25" x14ac:dyDescent="0.25">
      <c r="B82" s="422"/>
      <c r="C82" s="4" t="str">
        <f>B58</f>
        <v>Administrative costs</v>
      </c>
      <c r="D82" s="186" t="s">
        <v>457</v>
      </c>
      <c r="E82" s="272">
        <f>$C$12*D58</f>
        <v>257616.91421727024</v>
      </c>
      <c r="F82" s="125"/>
      <c r="G82" s="4"/>
      <c r="H82" s="4"/>
      <c r="I82" s="4"/>
      <c r="J82" s="4"/>
    </row>
    <row r="83" spans="2:25" x14ac:dyDescent="0.25">
      <c r="B83" s="422"/>
      <c r="C83" s="4" t="str">
        <f>B59</f>
        <v>Distribution and marketing costs</v>
      </c>
      <c r="D83" s="186" t="s">
        <v>457</v>
      </c>
      <c r="E83" s="272">
        <f>$C$12*D59</f>
        <v>809653.15896856354</v>
      </c>
      <c r="F83" s="125"/>
      <c r="G83" s="4"/>
      <c r="H83" s="4"/>
      <c r="I83" s="4"/>
      <c r="J83" s="4"/>
    </row>
    <row r="84" spans="2:25" x14ac:dyDescent="0.25">
      <c r="B84" s="422"/>
      <c r="C84" s="4" t="str">
        <f>B60</f>
        <v>Research and development costs</v>
      </c>
      <c r="D84" s="186" t="s">
        <v>457</v>
      </c>
      <c r="E84" s="272">
        <f>$C$12*D60</f>
        <v>368024.16316752887</v>
      </c>
      <c r="F84" s="125"/>
      <c r="G84" s="4"/>
      <c r="H84" s="4"/>
      <c r="I84" s="4"/>
      <c r="J84" s="4"/>
    </row>
    <row r="85" spans="2:25" x14ac:dyDescent="0.25">
      <c r="B85" s="422"/>
      <c r="C85" s="235" t="str">
        <f>$B$54</f>
        <v>Total fixed cost</v>
      </c>
      <c r="D85" s="186" t="s">
        <v>457</v>
      </c>
      <c r="E85" s="272">
        <f>$D$54</f>
        <v>9237899.9599618576</v>
      </c>
      <c r="F85" s="125"/>
      <c r="G85" s="4"/>
      <c r="H85" s="4"/>
      <c r="I85" s="4"/>
      <c r="J85" s="4"/>
    </row>
    <row r="86" spans="2:25" x14ac:dyDescent="0.25">
      <c r="B86" s="422"/>
      <c r="C86" s="235" t="str">
        <f>B55</f>
        <v>Plant overhead costs</v>
      </c>
      <c r="D86" s="186" t="s">
        <v>457</v>
      </c>
      <c r="E86" s="272">
        <f>$C$12*D55</f>
        <v>736048.32633505773</v>
      </c>
      <c r="F86" s="125"/>
      <c r="G86" s="4"/>
      <c r="H86" s="4"/>
      <c r="I86" s="4"/>
      <c r="J86" s="4"/>
    </row>
    <row r="87" spans="2:25" ht="14.4" thickBot="1" x14ac:dyDescent="0.45">
      <c r="B87" s="416" t="s">
        <v>423</v>
      </c>
      <c r="C87" s="417"/>
      <c r="D87" s="329" t="s">
        <v>457</v>
      </c>
      <c r="E87" s="335">
        <f>SUM(E72:E84)</f>
        <v>6094834.0046362048</v>
      </c>
      <c r="F87" s="125"/>
      <c r="G87" s="4"/>
      <c r="H87" s="4"/>
      <c r="I87" s="4"/>
      <c r="J87" s="4"/>
    </row>
    <row r="88" spans="2:25" x14ac:dyDescent="0.4">
      <c r="B88" s="16"/>
      <c r="F88" s="125"/>
      <c r="G88" s="4"/>
      <c r="H88" s="4"/>
      <c r="I88" s="4"/>
      <c r="J88" s="4"/>
    </row>
    <row r="89" spans="2:25" x14ac:dyDescent="0.4">
      <c r="G89" s="4"/>
      <c r="H89" s="4"/>
      <c r="I89" s="4"/>
      <c r="J89" s="4"/>
    </row>
    <row r="92" spans="2:25" ht="14.4" thickBot="1" x14ac:dyDescent="0.45"/>
    <row r="93" spans="2:25" ht="17.399999999999999" customHeight="1" x14ac:dyDescent="0.4">
      <c r="B93" s="410" t="s">
        <v>305</v>
      </c>
      <c r="C93" s="412"/>
      <c r="D93" s="92"/>
      <c r="E93" s="92"/>
      <c r="F93" s="92"/>
      <c r="G93" s="92"/>
      <c r="H93" s="92"/>
      <c r="I93" s="92"/>
      <c r="J93" s="92"/>
      <c r="U93" s="92"/>
      <c r="V93" s="92"/>
      <c r="W93" s="92"/>
      <c r="X93" s="92"/>
      <c r="Y93" s="92"/>
    </row>
    <row r="94" spans="2:25" ht="15" x14ac:dyDescent="0.4">
      <c r="B94" s="273" t="s">
        <v>274</v>
      </c>
      <c r="C94" s="277">
        <f>-D34</f>
        <v>-72383153.457095847</v>
      </c>
      <c r="D94" s="92"/>
      <c r="E94" s="92"/>
      <c r="F94" s="92"/>
      <c r="G94" s="92"/>
      <c r="H94" s="92"/>
      <c r="I94" s="92"/>
      <c r="J94" s="92"/>
      <c r="U94" s="92"/>
      <c r="V94" s="92"/>
      <c r="W94" s="92"/>
      <c r="X94" s="92"/>
      <c r="Y94" s="92"/>
    </row>
    <row r="95" spans="2:25" ht="15" x14ac:dyDescent="0.4">
      <c r="B95" s="273" t="s">
        <v>275</v>
      </c>
      <c r="C95" s="277">
        <f>$C$94+SUM($CW$45:CW45)</f>
        <v>33590178.592483357</v>
      </c>
      <c r="D95" s="92"/>
      <c r="E95" s="92"/>
      <c r="F95" s="92"/>
      <c r="G95" s="92"/>
      <c r="H95" s="92"/>
      <c r="I95" s="92"/>
      <c r="J95" s="92"/>
      <c r="U95" s="92"/>
      <c r="V95" s="92"/>
      <c r="W95" s="92"/>
      <c r="X95" s="92"/>
      <c r="Y95" s="92"/>
    </row>
    <row r="96" spans="2:25" ht="15" x14ac:dyDescent="0.4">
      <c r="B96" s="273" t="s">
        <v>276</v>
      </c>
      <c r="C96" s="277">
        <f>$C$94+SUM($CW$45:CW46)</f>
        <v>139563510.64206254</v>
      </c>
      <c r="U96" s="92"/>
      <c r="V96" s="92"/>
      <c r="W96" s="92"/>
      <c r="X96" s="92"/>
      <c r="Y96" s="92"/>
    </row>
    <row r="97" spans="2:33" ht="15" x14ac:dyDescent="0.4">
      <c r="B97" s="273" t="s">
        <v>277</v>
      </c>
      <c r="C97" s="277">
        <f>$C$94+SUM($CW$45:CW47)</f>
        <v>245536842.69164175</v>
      </c>
      <c r="U97" s="92"/>
      <c r="V97" s="92"/>
      <c r="W97" s="92"/>
      <c r="X97" s="92"/>
      <c r="Y97" s="92"/>
    </row>
    <row r="98" spans="2:33" ht="15" x14ac:dyDescent="0.4">
      <c r="B98" s="273" t="s">
        <v>278</v>
      </c>
      <c r="C98" s="277">
        <f>$C$94+SUM($CW$45:CW48)</f>
        <v>351510174.74122095</v>
      </c>
      <c r="U98" s="92"/>
      <c r="V98" s="92"/>
      <c r="W98" s="92"/>
      <c r="X98" s="92"/>
      <c r="Y98" s="92"/>
    </row>
    <row r="99" spans="2:33" ht="15" x14ac:dyDescent="0.4">
      <c r="B99" s="273" t="s">
        <v>403</v>
      </c>
      <c r="C99" s="277">
        <f>$C$94+SUM($CW$45:CW49)</f>
        <v>457483506.79080015</v>
      </c>
      <c r="U99" s="92"/>
      <c r="V99" s="92"/>
      <c r="W99" s="92"/>
      <c r="X99" s="92"/>
      <c r="Y99" s="92"/>
    </row>
    <row r="100" spans="2:33" ht="15" x14ac:dyDescent="0.4">
      <c r="B100" s="273" t="s">
        <v>280</v>
      </c>
      <c r="C100" s="277">
        <f>$C$94+SUM($CW$45:CW50)</f>
        <v>563456838.84037936</v>
      </c>
      <c r="U100" s="92"/>
      <c r="V100" s="92"/>
      <c r="W100" s="92"/>
      <c r="X100" s="92"/>
      <c r="Y100" s="92"/>
    </row>
    <row r="101" spans="2:33" ht="15" x14ac:dyDescent="0.4">
      <c r="B101" s="273" t="s">
        <v>281</v>
      </c>
      <c r="C101" s="277">
        <f>$C$94+SUM($CW$45:CW51)</f>
        <v>669430170.88995862</v>
      </c>
      <c r="U101" s="92"/>
      <c r="V101" s="92"/>
      <c r="W101" s="92"/>
      <c r="X101" s="92"/>
      <c r="Y101" s="92"/>
    </row>
    <row r="102" spans="2:33" ht="15" x14ac:dyDescent="0.4">
      <c r="B102" s="273" t="s">
        <v>282</v>
      </c>
      <c r="C102" s="277">
        <f>$C$94+SUM($CW$45:CW52)</f>
        <v>775403502.93953776</v>
      </c>
      <c r="U102" s="92"/>
      <c r="V102" s="92"/>
      <c r="W102" s="92"/>
      <c r="X102" s="92"/>
      <c r="Y102" s="92"/>
    </row>
    <row r="103" spans="2:33" ht="15" x14ac:dyDescent="0.4">
      <c r="B103" s="273" t="s">
        <v>283</v>
      </c>
      <c r="C103" s="277">
        <f>$C$94+SUM($CW$45:CW53)</f>
        <v>881376834.98911691</v>
      </c>
      <c r="U103" s="92"/>
      <c r="V103" s="92"/>
      <c r="W103" s="92"/>
      <c r="X103" s="92"/>
      <c r="Y103" s="92"/>
    </row>
    <row r="104" spans="2:33" ht="15.6" thickBot="1" x14ac:dyDescent="0.45">
      <c r="B104" s="283" t="s">
        <v>284</v>
      </c>
      <c r="C104" s="330">
        <f>$C$94+SUM($CW$45:CW54)</f>
        <v>987350167.03869605</v>
      </c>
      <c r="U104" s="92"/>
      <c r="V104" s="92"/>
      <c r="W104" s="92"/>
      <c r="X104" s="92"/>
      <c r="Y104" s="92"/>
    </row>
    <row r="105" spans="2:33" ht="15" x14ac:dyDescent="0.4">
      <c r="U105" s="92"/>
      <c r="V105" s="92"/>
      <c r="W105" s="92"/>
      <c r="X105" s="92"/>
      <c r="Y105" s="92"/>
    </row>
    <row r="106" spans="2:33" ht="15" x14ac:dyDescent="0.4">
      <c r="U106" s="92"/>
      <c r="V106" s="92"/>
      <c r="W106" s="92"/>
      <c r="X106" s="92"/>
      <c r="Y106" s="92"/>
    </row>
    <row r="107" spans="2:33" ht="15" x14ac:dyDescent="0.4">
      <c r="U107" s="92"/>
      <c r="V107" s="92"/>
      <c r="W107" s="92"/>
      <c r="X107" s="92"/>
      <c r="Y107" s="92"/>
    </row>
    <row r="108" spans="2:33" ht="15" x14ac:dyDescent="0.4">
      <c r="C108" s="16"/>
      <c r="D108" s="125"/>
      <c r="F108" s="61"/>
      <c r="G108" s="61"/>
      <c r="H108" s="61"/>
      <c r="Q108" s="4"/>
      <c r="AC108" s="92"/>
      <c r="AD108" s="92"/>
      <c r="AE108" s="92"/>
      <c r="AF108" s="92"/>
      <c r="AG108" s="92"/>
    </row>
    <row r="109" spans="2:33" ht="15" x14ac:dyDescent="0.25">
      <c r="D109" s="125"/>
      <c r="F109" s="61"/>
      <c r="G109" s="61"/>
      <c r="H109" s="61"/>
      <c r="K109" s="13"/>
      <c r="AC109" s="92"/>
      <c r="AD109" s="92"/>
      <c r="AE109" s="92"/>
      <c r="AF109" s="92"/>
      <c r="AG109" s="92"/>
    </row>
    <row r="110" spans="2:33" ht="15" x14ac:dyDescent="0.4">
      <c r="D110" s="125"/>
      <c r="F110" s="61"/>
      <c r="G110" s="61"/>
      <c r="H110" s="61"/>
      <c r="K110" s="16"/>
      <c r="AC110" s="92"/>
      <c r="AD110" s="92"/>
    </row>
    <row r="111" spans="2:33" ht="15" x14ac:dyDescent="0.4">
      <c r="F111" s="61"/>
      <c r="G111" s="61"/>
      <c r="H111" s="61"/>
      <c r="K111" s="16"/>
      <c r="L111" s="16"/>
      <c r="M111" s="16"/>
      <c r="N111" s="16"/>
      <c r="O111" s="16"/>
      <c r="P111" s="16"/>
      <c r="Q111" s="16"/>
      <c r="AC111" s="92"/>
      <c r="AD111" s="92"/>
    </row>
    <row r="112" spans="2:33" ht="15" x14ac:dyDescent="0.4">
      <c r="C112" s="16"/>
      <c r="F112" s="61"/>
      <c r="G112" s="61"/>
      <c r="H112" s="61"/>
      <c r="AC112" s="92"/>
      <c r="AD112" s="92"/>
    </row>
    <row r="113" spans="2:30" ht="15" x14ac:dyDescent="0.25">
      <c r="C113" s="184"/>
      <c r="E113" s="185"/>
      <c r="F113" s="61"/>
      <c r="G113" s="61"/>
      <c r="H113" s="61"/>
      <c r="AC113" s="92"/>
      <c r="AD113" s="92"/>
    </row>
    <row r="114" spans="2:30" ht="15" x14ac:dyDescent="0.25">
      <c r="C114" s="186"/>
      <c r="E114" s="186"/>
      <c r="F114" s="50"/>
      <c r="G114" s="50"/>
      <c r="H114" s="50"/>
      <c r="AC114" s="92"/>
      <c r="AD114" s="92"/>
    </row>
    <row r="115" spans="2:30" ht="15" x14ac:dyDescent="0.25">
      <c r="C115" s="184"/>
      <c r="E115" s="185"/>
      <c r="F115" s="61"/>
      <c r="G115" s="61"/>
      <c r="H115" s="61"/>
      <c r="I115" s="61"/>
      <c r="J115" s="61"/>
      <c r="AC115" s="92"/>
      <c r="AD115" s="92"/>
    </row>
    <row r="116" spans="2:30" ht="15" x14ac:dyDescent="0.25">
      <c r="C116" s="184"/>
      <c r="E116" s="185"/>
      <c r="F116" s="146"/>
      <c r="G116" s="146"/>
      <c r="H116" s="146"/>
      <c r="I116" s="146"/>
      <c r="J116" s="146"/>
      <c r="AC116" s="92"/>
      <c r="AD116" s="92"/>
    </row>
    <row r="117" spans="2:30" ht="15" x14ac:dyDescent="0.25">
      <c r="C117" s="184"/>
      <c r="E117" s="185"/>
      <c r="AC117" s="92"/>
      <c r="AD117" s="92"/>
    </row>
    <row r="118" spans="2:30" ht="15" x14ac:dyDescent="0.25">
      <c r="C118" s="184"/>
      <c r="E118" s="185"/>
      <c r="AC118" s="92"/>
      <c r="AD118" s="92"/>
    </row>
    <row r="119" spans="2:30" ht="15.6" x14ac:dyDescent="0.25">
      <c r="B119" s="126"/>
      <c r="C119" s="184"/>
      <c r="E119" s="185"/>
      <c r="F119" s="126"/>
      <c r="G119" s="126"/>
      <c r="H119" s="126"/>
      <c r="I119" s="126"/>
      <c r="J119" s="126"/>
      <c r="K119" s="126"/>
      <c r="T119" s="92"/>
      <c r="U119" s="187"/>
    </row>
    <row r="120" spans="2:30" ht="15.6" x14ac:dyDescent="0.25">
      <c r="C120" s="184"/>
      <c r="E120" s="185"/>
      <c r="T120" s="92"/>
      <c r="U120" s="187"/>
    </row>
    <row r="121" spans="2:30" ht="15.6" x14ac:dyDescent="0.25">
      <c r="C121" s="184"/>
      <c r="E121" s="185"/>
      <c r="T121" s="92"/>
      <c r="U121" s="173"/>
    </row>
    <row r="122" spans="2:30" ht="15" x14ac:dyDescent="0.25">
      <c r="C122" s="184"/>
      <c r="E122" s="185"/>
      <c r="T122" s="92"/>
      <c r="U122" s="92"/>
    </row>
    <row r="123" spans="2:30" ht="15" x14ac:dyDescent="0.25">
      <c r="D123" s="186"/>
      <c r="E123" s="186"/>
      <c r="T123" s="92"/>
      <c r="U123" s="92"/>
    </row>
    <row r="124" spans="2:30" ht="15" x14ac:dyDescent="0.25">
      <c r="C124" s="184"/>
      <c r="E124" s="185"/>
      <c r="T124" s="92"/>
      <c r="U124" s="92"/>
    </row>
    <row r="125" spans="2:30" ht="15" x14ac:dyDescent="0.25">
      <c r="B125" s="4"/>
      <c r="C125" s="184"/>
      <c r="E125" s="186"/>
      <c r="T125" s="92"/>
      <c r="U125" s="92"/>
    </row>
    <row r="126" spans="2:30" ht="15.6" x14ac:dyDescent="0.25">
      <c r="D126" s="186"/>
      <c r="E126" s="186"/>
      <c r="T126" s="92"/>
      <c r="U126" s="173"/>
    </row>
    <row r="127" spans="2:30" ht="15" x14ac:dyDescent="0.25">
      <c r="C127" s="184"/>
      <c r="E127" s="185"/>
      <c r="T127" s="92"/>
      <c r="U127" s="92"/>
    </row>
    <row r="128" spans="2:30" ht="15" x14ac:dyDescent="0.25">
      <c r="C128" s="184"/>
      <c r="E128" s="185"/>
      <c r="T128" s="92"/>
      <c r="U128" s="92"/>
    </row>
    <row r="129" spans="2:21" ht="15" x14ac:dyDescent="0.25">
      <c r="C129" s="184"/>
      <c r="E129" s="185"/>
      <c r="T129" s="92"/>
      <c r="U129" s="92"/>
    </row>
    <row r="130" spans="2:21" ht="15" x14ac:dyDescent="0.4">
      <c r="T130" s="92"/>
      <c r="U130" s="92"/>
    </row>
    <row r="131" spans="2:21" ht="15" x14ac:dyDescent="0.4">
      <c r="T131" s="92"/>
      <c r="U131" s="92"/>
    </row>
    <row r="132" spans="2:21" ht="15" x14ac:dyDescent="0.4">
      <c r="B132" s="16"/>
      <c r="C132" s="16"/>
      <c r="T132" s="92"/>
      <c r="U132" s="92"/>
    </row>
    <row r="133" spans="2:21" ht="15" x14ac:dyDescent="0.4">
      <c r="B133" s="4"/>
      <c r="C133" s="61"/>
      <c r="T133" s="92"/>
      <c r="U133" s="92"/>
    </row>
    <row r="134" spans="2:21" ht="15" x14ac:dyDescent="0.4">
      <c r="B134" s="4"/>
      <c r="C134" s="61"/>
      <c r="T134" s="92"/>
      <c r="U134" s="92"/>
    </row>
    <row r="135" spans="2:21" ht="15.6" x14ac:dyDescent="0.4">
      <c r="B135" s="4"/>
      <c r="C135" s="61"/>
      <c r="T135" s="92"/>
      <c r="U135" s="187"/>
    </row>
    <row r="136" spans="2:21" ht="15.6" x14ac:dyDescent="0.4">
      <c r="B136" s="4"/>
      <c r="C136" s="61"/>
      <c r="T136" s="92"/>
      <c r="U136" s="187"/>
    </row>
    <row r="137" spans="2:21" ht="15.6" x14ac:dyDescent="0.4">
      <c r="B137" s="4"/>
      <c r="C137" s="61"/>
      <c r="T137" s="92"/>
      <c r="U137" s="173"/>
    </row>
    <row r="138" spans="2:21" ht="15" x14ac:dyDescent="0.4">
      <c r="T138" s="92"/>
      <c r="U138" s="92"/>
    </row>
    <row r="139" spans="2:21" ht="15" x14ac:dyDescent="0.4">
      <c r="T139" s="92"/>
      <c r="U139" s="92"/>
    </row>
    <row r="140" spans="2:21" ht="15" x14ac:dyDescent="0.4">
      <c r="T140" s="92"/>
      <c r="U140" s="92"/>
    </row>
    <row r="141" spans="2:21" ht="15" x14ac:dyDescent="0.4">
      <c r="T141" s="92"/>
      <c r="U141" s="92"/>
    </row>
    <row r="142" spans="2:21" ht="15.6" x14ac:dyDescent="0.4">
      <c r="T142" s="92"/>
      <c r="U142" s="173"/>
    </row>
    <row r="143" spans="2:21" ht="15" x14ac:dyDescent="0.4">
      <c r="T143" s="92"/>
      <c r="U143" s="92"/>
    </row>
    <row r="144" spans="2:21" ht="15" x14ac:dyDescent="0.4">
      <c r="T144" s="92"/>
      <c r="U144" s="92"/>
    </row>
    <row r="145" spans="20:33" ht="15" x14ac:dyDescent="0.4">
      <c r="T145" s="92"/>
      <c r="U145" s="92"/>
    </row>
    <row r="146" spans="20:33" ht="15" x14ac:dyDescent="0.4">
      <c r="T146" s="92"/>
      <c r="U146" s="92"/>
    </row>
    <row r="147" spans="20:33" ht="15" x14ac:dyDescent="0.4">
      <c r="T147" s="92"/>
      <c r="U147" s="92"/>
    </row>
    <row r="148" spans="20:33" ht="15" x14ac:dyDescent="0.4">
      <c r="T148" s="92"/>
      <c r="U148" s="92"/>
    </row>
    <row r="149" spans="20:33" ht="15" x14ac:dyDescent="0.4">
      <c r="T149" s="92"/>
      <c r="U149" s="92"/>
    </row>
    <row r="150" spans="20:33" ht="15" x14ac:dyDescent="0.4">
      <c r="T150" s="92"/>
      <c r="U150" s="92"/>
      <c r="AG150" s="92"/>
    </row>
    <row r="151" spans="20:33" ht="15.6" x14ac:dyDescent="0.4">
      <c r="T151" s="92"/>
      <c r="U151" s="187"/>
      <c r="AG151" s="92"/>
    </row>
    <row r="152" spans="20:33" ht="15.6" x14ac:dyDescent="0.4">
      <c r="T152" s="92"/>
      <c r="U152" s="187"/>
      <c r="AG152" s="92"/>
    </row>
    <row r="153" spans="20:33" ht="15.6" x14ac:dyDescent="0.4">
      <c r="T153" s="92"/>
      <c r="U153" s="173"/>
      <c r="AG153" s="92"/>
    </row>
    <row r="154" spans="20:33" ht="15" x14ac:dyDescent="0.4">
      <c r="T154" s="92"/>
      <c r="U154" s="92"/>
      <c r="AG154" s="92"/>
    </row>
    <row r="155" spans="20:33" ht="15" x14ac:dyDescent="0.4">
      <c r="T155" s="92"/>
      <c r="U155" s="92"/>
      <c r="AG155" s="92"/>
    </row>
    <row r="156" spans="20:33" ht="15" x14ac:dyDescent="0.4">
      <c r="T156" s="92"/>
      <c r="U156" s="92"/>
      <c r="AG156" s="92"/>
    </row>
    <row r="157" spans="20:33" ht="15" x14ac:dyDescent="0.4">
      <c r="T157" s="92"/>
      <c r="U157" s="92"/>
      <c r="AG157" s="92"/>
    </row>
    <row r="158" spans="20:33" ht="15.6" x14ac:dyDescent="0.4">
      <c r="T158" s="92"/>
      <c r="U158" s="173"/>
      <c r="AG158" s="92"/>
    </row>
    <row r="159" spans="20:33" ht="15" x14ac:dyDescent="0.4">
      <c r="T159" s="92"/>
      <c r="U159" s="92"/>
      <c r="V159" s="92"/>
      <c r="W159" s="92"/>
      <c r="X159" s="92"/>
      <c r="Y159" s="92"/>
      <c r="Z159" s="92"/>
      <c r="AA159" s="92"/>
      <c r="AB159" s="92"/>
      <c r="AC159" s="92"/>
      <c r="AD159" s="92"/>
      <c r="AE159" s="92"/>
      <c r="AF159" s="92"/>
      <c r="AG159" s="92"/>
    </row>
    <row r="160" spans="20:33" ht="15" x14ac:dyDescent="0.4">
      <c r="T160" s="92"/>
      <c r="U160" s="92"/>
      <c r="V160" s="92"/>
      <c r="W160" s="92"/>
      <c r="X160" s="92"/>
      <c r="Y160" s="92"/>
      <c r="Z160" s="92"/>
      <c r="AA160" s="92"/>
      <c r="AB160" s="92"/>
      <c r="AC160" s="92"/>
      <c r="AD160" s="92"/>
      <c r="AE160" s="92"/>
      <c r="AF160" s="92"/>
      <c r="AG160" s="92"/>
    </row>
    <row r="161" spans="20:33" ht="15" x14ac:dyDescent="0.4">
      <c r="T161" s="92"/>
      <c r="U161" s="92"/>
      <c r="V161" s="92"/>
      <c r="W161" s="92"/>
      <c r="X161" s="92"/>
      <c r="Y161" s="92"/>
      <c r="Z161" s="92"/>
      <c r="AA161" s="92"/>
      <c r="AB161" s="92"/>
      <c r="AC161" s="92"/>
      <c r="AD161" s="92"/>
      <c r="AE161" s="92"/>
      <c r="AF161" s="92"/>
      <c r="AG161" s="92"/>
    </row>
    <row r="162" spans="20:33" ht="15" x14ac:dyDescent="0.4">
      <c r="T162" s="92"/>
      <c r="U162" s="92"/>
      <c r="V162" s="92"/>
      <c r="W162" s="92"/>
      <c r="X162" s="92"/>
      <c r="Y162" s="92"/>
      <c r="Z162" s="92"/>
      <c r="AA162" s="92"/>
      <c r="AB162" s="92"/>
      <c r="AC162" s="92"/>
      <c r="AD162" s="92"/>
      <c r="AE162" s="92"/>
      <c r="AF162" s="92"/>
      <c r="AG162" s="92"/>
    </row>
    <row r="163" spans="20:33" ht="15" x14ac:dyDescent="0.4">
      <c r="T163" s="92"/>
      <c r="U163" s="92"/>
      <c r="V163" s="92"/>
      <c r="W163" s="92"/>
      <c r="X163" s="92"/>
      <c r="Y163" s="92"/>
      <c r="Z163" s="92"/>
      <c r="AA163" s="92"/>
      <c r="AB163" s="92"/>
      <c r="AC163" s="92"/>
      <c r="AD163" s="92"/>
      <c r="AE163" s="92"/>
      <c r="AF163" s="92"/>
      <c r="AG163" s="92"/>
    </row>
    <row r="164" spans="20:33" ht="15" x14ac:dyDescent="0.4">
      <c r="T164" s="92"/>
      <c r="U164" s="92"/>
      <c r="V164" s="92"/>
      <c r="W164" s="92"/>
      <c r="X164" s="92"/>
      <c r="Y164" s="92"/>
      <c r="Z164" s="92"/>
      <c r="AA164" s="92"/>
      <c r="AB164" s="92"/>
      <c r="AC164" s="92"/>
      <c r="AD164" s="92"/>
      <c r="AE164" s="92"/>
      <c r="AF164" s="92"/>
      <c r="AG164" s="92"/>
    </row>
    <row r="165" spans="20:33" ht="15" x14ac:dyDescent="0.4">
      <c r="T165" s="92"/>
      <c r="U165" s="92"/>
      <c r="V165" s="92"/>
      <c r="W165" s="92"/>
      <c r="X165" s="92"/>
      <c r="Y165" s="92"/>
      <c r="Z165" s="92"/>
      <c r="AA165" s="92"/>
      <c r="AB165" s="92"/>
      <c r="AC165" s="92"/>
      <c r="AD165" s="92"/>
      <c r="AE165" s="92"/>
      <c r="AF165" s="92"/>
      <c r="AG165" s="92"/>
    </row>
    <row r="166" spans="20:33" ht="15" x14ac:dyDescent="0.4">
      <c r="T166" s="92"/>
      <c r="U166" s="92"/>
      <c r="V166" s="92"/>
      <c r="W166" s="92"/>
      <c r="X166" s="92"/>
      <c r="Y166" s="92"/>
      <c r="Z166" s="92"/>
      <c r="AA166" s="92"/>
      <c r="AB166" s="92"/>
      <c r="AC166" s="92"/>
      <c r="AD166" s="92"/>
      <c r="AE166" s="92"/>
      <c r="AF166" s="92"/>
      <c r="AG166" s="92"/>
    </row>
    <row r="167" spans="20:33" ht="15.6" x14ac:dyDescent="0.4">
      <c r="T167" s="92"/>
      <c r="U167" s="187"/>
      <c r="V167" s="187"/>
      <c r="W167" s="92"/>
      <c r="X167" s="92"/>
      <c r="Y167" s="92"/>
      <c r="Z167" s="92"/>
      <c r="AA167" s="92"/>
      <c r="AB167" s="92"/>
      <c r="AC167" s="92"/>
      <c r="AD167" s="92"/>
      <c r="AE167" s="92"/>
      <c r="AF167" s="92"/>
      <c r="AG167" s="92"/>
    </row>
    <row r="168" spans="20:33" ht="15.6" x14ac:dyDescent="0.4">
      <c r="T168" s="92"/>
      <c r="U168" s="187"/>
      <c r="V168" s="92"/>
      <c r="W168" s="92"/>
      <c r="X168" s="92"/>
      <c r="Y168" s="92"/>
      <c r="Z168" s="92"/>
      <c r="AA168" s="92"/>
      <c r="AB168" s="92"/>
      <c r="AC168" s="92"/>
      <c r="AD168" s="92"/>
      <c r="AE168" s="92"/>
      <c r="AF168" s="92"/>
      <c r="AG168" s="92"/>
    </row>
    <row r="169" spans="20:33" ht="15.6" x14ac:dyDescent="0.4">
      <c r="T169" s="92"/>
      <c r="U169" s="173"/>
      <c r="V169" s="173"/>
      <c r="W169" s="92"/>
      <c r="X169" s="92"/>
      <c r="Y169" s="92"/>
      <c r="Z169" s="92"/>
      <c r="AA169" s="92"/>
      <c r="AB169" s="92"/>
      <c r="AC169" s="92"/>
      <c r="AD169" s="92"/>
      <c r="AE169" s="92"/>
      <c r="AF169" s="92"/>
      <c r="AG169" s="92"/>
    </row>
    <row r="170" spans="20:33" ht="15.6" x14ac:dyDescent="0.4">
      <c r="T170" s="92"/>
      <c r="U170" s="92"/>
      <c r="V170" s="92"/>
      <c r="W170" s="92"/>
      <c r="X170" s="174"/>
      <c r="Y170" s="92"/>
      <c r="Z170" s="92"/>
      <c r="AA170" s="92"/>
      <c r="AB170" s="92"/>
      <c r="AC170" s="92"/>
      <c r="AD170" s="92"/>
      <c r="AE170" s="92"/>
      <c r="AF170" s="92"/>
      <c r="AG170" s="92"/>
    </row>
    <row r="171" spans="20:33" ht="15.6" x14ac:dyDescent="0.4">
      <c r="T171" s="92"/>
      <c r="U171" s="92"/>
      <c r="V171" s="92"/>
      <c r="W171" s="92"/>
      <c r="X171" s="174"/>
      <c r="Y171" s="92"/>
      <c r="Z171" s="92"/>
      <c r="AA171" s="92"/>
      <c r="AB171" s="92"/>
      <c r="AC171" s="92"/>
      <c r="AD171" s="92"/>
      <c r="AE171" s="92"/>
      <c r="AF171" s="92"/>
      <c r="AG171" s="92"/>
    </row>
    <row r="172" spans="20:33" ht="15" x14ac:dyDescent="0.4">
      <c r="T172" s="92"/>
      <c r="U172" s="92"/>
      <c r="V172" s="188"/>
      <c r="W172" s="189"/>
      <c r="X172" s="92"/>
      <c r="Y172" s="92"/>
      <c r="Z172" s="92"/>
      <c r="AA172" s="92"/>
      <c r="AB172" s="92"/>
      <c r="AC172" s="92"/>
      <c r="AD172" s="92"/>
      <c r="AE172" s="92"/>
      <c r="AF172" s="92"/>
      <c r="AG172" s="92"/>
    </row>
    <row r="173" spans="20:33" ht="15" x14ac:dyDescent="0.4">
      <c r="T173" s="92"/>
      <c r="U173" s="92"/>
      <c r="V173" s="92"/>
      <c r="W173" s="92"/>
      <c r="X173" s="92"/>
      <c r="Y173" s="92"/>
      <c r="Z173" s="92"/>
      <c r="AA173" s="92"/>
      <c r="AB173" s="92"/>
      <c r="AC173" s="92"/>
      <c r="AD173" s="92"/>
      <c r="AE173" s="92"/>
      <c r="AF173" s="92"/>
      <c r="AG173" s="92"/>
    </row>
    <row r="174" spans="20:33" ht="15.6" x14ac:dyDescent="0.4">
      <c r="T174" s="92"/>
      <c r="U174" s="173"/>
      <c r="V174" s="173"/>
      <c r="W174" s="173"/>
      <c r="X174" s="92"/>
      <c r="Y174" s="92"/>
      <c r="Z174" s="92"/>
      <c r="AA174" s="92"/>
      <c r="AB174" s="92"/>
      <c r="AC174" s="92"/>
      <c r="AD174" s="92"/>
      <c r="AE174" s="92"/>
      <c r="AF174" s="92"/>
      <c r="AG174" s="92"/>
    </row>
    <row r="175" spans="20:33" ht="15" x14ac:dyDescent="0.4">
      <c r="T175" s="92"/>
      <c r="U175" s="92"/>
      <c r="V175" s="92"/>
      <c r="W175" s="92"/>
      <c r="X175" s="92"/>
      <c r="Y175" s="92"/>
      <c r="Z175" s="92"/>
      <c r="AA175" s="92"/>
      <c r="AB175" s="92"/>
      <c r="AC175" s="92"/>
      <c r="AD175" s="92"/>
      <c r="AE175" s="92"/>
      <c r="AF175" s="92"/>
      <c r="AG175" s="92"/>
    </row>
    <row r="176" spans="20:33" ht="15" x14ac:dyDescent="0.4">
      <c r="T176" s="92"/>
      <c r="U176" s="92"/>
      <c r="V176" s="92"/>
      <c r="W176" s="92"/>
      <c r="X176" s="92"/>
      <c r="Y176" s="92"/>
      <c r="Z176" s="92"/>
      <c r="AA176" s="92"/>
      <c r="AB176" s="92"/>
      <c r="AC176" s="92"/>
      <c r="AD176" s="92"/>
      <c r="AE176" s="92"/>
      <c r="AF176" s="92"/>
      <c r="AG176" s="92"/>
    </row>
    <row r="177" spans="20:33" ht="15" x14ac:dyDescent="0.4">
      <c r="T177" s="92"/>
      <c r="U177" s="92"/>
      <c r="V177" s="92"/>
      <c r="W177" s="92"/>
      <c r="X177" s="92"/>
      <c r="Y177" s="92"/>
      <c r="Z177" s="92"/>
      <c r="AA177" s="92"/>
      <c r="AB177" s="92"/>
      <c r="AC177" s="92"/>
      <c r="AD177" s="92"/>
      <c r="AE177" s="92"/>
      <c r="AF177" s="92"/>
      <c r="AG177" s="92"/>
    </row>
    <row r="178" spans="20:33" ht="15" x14ac:dyDescent="0.4">
      <c r="T178" s="92"/>
      <c r="U178" s="92"/>
      <c r="V178" s="92"/>
      <c r="W178" s="92"/>
      <c r="X178" s="92"/>
      <c r="Y178" s="92"/>
      <c r="Z178" s="92"/>
      <c r="AA178" s="92"/>
      <c r="AB178" s="92"/>
      <c r="AC178" s="92"/>
      <c r="AD178" s="92"/>
      <c r="AE178" s="92"/>
      <c r="AF178" s="92"/>
      <c r="AG178" s="92"/>
    </row>
    <row r="179" spans="20:33" ht="15" x14ac:dyDescent="0.4">
      <c r="T179" s="92"/>
      <c r="U179" s="92"/>
      <c r="V179" s="92"/>
      <c r="W179" s="92"/>
      <c r="X179" s="92"/>
      <c r="Y179" s="92"/>
      <c r="Z179" s="92"/>
      <c r="AA179" s="92"/>
      <c r="AB179" s="92"/>
      <c r="AC179" s="92"/>
      <c r="AD179" s="92"/>
      <c r="AE179" s="92"/>
      <c r="AF179" s="92"/>
      <c r="AG179" s="92"/>
    </row>
    <row r="180" spans="20:33" ht="15" x14ac:dyDescent="0.4">
      <c r="T180" s="92"/>
      <c r="U180" s="92"/>
      <c r="V180" s="92"/>
      <c r="W180" s="92"/>
      <c r="X180" s="92"/>
      <c r="Y180" s="92"/>
      <c r="Z180" s="92"/>
      <c r="AA180" s="92"/>
      <c r="AB180" s="92"/>
      <c r="AC180" s="92"/>
      <c r="AD180" s="92"/>
      <c r="AE180" s="92"/>
      <c r="AF180" s="92"/>
      <c r="AG180" s="92"/>
    </row>
    <row r="181" spans="20:33" ht="15" x14ac:dyDescent="0.4">
      <c r="T181" s="92"/>
      <c r="U181" s="92"/>
      <c r="V181" s="92"/>
      <c r="W181" s="92"/>
      <c r="X181" s="92"/>
      <c r="Y181" s="92"/>
      <c r="Z181" s="92"/>
      <c r="AA181" s="92"/>
      <c r="AB181" s="92"/>
      <c r="AC181" s="92"/>
      <c r="AD181" s="92"/>
      <c r="AE181" s="92"/>
      <c r="AF181" s="92"/>
      <c r="AG181" s="92"/>
    </row>
    <row r="182" spans="20:33" ht="15" x14ac:dyDescent="0.4">
      <c r="T182" s="92"/>
      <c r="U182" s="92"/>
      <c r="V182" s="92"/>
      <c r="W182" s="92"/>
      <c r="X182" s="92"/>
      <c r="Y182" s="92"/>
      <c r="Z182" s="92"/>
      <c r="AA182" s="92"/>
      <c r="AB182" s="92"/>
      <c r="AC182" s="92"/>
      <c r="AD182" s="92"/>
      <c r="AE182" s="92"/>
      <c r="AF182" s="92"/>
      <c r="AG182" s="92"/>
    </row>
    <row r="183" spans="20:33" ht="15.6" x14ac:dyDescent="0.4">
      <c r="T183" s="92"/>
      <c r="U183" s="187"/>
      <c r="V183" s="187"/>
      <c r="W183" s="92"/>
      <c r="X183" s="92"/>
      <c r="Y183" s="92"/>
      <c r="Z183" s="92"/>
      <c r="AA183" s="92"/>
      <c r="AB183" s="92"/>
      <c r="AC183" s="92"/>
      <c r="AD183" s="92"/>
      <c r="AE183" s="92"/>
      <c r="AF183" s="92"/>
      <c r="AG183" s="92"/>
    </row>
    <row r="184" spans="20:33" ht="15.6" x14ac:dyDescent="0.4">
      <c r="T184" s="92"/>
      <c r="U184" s="187"/>
      <c r="V184" s="92"/>
      <c r="W184" s="92"/>
      <c r="X184" s="92"/>
      <c r="Y184" s="92"/>
      <c r="Z184" s="92"/>
      <c r="AA184" s="92"/>
      <c r="AB184" s="92"/>
      <c r="AC184" s="92"/>
      <c r="AD184" s="92"/>
      <c r="AE184" s="92"/>
      <c r="AF184" s="92"/>
      <c r="AG184" s="92"/>
    </row>
    <row r="185" spans="20:33" ht="15.6" x14ac:dyDescent="0.4">
      <c r="T185" s="92"/>
      <c r="U185" s="173"/>
      <c r="V185" s="173"/>
      <c r="W185" s="92"/>
      <c r="X185" s="92"/>
      <c r="Y185" s="92"/>
      <c r="Z185" s="92"/>
      <c r="AA185" s="92"/>
      <c r="AB185" s="92"/>
      <c r="AC185" s="92"/>
      <c r="AD185" s="92"/>
      <c r="AE185" s="92"/>
      <c r="AF185" s="92"/>
      <c r="AG185" s="92"/>
    </row>
    <row r="186" spans="20:33" ht="15.6" x14ac:dyDescent="0.4">
      <c r="T186" s="92"/>
      <c r="U186" s="92"/>
      <c r="V186" s="92"/>
      <c r="W186" s="92"/>
      <c r="X186" s="174"/>
      <c r="Y186" s="92"/>
      <c r="Z186" s="92"/>
      <c r="AA186" s="92"/>
      <c r="AB186" s="92"/>
      <c r="AC186" s="92"/>
      <c r="AD186" s="92"/>
      <c r="AE186" s="92"/>
      <c r="AF186" s="92"/>
      <c r="AG186" s="92"/>
    </row>
    <row r="187" spans="20:33" ht="15.6" x14ac:dyDescent="0.4">
      <c r="T187" s="92"/>
      <c r="U187" s="92"/>
      <c r="V187" s="92"/>
      <c r="W187" s="92"/>
      <c r="X187" s="174"/>
      <c r="Y187" s="92"/>
      <c r="Z187" s="92"/>
      <c r="AA187" s="92"/>
      <c r="AB187" s="92"/>
      <c r="AC187" s="92"/>
      <c r="AD187" s="92"/>
      <c r="AE187" s="92"/>
      <c r="AF187" s="92"/>
      <c r="AG187" s="92"/>
    </row>
    <row r="188" spans="20:33" ht="15" x14ac:dyDescent="0.4">
      <c r="T188" s="92"/>
      <c r="U188" s="92"/>
      <c r="V188" s="188"/>
      <c r="W188" s="189"/>
      <c r="X188" s="92"/>
      <c r="Y188" s="92"/>
      <c r="Z188" s="92"/>
      <c r="AA188" s="92"/>
      <c r="AB188" s="92"/>
      <c r="AC188" s="92"/>
      <c r="AD188" s="92"/>
      <c r="AE188" s="92"/>
      <c r="AF188" s="92"/>
      <c r="AG188" s="92"/>
    </row>
    <row r="189" spans="20:33" ht="15" x14ac:dyDescent="0.4">
      <c r="T189" s="92"/>
      <c r="U189" s="92"/>
      <c r="V189" s="92"/>
      <c r="W189" s="92"/>
      <c r="X189" s="92"/>
      <c r="Y189" s="92"/>
      <c r="Z189" s="92"/>
      <c r="AA189" s="92"/>
      <c r="AB189" s="92"/>
      <c r="AC189" s="92"/>
      <c r="AD189" s="92"/>
      <c r="AE189" s="92"/>
      <c r="AF189" s="92"/>
      <c r="AG189" s="92"/>
    </row>
    <row r="190" spans="20:33" ht="15.6" x14ac:dyDescent="0.4">
      <c r="T190" s="92"/>
      <c r="U190" s="173"/>
      <c r="V190" s="173"/>
      <c r="W190" s="173"/>
      <c r="X190" s="92"/>
      <c r="Y190" s="92"/>
      <c r="Z190" s="92"/>
      <c r="AA190" s="92"/>
      <c r="AB190" s="92"/>
      <c r="AC190" s="92"/>
      <c r="AD190" s="92"/>
      <c r="AE190" s="92"/>
      <c r="AF190" s="92"/>
      <c r="AG190" s="92"/>
    </row>
    <row r="191" spans="20:33" ht="15" x14ac:dyDescent="0.4">
      <c r="T191" s="92"/>
      <c r="U191" s="92"/>
      <c r="V191" s="92"/>
      <c r="W191" s="92"/>
      <c r="X191" s="92"/>
      <c r="Y191" s="92"/>
      <c r="Z191" s="92"/>
      <c r="AA191" s="92"/>
      <c r="AB191" s="92"/>
      <c r="AC191" s="92"/>
      <c r="AD191" s="92"/>
      <c r="AE191" s="92"/>
      <c r="AF191" s="92"/>
      <c r="AG191" s="92"/>
    </row>
    <row r="192" spans="20:33" ht="15" x14ac:dyDescent="0.4">
      <c r="T192" s="92"/>
      <c r="U192" s="92"/>
      <c r="V192" s="92"/>
      <c r="W192" s="92"/>
      <c r="X192" s="92"/>
      <c r="Y192" s="92"/>
      <c r="Z192" s="92"/>
      <c r="AA192" s="92"/>
      <c r="AB192" s="92"/>
      <c r="AC192" s="92"/>
      <c r="AD192" s="92"/>
      <c r="AE192" s="92"/>
      <c r="AF192" s="92"/>
      <c r="AG192" s="92"/>
    </row>
    <row r="193" spans="20:33" ht="15" x14ac:dyDescent="0.4">
      <c r="T193" s="92"/>
      <c r="U193" s="92"/>
      <c r="V193" s="92"/>
      <c r="W193" s="92"/>
      <c r="X193" s="92"/>
      <c r="Y193" s="92"/>
      <c r="Z193" s="92"/>
      <c r="AA193" s="92"/>
      <c r="AB193" s="92"/>
      <c r="AC193" s="92"/>
      <c r="AD193" s="92"/>
      <c r="AE193" s="92"/>
      <c r="AF193" s="92"/>
      <c r="AG193" s="92"/>
    </row>
    <row r="194" spans="20:33" ht="15" x14ac:dyDescent="0.4">
      <c r="T194" s="92"/>
      <c r="U194" s="92"/>
      <c r="V194" s="92"/>
      <c r="W194" s="92"/>
      <c r="X194" s="92"/>
      <c r="Y194" s="92"/>
      <c r="Z194" s="92"/>
      <c r="AA194" s="92"/>
      <c r="AB194" s="92"/>
      <c r="AC194" s="92"/>
      <c r="AD194" s="92"/>
      <c r="AE194" s="92"/>
      <c r="AF194" s="92"/>
      <c r="AG194" s="92"/>
    </row>
    <row r="195" spans="20:33" ht="15" x14ac:dyDescent="0.4">
      <c r="T195" s="92"/>
      <c r="U195" s="92"/>
      <c r="V195" s="92"/>
      <c r="W195" s="92"/>
      <c r="X195" s="92"/>
      <c r="Y195" s="92"/>
      <c r="Z195" s="92"/>
      <c r="AA195" s="92"/>
      <c r="AB195" s="92"/>
      <c r="AC195" s="92"/>
      <c r="AD195" s="92"/>
      <c r="AE195" s="92"/>
      <c r="AF195" s="92"/>
      <c r="AG195" s="92"/>
    </row>
    <row r="196" spans="20:33" ht="15" x14ac:dyDescent="0.4">
      <c r="T196" s="92"/>
      <c r="U196" s="92"/>
      <c r="V196" s="92"/>
      <c r="W196" s="92"/>
      <c r="X196" s="92"/>
      <c r="Y196" s="92"/>
      <c r="Z196" s="92"/>
      <c r="AA196" s="92"/>
      <c r="AB196" s="92"/>
      <c r="AC196" s="92"/>
      <c r="AD196" s="92"/>
      <c r="AE196" s="92"/>
      <c r="AF196" s="92"/>
      <c r="AG196" s="92"/>
    </row>
    <row r="197" spans="20:33" ht="15" x14ac:dyDescent="0.4">
      <c r="T197" s="92"/>
      <c r="U197" s="92"/>
      <c r="V197" s="92"/>
      <c r="W197" s="92"/>
      <c r="X197" s="92"/>
      <c r="Y197" s="92"/>
      <c r="Z197" s="92"/>
      <c r="AA197" s="92"/>
      <c r="AB197" s="92"/>
      <c r="AC197" s="92"/>
      <c r="AD197" s="92"/>
      <c r="AE197" s="92"/>
      <c r="AF197" s="92"/>
      <c r="AG197" s="92"/>
    </row>
    <row r="198" spans="20:33" ht="15" x14ac:dyDescent="0.4">
      <c r="T198" s="92"/>
      <c r="U198" s="92"/>
      <c r="V198" s="92"/>
      <c r="W198" s="92"/>
      <c r="X198" s="92"/>
      <c r="Y198" s="92"/>
      <c r="Z198" s="92"/>
      <c r="AA198" s="92"/>
      <c r="AB198" s="92"/>
      <c r="AC198" s="92"/>
      <c r="AD198" s="92"/>
      <c r="AE198" s="92"/>
      <c r="AF198" s="92"/>
      <c r="AG198" s="92"/>
    </row>
    <row r="199" spans="20:33" ht="15.6" x14ac:dyDescent="0.4">
      <c r="T199" s="92"/>
      <c r="U199" s="187"/>
      <c r="V199" s="187"/>
      <c r="W199" s="92"/>
      <c r="X199" s="92"/>
      <c r="Y199" s="92"/>
      <c r="Z199" s="92"/>
      <c r="AA199" s="92"/>
      <c r="AB199" s="92"/>
      <c r="AC199" s="92"/>
      <c r="AD199" s="92"/>
      <c r="AE199" s="92"/>
      <c r="AF199" s="92"/>
      <c r="AG199" s="92"/>
    </row>
    <row r="200" spans="20:33" ht="15.6" x14ac:dyDescent="0.4">
      <c r="T200" s="92"/>
      <c r="U200" s="187"/>
      <c r="V200" s="92"/>
      <c r="W200" s="92"/>
      <c r="X200" s="92"/>
      <c r="Y200" s="92"/>
      <c r="Z200" s="92"/>
      <c r="AA200" s="92"/>
      <c r="AB200" s="92"/>
      <c r="AC200" s="92"/>
      <c r="AD200" s="92"/>
      <c r="AE200" s="92"/>
      <c r="AF200" s="92"/>
      <c r="AG200" s="92"/>
    </row>
    <row r="201" spans="20:33" ht="15.6" x14ac:dyDescent="0.4">
      <c r="T201" s="92"/>
      <c r="U201" s="173"/>
      <c r="V201" s="173"/>
      <c r="W201" s="92"/>
      <c r="X201" s="92"/>
      <c r="Y201" s="92"/>
      <c r="Z201" s="92"/>
      <c r="AA201" s="92"/>
      <c r="AB201" s="92"/>
      <c r="AC201" s="92"/>
      <c r="AD201" s="92"/>
      <c r="AE201" s="92"/>
      <c r="AF201" s="92"/>
      <c r="AG201" s="92"/>
    </row>
    <row r="202" spans="20:33" ht="15.6" x14ac:dyDescent="0.4">
      <c r="T202" s="92"/>
      <c r="U202" s="92"/>
      <c r="V202" s="92"/>
      <c r="W202" s="92"/>
      <c r="X202" s="174"/>
      <c r="Y202" s="92"/>
      <c r="Z202" s="92"/>
      <c r="AA202" s="92"/>
      <c r="AB202" s="92"/>
      <c r="AC202" s="92"/>
      <c r="AD202" s="92"/>
      <c r="AE202" s="92"/>
      <c r="AF202" s="92"/>
      <c r="AG202" s="92"/>
    </row>
    <row r="203" spans="20:33" ht="15.6" x14ac:dyDescent="0.4">
      <c r="T203" s="92"/>
      <c r="U203" s="92"/>
      <c r="V203" s="92"/>
      <c r="W203" s="92"/>
      <c r="X203" s="174"/>
      <c r="Y203" s="92"/>
      <c r="Z203" s="92"/>
      <c r="AA203" s="92"/>
      <c r="AB203" s="92"/>
      <c r="AC203" s="92"/>
      <c r="AD203" s="92"/>
      <c r="AE203" s="92"/>
      <c r="AF203" s="92"/>
      <c r="AG203" s="92"/>
    </row>
    <row r="204" spans="20:33" ht="15" x14ac:dyDescent="0.4">
      <c r="T204" s="92"/>
      <c r="U204" s="92"/>
      <c r="V204" s="188"/>
      <c r="W204" s="189"/>
      <c r="X204" s="92"/>
      <c r="Y204" s="92"/>
      <c r="Z204" s="92"/>
      <c r="AA204" s="92"/>
      <c r="AB204" s="92"/>
      <c r="AC204" s="92"/>
      <c r="AD204" s="92"/>
      <c r="AE204" s="92"/>
      <c r="AF204" s="92"/>
      <c r="AG204" s="92"/>
    </row>
    <row r="205" spans="20:33" ht="15" x14ac:dyDescent="0.4">
      <c r="T205" s="92"/>
      <c r="U205" s="92"/>
      <c r="V205" s="92"/>
      <c r="W205" s="92"/>
      <c r="X205" s="92"/>
      <c r="Y205" s="92"/>
      <c r="Z205" s="92"/>
      <c r="AA205" s="92"/>
      <c r="AB205" s="92"/>
      <c r="AC205" s="92"/>
      <c r="AD205" s="92"/>
      <c r="AE205" s="92"/>
      <c r="AF205" s="92"/>
      <c r="AG205" s="92"/>
    </row>
    <row r="206" spans="20:33" ht="15.6" x14ac:dyDescent="0.4">
      <c r="T206" s="92"/>
      <c r="U206" s="173"/>
      <c r="V206" s="173"/>
      <c r="W206" s="173"/>
      <c r="X206" s="92"/>
      <c r="Y206" s="92"/>
      <c r="Z206" s="92"/>
      <c r="AA206" s="92"/>
      <c r="AB206" s="92"/>
      <c r="AC206" s="92"/>
      <c r="AD206" s="92"/>
      <c r="AE206" s="92"/>
      <c r="AF206" s="92"/>
      <c r="AG206" s="92"/>
    </row>
    <row r="207" spans="20:33" ht="15" x14ac:dyDescent="0.4">
      <c r="T207" s="92"/>
      <c r="U207" s="92"/>
      <c r="V207" s="92"/>
      <c r="W207" s="92"/>
      <c r="X207" s="92"/>
      <c r="Y207" s="92"/>
      <c r="Z207" s="92"/>
      <c r="AA207" s="92"/>
      <c r="AB207" s="92"/>
      <c r="AC207" s="92"/>
      <c r="AD207" s="92"/>
      <c r="AE207" s="92"/>
      <c r="AF207" s="92"/>
      <c r="AG207" s="92"/>
    </row>
    <row r="208" spans="20:33" ht="15" x14ac:dyDescent="0.4">
      <c r="T208" s="92"/>
      <c r="U208" s="92"/>
      <c r="V208" s="92"/>
      <c r="W208" s="92"/>
      <c r="X208" s="92"/>
      <c r="Y208" s="92"/>
      <c r="Z208" s="92"/>
      <c r="AA208" s="92"/>
      <c r="AB208" s="92"/>
      <c r="AC208" s="92"/>
      <c r="AD208" s="92"/>
      <c r="AE208" s="92"/>
      <c r="AF208" s="92"/>
      <c r="AG208" s="92"/>
    </row>
    <row r="209" spans="20:33" ht="15" x14ac:dyDescent="0.4">
      <c r="T209" s="92"/>
      <c r="U209" s="92"/>
      <c r="V209" s="92"/>
      <c r="W209" s="92"/>
      <c r="X209" s="92"/>
      <c r="Y209" s="92"/>
      <c r="Z209" s="92"/>
      <c r="AA209" s="92"/>
      <c r="AB209" s="92"/>
      <c r="AC209" s="92"/>
      <c r="AD209" s="92"/>
      <c r="AE209" s="92"/>
      <c r="AF209" s="92"/>
      <c r="AG209" s="92"/>
    </row>
    <row r="210" spans="20:33" ht="15" x14ac:dyDescent="0.4">
      <c r="T210" s="92"/>
      <c r="U210" s="92"/>
      <c r="V210" s="92"/>
      <c r="W210" s="92"/>
      <c r="X210" s="92"/>
      <c r="Y210" s="92"/>
      <c r="Z210" s="92"/>
      <c r="AA210" s="92"/>
      <c r="AB210" s="92"/>
      <c r="AC210" s="92"/>
      <c r="AD210" s="92"/>
      <c r="AE210" s="92"/>
      <c r="AF210" s="92"/>
      <c r="AG210" s="92"/>
    </row>
    <row r="211" spans="20:33" ht="15" x14ac:dyDescent="0.4">
      <c r="T211" s="92"/>
      <c r="U211" s="92"/>
      <c r="V211" s="92"/>
      <c r="W211" s="92"/>
      <c r="X211" s="92"/>
      <c r="Y211" s="92"/>
      <c r="Z211" s="92"/>
      <c r="AA211" s="92"/>
      <c r="AB211" s="92"/>
      <c r="AC211" s="92"/>
      <c r="AD211" s="92"/>
      <c r="AE211" s="92"/>
      <c r="AF211" s="92"/>
      <c r="AG211" s="92"/>
    </row>
    <row r="212" spans="20:33" ht="15" x14ac:dyDescent="0.4">
      <c r="T212" s="92"/>
      <c r="U212" s="92"/>
      <c r="V212" s="92"/>
      <c r="W212" s="92"/>
      <c r="X212" s="92"/>
      <c r="Y212" s="92"/>
      <c r="Z212" s="92"/>
      <c r="AA212" s="92"/>
      <c r="AB212" s="92"/>
      <c r="AC212" s="92"/>
      <c r="AD212" s="92"/>
      <c r="AE212" s="92"/>
      <c r="AF212" s="92"/>
      <c r="AG212" s="92"/>
    </row>
    <row r="213" spans="20:33" ht="15" x14ac:dyDescent="0.4">
      <c r="T213" s="92"/>
      <c r="U213" s="92"/>
      <c r="V213" s="92"/>
      <c r="W213" s="92"/>
      <c r="X213" s="92"/>
      <c r="Y213" s="92"/>
      <c r="Z213" s="92"/>
      <c r="AA213" s="92"/>
      <c r="AB213" s="92"/>
      <c r="AC213" s="92"/>
      <c r="AD213" s="92"/>
      <c r="AE213" s="92"/>
      <c r="AF213" s="92"/>
      <c r="AG213" s="92"/>
    </row>
    <row r="214" spans="20:33" ht="15" x14ac:dyDescent="0.4">
      <c r="T214" s="92"/>
      <c r="U214" s="92"/>
      <c r="V214" s="92"/>
      <c r="W214" s="92"/>
      <c r="X214" s="92"/>
      <c r="Y214" s="92"/>
      <c r="Z214" s="92"/>
      <c r="AA214" s="92"/>
      <c r="AB214" s="92"/>
      <c r="AC214" s="92"/>
      <c r="AD214" s="92"/>
      <c r="AE214" s="92"/>
      <c r="AF214" s="92"/>
      <c r="AG214" s="92"/>
    </row>
    <row r="215" spans="20:33" ht="15" x14ac:dyDescent="0.4">
      <c r="T215" s="92"/>
      <c r="U215" s="92"/>
      <c r="V215" s="92"/>
      <c r="W215" s="92"/>
      <c r="X215" s="92"/>
      <c r="Y215" s="92"/>
      <c r="Z215" s="92"/>
      <c r="AA215" s="92"/>
      <c r="AB215" s="92"/>
      <c r="AC215" s="92"/>
      <c r="AD215" s="92"/>
      <c r="AE215" s="92"/>
      <c r="AF215" s="92"/>
      <c r="AG215" s="92"/>
    </row>
    <row r="216" spans="20:33" ht="15" x14ac:dyDescent="0.4">
      <c r="T216" s="92"/>
      <c r="U216" s="92"/>
      <c r="V216" s="92"/>
      <c r="W216" s="92"/>
      <c r="X216" s="92"/>
      <c r="Y216" s="92"/>
      <c r="Z216" s="92"/>
      <c r="AA216" s="92"/>
      <c r="AB216" s="92"/>
      <c r="AC216" s="92"/>
      <c r="AD216" s="92"/>
      <c r="AE216" s="92"/>
      <c r="AF216" s="92"/>
      <c r="AG216" s="92"/>
    </row>
  </sheetData>
  <mergeCells count="36">
    <mergeCell ref="B58:C58"/>
    <mergeCell ref="B59:C59"/>
    <mergeCell ref="B93:C93"/>
    <mergeCell ref="B66:E66"/>
    <mergeCell ref="B67:B69"/>
    <mergeCell ref="B70:C70"/>
    <mergeCell ref="B87:C87"/>
    <mergeCell ref="B71:B86"/>
    <mergeCell ref="B5:C5"/>
    <mergeCell ref="B16:D16"/>
    <mergeCell ref="B61:C61"/>
    <mergeCell ref="B62:C62"/>
    <mergeCell ref="B56:C56"/>
    <mergeCell ref="B17:B24"/>
    <mergeCell ref="B25:C25"/>
    <mergeCell ref="B26:B29"/>
    <mergeCell ref="B30:C30"/>
    <mergeCell ref="B31:C31"/>
    <mergeCell ref="B32:C32"/>
    <mergeCell ref="B33:C33"/>
    <mergeCell ref="B40:B47"/>
    <mergeCell ref="B60:C60"/>
    <mergeCell ref="B55:C55"/>
    <mergeCell ref="B49:B53"/>
    <mergeCell ref="CV38:CX38"/>
    <mergeCell ref="CV19:CY19"/>
    <mergeCell ref="B38:D38"/>
    <mergeCell ref="B39:D39"/>
    <mergeCell ref="B57:D57"/>
    <mergeCell ref="B34:C34"/>
    <mergeCell ref="CV27:CX27"/>
    <mergeCell ref="CV35:CY35"/>
    <mergeCell ref="CV33:CX33"/>
    <mergeCell ref="CV29:CY29"/>
    <mergeCell ref="B48:C48"/>
    <mergeCell ref="B54:C54"/>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sheetPr>
  <dimension ref="B2:J48"/>
  <sheetViews>
    <sheetView showGridLines="0" zoomScale="85" zoomScaleNormal="85" workbookViewId="0">
      <selection activeCell="B2" sqref="B2"/>
    </sheetView>
  </sheetViews>
  <sheetFormatPr defaultColWidth="9" defaultRowHeight="13.8" x14ac:dyDescent="0.4"/>
  <cols>
    <col min="1" max="1" width="9" style="1"/>
    <col min="2" max="2" width="29" style="1" customWidth="1"/>
    <col min="3" max="3" width="19" style="1" customWidth="1"/>
    <col min="4" max="4" width="20.69921875" style="1" customWidth="1"/>
    <col min="5" max="5" width="17.59765625" style="1" customWidth="1"/>
    <col min="6" max="6" width="16.19921875" style="1" customWidth="1"/>
    <col min="7" max="7" width="30.19921875" style="1" customWidth="1"/>
    <col min="8" max="8" width="19.09765625" style="1" customWidth="1"/>
    <col min="9" max="9" width="19.69921875" style="1" customWidth="1"/>
    <col min="10" max="10" width="20.5" style="1" bestFit="1" customWidth="1"/>
    <col min="11" max="11" width="17.3984375" style="1" bestFit="1" customWidth="1"/>
    <col min="12" max="16384" width="9" style="1"/>
  </cols>
  <sheetData>
    <row r="2" spans="2:10" ht="30" x14ac:dyDescent="0.4">
      <c r="B2" s="208" t="s">
        <v>407</v>
      </c>
    </row>
    <row r="4" spans="2:10" ht="17.25" customHeight="1" x14ac:dyDescent="0.4">
      <c r="B4" s="210" t="s">
        <v>41</v>
      </c>
      <c r="C4" s="211">
        <f>(C14-H14)/C14</f>
        <v>0.49287386536328909</v>
      </c>
    </row>
    <row r="5" spans="2:10" ht="14.25" customHeight="1" x14ac:dyDescent="0.4">
      <c r="B5" s="355" t="s">
        <v>411</v>
      </c>
      <c r="C5" s="355"/>
      <c r="D5" s="355"/>
      <c r="E5" s="355"/>
      <c r="G5" s="355" t="s">
        <v>412</v>
      </c>
      <c r="H5" s="355"/>
      <c r="I5" s="355"/>
      <c r="J5" s="355"/>
    </row>
    <row r="6" spans="2:10" x14ac:dyDescent="0.4">
      <c r="B6" s="212"/>
      <c r="C6" s="212" t="s">
        <v>285</v>
      </c>
      <c r="D6" s="212" t="s">
        <v>286</v>
      </c>
      <c r="E6" s="212" t="s">
        <v>287</v>
      </c>
      <c r="G6" s="212"/>
      <c r="H6" s="212" t="s">
        <v>510</v>
      </c>
      <c r="I6" s="212" t="s">
        <v>511</v>
      </c>
      <c r="J6" s="212" t="s">
        <v>512</v>
      </c>
    </row>
    <row r="7" spans="2:10" x14ac:dyDescent="0.4">
      <c r="B7" s="212" t="s">
        <v>507</v>
      </c>
      <c r="C7" s="4"/>
      <c r="D7" s="6">
        <f>'4. Material &amp; energy balance'!E35</f>
        <v>33000000</v>
      </c>
      <c r="E7" s="4"/>
      <c r="G7" s="212" t="s">
        <v>507</v>
      </c>
      <c r="H7" s="4"/>
      <c r="I7" s="6">
        <f>'4. Material &amp; energy balance'!E35</f>
        <v>33000000</v>
      </c>
      <c r="J7" s="4"/>
    </row>
    <row r="8" spans="2:10" x14ac:dyDescent="0.4">
      <c r="B8" s="342" t="s">
        <v>288</v>
      </c>
      <c r="C8" s="4"/>
      <c r="D8" s="6">
        <f>'4. Material &amp; energy balance'!E36</f>
        <v>750000</v>
      </c>
      <c r="E8" s="4"/>
      <c r="G8" s="342" t="s">
        <v>288</v>
      </c>
      <c r="H8" s="4"/>
      <c r="I8" s="6">
        <f>'4. Material &amp; energy balance'!E36</f>
        <v>750000</v>
      </c>
      <c r="J8" s="4"/>
    </row>
    <row r="9" spans="2:10" x14ac:dyDescent="0.4">
      <c r="B9" s="342" t="s">
        <v>289</v>
      </c>
      <c r="C9" s="4"/>
      <c r="D9" s="6">
        <f>'4. Material &amp; energy balance'!E37</f>
        <v>33000</v>
      </c>
      <c r="E9" s="4"/>
      <c r="G9" s="342" t="s">
        <v>289</v>
      </c>
      <c r="H9" s="4"/>
      <c r="I9" s="6">
        <f>'4. Material &amp; energy balance'!E37</f>
        <v>33000</v>
      </c>
      <c r="J9" s="4"/>
    </row>
    <row r="10" spans="2:10" x14ac:dyDescent="0.4">
      <c r="B10" s="212" t="s">
        <v>508</v>
      </c>
      <c r="C10" s="6">
        <f>'4. Material &amp; energy balance'!F15</f>
        <v>33000000</v>
      </c>
      <c r="D10" s="6">
        <f>'4. Material &amp; energy balance'!E23+'4. Material &amp; energy balance'!L35+'4. Material &amp; energy balance'!G41</f>
        <v>31281250</v>
      </c>
      <c r="E10" s="7">
        <f>'4. Material &amp; energy balance'!H67</f>
        <v>2673000</v>
      </c>
      <c r="G10" s="212" t="s">
        <v>508</v>
      </c>
      <c r="H10" s="6">
        <f>'4. Material &amp; energy balance'!F15</f>
        <v>33000000</v>
      </c>
      <c r="I10" s="6">
        <f>'4. Material &amp; energy balance'!E23+'4. Material &amp; energy balance'!L35+'4. Material &amp; energy balance'!G41</f>
        <v>31281250</v>
      </c>
      <c r="J10" s="7">
        <f>'4. Material &amp; energy balance'!H67</f>
        <v>2673000</v>
      </c>
    </row>
    <row r="11" spans="2:10" x14ac:dyDescent="0.4">
      <c r="B11" s="342" t="s">
        <v>288</v>
      </c>
      <c r="C11" s="6">
        <f>'4. Material &amp; energy balance'!F16</f>
        <v>750000</v>
      </c>
      <c r="D11" s="6">
        <f>'4. Material &amp; energy balance'!E24+'4. Material &amp; energy balance'!L36+'4. Material &amp; energy balance'!G42</f>
        <v>710937.5</v>
      </c>
      <c r="E11" s="7">
        <f>'4. Material &amp; energy balance'!H68</f>
        <v>60750</v>
      </c>
      <c r="G11" s="342" t="s">
        <v>288</v>
      </c>
      <c r="H11" s="6">
        <f>'4. Material &amp; energy balance'!F16</f>
        <v>750000</v>
      </c>
      <c r="I11" s="6">
        <f>'4. Material &amp; energy balance'!E24+'4. Material &amp; energy balance'!L36+'4. Material &amp; energy balance'!G42</f>
        <v>710937.5</v>
      </c>
      <c r="J11" s="7">
        <f>'4. Material &amp; energy balance'!H68</f>
        <v>60750</v>
      </c>
    </row>
    <row r="12" spans="2:10" x14ac:dyDescent="0.4">
      <c r="B12" s="342" t="s">
        <v>289</v>
      </c>
      <c r="C12" s="6">
        <f>'4. Material &amp; energy balance'!F17</f>
        <v>33000</v>
      </c>
      <c r="D12" s="6">
        <f>'4. Material &amp; energy balance'!E25+'4. Material &amp; energy balance'!L37+'4. Material &amp; energy balance'!G43</f>
        <v>31281.3</v>
      </c>
      <c r="E12" s="7">
        <f>'4. Material &amp; energy balance'!H69</f>
        <v>2673</v>
      </c>
      <c r="G12" s="342" t="s">
        <v>289</v>
      </c>
      <c r="H12" s="6">
        <f>'4. Material &amp; energy balance'!F17</f>
        <v>33000</v>
      </c>
      <c r="I12" s="6">
        <f>'4. Material &amp; energy balance'!E25+'4. Material &amp; energy balance'!L37+'4. Material &amp; energy balance'!G43</f>
        <v>31281.3</v>
      </c>
      <c r="J12" s="7">
        <f>'4. Material &amp; energy balance'!H69</f>
        <v>2673</v>
      </c>
    </row>
    <row r="13" spans="2:10" x14ac:dyDescent="0.4">
      <c r="B13" s="212"/>
      <c r="C13" s="4"/>
      <c r="D13" s="4"/>
      <c r="G13" s="212"/>
      <c r="H13" s="4"/>
      <c r="I13" s="4"/>
      <c r="J13" s="4"/>
    </row>
    <row r="14" spans="2:10" x14ac:dyDescent="0.4">
      <c r="B14" s="212" t="s">
        <v>509</v>
      </c>
      <c r="C14" s="6">
        <f>C10+D10+E10</f>
        <v>66954250</v>
      </c>
      <c r="D14" s="4"/>
      <c r="G14" s="212" t="s">
        <v>509</v>
      </c>
      <c r="H14" s="6">
        <f>H10-I7+I10+J10</f>
        <v>33954250</v>
      </c>
      <c r="I14" s="4"/>
      <c r="J14" s="4"/>
    </row>
    <row r="15" spans="2:10" x14ac:dyDescent="0.4">
      <c r="B15" s="342" t="s">
        <v>288</v>
      </c>
      <c r="C15" s="6">
        <f>C11+D11+E11</f>
        <v>1521687.5</v>
      </c>
      <c r="D15" s="4"/>
      <c r="G15" s="342" t="s">
        <v>288</v>
      </c>
      <c r="H15" s="6">
        <f>H11-I8+I11+J11</f>
        <v>771687.5</v>
      </c>
      <c r="I15" s="4"/>
      <c r="J15" s="4"/>
    </row>
    <row r="16" spans="2:10" x14ac:dyDescent="0.4">
      <c r="B16" s="342" t="s">
        <v>289</v>
      </c>
      <c r="C16" s="6">
        <f>C12+D12+E12</f>
        <v>66954.3</v>
      </c>
      <c r="D16" s="4"/>
      <c r="G16" s="342" t="s">
        <v>289</v>
      </c>
      <c r="H16" s="6">
        <f>H12-I9+I12+J12</f>
        <v>33954.300000000003</v>
      </c>
      <c r="I16" s="4"/>
      <c r="J16" s="4"/>
    </row>
    <row r="17" spans="2:9" ht="17.399999999999999" x14ac:dyDescent="0.4">
      <c r="C17" s="213"/>
    </row>
    <row r="20" spans="2:9" ht="19.95" customHeight="1" x14ac:dyDescent="0.4">
      <c r="B20" s="214" t="s">
        <v>413</v>
      </c>
      <c r="C20" s="215">
        <f>D38+I38</f>
        <v>15.001439211350512</v>
      </c>
    </row>
    <row r="21" spans="2:9" ht="16.5" customHeight="1" x14ac:dyDescent="0.4">
      <c r="B21" s="425" t="s">
        <v>495</v>
      </c>
      <c r="C21" s="425"/>
      <c r="D21" s="425"/>
      <c r="E21" s="4"/>
      <c r="F21" s="4"/>
      <c r="G21" s="425" t="s">
        <v>505</v>
      </c>
      <c r="H21" s="425"/>
      <c r="I21" s="425"/>
    </row>
    <row r="22" spans="2:9" x14ac:dyDescent="0.4">
      <c r="B22" s="212" t="s">
        <v>496</v>
      </c>
      <c r="C22" s="212"/>
      <c r="D22" s="212"/>
      <c r="E22" s="4"/>
      <c r="F22" s="4"/>
      <c r="G22" s="212" t="s">
        <v>506</v>
      </c>
      <c r="H22" s="212"/>
      <c r="I22" s="212"/>
    </row>
    <row r="23" spans="2:9" x14ac:dyDescent="0.4">
      <c r="B23" s="4" t="s">
        <v>497</v>
      </c>
      <c r="C23" s="4" t="s">
        <v>290</v>
      </c>
      <c r="D23" s="4" t="s">
        <v>291</v>
      </c>
      <c r="E23" s="4"/>
      <c r="F23" s="4"/>
      <c r="G23" s="4" t="s">
        <v>292</v>
      </c>
      <c r="H23" s="4" t="s">
        <v>290</v>
      </c>
      <c r="I23" s="4" t="s">
        <v>291</v>
      </c>
    </row>
    <row r="24" spans="2:9" x14ac:dyDescent="0.4">
      <c r="B24" s="217">
        <f>35.8</f>
        <v>35.799999999999997</v>
      </c>
      <c r="C24" s="7">
        <f>'4. Material &amp; energy balance'!V7</f>
        <v>13333332.800000001</v>
      </c>
      <c r="D24" s="4">
        <f>850-25</f>
        <v>825</v>
      </c>
      <c r="E24" s="4"/>
      <c r="F24" s="4"/>
      <c r="G24" s="218">
        <f>0.8343</f>
        <v>0.83430000000000004</v>
      </c>
      <c r="H24" s="7">
        <f>'4. Material &amp; energy balance'!V22</f>
        <v>41666670</v>
      </c>
      <c r="I24" s="7">
        <f>1100-25</f>
        <v>1075</v>
      </c>
    </row>
    <row r="25" spans="2:9" x14ac:dyDescent="0.4">
      <c r="B25" s="212" t="s">
        <v>460</v>
      </c>
      <c r="C25" s="212"/>
      <c r="D25" s="212"/>
      <c r="E25" s="4"/>
      <c r="F25" s="4"/>
      <c r="G25" s="212" t="s">
        <v>498</v>
      </c>
      <c r="H25" s="212" t="s">
        <v>499</v>
      </c>
      <c r="I25" s="212"/>
    </row>
    <row r="26" spans="2:9" x14ac:dyDescent="0.4">
      <c r="B26" s="4" t="s">
        <v>497</v>
      </c>
      <c r="C26" s="4" t="s">
        <v>290</v>
      </c>
      <c r="D26" s="4" t="s">
        <v>291</v>
      </c>
      <c r="E26" s="4"/>
      <c r="F26" s="4"/>
      <c r="G26" s="7">
        <f>G24*H24*I24/330/24*1000*9.486/10000</f>
        <v>4475869.7472740971</v>
      </c>
      <c r="H26" s="7">
        <f>G26*0.252</f>
        <v>1127919.1763130724</v>
      </c>
      <c r="I26" s="4"/>
    </row>
    <row r="27" spans="2:9" x14ac:dyDescent="0.4">
      <c r="B27" s="218">
        <f>2.1</f>
        <v>2.1</v>
      </c>
      <c r="C27" s="7">
        <f>'4. Material &amp; energy balance'!W7</f>
        <v>14999999.4</v>
      </c>
      <c r="D27" s="4">
        <f>850-100</f>
        <v>750</v>
      </c>
      <c r="E27" s="4"/>
      <c r="F27" s="4"/>
    </row>
    <row r="28" spans="2:9" x14ac:dyDescent="0.4">
      <c r="B28" s="212" t="s">
        <v>498</v>
      </c>
      <c r="C28" s="212" t="s">
        <v>499</v>
      </c>
      <c r="D28" s="212"/>
      <c r="E28" s="4"/>
      <c r="F28" s="4"/>
    </row>
    <row r="29" spans="2:9" x14ac:dyDescent="0.4">
      <c r="B29" s="7">
        <f>(B24*C24*D24+B27*C27*D27)/330/24*1000*9.486/10000</f>
        <v>49996128.681972958</v>
      </c>
      <c r="C29" s="7">
        <f>B29*0.252</f>
        <v>12599024.427857185</v>
      </c>
      <c r="D29" s="4"/>
      <c r="E29" s="4"/>
      <c r="F29" s="4"/>
    </row>
    <row r="30" spans="2:9" x14ac:dyDescent="0.4">
      <c r="E30" s="4"/>
      <c r="F30" s="4"/>
    </row>
    <row r="31" spans="2:9" x14ac:dyDescent="0.4">
      <c r="B31" s="212" t="s">
        <v>294</v>
      </c>
      <c r="C31" s="212"/>
      <c r="D31" s="212"/>
      <c r="E31" s="4"/>
      <c r="F31" s="4"/>
      <c r="G31" s="212" t="s">
        <v>294</v>
      </c>
      <c r="H31" s="212"/>
      <c r="I31" s="212"/>
    </row>
    <row r="32" spans="2:9" x14ac:dyDescent="0.4">
      <c r="B32" s="218">
        <f>C29/C48</f>
        <v>1938.3114504395669</v>
      </c>
      <c r="C32" s="4"/>
      <c r="D32" s="4"/>
      <c r="E32" s="4"/>
      <c r="F32" s="4"/>
      <c r="G32" s="218">
        <f>H26/C48</f>
        <v>173.52602712508806</v>
      </c>
      <c r="H32" s="4"/>
      <c r="I32" s="4"/>
    </row>
    <row r="33" spans="2:9" x14ac:dyDescent="0.4">
      <c r="B33" s="212" t="s">
        <v>295</v>
      </c>
      <c r="C33" s="212"/>
      <c r="D33" s="212"/>
      <c r="E33" s="4"/>
      <c r="F33" s="4"/>
      <c r="G33" s="212" t="s">
        <v>295</v>
      </c>
      <c r="H33" s="212"/>
      <c r="I33" s="212"/>
    </row>
    <row r="34" spans="2:9" x14ac:dyDescent="0.4">
      <c r="B34" s="7">
        <f>C45*B32</f>
        <v>32305190.840659451</v>
      </c>
      <c r="C34" s="4"/>
      <c r="D34" s="4"/>
      <c r="E34" s="4"/>
      <c r="F34" s="4"/>
      <c r="G34" s="7">
        <f>C45*G32</f>
        <v>2892100.4520848012</v>
      </c>
      <c r="H34" s="4"/>
      <c r="I34" s="4"/>
    </row>
    <row r="35" spans="2:9" x14ac:dyDescent="0.4">
      <c r="B35" s="212" t="s">
        <v>500</v>
      </c>
      <c r="C35" s="212" t="s">
        <v>501</v>
      </c>
      <c r="D35" s="212"/>
      <c r="E35" s="4"/>
      <c r="F35" s="4"/>
      <c r="G35" s="212" t="s">
        <v>500</v>
      </c>
      <c r="H35" s="212" t="s">
        <v>501</v>
      </c>
      <c r="I35" s="212"/>
    </row>
    <row r="36" spans="2:9" x14ac:dyDescent="0.4">
      <c r="B36" s="4">
        <f>B34*C46/10^6</f>
        <v>1297.3764641608834</v>
      </c>
      <c r="C36" s="7">
        <f>B36*24*330</f>
        <v>10275221.596154198</v>
      </c>
      <c r="D36" s="4"/>
      <c r="E36" s="4"/>
      <c r="F36" s="4"/>
      <c r="G36" s="218">
        <f>G34*C46/10^6</f>
        <v>116.1467541557256</v>
      </c>
      <c r="H36" s="7">
        <f>G36*24*330</f>
        <v>919882.29291334678</v>
      </c>
      <c r="I36" s="4"/>
    </row>
    <row r="37" spans="2:9" x14ac:dyDescent="0.4">
      <c r="B37" s="212" t="s">
        <v>502</v>
      </c>
      <c r="C37" s="212" t="s">
        <v>503</v>
      </c>
      <c r="D37" s="212" t="s">
        <v>504</v>
      </c>
      <c r="E37" s="4"/>
      <c r="F37" s="4"/>
      <c r="G37" s="212" t="s">
        <v>502</v>
      </c>
      <c r="H37" s="212" t="s">
        <v>503</v>
      </c>
      <c r="I37" s="212" t="s">
        <v>504</v>
      </c>
    </row>
    <row r="38" spans="2:9" x14ac:dyDescent="0.4">
      <c r="B38" s="7">
        <f>C36*C47</f>
        <v>13768796.938846625</v>
      </c>
      <c r="C38" s="7">
        <f>B38/1000</f>
        <v>13768.796938846626</v>
      </c>
      <c r="D38" s="218">
        <f>C38/1000</f>
        <v>13.768796938846627</v>
      </c>
      <c r="E38" s="4"/>
      <c r="F38" s="4"/>
      <c r="G38" s="7">
        <f>C47*H36</f>
        <v>1232642.2725038847</v>
      </c>
      <c r="H38" s="7">
        <f>G38/1000</f>
        <v>1232.6422725038847</v>
      </c>
      <c r="I38" s="218">
        <f>H38/1000</f>
        <v>1.2326422725038846</v>
      </c>
    </row>
    <row r="39" spans="2:9" x14ac:dyDescent="0.4">
      <c r="E39" s="4"/>
      <c r="F39" s="4"/>
    </row>
    <row r="40" spans="2:9" x14ac:dyDescent="0.4">
      <c r="E40" s="4"/>
      <c r="F40" s="4"/>
    </row>
    <row r="41" spans="2:9" x14ac:dyDescent="0.4">
      <c r="E41" s="4"/>
      <c r="F41" s="4"/>
    </row>
    <row r="42" spans="2:9" x14ac:dyDescent="0.4">
      <c r="C42" s="4"/>
      <c r="D42" s="4"/>
      <c r="E42" s="4"/>
      <c r="F42" s="4"/>
    </row>
    <row r="43" spans="2:9" x14ac:dyDescent="0.4">
      <c r="C43" s="4"/>
      <c r="D43" s="4"/>
      <c r="E43" s="4"/>
      <c r="F43" s="4"/>
      <c r="G43" s="4"/>
      <c r="H43" s="4"/>
      <c r="I43" s="4"/>
    </row>
    <row r="44" spans="2:9" ht="14.25" customHeight="1" x14ac:dyDescent="0.4">
      <c r="B44" s="424" t="s">
        <v>296</v>
      </c>
      <c r="C44" s="424"/>
      <c r="E44" s="4"/>
      <c r="F44" s="4"/>
      <c r="G44" s="4"/>
      <c r="H44" s="4"/>
      <c r="I44" s="4"/>
    </row>
    <row r="45" spans="2:9" ht="27.6" x14ac:dyDescent="0.4">
      <c r="B45" s="219" t="s">
        <v>297</v>
      </c>
      <c r="C45" s="7">
        <f>5/0.3*1000</f>
        <v>16666.666666666668</v>
      </c>
      <c r="E45" s="4"/>
      <c r="F45" s="4"/>
      <c r="G45" s="4"/>
      <c r="H45" s="4"/>
      <c r="I45" s="4"/>
    </row>
    <row r="46" spans="2:9" x14ac:dyDescent="0.4">
      <c r="B46" s="220" t="s">
        <v>298</v>
      </c>
      <c r="C46" s="4">
        <f>'3. Inputs &amp; results'!H53</f>
        <v>40.159999999999997</v>
      </c>
    </row>
    <row r="47" spans="2:9" x14ac:dyDescent="0.4">
      <c r="B47" s="221" t="s">
        <v>299</v>
      </c>
      <c r="C47" s="4">
        <f>1.34</f>
        <v>1.34</v>
      </c>
    </row>
    <row r="48" spans="2:9" x14ac:dyDescent="0.4">
      <c r="B48" s="212" t="s">
        <v>293</v>
      </c>
      <c r="C48" s="7">
        <f>6500</f>
        <v>6500</v>
      </c>
    </row>
  </sheetData>
  <mergeCells count="5">
    <mergeCell ref="B44:C44"/>
    <mergeCell ref="B5:E5"/>
    <mergeCell ref="G5:J5"/>
    <mergeCell ref="B21:D21"/>
    <mergeCell ref="G21:I21"/>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 지정된 범위</vt:lpstr>
      </vt:variant>
      <vt:variant>
        <vt:i4>1</vt:i4>
      </vt:variant>
    </vt:vector>
  </HeadingPairs>
  <TitlesOfParts>
    <vt:vector size="11" baseType="lpstr">
      <vt:lpstr>0. Introduction</vt:lpstr>
      <vt:lpstr>1. Description</vt:lpstr>
      <vt:lpstr>2. Process flow</vt:lpstr>
      <vt:lpstr>3. Inputs &amp; results</vt:lpstr>
      <vt:lpstr>4. Material &amp; energy balance</vt:lpstr>
      <vt:lpstr>5. Equipment price</vt:lpstr>
      <vt:lpstr>6-1. Economic evaluation</vt:lpstr>
      <vt:lpstr>6-2. Economic evaluation</vt:lpstr>
      <vt:lpstr>7. Environmental evaluation</vt:lpstr>
      <vt:lpstr>8. Future work</vt:lpstr>
      <vt:lpstr>Coaltype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정영훈</dc:creator>
  <cp:keywords/>
  <dc:description/>
  <cp:lastModifiedBy>수민 정</cp:lastModifiedBy>
  <cp:revision/>
  <dcterms:created xsi:type="dcterms:W3CDTF">2023-06-01T11:12:29Z</dcterms:created>
  <dcterms:modified xsi:type="dcterms:W3CDTF">2023-06-18T11:34:17Z</dcterms:modified>
  <cp:category/>
  <cp:contentStatus/>
</cp:coreProperties>
</file>