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embeddings/oleObject5.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35e76677dc642f04/문서/카카오톡 받은 파일/"/>
    </mc:Choice>
  </mc:AlternateContent>
  <xr:revisionPtr revIDLastSave="2" documentId="8_{978C40E7-9B9B-42B5-9867-37635C472A26}" xr6:coauthVersionLast="47" xr6:coauthVersionMax="47" xr10:uidLastSave="{7ED0EF2F-1045-4557-8F56-360C8F5D241B}"/>
  <bookViews>
    <workbookView xWindow="-108" yWindow="-108" windowWidth="23256" windowHeight="13896" firstSheet="5" activeTab="7" xr2:uid="{205DBD2B-4FF2-4047-84F0-550E6625ACAD}"/>
  </bookViews>
  <sheets>
    <sheet name="0. Introduction" sheetId="1" r:id="rId1"/>
    <sheet name="1. Description" sheetId="2" r:id="rId2"/>
    <sheet name="2. Process flow" sheetId="3" r:id="rId3"/>
    <sheet name="3. Inputs &amp; results" sheetId="5" r:id="rId4"/>
    <sheet name="4. Material &amp; energy balance" sheetId="4" r:id="rId5"/>
    <sheet name="5. Equipment price" sheetId="7" r:id="rId6"/>
    <sheet name="6-1. Economic evaluation" sheetId="12" r:id="rId7"/>
    <sheet name="6-2. Economic evaluation" sheetId="6" r:id="rId8"/>
    <sheet name="7. Environmental evaluation" sheetId="8" r:id="rId9"/>
    <sheet name="8. Future work" sheetId="9" r:id="rId10"/>
  </sheets>
  <externalReferences>
    <externalReference r:id="rId11"/>
    <externalReference r:id="rId12"/>
    <externalReference r:id="rId13"/>
  </externalReferences>
  <definedNames>
    <definedName name="_xlchart.v1.0" hidden="1">'6-2. Economic evaluation'!$F$79:$F$89</definedName>
    <definedName name="_xlchart.v1.1" hidden="1">'6-2. Economic evaluation'!$G$78</definedName>
    <definedName name="_xlchart.v1.2" hidden="1">'6-2. Economic evaluation'!$G$79:$G$89</definedName>
    <definedName name="Coaltype">'3. Inputs &amp; results'!$T$49:$T$64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 i="6" l="1"/>
  <c r="C47" i="8"/>
  <c r="C46" i="8"/>
  <c r="C45" i="8"/>
  <c r="G32" i="8"/>
  <c r="B32" i="8"/>
  <c r="D27" i="8"/>
  <c r="B27" i="8"/>
  <c r="I24" i="8"/>
  <c r="G24" i="8"/>
  <c r="D24" i="8"/>
  <c r="B24" i="8"/>
  <c r="Q63" i="6"/>
  <c r="Q62" i="6"/>
  <c r="Q61" i="6"/>
  <c r="Q60" i="6"/>
  <c r="Q58" i="6"/>
  <c r="Q56" i="6"/>
  <c r="Q55" i="6"/>
  <c r="Q54" i="6"/>
  <c r="Q53" i="6"/>
  <c r="Q52" i="6"/>
  <c r="Q51" i="6"/>
  <c r="Q50" i="6"/>
  <c r="Q49" i="6"/>
  <c r="Q48" i="6"/>
  <c r="Q47" i="6"/>
  <c r="C34" i="6"/>
  <c r="D28" i="6"/>
  <c r="D23" i="6"/>
  <c r="D22" i="6"/>
  <c r="D21" i="6"/>
  <c r="D20" i="6"/>
  <c r="D19" i="6"/>
  <c r="D18" i="6"/>
  <c r="V32" i="12"/>
  <c r="T32" i="12"/>
  <c r="U22" i="12"/>
  <c r="D19" i="12"/>
  <c r="U16" i="12"/>
  <c r="U15" i="12"/>
  <c r="U14" i="12"/>
  <c r="U13" i="12"/>
  <c r="U12" i="12"/>
  <c r="U11" i="12"/>
  <c r="K74" i="7"/>
  <c r="K71" i="7"/>
  <c r="K68" i="7"/>
  <c r="K19" i="7"/>
  <c r="L8" i="7"/>
  <c r="K8" i="7"/>
  <c r="O15" i="4"/>
  <c r="O14" i="4"/>
  <c r="O11" i="4"/>
  <c r="P9" i="4"/>
  <c r="G9" i="4"/>
  <c r="Z8" i="4"/>
  <c r="W8" i="4" s="1"/>
  <c r="O7" i="4"/>
  <c r="U64" i="5"/>
  <c r="U63" i="5"/>
  <c r="U62" i="5"/>
  <c r="U61" i="5"/>
  <c r="U60" i="5"/>
  <c r="U59" i="5"/>
  <c r="U58" i="5"/>
  <c r="U57" i="5"/>
  <c r="U56" i="5"/>
  <c r="U55" i="5"/>
  <c r="U54" i="5"/>
  <c r="U53" i="5"/>
  <c r="U52" i="5"/>
  <c r="U51" i="5"/>
  <c r="U50" i="5"/>
  <c r="H50" i="5"/>
  <c r="U49" i="5"/>
  <c r="H38" i="5"/>
  <c r="H29" i="5"/>
  <c r="H28" i="5"/>
  <c r="H26" i="5"/>
  <c r="H25" i="5"/>
  <c r="H24" i="5"/>
  <c r="U23" i="12" l="1"/>
  <c r="T8" i="7"/>
  <c r="E6" i="7" s="1"/>
  <c r="E8" i="7" s="1"/>
  <c r="W7" i="4"/>
  <c r="C9" i="4"/>
  <c r="F9" i="4"/>
  <c r="AA33" i="4"/>
  <c r="V38" i="4"/>
  <c r="Z7" i="4"/>
  <c r="Z33" i="4"/>
  <c r="Z32" i="4" s="1"/>
  <c r="Z34" i="4" s="1"/>
  <c r="V16" i="4"/>
  <c r="V15" i="4" s="1"/>
  <c r="V17" i="4" s="1"/>
  <c r="V8" i="4"/>
  <c r="W33" i="4"/>
  <c r="W32" i="4" s="1"/>
  <c r="W34" i="4" s="1"/>
  <c r="Y16" i="4"/>
  <c r="Y15" i="4" s="1"/>
  <c r="Y17" i="4" s="1"/>
  <c r="Y8" i="4"/>
  <c r="W16" i="4"/>
  <c r="W15" i="4" s="1"/>
  <c r="W17" i="4" s="1"/>
  <c r="V33" i="4"/>
  <c r="V32" i="4" s="1"/>
  <c r="V34" i="4" s="1"/>
  <c r="G8" i="4"/>
  <c r="D9" i="4"/>
  <c r="Z16" i="4"/>
  <c r="Z15" i="4" s="1"/>
  <c r="Z17" i="4" s="1"/>
  <c r="X33" i="4"/>
  <c r="X32" i="4" s="1"/>
  <c r="X34" i="4" s="1"/>
  <c r="G10" i="4" l="1"/>
  <c r="F8" i="4"/>
  <c r="C16" i="4"/>
  <c r="W7" i="7"/>
  <c r="Z9" i="4"/>
  <c r="I9" i="4"/>
  <c r="I8" i="4" s="1"/>
  <c r="I10" i="4" s="1"/>
  <c r="C8" i="4"/>
  <c r="P7" i="4"/>
  <c r="Q7" i="4" s="1"/>
  <c r="R7" i="4" s="1"/>
  <c r="S8" i="7"/>
  <c r="D6" i="7" s="1"/>
  <c r="V7" i="4"/>
  <c r="Y38" i="4"/>
  <c r="Y37" i="4" s="1"/>
  <c r="Y39" i="4" s="1"/>
  <c r="X38" i="4"/>
  <c r="V37" i="4"/>
  <c r="V39" i="4" s="1"/>
  <c r="Z38" i="4"/>
  <c r="Z37" i="4" s="1"/>
  <c r="Z39" i="4" s="1"/>
  <c r="C27" i="8"/>
  <c r="T7" i="7"/>
  <c r="T9" i="7" s="1"/>
  <c r="W9" i="4"/>
  <c r="Q9" i="4"/>
  <c r="R9" i="4" s="1"/>
  <c r="D8" i="4"/>
  <c r="J9" i="4"/>
  <c r="J8" i="4" s="1"/>
  <c r="J10" i="4" s="1"/>
  <c r="V8" i="7"/>
  <c r="Y7" i="4"/>
  <c r="AA32" i="4"/>
  <c r="AA34" i="4" s="1"/>
  <c r="V43" i="4"/>
  <c r="D10" i="4" l="1"/>
  <c r="O9" i="4" s="1"/>
  <c r="C18" i="6"/>
  <c r="E18" i="6" s="1"/>
  <c r="T11" i="12"/>
  <c r="V11" i="12" s="1"/>
  <c r="C10" i="4"/>
  <c r="F16" i="4"/>
  <c r="I16" i="4"/>
  <c r="I15" i="4" s="1"/>
  <c r="I17" i="4" s="1"/>
  <c r="D16" i="4"/>
  <c r="G16" i="4"/>
  <c r="G15" i="4" s="1"/>
  <c r="V7" i="7"/>
  <c r="Y9" i="4"/>
  <c r="C24" i="8"/>
  <c r="B29" i="8" s="1"/>
  <c r="C29" i="8" s="1"/>
  <c r="B34" i="8" s="1"/>
  <c r="B36" i="8" s="1"/>
  <c r="B38" i="8" s="1"/>
  <c r="C38" i="8" s="1"/>
  <c r="B40" i="8" s="1"/>
  <c r="C40" i="8" s="1"/>
  <c r="D40" i="8" s="1"/>
  <c r="S7" i="7"/>
  <c r="S9" i="7" s="1"/>
  <c r="V9" i="4"/>
  <c r="C15" i="4"/>
  <c r="F10" i="4"/>
  <c r="C17" i="4" s="1"/>
  <c r="S14" i="7"/>
  <c r="T14" i="7"/>
  <c r="D8" i="7"/>
  <c r="F8" i="7" s="1"/>
  <c r="L6" i="7" s="1"/>
  <c r="F6" i="7"/>
  <c r="Y43" i="4"/>
  <c r="Y42" i="4" s="1"/>
  <c r="Y44" i="4" s="1"/>
  <c r="V42" i="4"/>
  <c r="V44" i="4" s="1"/>
  <c r="W43" i="4"/>
  <c r="AA43" i="4"/>
  <c r="AA42" i="4" s="1"/>
  <c r="AA44" i="4" s="1"/>
  <c r="Z43" i="4"/>
  <c r="W70" i="4"/>
  <c r="W55" i="4"/>
  <c r="X37" i="4"/>
  <c r="P14" i="4"/>
  <c r="Q14" i="4" s="1"/>
  <c r="R14" i="4" s="1"/>
  <c r="W9" i="7"/>
  <c r="W8" i="7"/>
  <c r="K6" i="7" l="1"/>
  <c r="W69" i="4"/>
  <c r="X39" i="4"/>
  <c r="W54" i="4"/>
  <c r="D15" i="4"/>
  <c r="J16" i="4"/>
  <c r="J15" i="4" s="1"/>
  <c r="J17" i="4" s="1"/>
  <c r="V55" i="4"/>
  <c r="V54" i="4" s="1"/>
  <c r="V56" i="4" s="1"/>
  <c r="Y55" i="4"/>
  <c r="W42" i="4"/>
  <c r="W44" i="4" s="1"/>
  <c r="Y28" i="4"/>
  <c r="E10" i="7"/>
  <c r="E12" i="7" s="1"/>
  <c r="T13" i="7"/>
  <c r="T15" i="7" s="1"/>
  <c r="V9" i="7"/>
  <c r="S13" i="7"/>
  <c r="S15" i="7" s="1"/>
  <c r="C11" i="8"/>
  <c r="H11" i="8"/>
  <c r="F15" i="4"/>
  <c r="E36" i="4"/>
  <c r="Z42" i="4"/>
  <c r="Z44" i="4" s="1"/>
  <c r="P15" i="4"/>
  <c r="Q15" i="4" s="1"/>
  <c r="R15" i="4" s="1"/>
  <c r="V14" i="7"/>
  <c r="W14" i="7"/>
  <c r="D10" i="7"/>
  <c r="G17" i="4"/>
  <c r="C29" i="6"/>
  <c r="E29" i="6" s="1"/>
  <c r="T23" i="12"/>
  <c r="V23" i="12" s="1"/>
  <c r="D12" i="7" l="1"/>
  <c r="F12" i="7" s="1"/>
  <c r="L7" i="7" s="1"/>
  <c r="F10" i="7"/>
  <c r="W13" i="7"/>
  <c r="W15" i="7" s="1"/>
  <c r="E14" i="7"/>
  <c r="E16" i="7" s="1"/>
  <c r="I8" i="8"/>
  <c r="D8" i="8"/>
  <c r="D36" i="4"/>
  <c r="L36" i="4"/>
  <c r="L35" i="4" s="1"/>
  <c r="L37" i="4" s="1"/>
  <c r="G36" i="4"/>
  <c r="C36" i="4"/>
  <c r="H36" i="4"/>
  <c r="W28" i="4"/>
  <c r="W27" i="4" s="1"/>
  <c r="W29" i="4" s="1"/>
  <c r="Y27" i="4"/>
  <c r="Y29" i="4" s="1"/>
  <c r="V28" i="4"/>
  <c r="U32" i="7"/>
  <c r="V13" i="7"/>
  <c r="D14" i="7"/>
  <c r="C10" i="8"/>
  <c r="H10" i="8"/>
  <c r="F17" i="4"/>
  <c r="E35" i="4"/>
  <c r="W71" i="4"/>
  <c r="W56" i="4"/>
  <c r="AA55" i="4"/>
  <c r="AA54" i="4" s="1"/>
  <c r="AA56" i="4" s="1"/>
  <c r="Y54" i="4"/>
  <c r="V60" i="4"/>
  <c r="Z55" i="4"/>
  <c r="Z54" i="4" s="1"/>
  <c r="Z56" i="4" s="1"/>
  <c r="AB55" i="4"/>
  <c r="AB54" i="4" s="1"/>
  <c r="AB56" i="4" s="1"/>
  <c r="D17" i="4"/>
  <c r="V15" i="7" l="1"/>
  <c r="U31" i="7"/>
  <c r="W60" i="4"/>
  <c r="V65" i="4"/>
  <c r="T32" i="7"/>
  <c r="T31" i="7" s="1"/>
  <c r="W32" i="7"/>
  <c r="S32" i="7"/>
  <c r="S31" i="7" s="1"/>
  <c r="X32" i="7"/>
  <c r="C48" i="4"/>
  <c r="H35" i="4"/>
  <c r="H37" i="4" s="1"/>
  <c r="D35" i="4"/>
  <c r="D37" i="4" s="1"/>
  <c r="K36" i="4"/>
  <c r="K35" i="4" s="1"/>
  <c r="K37" i="4" s="1"/>
  <c r="V59" i="4"/>
  <c r="Y56" i="4"/>
  <c r="V61" i="4" s="1"/>
  <c r="V27" i="4"/>
  <c r="V29" i="4" s="1"/>
  <c r="Y23" i="4"/>
  <c r="J36" i="4"/>
  <c r="J35" i="4" s="1"/>
  <c r="J37" i="4" s="1"/>
  <c r="C35" i="4"/>
  <c r="C12" i="8"/>
  <c r="H12" i="8"/>
  <c r="E37" i="4"/>
  <c r="D7" i="8"/>
  <c r="I7" i="8"/>
  <c r="D16" i="7"/>
  <c r="F16" i="7" s="1"/>
  <c r="F14" i="7"/>
  <c r="C42" i="4"/>
  <c r="G35" i="4"/>
  <c r="K7" i="7"/>
  <c r="C41" i="4" l="1"/>
  <c r="G37" i="4"/>
  <c r="C43" i="4" s="1"/>
  <c r="E50" i="7"/>
  <c r="E51" i="7" s="1"/>
  <c r="S42" i="7"/>
  <c r="X31" i="7"/>
  <c r="X33" i="7" s="1"/>
  <c r="L42" i="4"/>
  <c r="L41" i="4" s="1"/>
  <c r="L43" i="4" s="1"/>
  <c r="G42" i="4"/>
  <c r="G41" i="4" s="1"/>
  <c r="G43" i="4" s="1"/>
  <c r="F42" i="4"/>
  <c r="F41" i="4" s="1"/>
  <c r="F43" i="4" s="1"/>
  <c r="E42" i="4"/>
  <c r="C21" i="6"/>
  <c r="E21" i="6" s="1"/>
  <c r="T14" i="12"/>
  <c r="V14" i="12" s="1"/>
  <c r="C37" i="4"/>
  <c r="D26" i="7"/>
  <c r="S33" i="7"/>
  <c r="AA65" i="4"/>
  <c r="AA64" i="4" s="1"/>
  <c r="AA66" i="4" s="1"/>
  <c r="Z65" i="4"/>
  <c r="Z64" i="4" s="1"/>
  <c r="Z66" i="4" s="1"/>
  <c r="Y65" i="4"/>
  <c r="W65" i="4"/>
  <c r="W64" i="4" s="1"/>
  <c r="W66" i="4" s="1"/>
  <c r="D9" i="8"/>
  <c r="I9" i="8"/>
  <c r="V66" i="4"/>
  <c r="D50" i="7"/>
  <c r="S37" i="7"/>
  <c r="W31" i="7"/>
  <c r="W59" i="4"/>
  <c r="W61" i="4" s="1"/>
  <c r="Y61" i="4" s="1"/>
  <c r="Y60" i="4"/>
  <c r="V23" i="4"/>
  <c r="X23" i="4"/>
  <c r="V64" i="4"/>
  <c r="K48" i="4"/>
  <c r="K47" i="4" s="1"/>
  <c r="K49" i="4" s="1"/>
  <c r="C47" i="4"/>
  <c r="C49" i="4" s="1"/>
  <c r="H48" i="4"/>
  <c r="H47" i="4" s="1"/>
  <c r="H49" i="4" s="1"/>
  <c r="G48" i="4"/>
  <c r="G47" i="4" s="1"/>
  <c r="G49" i="4" s="1"/>
  <c r="F48" i="4"/>
  <c r="F47" i="4" s="1"/>
  <c r="D48" i="4"/>
  <c r="T33" i="7"/>
  <c r="E26" i="7"/>
  <c r="E27" i="7" s="1"/>
  <c r="F26" i="7"/>
  <c r="F27" i="7" s="1"/>
  <c r="U33" i="7"/>
  <c r="F50" i="7" l="1"/>
  <c r="D51" i="7"/>
  <c r="F51" i="7" s="1"/>
  <c r="F30" i="4"/>
  <c r="L48" i="4"/>
  <c r="L47" i="4" s="1"/>
  <c r="L49" i="4" s="1"/>
  <c r="D47" i="4"/>
  <c r="D49" i="4" s="1"/>
  <c r="X22" i="4"/>
  <c r="X24" i="4" s="1"/>
  <c r="Y22" i="4"/>
  <c r="Y24" i="4" s="1"/>
  <c r="C22" i="6"/>
  <c r="E22" i="6" s="1"/>
  <c r="T15" i="12"/>
  <c r="V15" i="12" s="1"/>
  <c r="F49" i="4"/>
  <c r="P11" i="4"/>
  <c r="Q11" i="4" s="1"/>
  <c r="R11" i="4" s="1"/>
  <c r="O17" i="4" s="1"/>
  <c r="V22" i="4"/>
  <c r="W33" i="7"/>
  <c r="D29" i="7"/>
  <c r="V70" i="4"/>
  <c r="Y64" i="4"/>
  <c r="G26" i="7"/>
  <c r="D27" i="7"/>
  <c r="G27" i="7" s="1"/>
  <c r="K23" i="7" s="1"/>
  <c r="D74" i="4"/>
  <c r="L74" i="4" s="1"/>
  <c r="L73" i="4" s="1"/>
  <c r="L75" i="4" s="1"/>
  <c r="E41" i="4"/>
  <c r="D56" i="4"/>
  <c r="Y59" i="4"/>
  <c r="V37" i="7"/>
  <c r="V36" i="7" s="1"/>
  <c r="S36" i="7"/>
  <c r="S38" i="7" s="1"/>
  <c r="S47" i="7"/>
  <c r="W37" i="7"/>
  <c r="W36" i="7" s="1"/>
  <c r="U37" i="7"/>
  <c r="W42" i="7"/>
  <c r="W41" i="7" s="1"/>
  <c r="T42" i="7"/>
  <c r="V42" i="7"/>
  <c r="V41" i="7" s="1"/>
  <c r="S41" i="7"/>
  <c r="S43" i="7" s="1"/>
  <c r="D32" i="7" s="1"/>
  <c r="X42" i="7"/>
  <c r="X41" i="7" s="1"/>
  <c r="L35" i="7" l="1"/>
  <c r="K35" i="7" s="1"/>
  <c r="L34" i="7"/>
  <c r="K34" i="7" s="1"/>
  <c r="D35" i="7"/>
  <c r="T47" i="7"/>
  <c r="W47" i="7"/>
  <c r="S46" i="7"/>
  <c r="S48" i="7" s="1"/>
  <c r="F56" i="7"/>
  <c r="F57" i="7" s="1"/>
  <c r="X43" i="7"/>
  <c r="E56" i="7"/>
  <c r="E57" i="7" s="1"/>
  <c r="W43" i="7"/>
  <c r="D73" i="4"/>
  <c r="D55" i="4"/>
  <c r="E43" i="4"/>
  <c r="Y66" i="4"/>
  <c r="V71" i="4" s="1"/>
  <c r="V69" i="4"/>
  <c r="H24" i="8"/>
  <c r="G26" i="8" s="1"/>
  <c r="H26" i="8" s="1"/>
  <c r="G34" i="8" s="1"/>
  <c r="G36" i="8" s="1"/>
  <c r="G38" i="8" s="1"/>
  <c r="H38" i="8" s="1"/>
  <c r="G40" i="8" s="1"/>
  <c r="H40" i="8" s="1"/>
  <c r="I40" i="8" s="1"/>
  <c r="C20" i="8" s="1"/>
  <c r="Q21" i="5" s="1"/>
  <c r="V24" i="4"/>
  <c r="V43" i="7"/>
  <c r="D56" i="7"/>
  <c r="D57" i="7" s="1"/>
  <c r="W38" i="7"/>
  <c r="F53" i="7"/>
  <c r="F54" i="7" s="1"/>
  <c r="D30" i="7"/>
  <c r="K25" i="7"/>
  <c r="T41" i="7"/>
  <c r="T43" i="7" s="1"/>
  <c r="E32" i="7" s="1"/>
  <c r="E33" i="7" s="1"/>
  <c r="V27" i="7"/>
  <c r="F56" i="4"/>
  <c r="C56" i="4"/>
  <c r="L56" i="4"/>
  <c r="L55" i="4" s="1"/>
  <c r="L57" i="4" s="1"/>
  <c r="D33" i="7"/>
  <c r="T78" i="7"/>
  <c r="T77" i="7" s="1"/>
  <c r="T79" i="7" s="1"/>
  <c r="E74" i="7" s="1"/>
  <c r="E75" i="7" s="1"/>
  <c r="T63" i="7"/>
  <c r="U36" i="7"/>
  <c r="E53" i="7"/>
  <c r="E54" i="7" s="1"/>
  <c r="V38" i="7"/>
  <c r="Z70" i="4"/>
  <c r="Z69" i="4" s="1"/>
  <c r="Z71" i="4" s="1"/>
  <c r="Y70" i="4"/>
  <c r="Y69" i="4" s="1"/>
  <c r="Y71" i="4" s="1"/>
  <c r="S32" i="12"/>
  <c r="B34" i="6"/>
  <c r="D34" i="6" s="1"/>
  <c r="E34" i="6" s="1"/>
  <c r="E35" i="6" s="1"/>
  <c r="D85" i="7" s="1"/>
  <c r="F29" i="4"/>
  <c r="F31" i="4" s="1"/>
  <c r="C30" i="4"/>
  <c r="D30" i="4"/>
  <c r="F32" i="7" l="1"/>
  <c r="F33" i="7"/>
  <c r="K27" i="7" s="1"/>
  <c r="L30" i="4"/>
  <c r="L29" i="4" s="1"/>
  <c r="L31" i="4" s="1"/>
  <c r="D29" i="4"/>
  <c r="G56" i="4"/>
  <c r="G55" i="4" s="1"/>
  <c r="G57" i="4" s="1"/>
  <c r="I56" i="4"/>
  <c r="I55" i="4" s="1"/>
  <c r="I57" i="4" s="1"/>
  <c r="C62" i="4"/>
  <c r="H56" i="4"/>
  <c r="H55" i="4" s="1"/>
  <c r="H57" i="4" s="1"/>
  <c r="F55" i="4"/>
  <c r="C29" i="4"/>
  <c r="C31" i="4" s="1"/>
  <c r="F24" i="4"/>
  <c r="K30" i="4"/>
  <c r="K29" i="4" s="1"/>
  <c r="K31" i="4" s="1"/>
  <c r="D75" i="4"/>
  <c r="D57" i="4"/>
  <c r="D44" i="7"/>
  <c r="W46" i="7"/>
  <c r="W48" i="7" s="1"/>
  <c r="T46" i="7"/>
  <c r="T48" i="7" s="1"/>
  <c r="E35" i="7"/>
  <c r="E36" i="7" s="1"/>
  <c r="U38" i="7"/>
  <c r="D53" i="7"/>
  <c r="D54" i="7" s="1"/>
  <c r="G54" i="7" s="1"/>
  <c r="L36" i="7" s="1"/>
  <c r="K36" i="7" s="1"/>
  <c r="D47" i="7"/>
  <c r="S27" i="7"/>
  <c r="V26" i="7"/>
  <c r="V28" i="7" s="1"/>
  <c r="T27" i="7"/>
  <c r="T26" i="7" s="1"/>
  <c r="V63" i="7"/>
  <c r="T62" i="7"/>
  <c r="S63" i="7"/>
  <c r="S62" i="7" s="1"/>
  <c r="N14" i="12"/>
  <c r="D49" i="6"/>
  <c r="K56" i="4"/>
  <c r="K55" i="4" s="1"/>
  <c r="K57" i="4" s="1"/>
  <c r="C55" i="4"/>
  <c r="C57" i="4" s="1"/>
  <c r="G57" i="7"/>
  <c r="L37" i="7" s="1"/>
  <c r="K37" i="7" s="1"/>
  <c r="F35" i="7"/>
  <c r="D36" i="7"/>
  <c r="F36" i="7" s="1"/>
  <c r="K29" i="7" s="1"/>
  <c r="D31" i="4" l="1"/>
  <c r="C19" i="6"/>
  <c r="E19" i="6" s="1"/>
  <c r="T12" i="12"/>
  <c r="V12" i="12" s="1"/>
  <c r="D62" i="7"/>
  <c r="S64" i="7"/>
  <c r="T64" i="7"/>
  <c r="E62" i="7"/>
  <c r="E63" i="7" s="1"/>
  <c r="S26" i="7"/>
  <c r="V22" i="7"/>
  <c r="T28" i="7"/>
  <c r="E23" i="7"/>
  <c r="E24" i="7" s="1"/>
  <c r="D45" i="7"/>
  <c r="E24" i="4"/>
  <c r="C24" i="4"/>
  <c r="K62" i="4"/>
  <c r="K61" i="4" s="1"/>
  <c r="K63" i="4" s="1"/>
  <c r="D62" i="4"/>
  <c r="C68" i="4"/>
  <c r="W63" i="7"/>
  <c r="W62" i="7" s="1"/>
  <c r="W64" i="7" s="1"/>
  <c r="E65" i="7" s="1"/>
  <c r="E66" i="7" s="1"/>
  <c r="X63" i="7"/>
  <c r="X62" i="7" s="1"/>
  <c r="X64" i="7" s="1"/>
  <c r="F65" i="7" s="1"/>
  <c r="F66" i="7" s="1"/>
  <c r="V62" i="7"/>
  <c r="S68" i="7"/>
  <c r="Y63" i="7"/>
  <c r="Y62" i="7" s="1"/>
  <c r="Y64" i="7" s="1"/>
  <c r="G65" i="7" s="1"/>
  <c r="G66" i="7" s="1"/>
  <c r="D48" i="7"/>
  <c r="C61" i="4"/>
  <c r="F57" i="4"/>
  <c r="C63" i="4" s="1"/>
  <c r="G68" i="4" l="1"/>
  <c r="G67" i="4" s="1"/>
  <c r="G69" i="4" s="1"/>
  <c r="K68" i="4"/>
  <c r="K67" i="4" s="1"/>
  <c r="K69" i="4" s="1"/>
  <c r="C67" i="4"/>
  <c r="C69" i="4" s="1"/>
  <c r="D68" i="4"/>
  <c r="H68" i="4"/>
  <c r="V64" i="7"/>
  <c r="S67" i="7"/>
  <c r="F62" i="4"/>
  <c r="F61" i="4" s="1"/>
  <c r="F63" i="4" s="1"/>
  <c r="D61" i="4"/>
  <c r="D63" i="4" s="1"/>
  <c r="L62" i="4"/>
  <c r="L61" i="4" s="1"/>
  <c r="L63" i="4" s="1"/>
  <c r="S22" i="7"/>
  <c r="S21" i="7" s="1"/>
  <c r="U22" i="7"/>
  <c r="E38" i="7"/>
  <c r="E39" i="7" s="1"/>
  <c r="L33" i="7"/>
  <c r="K33" i="7" s="1"/>
  <c r="L32" i="7"/>
  <c r="K32" i="7" s="1"/>
  <c r="D41" i="7"/>
  <c r="D42" i="7" s="1"/>
  <c r="L31" i="7" s="1"/>
  <c r="K31" i="7" s="1"/>
  <c r="S28" i="7"/>
  <c r="D23" i="7"/>
  <c r="F62" i="7"/>
  <c r="D63" i="7"/>
  <c r="F63" i="7" s="1"/>
  <c r="T68" i="7"/>
  <c r="S73" i="7"/>
  <c r="I11" i="8"/>
  <c r="D11" i="8"/>
  <c r="F23" i="4"/>
  <c r="F25" i="4" s="1"/>
  <c r="E23" i="4"/>
  <c r="L24" i="4"/>
  <c r="L23" i="4" s="1"/>
  <c r="L25" i="4" s="1"/>
  <c r="C23" i="4"/>
  <c r="D38" i="7" l="1"/>
  <c r="U21" i="7"/>
  <c r="U23" i="7" s="1"/>
  <c r="V21" i="7"/>
  <c r="V23" i="7" s="1"/>
  <c r="V68" i="7"/>
  <c r="T67" i="7"/>
  <c r="T69" i="7" s="1"/>
  <c r="E68" i="7" s="1"/>
  <c r="E69" i="7" s="1"/>
  <c r="D20" i="7"/>
  <c r="D21" i="7" s="1"/>
  <c r="S23" i="7"/>
  <c r="S72" i="7"/>
  <c r="V67" i="7"/>
  <c r="L68" i="4"/>
  <c r="L67" i="4" s="1"/>
  <c r="L69" i="4" s="1"/>
  <c r="F68" i="4"/>
  <c r="D67" i="4"/>
  <c r="D10" i="8"/>
  <c r="I10" i="8"/>
  <c r="E25" i="4"/>
  <c r="W73" i="7"/>
  <c r="W72" i="7" s="1"/>
  <c r="W74" i="7" s="1"/>
  <c r="V73" i="7"/>
  <c r="X73" i="7"/>
  <c r="X72" i="7" s="1"/>
  <c r="X74" i="7" s="1"/>
  <c r="T73" i="7"/>
  <c r="T72" i="7" s="1"/>
  <c r="T74" i="7" s="1"/>
  <c r="E71" i="7" s="1"/>
  <c r="E72" i="7" s="1"/>
  <c r="D24" i="7"/>
  <c r="F24" i="7" s="1"/>
  <c r="F23" i="7"/>
  <c r="K21" i="7" s="1"/>
  <c r="E11" i="8"/>
  <c r="J11" i="8"/>
  <c r="H15" i="8" s="1"/>
  <c r="H67" i="4"/>
  <c r="C20" i="6"/>
  <c r="E20" i="6" s="1"/>
  <c r="C25" i="4"/>
  <c r="T13" i="12"/>
  <c r="V13" i="12" s="1"/>
  <c r="C15" i="8"/>
  <c r="D65" i="7"/>
  <c r="S69" i="7"/>
  <c r="D12" i="8" l="1"/>
  <c r="I12" i="8"/>
  <c r="F67" i="4"/>
  <c r="C74" i="4"/>
  <c r="H65" i="7"/>
  <c r="K66" i="7" s="1"/>
  <c r="D66" i="7"/>
  <c r="H66" i="7" s="1"/>
  <c r="V69" i="7"/>
  <c r="D68" i="7"/>
  <c r="S74" i="7"/>
  <c r="D71" i="7" s="1"/>
  <c r="S78" i="7"/>
  <c r="V72" i="7"/>
  <c r="C14" i="8"/>
  <c r="F38" i="7"/>
  <c r="D39" i="7"/>
  <c r="F39" i="7" s="1"/>
  <c r="L30" i="7" s="1"/>
  <c r="E10" i="8"/>
  <c r="J10" i="8"/>
  <c r="H14" i="8" s="1"/>
  <c r="H69" i="4"/>
  <c r="C23" i="6"/>
  <c r="E23" i="6" s="1"/>
  <c r="E24" i="6" s="1"/>
  <c r="D83" i="7" s="1"/>
  <c r="T16" i="12"/>
  <c r="V16" i="12" s="1"/>
  <c r="V17" i="12" s="1"/>
  <c r="D69" i="4"/>
  <c r="D46" i="6" l="1"/>
  <c r="N11" i="12"/>
  <c r="F69" i="4"/>
  <c r="C75" i="4" s="1"/>
  <c r="C73" i="4"/>
  <c r="V74" i="7"/>
  <c r="S79" i="7" s="1"/>
  <c r="D74" i="7" s="1"/>
  <c r="S77" i="7"/>
  <c r="H16" i="8"/>
  <c r="Q19" i="5" s="1"/>
  <c r="E12" i="8"/>
  <c r="C16" i="8" s="1"/>
  <c r="J12" i="8"/>
  <c r="F68" i="7"/>
  <c r="D69" i="7"/>
  <c r="F69" i="7" s="1"/>
  <c r="K69" i="7" s="1"/>
  <c r="G74" i="4"/>
  <c r="G73" i="4" s="1"/>
  <c r="G75" i="4" s="1"/>
  <c r="K74" i="4"/>
  <c r="K73" i="4" s="1"/>
  <c r="K75" i="4" s="1"/>
  <c r="F74" i="4"/>
  <c r="F73" i="4" s="1"/>
  <c r="C4" i="8"/>
  <c r="Q20" i="5" s="1"/>
  <c r="K30" i="7"/>
  <c r="I31" i="6"/>
  <c r="F32" i="12"/>
  <c r="V78" i="7"/>
  <c r="V77" i="7" s="1"/>
  <c r="V79" i="7" s="1"/>
  <c r="W78" i="7"/>
  <c r="W77" i="7" s="1"/>
  <c r="W79" i="7" s="1"/>
  <c r="D72" i="7"/>
  <c r="F72" i="7" s="1"/>
  <c r="K72" i="7" s="1"/>
  <c r="F71" i="7"/>
  <c r="T22" i="12" l="1"/>
  <c r="V22" i="12" s="1"/>
  <c r="V24" i="12" s="1"/>
  <c r="F75" i="4"/>
  <c r="C28" i="6"/>
  <c r="F74" i="7"/>
  <c r="D75" i="7"/>
  <c r="F75" i="7" s="1"/>
  <c r="K75" i="7" s="1"/>
  <c r="I17" i="6" s="1"/>
  <c r="F11" i="12" l="1"/>
  <c r="E28" i="6"/>
  <c r="E30" i="6" s="1"/>
  <c r="D84" i="7" s="1"/>
  <c r="Q6" i="5"/>
  <c r="I23" i="6"/>
  <c r="I22" i="6"/>
  <c r="I21" i="6"/>
  <c r="I20" i="6"/>
  <c r="I19" i="6"/>
  <c r="I18" i="6"/>
  <c r="I24" i="6"/>
  <c r="F15" i="12"/>
  <c r="F17" i="12"/>
  <c r="F13" i="12"/>
  <c r="F18" i="12"/>
  <c r="F16" i="12"/>
  <c r="F12" i="12"/>
  <c r="F14" i="12"/>
  <c r="I25" i="6" l="1"/>
  <c r="F19" i="12"/>
  <c r="F33" i="12" s="1"/>
  <c r="N26" i="12" s="1"/>
  <c r="I26" i="6"/>
  <c r="I32" i="6"/>
  <c r="F35" i="12" l="1"/>
  <c r="F34" i="12" s="1"/>
  <c r="N25" i="12"/>
  <c r="D50" i="6"/>
  <c r="I29" i="6"/>
  <c r="I30" i="6" s="1"/>
  <c r="I28" i="6"/>
  <c r="I27" i="6"/>
  <c r="D56" i="6"/>
  <c r="I34" i="6"/>
  <c r="N15" i="12"/>
  <c r="D57" i="6"/>
  <c r="D51" i="6" l="1"/>
  <c r="N16" i="12"/>
  <c r="G79" i="6"/>
  <c r="D55" i="6"/>
  <c r="D60" i="6" s="1"/>
  <c r="I33" i="6"/>
  <c r="N24" i="12"/>
  <c r="N29" i="12" s="1"/>
  <c r="N48" i="12" s="1"/>
  <c r="D68" i="6" l="1"/>
  <c r="D65" i="6" s="1"/>
  <c r="N40" i="12"/>
  <c r="N17" i="12"/>
  <c r="N39" i="12"/>
  <c r="N33" i="12"/>
  <c r="N18" i="12"/>
  <c r="N12" i="12"/>
  <c r="N38" i="12"/>
  <c r="N13" i="12"/>
  <c r="D47" i="6"/>
  <c r="D48" i="6"/>
  <c r="D64" i="6"/>
  <c r="D61" i="6"/>
  <c r="D52" i="6"/>
  <c r="D53" i="6"/>
  <c r="D66" i="6"/>
  <c r="D6" i="6"/>
  <c r="S47" i="6"/>
  <c r="N19" i="12" l="1"/>
  <c r="N46" i="12" s="1"/>
  <c r="D67" i="6"/>
  <c r="D54" i="6"/>
  <c r="D8" i="6"/>
  <c r="D7" i="6"/>
  <c r="N41" i="12"/>
  <c r="N47" i="12" s="1"/>
  <c r="C89" i="6" l="1"/>
  <c r="C85" i="6"/>
  <c r="C81" i="6"/>
  <c r="C86" i="6"/>
  <c r="C82" i="6"/>
  <c r="C87" i="6"/>
  <c r="C83" i="6"/>
  <c r="C88" i="6"/>
  <c r="C84" i="6"/>
  <c r="D11" i="6"/>
  <c r="Q14" i="5" s="1"/>
  <c r="C80" i="6"/>
  <c r="Q11" i="5"/>
  <c r="D10" i="6"/>
  <c r="Q13" i="5"/>
  <c r="Q12" i="5"/>
  <c r="D9" i="6"/>
  <c r="Q10" i="5"/>
  <c r="D62" i="6"/>
  <c r="D12" i="6"/>
  <c r="S61" i="6" l="1"/>
  <c r="S56" i="6"/>
  <c r="S52" i="6"/>
  <c r="R42" i="6"/>
  <c r="S62" i="6"/>
  <c r="S58" i="6"/>
  <c r="S53" i="6"/>
  <c r="S49" i="6"/>
  <c r="S54" i="6"/>
  <c r="S50" i="6"/>
  <c r="R44" i="6"/>
  <c r="S55" i="6"/>
  <c r="S51" i="6"/>
  <c r="S63" i="6"/>
  <c r="R43" i="6"/>
  <c r="Q15" i="5"/>
  <c r="D86" i="6"/>
  <c r="D82" i="6"/>
  <c r="D87" i="6"/>
  <c r="D83" i="6"/>
  <c r="D88" i="6"/>
  <c r="D84" i="6"/>
  <c r="D80" i="6"/>
  <c r="D81" i="6"/>
  <c r="D85" i="6"/>
  <c r="D89" i="6"/>
  <c r="G84" i="6"/>
  <c r="G81" i="6"/>
  <c r="G88" i="6"/>
  <c r="G87" i="6"/>
  <c r="G80" i="6"/>
  <c r="G82" i="6"/>
  <c r="G83" i="6"/>
  <c r="G89" i="6"/>
  <c r="G86" i="6"/>
  <c r="G85" i="6"/>
  <c r="S64" i="6" l="1"/>
  <c r="E47" i="7" l="1"/>
  <c r="E44" i="7"/>
  <c r="E48" i="7"/>
  <c r="E45" i="7"/>
</calcChain>
</file>

<file path=xl/sharedStrings.xml><?xml version="1.0" encoding="utf-8"?>
<sst xmlns="http://schemas.openxmlformats.org/spreadsheetml/2006/main" count="1163" uniqueCount="449">
  <si>
    <t>Title:</t>
  </si>
  <si>
    <t>Blue hydrogen production with CCU 
- Design of integrated waste lithium recycling proces</t>
  </si>
  <si>
    <t>Team:</t>
  </si>
  <si>
    <t>화공연화(花工年華)</t>
  </si>
  <si>
    <t>Team members:</t>
  </si>
  <si>
    <t>Koo Younguk, Jang Yewon, Jeong Sumin, Jeong Yeonghun, Joo Yeongeun</t>
  </si>
  <si>
    <t>E-mail:</t>
  </si>
  <si>
    <t>wjdtnals37@gmail.com</t>
  </si>
  <si>
    <t>Date:</t>
  </si>
  <si>
    <t>Web site:</t>
  </si>
  <si>
    <t>Primary product feedstock source:</t>
  </si>
  <si>
    <t>Industrial natural gas</t>
  </si>
  <si>
    <t>Process energy source:</t>
  </si>
  <si>
    <t>Standard fossil energy sources and power energy</t>
  </si>
  <si>
    <t>Conversion technology:</t>
  </si>
  <si>
    <t xml:space="preserve">steam-methane-reformer, shift, pressure swing absorption, CO₂ capture, 
solvay process, extraction of lithium from waste battery </t>
  </si>
  <si>
    <t>Assumed plant location:</t>
  </si>
  <si>
    <t>1. Near an existing plant (e.g. near a hydrogen production plant)
2. New plant construction</t>
  </si>
  <si>
    <t>Purpose:</t>
  </si>
  <si>
    <t>System description:</t>
  </si>
  <si>
    <t>Analysis methodology summary:</t>
  </si>
  <si>
    <t>Excel and AutoCAD were used as methods to examine the performance results presented in this report. The drawing made using AutoCAD was used to easily understand the flow of the process integrating each process. The material balance using Excel can evaluate the economic feasibility by determining the production volume of the desired material and utility . The calculated mass balance was also used to determine the size and cost of major equipment. To consider practicality, conversion rates were estimated using data from existing commercialized processes. In addition, the carbon dioxide reduction rate and nitrous oxide emissions were calculated to evaluate environmental performance before and after integration.</t>
  </si>
  <si>
    <t>References:</t>
  </si>
  <si>
    <t>Process Equipment Cost Estimation Final Report, H.P. Loh, January 2002</t>
  </si>
  <si>
    <r>
      <t>Kim, G.-M.; Jeong, J.-W.; Jeong, J.-S.; Kim, D.-Y.; Kim, S.-M.; Jeon, C.-H. Empirical Formula to Predict the NOx Emissions from Coal Power Plant using Lab-Scale and Real-Scale Operating Data. </t>
    </r>
    <r>
      <rPr>
        <i/>
        <sz val="10"/>
        <color rgb="FF222222"/>
        <rFont val="Arial"/>
        <family val="2"/>
      </rPr>
      <t>Appl. Sci.</t>
    </r>
    <r>
      <rPr>
        <sz val="10"/>
        <color rgb="FF222222"/>
        <rFont val="Arial"/>
        <family val="2"/>
      </rPr>
      <t> 2019, </t>
    </r>
    <r>
      <rPr>
        <i/>
        <sz val="10"/>
        <color rgb="FF222222"/>
        <rFont val="Arial"/>
        <family val="2"/>
      </rPr>
      <t>9</t>
    </r>
    <r>
      <rPr>
        <sz val="10"/>
        <color rgb="FF222222"/>
        <rFont val="Arial"/>
        <family val="2"/>
      </rPr>
      <t>, 2914. https://doi.org/10.3390/app9142914</t>
    </r>
  </si>
  <si>
    <t xml:space="preserve">Khan, Imran. (2011). CHEMCAD as a tool when teaching Chemical Engineering. diva-portal.org. </t>
  </si>
  <si>
    <t>“H2A: Hydrogen Analysis Production Models”. NREL. https://www.nrel.gov/hydrogen/h2a-production-models.html</t>
  </si>
  <si>
    <t>“Price of industrial salt in the United States from 2018 to 2022, by type”. statista. https://www.statista.com/statistics/916733/us-salt-prices-by-type/</t>
  </si>
  <si>
    <t>“Track real-time price movement of 400+ chemical and petrochemical products for informed purchase decisions”. CHEMANALYST. https://www.chemanalyst.com/Pricing-data/lithium-carbonate-1269</t>
  </si>
  <si>
    <t>Hydrochloric acid Price dollar : https://www.chemanalyst.com/Pricing-data/hydrochloric-acid-61</t>
  </si>
  <si>
    <t>Inputs</t>
  </si>
  <si>
    <t>Base</t>
  </si>
  <si>
    <t>Units</t>
  </si>
  <si>
    <t>Results</t>
  </si>
  <si>
    <t>Design plant hydrogen production</t>
  </si>
  <si>
    <t>ton/yr</t>
  </si>
  <si>
    <t>Design plant lithium carbonate production</t>
  </si>
  <si>
    <t>Conversion rate</t>
  </si>
  <si>
    <t>Economic evaluation results</t>
  </si>
  <si>
    <t>Net profit</t>
  </si>
  <si>
    <t>$/yr</t>
  </si>
  <si>
    <r>
      <t>CO + H</t>
    </r>
    <r>
      <rPr>
        <vertAlign val="subscript"/>
        <sz val="11"/>
        <color rgb="FF000000"/>
        <rFont val="Arial"/>
        <family val="2"/>
      </rPr>
      <t>2</t>
    </r>
    <r>
      <rPr>
        <sz val="11"/>
        <color rgb="FF000000"/>
        <rFont val="Arial"/>
        <family val="2"/>
      </rPr>
      <t>O → CO</t>
    </r>
    <r>
      <rPr>
        <vertAlign val="subscript"/>
        <sz val="11"/>
        <color rgb="FF000000"/>
        <rFont val="Arial"/>
        <family val="2"/>
      </rPr>
      <t xml:space="preserve">2 </t>
    </r>
    <r>
      <rPr>
        <sz val="11"/>
        <color rgb="FF000000"/>
        <rFont val="Arial"/>
        <family val="2"/>
      </rPr>
      <t>+ H</t>
    </r>
    <r>
      <rPr>
        <vertAlign val="subscript"/>
        <sz val="11"/>
        <color rgb="FF000000"/>
        <rFont val="Arial"/>
        <family val="2"/>
      </rPr>
      <t>2</t>
    </r>
  </si>
  <si>
    <t>Cash flow</t>
  </si>
  <si>
    <t>ROI</t>
  </si>
  <si>
    <t>%</t>
  </si>
  <si>
    <r>
      <t>CaO + H</t>
    </r>
    <r>
      <rPr>
        <vertAlign val="subscript"/>
        <sz val="11"/>
        <color rgb="FF000000"/>
        <rFont val="Arial"/>
        <family val="2"/>
      </rPr>
      <t>2</t>
    </r>
    <r>
      <rPr>
        <sz val="11"/>
        <color rgb="FF000000"/>
        <rFont val="Arial"/>
        <family val="2"/>
      </rPr>
      <t>O → Ca(OH)</t>
    </r>
    <r>
      <rPr>
        <vertAlign val="subscript"/>
        <sz val="11"/>
        <color rgb="FF000000"/>
        <rFont val="Arial"/>
        <family val="2"/>
      </rPr>
      <t>2</t>
    </r>
  </si>
  <si>
    <t>PBP</t>
  </si>
  <si>
    <r>
      <t>NaCl + NH</t>
    </r>
    <r>
      <rPr>
        <vertAlign val="subscript"/>
        <sz val="11"/>
        <color rgb="FF000000"/>
        <rFont val="Arial"/>
        <family val="2"/>
      </rPr>
      <t>4</t>
    </r>
    <r>
      <rPr>
        <sz val="11"/>
        <color rgb="FF000000"/>
        <rFont val="Arial"/>
        <family val="2"/>
      </rPr>
      <t>OH + CO</t>
    </r>
    <r>
      <rPr>
        <vertAlign val="subscript"/>
        <sz val="11"/>
        <color rgb="FF000000"/>
        <rFont val="Arial"/>
        <family val="2"/>
      </rPr>
      <t>2</t>
    </r>
    <r>
      <rPr>
        <sz val="11"/>
        <color rgb="FF000000"/>
        <rFont val="Arial"/>
        <family val="2"/>
      </rPr>
      <t xml:space="preserve"> → NaHCO</t>
    </r>
    <r>
      <rPr>
        <vertAlign val="subscript"/>
        <sz val="11"/>
        <color rgb="FF000000"/>
        <rFont val="Arial"/>
        <family val="2"/>
      </rPr>
      <t xml:space="preserve">3 </t>
    </r>
    <r>
      <rPr>
        <sz val="11"/>
        <color rgb="FF000000"/>
        <rFont val="Arial"/>
        <family val="2"/>
      </rPr>
      <t>+ NH</t>
    </r>
    <r>
      <rPr>
        <vertAlign val="subscript"/>
        <sz val="11"/>
        <color rgb="FF000000"/>
        <rFont val="Arial"/>
        <family val="2"/>
      </rPr>
      <t>4</t>
    </r>
    <r>
      <rPr>
        <sz val="11"/>
        <color rgb="FF000000"/>
        <rFont val="Arial"/>
        <family val="2"/>
      </rPr>
      <t>Cl</t>
    </r>
  </si>
  <si>
    <t>Break-even point</t>
  </si>
  <si>
    <t>Environment evaluation results</t>
  </si>
  <si>
    <t>CO₂ emissions</t>
  </si>
  <si>
    <t>CO₂ reduction rate (%)</t>
  </si>
  <si>
    <t>Raw material price</t>
  </si>
  <si>
    <r>
      <rPr>
        <sz val="11"/>
        <color rgb="FF000000"/>
        <rFont val="Arial"/>
        <family val="2"/>
      </rPr>
      <t>CaCO</t>
    </r>
    <r>
      <rPr>
        <sz val="8"/>
        <color rgb="FF000000"/>
        <rFont val="Arial"/>
        <family val="2"/>
      </rPr>
      <t>3</t>
    </r>
  </si>
  <si>
    <t>$/kg</t>
  </si>
  <si>
    <t>HCl</t>
  </si>
  <si>
    <t>NaCl</t>
  </si>
  <si>
    <t>Product price</t>
  </si>
  <si>
    <t>Utility cost</t>
  </si>
  <si>
    <t>Electricity cost</t>
  </si>
  <si>
    <t>$/kWh</t>
  </si>
  <si>
    <t>Financial input values</t>
  </si>
  <si>
    <t>Depreciation Schedule Length</t>
  </si>
  <si>
    <t>year</t>
  </si>
  <si>
    <t>Operating day</t>
  </si>
  <si>
    <t>day/yr</t>
  </si>
  <si>
    <t>Tax Rate</t>
  </si>
  <si>
    <t>evaluation period</t>
  </si>
  <si>
    <t>compound interest rate</t>
  </si>
  <si>
    <t>Type of coal</t>
  </si>
  <si>
    <t>NOx Concentration</t>
  </si>
  <si>
    <t>Coal type</t>
  </si>
  <si>
    <t>Cloud</t>
  </si>
  <si>
    <t>Anglo</t>
  </si>
  <si>
    <t>ppmv</t>
  </si>
  <si>
    <t>Clermont</t>
  </si>
  <si>
    <t>Peak</t>
  </si>
  <si>
    <t>Flame</t>
  </si>
  <si>
    <t>Glencore</t>
  </si>
  <si>
    <t>Indominco</t>
  </si>
  <si>
    <t>Lanna</t>
  </si>
  <si>
    <t>Macquarie</t>
  </si>
  <si>
    <t>Mercurai</t>
  </si>
  <si>
    <t>Moolarben</t>
  </si>
  <si>
    <t>NCA</t>
  </si>
  <si>
    <t>Noble</t>
  </si>
  <si>
    <t>Rio</t>
  </si>
  <si>
    <t>Tugnuisky</t>
  </si>
  <si>
    <t>Vitol</t>
  </si>
  <si>
    <t>Material balance</t>
  </si>
  <si>
    <t>Energy balance</t>
  </si>
  <si>
    <t>SMR(100% conversion)</t>
  </si>
  <si>
    <t>SMR</t>
  </si>
  <si>
    <t>Electricity (kW)</t>
  </si>
  <si>
    <r>
      <t>H</t>
    </r>
    <r>
      <rPr>
        <vertAlign val="subscript"/>
        <sz val="11"/>
        <color rgb="FF000000"/>
        <rFont val="Arial"/>
        <family val="2"/>
      </rPr>
      <t>2</t>
    </r>
    <r>
      <rPr>
        <sz val="11"/>
        <color rgb="FF000000"/>
        <rFont val="Arial"/>
        <family val="2"/>
      </rPr>
      <t>O</t>
    </r>
  </si>
  <si>
    <t>→</t>
  </si>
  <si>
    <t>CO</t>
    <phoneticPr fontId="0" type="noConversion"/>
  </si>
  <si>
    <t>74% conversion</t>
  </si>
  <si>
    <t>unreacted material</t>
  </si>
  <si>
    <r>
      <t>CH</t>
    </r>
    <r>
      <rPr>
        <vertAlign val="subscript"/>
        <sz val="11"/>
        <color theme="1" tint="0.499984740745262"/>
        <rFont val="Arial"/>
        <family val="2"/>
      </rPr>
      <t>4</t>
    </r>
  </si>
  <si>
    <r>
      <t>H</t>
    </r>
    <r>
      <rPr>
        <vertAlign val="subscript"/>
        <sz val="11"/>
        <color theme="1" tint="0.499984740745262"/>
        <rFont val="Arial"/>
        <family val="2"/>
      </rPr>
      <t>2</t>
    </r>
    <r>
      <rPr>
        <sz val="11"/>
        <color theme="1" tint="0.499984740745262"/>
        <rFont val="Arial"/>
        <family val="2"/>
      </rPr>
      <t>O</t>
    </r>
  </si>
  <si>
    <t>kg/yr</t>
    <phoneticPr fontId="0" type="noConversion"/>
  </si>
  <si>
    <t>Flowrate (ton/s)</t>
  </si>
  <si>
    <t>Flowrate (mol/s)</t>
  </si>
  <si>
    <t>kmol/yr</t>
    <phoneticPr fontId="0" type="noConversion"/>
  </si>
  <si>
    <t>Water pretreatment for SMR</t>
  </si>
  <si>
    <t>ton/yr</t>
    <phoneticPr fontId="0" type="noConversion"/>
  </si>
  <si>
    <t>WGS</t>
  </si>
  <si>
    <t>Enthalpy of exothermic reaction is not considered as power.</t>
  </si>
  <si>
    <t>WGS(100% conversion)</t>
  </si>
  <si>
    <t>90% conversion</t>
  </si>
  <si>
    <r>
      <t>CO</t>
    </r>
    <r>
      <rPr>
        <vertAlign val="subscript"/>
        <sz val="11"/>
        <color rgb="FF000000"/>
        <rFont val="Arial"/>
        <family val="2"/>
      </rPr>
      <t>2</t>
    </r>
  </si>
  <si>
    <r>
      <t>H</t>
    </r>
    <r>
      <rPr>
        <vertAlign val="subscript"/>
        <sz val="11"/>
        <color rgb="FF000000"/>
        <rFont val="Arial"/>
        <family val="2"/>
      </rPr>
      <t>2</t>
    </r>
  </si>
  <si>
    <t>Total Electricity (kW)</t>
  </si>
  <si>
    <t>Solvay</t>
    <phoneticPr fontId="0" type="noConversion"/>
  </si>
  <si>
    <t>Solvay(100% conversion)</t>
  </si>
  <si>
    <t>80% conversion</t>
  </si>
  <si>
    <r>
      <t>CaCO</t>
    </r>
    <r>
      <rPr>
        <vertAlign val="subscript"/>
        <sz val="11"/>
        <color rgb="FF000000"/>
        <rFont val="Arial"/>
        <family val="2"/>
      </rPr>
      <t>3</t>
    </r>
  </si>
  <si>
    <t>CaO</t>
    <phoneticPr fontId="0" type="noConversion"/>
  </si>
  <si>
    <r>
      <t>CaCO</t>
    </r>
    <r>
      <rPr>
        <vertAlign val="subscript"/>
        <sz val="11"/>
        <color theme="1" tint="0.499984740745262"/>
        <rFont val="Arial"/>
        <family val="2"/>
      </rPr>
      <t>3</t>
    </r>
  </si>
  <si>
    <r>
      <t>Ca(OH)</t>
    </r>
    <r>
      <rPr>
        <vertAlign val="subscript"/>
        <sz val="11"/>
        <color rgb="FF000000"/>
        <rFont val="Arial"/>
        <family val="2"/>
      </rPr>
      <t>2</t>
    </r>
  </si>
  <si>
    <t>NaCl</t>
    <phoneticPr fontId="0" type="noConversion"/>
  </si>
  <si>
    <r>
      <t>NH</t>
    </r>
    <r>
      <rPr>
        <vertAlign val="subscript"/>
        <sz val="11"/>
        <color rgb="FF000000"/>
        <rFont val="Arial"/>
        <family val="2"/>
      </rPr>
      <t>4</t>
    </r>
    <r>
      <rPr>
        <sz val="11"/>
        <color rgb="FF000000"/>
        <rFont val="Arial"/>
        <family val="2"/>
      </rPr>
      <t>OH</t>
    </r>
  </si>
  <si>
    <r>
      <t>NaHCO</t>
    </r>
    <r>
      <rPr>
        <vertAlign val="subscript"/>
        <sz val="11"/>
        <color rgb="FF000000"/>
        <rFont val="Arial"/>
        <family val="2"/>
      </rPr>
      <t>3</t>
    </r>
  </si>
  <si>
    <r>
      <t>NH</t>
    </r>
    <r>
      <rPr>
        <vertAlign val="subscript"/>
        <sz val="11"/>
        <color rgb="FF000000"/>
        <rFont val="Arial"/>
        <family val="2"/>
      </rPr>
      <t>4</t>
    </r>
    <r>
      <rPr>
        <sz val="11"/>
        <color rgb="FF000000"/>
        <rFont val="Arial"/>
        <family val="2"/>
      </rPr>
      <t>Cl</t>
    </r>
  </si>
  <si>
    <t>75% conversion</t>
  </si>
  <si>
    <r>
      <t>NH</t>
    </r>
    <r>
      <rPr>
        <vertAlign val="subscript"/>
        <sz val="11"/>
        <color theme="1" tint="0.499984740745262"/>
        <rFont val="Arial"/>
        <family val="2"/>
      </rPr>
      <t>4</t>
    </r>
    <r>
      <rPr>
        <sz val="11"/>
        <color theme="1" tint="0.499984740745262"/>
        <rFont val="Arial"/>
        <family val="2"/>
      </rPr>
      <t>OH</t>
    </r>
  </si>
  <si>
    <r>
      <t>CO</t>
    </r>
    <r>
      <rPr>
        <vertAlign val="subscript"/>
        <sz val="11"/>
        <color theme="1" tint="0.499984740745262"/>
        <rFont val="Arial"/>
        <family val="2"/>
      </rPr>
      <t>2</t>
    </r>
  </si>
  <si>
    <r>
      <t>2NaHCO</t>
    </r>
    <r>
      <rPr>
        <vertAlign val="subscript"/>
        <sz val="11"/>
        <color rgb="FF000000"/>
        <rFont val="Arial"/>
        <family val="2"/>
      </rPr>
      <t>3</t>
    </r>
  </si>
  <si>
    <r>
      <t>NaHCO</t>
    </r>
    <r>
      <rPr>
        <vertAlign val="subscript"/>
        <sz val="11"/>
        <color theme="1" tint="0.499984740745262"/>
        <rFont val="Arial"/>
        <family val="2"/>
      </rPr>
      <t>3</t>
    </r>
  </si>
  <si>
    <r>
      <t>2NH</t>
    </r>
    <r>
      <rPr>
        <vertAlign val="subscript"/>
        <sz val="11"/>
        <color rgb="FF000000"/>
        <rFont val="Arial"/>
        <family val="2"/>
      </rPr>
      <t>4</t>
    </r>
    <r>
      <rPr>
        <sz val="11"/>
        <color rgb="FF000000"/>
        <rFont val="Arial"/>
        <family val="2"/>
      </rPr>
      <t>Cl</t>
    </r>
  </si>
  <si>
    <r>
      <t>2NH</t>
    </r>
    <r>
      <rPr>
        <vertAlign val="subscript"/>
        <sz val="11"/>
        <color rgb="FF000000"/>
        <rFont val="Arial"/>
        <family val="2"/>
      </rPr>
      <t>3</t>
    </r>
  </si>
  <si>
    <r>
      <t>CaCl</t>
    </r>
    <r>
      <rPr>
        <vertAlign val="subscript"/>
        <sz val="11"/>
        <color rgb="FF000000"/>
        <rFont val="Arial"/>
        <family val="2"/>
      </rPr>
      <t>2</t>
    </r>
  </si>
  <si>
    <t>98% conversion</t>
  </si>
  <si>
    <r>
      <t>NH</t>
    </r>
    <r>
      <rPr>
        <vertAlign val="subscript"/>
        <sz val="11"/>
        <color theme="1" tint="0.499984740745262"/>
        <rFont val="Arial"/>
        <family val="2"/>
      </rPr>
      <t>4</t>
    </r>
    <r>
      <rPr>
        <sz val="11"/>
        <color theme="1" tint="0.499984740745262"/>
        <rFont val="Arial"/>
        <family val="2"/>
      </rPr>
      <t>Cl</t>
    </r>
  </si>
  <si>
    <r>
      <t>Ca(OH)</t>
    </r>
    <r>
      <rPr>
        <vertAlign val="subscript"/>
        <sz val="11"/>
        <color theme="1" tint="0.499984740745262"/>
        <rFont val="Arial"/>
        <family val="2"/>
      </rPr>
      <t>2</t>
    </r>
  </si>
  <si>
    <t>Anode material waste lithium extraction</t>
  </si>
  <si>
    <t>Anode material waste lithium extraction (100% conversion)</t>
  </si>
  <si>
    <t>CoO</t>
    <phoneticPr fontId="0" type="noConversion"/>
  </si>
  <si>
    <t>CoO</t>
    <phoneticPr fontId="13" type="noConversion"/>
  </si>
  <si>
    <r>
      <t>2LiCoO</t>
    </r>
    <r>
      <rPr>
        <vertAlign val="subscript"/>
        <sz val="11"/>
        <color theme="1" tint="0.499984740745262"/>
        <rFont val="Arial"/>
        <family val="2"/>
      </rPr>
      <t>2</t>
    </r>
  </si>
  <si>
    <r>
      <t>Na</t>
    </r>
    <r>
      <rPr>
        <vertAlign val="subscript"/>
        <sz val="11"/>
        <color theme="1" tint="0.499984740745262"/>
        <rFont val="Arial"/>
        <family val="2"/>
      </rPr>
      <t>2</t>
    </r>
    <r>
      <rPr>
        <sz val="11"/>
        <color theme="1" tint="0.499984740745262"/>
        <rFont val="Arial"/>
        <family val="2"/>
      </rPr>
      <t>CO</t>
    </r>
    <r>
      <rPr>
        <vertAlign val="subscript"/>
        <sz val="11"/>
        <color theme="1" tint="0.499984740745262"/>
        <rFont val="Arial"/>
        <family val="2"/>
      </rPr>
      <t>3</t>
    </r>
  </si>
  <si>
    <t>kg/yr</t>
    <phoneticPr fontId="13" type="noConversion"/>
  </si>
  <si>
    <t>kmol/yr</t>
    <phoneticPr fontId="13" type="noConversion"/>
  </si>
  <si>
    <t>ton/yr</t>
    <phoneticPr fontId="13" type="noConversion"/>
  </si>
  <si>
    <r>
      <t>Li</t>
    </r>
    <r>
      <rPr>
        <vertAlign val="subscript"/>
        <sz val="11"/>
        <color theme="1" tint="0.499984740745262"/>
        <rFont val="Arial"/>
        <family val="2"/>
      </rPr>
      <t>2</t>
    </r>
    <r>
      <rPr>
        <sz val="11"/>
        <color theme="1" tint="0.499984740745262"/>
        <rFont val="Arial"/>
        <family val="2"/>
      </rPr>
      <t>CO</t>
    </r>
    <r>
      <rPr>
        <vertAlign val="subscript"/>
        <sz val="11"/>
        <color theme="1" tint="0.499984740745262"/>
        <rFont val="Arial"/>
        <family val="2"/>
      </rPr>
      <t>3</t>
    </r>
  </si>
  <si>
    <r>
      <t>Li</t>
    </r>
    <r>
      <rPr>
        <vertAlign val="subscript"/>
        <sz val="11"/>
        <color rgb="FF000000"/>
        <rFont val="Arial"/>
        <family val="2"/>
      </rPr>
      <t>2</t>
    </r>
    <r>
      <rPr>
        <sz val="11"/>
        <color rgb="FF000000"/>
        <rFont val="Arial"/>
        <family val="2"/>
      </rPr>
      <t>CO</t>
    </r>
    <r>
      <rPr>
        <vertAlign val="subscript"/>
        <sz val="11"/>
        <color rgb="FF000000"/>
        <rFont val="Arial"/>
        <family val="2"/>
      </rPr>
      <t>3</t>
    </r>
  </si>
  <si>
    <t>2HCl</t>
  </si>
  <si>
    <t>2LiCl</t>
  </si>
  <si>
    <t>NaCl(l)</t>
  </si>
  <si>
    <t>SMR Reactor</t>
  </si>
  <si>
    <t>Total</t>
    <phoneticPr fontId="1" type="noConversion"/>
  </si>
  <si>
    <t>Equipment</t>
  </si>
  <si>
    <t>Equipment Cost($)</t>
  </si>
  <si>
    <t>FCI($)</t>
    <phoneticPr fontId="1" type="noConversion"/>
  </si>
  <si>
    <t>SMR</t>
    <phoneticPr fontId="1" type="noConversion"/>
  </si>
  <si>
    <t>Total flow(kmol/day)</t>
  </si>
  <si>
    <t>CO</t>
    <phoneticPr fontId="1" type="noConversion"/>
  </si>
  <si>
    <t>Total flow(L/day)</t>
  </si>
  <si>
    <t>WGS Reactor</t>
  </si>
  <si>
    <t>kg/yr</t>
    <phoneticPr fontId="1" type="noConversion"/>
  </si>
  <si>
    <t>PSA</t>
    <phoneticPr fontId="1" type="noConversion"/>
  </si>
  <si>
    <t>kmol/yr</t>
    <phoneticPr fontId="1" type="noConversion"/>
  </si>
  <si>
    <t>Furnace (SMR)</t>
    <phoneticPr fontId="1" type="noConversion"/>
  </si>
  <si>
    <t>ton/yr</t>
    <phoneticPr fontId="1" type="noConversion"/>
  </si>
  <si>
    <t>WGS</t>
    <phoneticPr fontId="1" type="noConversion"/>
  </si>
  <si>
    <t>PSA Column</t>
  </si>
  <si>
    <t>Lime klin</t>
  </si>
  <si>
    <t>Solvay</t>
    <phoneticPr fontId="1" type="noConversion"/>
  </si>
  <si>
    <t>kg/day</t>
  </si>
  <si>
    <t>Furnace (Solvay)</t>
    <phoneticPr fontId="1" type="noConversion"/>
  </si>
  <si>
    <t>CaO</t>
    <phoneticPr fontId="1" type="noConversion"/>
  </si>
  <si>
    <t>Slaker</t>
  </si>
  <si>
    <t>CaO</t>
  </si>
  <si>
    <t>kg/day</t>
    <phoneticPr fontId="1" type="noConversion"/>
  </si>
  <si>
    <t>Carbonating tower</t>
  </si>
  <si>
    <t>Calciner</t>
  </si>
  <si>
    <t>Ammonia distiller</t>
    <phoneticPr fontId="1" type="noConversion"/>
  </si>
  <si>
    <t>Ammonia absorber</t>
    <phoneticPr fontId="1" type="noConversion"/>
  </si>
  <si>
    <t>NaCl</t>
    <phoneticPr fontId="1" type="noConversion"/>
  </si>
  <si>
    <t>Ammonia distiller</t>
  </si>
  <si>
    <t>ton/day</t>
    <phoneticPr fontId="1" type="noConversion"/>
  </si>
  <si>
    <t>Ammonia absorber</t>
  </si>
  <si>
    <t>kmol/day</t>
    <phoneticPr fontId="1" type="noConversion"/>
  </si>
  <si>
    <t>Seperator 1</t>
  </si>
  <si>
    <t>Separator 2</t>
  </si>
  <si>
    <t>-</t>
  </si>
  <si>
    <t>Separator 3</t>
  </si>
  <si>
    <t>Separator 4</t>
  </si>
  <si>
    <t>Separator 5, 6</t>
  </si>
  <si>
    <t>Separator 7</t>
  </si>
  <si>
    <t>Separator 8</t>
  </si>
  <si>
    <t>Rotary kiln</t>
  </si>
  <si>
    <t>CoO</t>
  </si>
  <si>
    <t>Wet grinder</t>
  </si>
  <si>
    <t>Mixer</t>
  </si>
  <si>
    <t>Large heat stirrer</t>
  </si>
  <si>
    <t>Stirred reactor</t>
  </si>
  <si>
    <t>Total feed cost</t>
    <phoneticPr fontId="1" type="noConversion"/>
  </si>
  <si>
    <t>Total income</t>
    <phoneticPr fontId="1" type="noConversion"/>
  </si>
  <si>
    <t>Total electricity cost</t>
    <phoneticPr fontId="1" type="noConversion"/>
  </si>
  <si>
    <t>Economic evaluation</t>
  </si>
  <si>
    <t>Estimation of capital investment cost</t>
  </si>
  <si>
    <t>Gross earning cost ($/yr)</t>
  </si>
  <si>
    <t>Cost Item</t>
  </si>
  <si>
    <t>Total Cost ($)</t>
  </si>
  <si>
    <t>Direct Capital</t>
  </si>
  <si>
    <t>(except FCI) Eqiupment</t>
  </si>
  <si>
    <t>% of (except FCI) Equipment</t>
  </si>
  <si>
    <t>NPW</t>
  </si>
  <si>
    <t>Purchased equipments installation cost</t>
  </si>
  <si>
    <t>Instrumentation and Control</t>
  </si>
  <si>
    <t>Piping</t>
  </si>
  <si>
    <t>electrical installation cost</t>
  </si>
  <si>
    <t>buildings, process, auxiliary</t>
  </si>
  <si>
    <t>Feed cost</t>
    <phoneticPr fontId="13" type="noConversion"/>
  </si>
  <si>
    <t>Service facilities and yard improvement</t>
  </si>
  <si>
    <t>Feed type</t>
    <phoneticPr fontId="0" type="noConversion"/>
  </si>
  <si>
    <t>Flow rate (kg/yr)</t>
    <phoneticPr fontId="0" type="noConversion"/>
  </si>
  <si>
    <t>Feed price ($/kg)</t>
    <phoneticPr fontId="0" type="noConversion"/>
  </si>
  <si>
    <t>Feed cost ($/yr)</t>
    <phoneticPr fontId="0" type="noConversion"/>
  </si>
  <si>
    <t>(except FCI) Equipment</t>
  </si>
  <si>
    <t>Land</t>
  </si>
  <si>
    <t>Total Direct</t>
  </si>
  <si>
    <t>Instrumentation and control</t>
  </si>
  <si>
    <t xml:space="preserve">  </t>
  </si>
  <si>
    <t>Electrical installation cost</t>
  </si>
  <si>
    <t>Buildings, process, auxiliary</t>
    <phoneticPr fontId="1" type="noConversion"/>
  </si>
  <si>
    <t>Indirect Capital</t>
  </si>
  <si>
    <t>Service facilities and yard improvements</t>
  </si>
  <si>
    <t>Engineering and Supervision</t>
  </si>
  <si>
    <t>% of Total Direct</t>
  </si>
  <si>
    <t>Total feed cost</t>
    <phoneticPr fontId="13" type="noConversion"/>
  </si>
  <si>
    <t>Legal expenses</t>
  </si>
  <si>
    <t>% of Fixed capital investment</t>
  </si>
  <si>
    <t>Construction expense and constractor's fee</t>
  </si>
  <si>
    <t>Product income</t>
  </si>
  <si>
    <t>Engineering and supervision</t>
  </si>
  <si>
    <t>Contingency</t>
  </si>
  <si>
    <t>Product type</t>
    <phoneticPr fontId="0" type="noConversion"/>
  </si>
  <si>
    <t>Product price ($/kg)</t>
    <phoneticPr fontId="0" type="noConversion"/>
  </si>
  <si>
    <t>Product income ($/yr)</t>
  </si>
  <si>
    <t>Total Indirect</t>
  </si>
  <si>
    <t>Total product income</t>
  </si>
  <si>
    <t>Plant overhead costs</t>
  </si>
  <si>
    <t>(included FCI) Equipment</t>
  </si>
  <si>
    <t>Electricity cost</t>
    <phoneticPr fontId="13" type="noConversion"/>
  </si>
  <si>
    <t>Fixed Capital Investment (FCI)</t>
  </si>
  <si>
    <t>Total Fixed Capital Investment (FCI)</t>
  </si>
  <si>
    <t>Total electricity (kW)</t>
    <phoneticPr fontId="0" type="noConversion"/>
  </si>
  <si>
    <t>Electricity cost ($/kWh)</t>
    <phoneticPr fontId="0" type="noConversion"/>
  </si>
  <si>
    <t>electricity (kWh/yr)</t>
    <phoneticPr fontId="0" type="noConversion"/>
  </si>
  <si>
    <t>Total electricity cost ($)</t>
    <phoneticPr fontId="0" type="noConversion"/>
  </si>
  <si>
    <t>Working Capital</t>
  </si>
  <si>
    <t>% of Total Capital Investment</t>
  </si>
  <si>
    <t>Administrative costs</t>
  </si>
  <si>
    <t>Total capital investment (TCI)</t>
  </si>
  <si>
    <t>Total Capital Investment (TCI)</t>
  </si>
  <si>
    <t>Distribution and marketing costs</t>
  </si>
  <si>
    <t>Total electricity cost</t>
    <phoneticPr fontId="13" type="noConversion"/>
  </si>
  <si>
    <t>Research and development costs</t>
  </si>
  <si>
    <t>Variable Cost</t>
  </si>
  <si>
    <t>Raw materials</t>
    <phoneticPr fontId="1" type="noConversion"/>
  </si>
  <si>
    <t>Manufacturing Cost</t>
  </si>
  <si>
    <t>Operating labor</t>
    <phoneticPr fontId="1" type="noConversion"/>
  </si>
  <si>
    <t>% of Total Product Cost</t>
  </si>
  <si>
    <t>Direct Supervisory and clerical labor</t>
    <phoneticPr fontId="1" type="noConversion"/>
  </si>
  <si>
    <t>% of Operating labor</t>
  </si>
  <si>
    <t>Utilities</t>
    <phoneticPr fontId="1" type="noConversion"/>
  </si>
  <si>
    <t>Maintenance and repairs</t>
    <phoneticPr fontId="1" type="noConversion"/>
  </si>
  <si>
    <t>Operating supplies</t>
    <phoneticPr fontId="1" type="noConversion"/>
  </si>
  <si>
    <t>% of Maintenance and repairs</t>
  </si>
  <si>
    <t>Laboratory charges</t>
    <phoneticPr fontId="1" type="noConversion"/>
  </si>
  <si>
    <t>Patents and royal</t>
    <phoneticPr fontId="1" type="noConversion"/>
  </si>
  <si>
    <t>Total variable cost</t>
  </si>
  <si>
    <t>Fixed Cost</t>
  </si>
  <si>
    <t>Depreciation</t>
  </si>
  <si>
    <t>Local taxes</t>
  </si>
  <si>
    <t>Insurance</t>
  </si>
  <si>
    <t>Rent</t>
  </si>
  <si>
    <t>Financing</t>
  </si>
  <si>
    <t>Total fixed cost</t>
  </si>
  <si>
    <t>Total Manufacturing Cost</t>
  </si>
  <si>
    <t>General Expenses</t>
  </si>
  <si>
    <t>Total General Expenses</t>
  </si>
  <si>
    <t>Total product cost ($/yr)</t>
    <phoneticPr fontId="1" type="noConversion"/>
  </si>
  <si>
    <t>General expenses</t>
  </si>
  <si>
    <t>Total Manufacuturing Cost</t>
  </si>
  <si>
    <t>Total Product Cost ($/yr)</t>
  </si>
  <si>
    <t>cash flow</t>
  </si>
  <si>
    <t>total</t>
  </si>
  <si>
    <t>0 year</t>
  </si>
  <si>
    <t>1 year</t>
  </si>
  <si>
    <t>2 year</t>
  </si>
  <si>
    <t>3 year</t>
  </si>
  <si>
    <t>4 year</t>
  </si>
  <si>
    <t>5 year</t>
  </si>
  <si>
    <t>6 year</t>
  </si>
  <si>
    <t>7 year</t>
  </si>
  <si>
    <t>8 year</t>
  </si>
  <si>
    <t>9 year</t>
  </si>
  <si>
    <t>10 year</t>
  </si>
  <si>
    <t>before integration</t>
  </si>
  <si>
    <t>after integration</t>
  </si>
  <si>
    <t>SMR</t>
    <phoneticPr fontId="13" type="noConversion"/>
  </si>
  <si>
    <t>Solvay</t>
    <phoneticPr fontId="13" type="noConversion"/>
  </si>
  <si>
    <t>Extraction of lithium</t>
  </si>
  <si>
    <t>Consumption (kg/yr)</t>
  </si>
  <si>
    <t>(kmol/yr)</t>
  </si>
  <si>
    <t>(ton/yr)</t>
  </si>
  <si>
    <t>Production (kg/yr)</t>
  </si>
  <si>
    <t>Total emissions (kg/yr)</t>
  </si>
  <si>
    <r>
      <rPr>
        <b/>
        <sz val="11"/>
        <color rgb="FF444444"/>
        <rFont val="Arial"/>
        <family val="2"/>
      </rPr>
      <t>NO</t>
    </r>
    <r>
      <rPr>
        <b/>
        <sz val="8"/>
        <color rgb="FF444444"/>
        <rFont val="Arial"/>
        <family val="2"/>
      </rPr>
      <t>x</t>
    </r>
    <r>
      <rPr>
        <b/>
        <sz val="11"/>
        <color rgb="FF444444"/>
        <rFont val="Arial"/>
        <family val="2"/>
      </rPr>
      <t xml:space="preserve"> emissions (ton/yr)</t>
    </r>
  </si>
  <si>
    <r>
      <rPr>
        <sz val="11"/>
        <color rgb="FF000000"/>
        <rFont val="Arial"/>
        <family val="2"/>
      </rPr>
      <t>SMR NO</t>
    </r>
    <r>
      <rPr>
        <sz val="8"/>
        <color rgb="FF000000"/>
        <rFont val="Arial"/>
        <family val="2"/>
      </rPr>
      <t>x</t>
    </r>
  </si>
  <si>
    <r>
      <rPr>
        <sz val="11"/>
        <color rgb="FF000000"/>
        <rFont val="Arial"/>
        <family val="2"/>
      </rPr>
      <t>Solvay NO</t>
    </r>
    <r>
      <rPr>
        <sz val="8"/>
        <color rgb="FF000000"/>
        <rFont val="Arial"/>
        <family val="2"/>
      </rPr>
      <t>x</t>
    </r>
  </si>
  <si>
    <r>
      <rPr>
        <sz val="11"/>
        <color rgb="FF000000"/>
        <rFont val="Arial"/>
        <family val="2"/>
      </rPr>
      <t>CH</t>
    </r>
    <r>
      <rPr>
        <sz val="8"/>
        <color rgb="FF000000"/>
        <rFont val="Arial"/>
        <family val="2"/>
      </rPr>
      <t>4</t>
    </r>
    <r>
      <rPr>
        <sz val="11"/>
        <color rgb="FF000000"/>
        <rFont val="Arial"/>
        <family val="2"/>
      </rPr>
      <t xml:space="preserve"> </t>
    </r>
  </si>
  <si>
    <r>
      <rPr>
        <sz val="11"/>
        <color rgb="FF444444"/>
        <rFont val="Arial"/>
        <family val="2"/>
      </rPr>
      <t>C</t>
    </r>
    <r>
      <rPr>
        <sz val="8"/>
        <color rgb="FF444444"/>
        <rFont val="Arial"/>
        <family val="2"/>
      </rPr>
      <t>p</t>
    </r>
    <r>
      <rPr>
        <sz val="11"/>
        <color rgb="FF444444"/>
        <rFont val="Arial"/>
        <family val="2"/>
      </rPr>
      <t xml:space="preserve"> (kJ/kg*K)</t>
    </r>
  </si>
  <si>
    <t>Flowrate (kg/yr)</t>
  </si>
  <si>
    <t>ΔT (℃)</t>
  </si>
  <si>
    <t>Cp (kJ/kg*K)</t>
  </si>
  <si>
    <t>H2O</t>
  </si>
  <si>
    <r>
      <rPr>
        <sz val="11"/>
        <color rgb="FF000000"/>
        <rFont val="Arial"/>
        <family val="2"/>
      </rPr>
      <t>Q</t>
    </r>
    <r>
      <rPr>
        <sz val="8"/>
        <color rgb="FF000000"/>
        <rFont val="Arial"/>
        <family val="2"/>
      </rPr>
      <t>t</t>
    </r>
    <r>
      <rPr>
        <sz val="11"/>
        <color rgb="FF000000"/>
        <rFont val="Arial"/>
        <family val="2"/>
      </rPr>
      <t xml:space="preserve"> (BTU/hr)</t>
    </r>
  </si>
  <si>
    <r>
      <rPr>
        <sz val="11"/>
        <color rgb="FF000000"/>
        <rFont val="Arial"/>
        <family val="2"/>
      </rPr>
      <t>Q</t>
    </r>
    <r>
      <rPr>
        <sz val="8"/>
        <color rgb="FF000000"/>
        <rFont val="Arial"/>
        <family val="2"/>
      </rPr>
      <t>t</t>
    </r>
    <r>
      <rPr>
        <sz val="11"/>
        <color rgb="FF000000"/>
        <rFont val="Arial"/>
        <family val="2"/>
      </rPr>
      <t xml:space="preserve"> (kcal/hr)</t>
    </r>
  </si>
  <si>
    <t>Coal heating value (kcal/kg)</t>
  </si>
  <si>
    <t>Coal flow rate (kg/hr)</t>
  </si>
  <si>
    <t>Combustion gas emissions (L/hr)</t>
  </si>
  <si>
    <r>
      <rPr>
        <sz val="11"/>
        <color rgb="FF000000"/>
        <rFont val="Arial"/>
        <family val="2"/>
      </rPr>
      <t>NO</t>
    </r>
    <r>
      <rPr>
        <sz val="8"/>
        <color rgb="FF000000"/>
        <rFont val="Arial"/>
        <family val="2"/>
      </rPr>
      <t>x</t>
    </r>
    <r>
      <rPr>
        <sz val="11"/>
        <color rgb="FF000000"/>
        <rFont val="Arial"/>
        <family val="2"/>
      </rPr>
      <t xml:space="preserve"> emissions (L/hr)</t>
    </r>
  </si>
  <si>
    <r>
      <rPr>
        <sz val="11"/>
        <color rgb="FF000000"/>
        <rFont val="Arial"/>
        <family val="2"/>
      </rPr>
      <t>NO</t>
    </r>
    <r>
      <rPr>
        <sz val="8"/>
        <color rgb="FF000000"/>
        <rFont val="Arial"/>
        <family val="2"/>
      </rPr>
      <t>x</t>
    </r>
    <r>
      <rPr>
        <sz val="11"/>
        <color rgb="FF000000"/>
        <rFont val="Arial"/>
        <family val="2"/>
      </rPr>
      <t xml:space="preserve"> emissions (L/yr)</t>
    </r>
  </si>
  <si>
    <r>
      <rPr>
        <sz val="11"/>
        <color rgb="FF000000"/>
        <rFont val="Arial"/>
        <family val="2"/>
      </rPr>
      <t>NO</t>
    </r>
    <r>
      <rPr>
        <sz val="8"/>
        <color rgb="FF000000"/>
        <rFont val="Arial"/>
        <family val="2"/>
      </rPr>
      <t>x</t>
    </r>
    <r>
      <rPr>
        <sz val="11"/>
        <color rgb="FF000000"/>
        <rFont val="Arial"/>
        <family val="2"/>
      </rPr>
      <t xml:space="preserve"> emissions (g/yr)</t>
    </r>
  </si>
  <si>
    <r>
      <rPr>
        <sz val="11"/>
        <color rgb="FF000000"/>
        <rFont val="Arial"/>
        <family val="2"/>
      </rPr>
      <t>NO</t>
    </r>
    <r>
      <rPr>
        <sz val="8"/>
        <color rgb="FF000000"/>
        <rFont val="Arial"/>
        <family val="2"/>
      </rPr>
      <t>x</t>
    </r>
    <r>
      <rPr>
        <sz val="11"/>
        <color rgb="FF000000"/>
        <rFont val="Arial"/>
        <family val="2"/>
      </rPr>
      <t xml:space="preserve"> emissions (kg/yr)</t>
    </r>
  </si>
  <si>
    <r>
      <rPr>
        <sz val="11"/>
        <color rgb="FF000000"/>
        <rFont val="Arial"/>
        <family val="2"/>
      </rPr>
      <t>NO</t>
    </r>
    <r>
      <rPr>
        <sz val="8"/>
        <color rgb="FF000000"/>
        <rFont val="Arial"/>
        <family val="2"/>
      </rPr>
      <t>x</t>
    </r>
    <r>
      <rPr>
        <sz val="11"/>
        <color rgb="FF000000"/>
        <rFont val="Arial"/>
        <family val="2"/>
      </rPr>
      <t xml:space="preserve"> emissions (ton/yr)</t>
    </r>
  </si>
  <si>
    <t>Constant used</t>
  </si>
  <si>
    <t>Emissions of combustion gas 
per 1 kg of coal (L/kg coal)</t>
  </si>
  <si>
    <r>
      <rPr>
        <sz val="11"/>
        <color rgb="FF000000"/>
        <rFont val="Arial"/>
        <family val="2"/>
      </rPr>
      <t>NO</t>
    </r>
    <r>
      <rPr>
        <sz val="8"/>
        <color rgb="FF000000"/>
        <rFont val="Arial"/>
        <family val="2"/>
      </rPr>
      <t>x</t>
    </r>
    <r>
      <rPr>
        <sz val="11"/>
        <color rgb="FF000000"/>
        <rFont val="Arial"/>
        <family val="2"/>
      </rPr>
      <t xml:space="preserve"> concentration (ppmv)</t>
    </r>
  </si>
  <si>
    <t>NO density (g/L)</t>
  </si>
  <si>
    <t>This is an optimized process scenario by combining the Solvay process of the existing integrated process with the process of making sodium bicarbonate through NaOH. The process of making sodium bicarbonate from carbon dioxide and NaOH has a high conversion rate and has a higher carbon dioxide reduction capacity than existing integrated processes. The NaOH process joins the Solvay process for converting sodium bicarbonate to sodium carbonate. Compared to the existing integrated process, as sodium carbonate production increases, lithium carbonate production increases, which is an economic benefit. However, it is true that the NaOH process is currently difficult to commercialize with the presented process scenario because it is a costly and small-scale process with membrane technology. However, as the membrane technology or the overall process improves, the following scenarios can also be presented.</t>
  </si>
  <si>
    <t>Total revenue at break-even point</t>
    <phoneticPr fontId="1" type="noConversion"/>
  </si>
  <si>
    <t>Total revenue</t>
    <phoneticPr fontId="1" type="noConversion"/>
  </si>
  <si>
    <t>Gross product cost</t>
    <phoneticPr fontId="1" type="noConversion"/>
  </si>
  <si>
    <t>Gross product cost at break-even point</t>
    <phoneticPr fontId="1" type="noConversion"/>
  </si>
  <si>
    <t>cumulative cash flow</t>
    <phoneticPr fontId="1" type="noConversion"/>
  </si>
  <si>
    <t>Revenues ($/yr)</t>
    <phoneticPr fontId="1" type="noConversion"/>
  </si>
  <si>
    <t>Expenses ($/yr)</t>
    <phoneticPr fontId="1" type="noConversion"/>
  </si>
  <si>
    <t>Grayed Titles</t>
    <phoneticPr fontId="1" type="noConversion"/>
  </si>
  <si>
    <t>Feed Cost &amp; Utilities</t>
  </si>
  <si>
    <t>Flow rate (kg/yr)</t>
  </si>
  <si>
    <t>Feed price ($/kg)</t>
  </si>
  <si>
    <t>Feed cost ($/yr)</t>
  </si>
  <si>
    <t>Feed Cost</t>
  </si>
  <si>
    <t>Total feed cost</t>
  </si>
  <si>
    <t>Total electricity (kW)</t>
  </si>
  <si>
    <t>Electricity cost ($/kWh)</t>
  </si>
  <si>
    <t>electricity (kWh/yr)</t>
  </si>
  <si>
    <t>Total electricity cost ($)</t>
  </si>
  <si>
    <r>
      <t>CH</t>
    </r>
    <r>
      <rPr>
        <vertAlign val="subscript"/>
        <sz val="11"/>
        <color rgb="FF000000"/>
        <rFont val="Arial"/>
        <family val="2"/>
      </rPr>
      <t xml:space="preserve">4 </t>
    </r>
    <r>
      <rPr>
        <sz val="11"/>
        <color rgb="FF000000"/>
        <rFont val="Arial"/>
        <family val="2"/>
      </rPr>
      <t>+ H</t>
    </r>
    <r>
      <rPr>
        <vertAlign val="subscript"/>
        <sz val="11"/>
        <color rgb="FF000000"/>
        <rFont val="Arial"/>
        <family val="2"/>
      </rPr>
      <t>2</t>
    </r>
    <r>
      <rPr>
        <sz val="11"/>
        <color rgb="FF000000"/>
        <rFont val="Arial"/>
        <family val="2"/>
      </rPr>
      <t>O → CO + 3H</t>
    </r>
    <r>
      <rPr>
        <vertAlign val="subscript"/>
        <sz val="11"/>
        <color rgb="FF000000"/>
        <rFont val="Arial"/>
        <family val="2"/>
      </rPr>
      <t>2</t>
    </r>
  </si>
  <si>
    <r>
      <t>CaCO</t>
    </r>
    <r>
      <rPr>
        <vertAlign val="subscript"/>
        <sz val="11"/>
        <color rgb="FF000000"/>
        <rFont val="Arial"/>
        <family val="2"/>
      </rPr>
      <t>3</t>
    </r>
    <r>
      <rPr>
        <sz val="11"/>
        <color rgb="FF000000"/>
        <rFont val="Arial"/>
        <family val="2"/>
      </rPr>
      <t xml:space="preserve"> → CO</t>
    </r>
    <r>
      <rPr>
        <vertAlign val="subscript"/>
        <sz val="11"/>
        <color rgb="FF000000"/>
        <rFont val="Arial"/>
        <family val="2"/>
      </rPr>
      <t xml:space="preserve">2 </t>
    </r>
    <r>
      <rPr>
        <sz val="11"/>
        <color rgb="FF000000"/>
        <rFont val="Arial"/>
        <family val="2"/>
      </rPr>
      <t>+ CaO</t>
    </r>
  </si>
  <si>
    <r>
      <rPr>
        <sz val="11"/>
        <color theme="1"/>
        <rFont val="맑은 고딕"/>
        <family val="2"/>
        <charset val="129"/>
      </rPr>
      <t>년</t>
    </r>
  </si>
  <si>
    <r>
      <t>2NaHCO</t>
    </r>
    <r>
      <rPr>
        <vertAlign val="subscript"/>
        <sz val="11"/>
        <color rgb="FF000000"/>
        <rFont val="Arial"/>
        <family val="2"/>
      </rPr>
      <t>3</t>
    </r>
    <r>
      <rPr>
        <sz val="11"/>
        <color rgb="FF000000"/>
        <rFont val="Arial"/>
        <family val="2"/>
      </rPr>
      <t xml:space="preserve"> → Na</t>
    </r>
    <r>
      <rPr>
        <vertAlign val="subscript"/>
        <sz val="11"/>
        <color rgb="FF000000"/>
        <rFont val="Arial"/>
        <family val="2"/>
      </rPr>
      <t>2</t>
    </r>
    <r>
      <rPr>
        <sz val="11"/>
        <color rgb="FF000000"/>
        <rFont val="Arial"/>
        <family val="2"/>
      </rPr>
      <t>CO</t>
    </r>
    <r>
      <rPr>
        <vertAlign val="subscript"/>
        <sz val="11"/>
        <color rgb="FF000000"/>
        <rFont val="Arial"/>
        <family val="2"/>
      </rPr>
      <t xml:space="preserve">3 </t>
    </r>
    <r>
      <rPr>
        <sz val="11"/>
        <color rgb="FF000000"/>
        <rFont val="Arial"/>
        <family val="2"/>
      </rPr>
      <t>+ H</t>
    </r>
    <r>
      <rPr>
        <vertAlign val="subscript"/>
        <sz val="11"/>
        <color rgb="FF000000"/>
        <rFont val="Arial"/>
        <family val="2"/>
      </rPr>
      <t>2</t>
    </r>
    <r>
      <rPr>
        <sz val="11"/>
        <color rgb="FF000000"/>
        <rFont val="Arial"/>
        <family val="2"/>
      </rPr>
      <t>O + CO</t>
    </r>
    <r>
      <rPr>
        <vertAlign val="subscript"/>
        <sz val="11"/>
        <color rgb="FF000000"/>
        <rFont val="Arial"/>
        <family val="2"/>
      </rPr>
      <t>2</t>
    </r>
  </si>
  <si>
    <r>
      <t>2NH</t>
    </r>
    <r>
      <rPr>
        <vertAlign val="subscript"/>
        <sz val="11"/>
        <color rgb="FF000000"/>
        <rFont val="Arial"/>
        <family val="2"/>
      </rPr>
      <t>4</t>
    </r>
    <r>
      <rPr>
        <sz val="11"/>
        <color rgb="FF000000"/>
        <rFont val="Arial"/>
        <family val="2"/>
      </rPr>
      <t>Cl + Ca(OH)</t>
    </r>
    <r>
      <rPr>
        <vertAlign val="subscript"/>
        <sz val="11"/>
        <color rgb="FF000000"/>
        <rFont val="Arial"/>
        <family val="2"/>
      </rPr>
      <t>2</t>
    </r>
    <r>
      <rPr>
        <sz val="11"/>
        <color rgb="FF000000"/>
        <rFont val="Arial"/>
        <family val="2"/>
      </rPr>
      <t xml:space="preserve"> → 2NH</t>
    </r>
    <r>
      <rPr>
        <vertAlign val="subscript"/>
        <sz val="11"/>
        <color rgb="FF000000"/>
        <rFont val="Arial"/>
        <family val="2"/>
      </rPr>
      <t xml:space="preserve">3 </t>
    </r>
    <r>
      <rPr>
        <sz val="11"/>
        <color rgb="FF000000"/>
        <rFont val="Arial"/>
        <family val="2"/>
      </rPr>
      <t>+ CaCl</t>
    </r>
    <r>
      <rPr>
        <vertAlign val="subscript"/>
        <sz val="11"/>
        <color rgb="FF000000"/>
        <rFont val="Arial"/>
        <family val="2"/>
      </rPr>
      <t xml:space="preserve">2 </t>
    </r>
    <r>
      <rPr>
        <sz val="11"/>
        <color rgb="FF000000"/>
        <rFont val="Arial"/>
        <family val="2"/>
      </rPr>
      <t>+ 2H</t>
    </r>
    <r>
      <rPr>
        <vertAlign val="subscript"/>
        <sz val="11"/>
        <color rgb="FF000000"/>
        <rFont val="Arial"/>
        <family val="2"/>
      </rPr>
      <t>2</t>
    </r>
    <r>
      <rPr>
        <sz val="11"/>
        <color rgb="FF000000"/>
        <rFont val="Arial"/>
        <family val="2"/>
      </rPr>
      <t>O</t>
    </r>
  </si>
  <si>
    <r>
      <t>Li</t>
    </r>
    <r>
      <rPr>
        <sz val="8"/>
        <color rgb="FF000000"/>
        <rFont val="Arial"/>
        <family val="2"/>
      </rPr>
      <t>2</t>
    </r>
    <r>
      <rPr>
        <sz val="11"/>
        <color rgb="FF000000"/>
        <rFont val="Arial"/>
        <family val="2"/>
      </rPr>
      <t>CO</t>
    </r>
    <r>
      <rPr>
        <sz val="8"/>
        <color rgb="FF000000"/>
        <rFont val="Arial"/>
        <family val="2"/>
      </rPr>
      <t>3</t>
    </r>
    <r>
      <rPr>
        <sz val="11"/>
        <color rgb="FF000000"/>
        <rFont val="Arial"/>
        <family val="2"/>
      </rPr>
      <t>(s) + H</t>
    </r>
    <r>
      <rPr>
        <sz val="8"/>
        <color rgb="FF000000"/>
        <rFont val="Arial"/>
        <family val="2"/>
      </rPr>
      <t>2</t>
    </r>
    <r>
      <rPr>
        <sz val="11"/>
        <color rgb="FF000000"/>
        <rFont val="Arial"/>
        <family val="2"/>
      </rPr>
      <t>O → Li</t>
    </r>
    <r>
      <rPr>
        <sz val="8"/>
        <color rgb="FF000000"/>
        <rFont val="Arial"/>
        <family val="2"/>
      </rPr>
      <t>2</t>
    </r>
    <r>
      <rPr>
        <sz val="11"/>
        <color rgb="FF000000"/>
        <rFont val="Arial"/>
        <family val="2"/>
      </rPr>
      <t>CO</t>
    </r>
    <r>
      <rPr>
        <sz val="8"/>
        <color rgb="FF000000"/>
        <rFont val="Arial"/>
        <family val="2"/>
      </rPr>
      <t>3</t>
    </r>
    <r>
      <rPr>
        <sz val="11"/>
        <color rgb="FF000000"/>
        <rFont val="Arial"/>
        <family val="2"/>
      </rPr>
      <t>(l)·H</t>
    </r>
    <r>
      <rPr>
        <sz val="8"/>
        <color rgb="FF000000"/>
        <rFont val="Arial"/>
        <family val="2"/>
      </rPr>
      <t>2</t>
    </r>
    <r>
      <rPr>
        <sz val="11"/>
        <color rgb="FF000000"/>
        <rFont val="Arial"/>
        <family val="2"/>
      </rPr>
      <t>O</t>
    </r>
  </si>
  <si>
    <r>
      <t>Li</t>
    </r>
    <r>
      <rPr>
        <sz val="8"/>
        <color rgb="FF000000"/>
        <rFont val="Arial"/>
        <family val="2"/>
      </rPr>
      <t>2</t>
    </r>
    <r>
      <rPr>
        <sz val="11"/>
        <color rgb="FF000000"/>
        <rFont val="Arial"/>
        <family val="2"/>
      </rPr>
      <t>CO</t>
    </r>
    <r>
      <rPr>
        <sz val="8"/>
        <color rgb="FF000000"/>
        <rFont val="Arial"/>
        <family val="2"/>
      </rPr>
      <t>3(</t>
    </r>
    <r>
      <rPr>
        <sz val="11"/>
        <color rgb="FF000000"/>
        <rFont val="Arial"/>
        <family val="2"/>
      </rPr>
      <t>l) + 2HCl → 2LiCl + H</t>
    </r>
    <r>
      <rPr>
        <sz val="8"/>
        <color rgb="FF000000"/>
        <rFont val="Arial"/>
        <family val="2"/>
      </rPr>
      <t>2</t>
    </r>
    <r>
      <rPr>
        <sz val="11"/>
        <color rgb="FF000000"/>
        <rFont val="Arial"/>
        <family val="2"/>
      </rPr>
      <t>O + CO</t>
    </r>
    <r>
      <rPr>
        <sz val="8"/>
        <color rgb="FF000000"/>
        <rFont val="Arial"/>
        <family val="2"/>
      </rPr>
      <t>2</t>
    </r>
  </si>
  <si>
    <r>
      <t>NO</t>
    </r>
    <r>
      <rPr>
        <sz val="8"/>
        <color rgb="FF000000"/>
        <rFont val="Arial"/>
        <family val="2"/>
      </rPr>
      <t>x</t>
    </r>
    <r>
      <rPr>
        <sz val="11"/>
        <color rgb="FF000000"/>
        <rFont val="Arial"/>
        <family val="2"/>
      </rPr>
      <t xml:space="preserve"> emissions</t>
    </r>
  </si>
  <si>
    <r>
      <t>CaCO</t>
    </r>
    <r>
      <rPr>
        <sz val="8"/>
        <color rgb="FF000000"/>
        <rFont val="Arial"/>
        <family val="2"/>
      </rPr>
      <t>3</t>
    </r>
  </si>
  <si>
    <r>
      <t>CH</t>
    </r>
    <r>
      <rPr>
        <sz val="8"/>
        <color rgb="FF000000"/>
        <rFont val="Arial"/>
        <family val="2"/>
      </rPr>
      <t>4</t>
    </r>
  </si>
  <si>
    <r>
      <t>H</t>
    </r>
    <r>
      <rPr>
        <sz val="8"/>
        <color rgb="FF000000"/>
        <rFont val="Arial"/>
        <family val="2"/>
      </rPr>
      <t>2</t>
    </r>
    <r>
      <rPr>
        <sz val="11"/>
        <color rgb="FF000000"/>
        <rFont val="Arial"/>
        <family val="2"/>
      </rPr>
      <t>O</t>
    </r>
  </si>
  <si>
    <r>
      <t>NH</t>
    </r>
    <r>
      <rPr>
        <sz val="8"/>
        <color rgb="FF000000"/>
        <rFont val="Arial"/>
        <family val="2"/>
      </rPr>
      <t>3</t>
    </r>
  </si>
  <si>
    <r>
      <t>H</t>
    </r>
    <r>
      <rPr>
        <sz val="8"/>
        <color rgb="FF000000"/>
        <rFont val="Arial"/>
        <family val="2"/>
      </rPr>
      <t>2</t>
    </r>
  </si>
  <si>
    <r>
      <t>Li</t>
    </r>
    <r>
      <rPr>
        <sz val="8"/>
        <color rgb="FF000000"/>
        <rFont val="Arial"/>
        <family val="2"/>
      </rPr>
      <t>2</t>
    </r>
    <r>
      <rPr>
        <sz val="11"/>
        <color rgb="FF000000"/>
        <rFont val="Arial"/>
        <family val="2"/>
      </rPr>
      <t>CO</t>
    </r>
    <r>
      <rPr>
        <sz val="8"/>
        <color rgb="FF000000"/>
        <rFont val="Arial"/>
        <family val="2"/>
      </rPr>
      <t>3</t>
    </r>
  </si>
  <si>
    <r>
      <t>NO</t>
    </r>
    <r>
      <rPr>
        <b/>
        <sz val="8"/>
        <color rgb="FF000000"/>
        <rFont val="Arial"/>
        <family val="2"/>
      </rPr>
      <t>x</t>
    </r>
    <r>
      <rPr>
        <b/>
        <sz val="11"/>
        <color rgb="FF000000"/>
        <rFont val="Arial"/>
        <family val="2"/>
      </rPr>
      <t xml:space="preserve"> concentration by type of coal</t>
    </r>
  </si>
  <si>
    <r>
      <rPr>
        <sz val="11"/>
        <color rgb="FF000000"/>
        <rFont val="Arial"/>
        <family val="2"/>
      </rPr>
      <t>NO</t>
    </r>
    <r>
      <rPr>
        <sz val="8"/>
        <color rgb="FF000000"/>
        <rFont val="Arial"/>
        <family val="2"/>
      </rPr>
      <t>x</t>
    </r>
    <r>
      <rPr>
        <sz val="11"/>
        <color rgb="FF000000"/>
        <rFont val="Arial"/>
        <family val="2"/>
      </rPr>
      <t xml:space="preserve"> concentration</t>
    </r>
  </si>
  <si>
    <r>
      <t>We would like to present new processes by integrating existing technologically mature processes and present guidelines for economic and environmental evaluation of those processes. The conventional SMR process of producing hydrogen collects CO</t>
    </r>
    <r>
      <rPr>
        <sz val="8"/>
        <color rgb="FF000000"/>
        <rFont val="Arial"/>
        <family val="2"/>
      </rPr>
      <t>2</t>
    </r>
    <r>
      <rPr>
        <sz val="11"/>
        <color rgb="FF000000"/>
        <rFont val="Arial"/>
        <family val="2"/>
      </rPr>
      <t xml:space="preserve"> emitted from fossil fuels and puts it into the Solvay process. The Solvay process consumes CO</t>
    </r>
    <r>
      <rPr>
        <sz val="8"/>
        <color rgb="FF000000"/>
        <rFont val="Arial"/>
        <family val="2"/>
      </rPr>
      <t>2</t>
    </r>
    <r>
      <rPr>
        <sz val="11"/>
        <color rgb="FF000000"/>
        <rFont val="Arial"/>
        <family val="2"/>
      </rPr>
      <t xml:space="preserve"> and switches to a useful substance called Na</t>
    </r>
    <r>
      <rPr>
        <sz val="8"/>
        <color rgb="FF000000"/>
        <rFont val="Arial"/>
        <family val="2"/>
      </rPr>
      <t>2</t>
    </r>
    <r>
      <rPr>
        <sz val="11"/>
        <color rgb="FF000000"/>
        <rFont val="Arial"/>
        <family val="2"/>
      </rPr>
      <t>CO</t>
    </r>
    <r>
      <rPr>
        <sz val="8"/>
        <color rgb="FF000000"/>
        <rFont val="Arial"/>
        <family val="2"/>
      </rPr>
      <t>3</t>
    </r>
    <r>
      <rPr>
        <sz val="11"/>
        <color rgb="FF000000"/>
        <rFont val="Arial"/>
        <family val="2"/>
      </rPr>
      <t>. Extracting lithium from waste batteries using Na</t>
    </r>
    <r>
      <rPr>
        <sz val="8"/>
        <color rgb="FF000000"/>
        <rFont val="Arial"/>
        <family val="2"/>
      </rPr>
      <t>2</t>
    </r>
    <r>
      <rPr>
        <sz val="11"/>
        <color rgb="FF000000"/>
        <rFont val="Arial"/>
        <family val="2"/>
      </rPr>
      <t>CO</t>
    </r>
    <r>
      <rPr>
        <sz val="8"/>
        <color rgb="FF000000"/>
        <rFont val="Arial"/>
        <family val="2"/>
      </rPr>
      <t>3</t>
    </r>
    <r>
      <rPr>
        <sz val="11"/>
        <color rgb="FF000000"/>
        <rFont val="Arial"/>
        <family val="2"/>
      </rPr>
      <t xml:space="preserve"> is the entire process we designed.</t>
    </r>
  </si>
  <si>
    <r>
      <t>Methane and water and flow into the SMR process at 850℃. At this time, CO and H</t>
    </r>
    <r>
      <rPr>
        <sz val="8"/>
        <color rgb="FF000000"/>
        <rFont val="Arial"/>
        <family val="2"/>
      </rPr>
      <t>2</t>
    </r>
    <r>
      <rPr>
        <sz val="11"/>
        <color rgb="FF000000"/>
        <rFont val="Arial"/>
        <family val="2"/>
      </rPr>
      <t xml:space="preserve"> are produced, and they flow into WGS to produce CO</t>
    </r>
    <r>
      <rPr>
        <sz val="8"/>
        <color rgb="FF000000"/>
        <rFont val="Arial"/>
        <family val="2"/>
      </rPr>
      <t>2</t>
    </r>
    <r>
      <rPr>
        <sz val="11"/>
        <color rgb="FF000000"/>
        <rFont val="Arial"/>
        <family val="2"/>
      </rPr>
      <t xml:space="preserve"> and H</t>
    </r>
    <r>
      <rPr>
        <sz val="8"/>
        <color rgb="FF000000"/>
        <rFont val="Arial"/>
        <family val="2"/>
      </rPr>
      <t>2</t>
    </r>
    <r>
      <rPr>
        <sz val="11"/>
        <color rgb="FF000000"/>
        <rFont val="Arial"/>
        <family val="2"/>
      </rPr>
      <t>. The H</t>
    </r>
    <r>
      <rPr>
        <sz val="8"/>
        <color rgb="FF000000"/>
        <rFont val="Arial"/>
        <family val="2"/>
      </rPr>
      <t>2</t>
    </r>
    <r>
      <rPr>
        <sz val="11"/>
        <color rgb="FF000000"/>
        <rFont val="Arial"/>
        <family val="2"/>
      </rPr>
      <t xml:space="preserve"> separated by the PSA is sold, and the collected CO</t>
    </r>
    <r>
      <rPr>
        <sz val="8"/>
        <color rgb="FF000000"/>
        <rFont val="Arial"/>
        <family val="2"/>
      </rPr>
      <t>2</t>
    </r>
    <r>
      <rPr>
        <sz val="11"/>
        <color rgb="FF000000"/>
        <rFont val="Arial"/>
        <family val="2"/>
      </rPr>
      <t xml:space="preserve"> is integrated with the CO</t>
    </r>
    <r>
      <rPr>
        <sz val="8"/>
        <color rgb="FF000000"/>
        <rFont val="Arial"/>
        <family val="2"/>
      </rPr>
      <t>2</t>
    </r>
    <r>
      <rPr>
        <sz val="11"/>
        <color rgb="FF000000"/>
        <rFont val="Arial"/>
        <family val="2"/>
      </rPr>
      <t xml:space="preserve"> from the lime kiln of the Solvay process. It moves to the carbonating tower and meets NaCl and NH</t>
    </r>
    <r>
      <rPr>
        <sz val="8"/>
        <color rgb="FF000000"/>
        <rFont val="Arial"/>
        <family val="2"/>
      </rPr>
      <t>4</t>
    </r>
    <r>
      <rPr>
        <sz val="11"/>
        <color rgb="FF000000"/>
        <rFont val="Arial"/>
        <family val="2"/>
      </rPr>
      <t>OH at 60℃ to produce NaHCO</t>
    </r>
    <r>
      <rPr>
        <sz val="8"/>
        <color rgb="FF000000"/>
        <rFont val="Arial"/>
        <family val="2"/>
      </rPr>
      <t>3</t>
    </r>
    <r>
      <rPr>
        <sz val="11"/>
        <color rgb="FF000000"/>
        <rFont val="Arial"/>
        <family val="2"/>
      </rPr>
      <t>. This produces Na</t>
    </r>
    <r>
      <rPr>
        <sz val="8"/>
        <color rgb="FF000000"/>
        <rFont val="Arial"/>
        <family val="2"/>
      </rPr>
      <t>2</t>
    </r>
    <r>
      <rPr>
        <sz val="11"/>
        <color rgb="FF000000"/>
        <rFont val="Arial"/>
        <family val="2"/>
      </rPr>
      <t>CO</t>
    </r>
    <r>
      <rPr>
        <sz val="8"/>
        <color rgb="FF000000"/>
        <rFont val="Arial"/>
        <family val="2"/>
      </rPr>
      <t>3</t>
    </r>
    <r>
      <rPr>
        <sz val="11"/>
        <color rgb="FF000000"/>
        <rFont val="Arial"/>
        <family val="2"/>
      </rPr>
      <t xml:space="preserve"> in a 200℃ calciner. Finally, Na</t>
    </r>
    <r>
      <rPr>
        <sz val="8"/>
        <color rgb="FF000000"/>
        <rFont val="Arial"/>
        <family val="2"/>
      </rPr>
      <t>2</t>
    </r>
    <r>
      <rPr>
        <sz val="11"/>
        <color rgb="FF000000"/>
        <rFont val="Arial"/>
        <family val="2"/>
      </rPr>
      <t>CO</t>
    </r>
    <r>
      <rPr>
        <sz val="8"/>
        <color rgb="FF000000"/>
        <rFont val="Arial"/>
        <family val="2"/>
      </rPr>
      <t>3</t>
    </r>
    <r>
      <rPr>
        <sz val="11"/>
        <color rgb="FF000000"/>
        <rFont val="Arial"/>
        <family val="2"/>
      </rPr>
      <t xml:space="preserve"> moves to anode material waste lithium extraction process and reacts with LiCoO</t>
    </r>
    <r>
      <rPr>
        <sz val="8"/>
        <color rgb="FF000000"/>
        <rFont val="Arial"/>
        <family val="2"/>
      </rPr>
      <t>2</t>
    </r>
    <r>
      <rPr>
        <sz val="11"/>
        <color rgb="FF000000"/>
        <rFont val="Arial"/>
        <family val="2"/>
      </rPr>
      <t xml:space="preserve"> separated from the waste battery. As a result, Li</t>
    </r>
    <r>
      <rPr>
        <sz val="8"/>
        <color rgb="FF000000"/>
        <rFont val="Arial"/>
        <family val="2"/>
      </rPr>
      <t>2</t>
    </r>
    <r>
      <rPr>
        <sz val="11"/>
        <color rgb="FF000000"/>
        <rFont val="Arial"/>
        <family val="2"/>
      </rPr>
      <t>CO</t>
    </r>
    <r>
      <rPr>
        <sz val="8"/>
        <color rgb="FF000000"/>
        <rFont val="Arial"/>
        <family val="2"/>
      </rPr>
      <t>3</t>
    </r>
    <r>
      <rPr>
        <sz val="11"/>
        <color rgb="FF000000"/>
        <rFont val="Arial"/>
        <family val="2"/>
      </rPr>
      <t xml:space="preserve"> is poduced. Water is injected into it to change its phase from solid to liquid. It goes through a water leaching process and finally gets the Li</t>
    </r>
    <r>
      <rPr>
        <sz val="8"/>
        <color rgb="FF000000"/>
        <rFont val="Arial"/>
        <family val="2"/>
      </rPr>
      <t>2</t>
    </r>
    <r>
      <rPr>
        <sz val="11"/>
        <color rgb="FF000000"/>
        <rFont val="Arial"/>
        <family val="2"/>
      </rPr>
      <t>CO</t>
    </r>
    <r>
      <rPr>
        <sz val="8"/>
        <color rgb="FF000000"/>
        <rFont val="Arial"/>
        <family val="2"/>
      </rPr>
      <t>3</t>
    </r>
    <r>
      <rPr>
        <sz val="11"/>
        <color rgb="FF000000"/>
        <rFont val="Arial"/>
        <family val="2"/>
      </rPr>
      <t xml:space="preserve"> we want to produce.</t>
    </r>
  </si>
  <si>
    <r>
      <rPr>
        <sz val="10"/>
        <color rgb="FF000000"/>
        <rFont val="나눔고딕"/>
        <family val="3"/>
      </rPr>
      <t>최병일</t>
    </r>
    <r>
      <rPr>
        <sz val="10"/>
        <color rgb="FF000000"/>
        <rFont val="Arial"/>
        <family val="2"/>
      </rPr>
      <t>.(2018).</t>
    </r>
    <r>
      <rPr>
        <sz val="10"/>
        <color rgb="FF000000"/>
        <rFont val="나눔고딕"/>
        <family val="3"/>
      </rPr>
      <t>액체수소</t>
    </r>
    <r>
      <rPr>
        <sz val="10"/>
        <color rgb="FF000000"/>
        <rFont val="Arial"/>
        <family val="2"/>
      </rPr>
      <t xml:space="preserve"> </t>
    </r>
    <r>
      <rPr>
        <sz val="10"/>
        <color rgb="FF000000"/>
        <rFont val="나눔고딕"/>
        <family val="3"/>
      </rPr>
      <t>기반</t>
    </r>
    <r>
      <rPr>
        <sz val="10"/>
        <color rgb="FF000000"/>
        <rFont val="Arial"/>
        <family val="2"/>
      </rPr>
      <t xml:space="preserve"> </t>
    </r>
    <r>
      <rPr>
        <sz val="10"/>
        <color rgb="FF000000"/>
        <rFont val="나눔고딕"/>
        <family val="3"/>
      </rPr>
      <t>미래</t>
    </r>
    <r>
      <rPr>
        <sz val="10"/>
        <color rgb="FF000000"/>
        <rFont val="Arial"/>
        <family val="2"/>
      </rPr>
      <t xml:space="preserve"> </t>
    </r>
    <r>
      <rPr>
        <sz val="10"/>
        <color rgb="FF000000"/>
        <rFont val="나눔고딕"/>
        <family val="3"/>
      </rPr>
      <t>수소사회</t>
    </r>
    <r>
      <rPr>
        <sz val="10"/>
        <color rgb="FF000000"/>
        <rFont val="Arial"/>
        <family val="2"/>
      </rPr>
      <t xml:space="preserve"> </t>
    </r>
    <r>
      <rPr>
        <sz val="10"/>
        <color rgb="FF000000"/>
        <rFont val="나눔고딕"/>
        <family val="3"/>
      </rPr>
      <t>인프라</t>
    </r>
    <r>
      <rPr>
        <sz val="10"/>
        <color rgb="FF000000"/>
        <rFont val="Arial"/>
        <family val="2"/>
      </rPr>
      <t xml:space="preserve"> </t>
    </r>
    <r>
      <rPr>
        <sz val="10"/>
        <color rgb="FF000000"/>
        <rFont val="나눔고딕"/>
        <family val="3"/>
      </rPr>
      <t>구축</t>
    </r>
    <r>
      <rPr>
        <sz val="10"/>
        <color rgb="FF000000"/>
        <rFont val="Arial"/>
        <family val="2"/>
      </rPr>
      <t xml:space="preserve"> </t>
    </r>
    <r>
      <rPr>
        <sz val="10"/>
        <color rgb="FF000000"/>
        <rFont val="나눔고딕"/>
        <family val="3"/>
      </rPr>
      <t>방안</t>
    </r>
    <r>
      <rPr>
        <sz val="10"/>
        <color rgb="FF000000"/>
        <rFont val="Arial"/>
        <family val="2"/>
      </rPr>
      <t>.</t>
    </r>
    <r>
      <rPr>
        <sz val="10"/>
        <color rgb="FF000000"/>
        <rFont val="나눔고딕"/>
        <family val="3"/>
      </rPr>
      <t>대한기계학회</t>
    </r>
    <r>
      <rPr>
        <sz val="10"/>
        <color rgb="FF000000"/>
        <rFont val="Arial"/>
        <family val="2"/>
      </rPr>
      <t xml:space="preserve"> </t>
    </r>
    <r>
      <rPr>
        <sz val="10"/>
        <color rgb="FF000000"/>
        <rFont val="나눔고딕"/>
        <family val="3"/>
      </rPr>
      <t>춘추학술대회</t>
    </r>
  </si>
  <si>
    <r>
      <rPr>
        <sz val="10"/>
        <color rgb="FF000000"/>
        <rFont val="나눔고딕"/>
        <family val="3"/>
      </rPr>
      <t>한진석</t>
    </r>
    <r>
      <rPr>
        <sz val="10"/>
        <color rgb="FF000000"/>
        <rFont val="Arial"/>
        <family val="2"/>
      </rPr>
      <t xml:space="preserve">, </t>
    </r>
    <r>
      <rPr>
        <sz val="10"/>
        <color rgb="FF000000"/>
        <rFont val="나눔고딕"/>
        <family val="3"/>
      </rPr>
      <t>유호석</t>
    </r>
    <r>
      <rPr>
        <sz val="10"/>
        <color rgb="FF000000"/>
        <rFont val="Arial"/>
        <family val="2"/>
      </rPr>
      <t>.(2023).</t>
    </r>
    <r>
      <rPr>
        <sz val="10"/>
        <color rgb="FF000000"/>
        <rFont val="나눔고딕"/>
        <family val="3"/>
      </rPr>
      <t>전기</t>
    </r>
    <r>
      <rPr>
        <sz val="10"/>
        <color rgb="FF000000"/>
        <rFont val="Arial"/>
        <family val="2"/>
      </rPr>
      <t xml:space="preserve"> </t>
    </r>
    <r>
      <rPr>
        <sz val="10"/>
        <color rgb="FF000000"/>
        <rFont val="나눔고딕"/>
        <family val="3"/>
      </rPr>
      <t>자동차용</t>
    </r>
    <r>
      <rPr>
        <sz val="10"/>
        <color rgb="FF000000"/>
        <rFont val="Arial"/>
        <family val="2"/>
      </rPr>
      <t xml:space="preserve"> </t>
    </r>
    <r>
      <rPr>
        <sz val="10"/>
        <color rgb="FF000000"/>
        <rFont val="나눔고딕"/>
        <family val="3"/>
      </rPr>
      <t>폐배터리의</t>
    </r>
    <r>
      <rPr>
        <sz val="10"/>
        <color rgb="FF000000"/>
        <rFont val="Arial"/>
        <family val="2"/>
      </rPr>
      <t xml:space="preserve"> </t>
    </r>
    <r>
      <rPr>
        <sz val="10"/>
        <color rgb="FF000000"/>
        <rFont val="나눔고딕"/>
        <family val="3"/>
      </rPr>
      <t>처리</t>
    </r>
    <r>
      <rPr>
        <sz val="10"/>
        <color rgb="FF000000"/>
        <rFont val="Arial"/>
        <family val="2"/>
      </rPr>
      <t>(1.</t>
    </r>
    <r>
      <rPr>
        <sz val="10"/>
        <color rgb="FF000000"/>
        <rFont val="나눔고딕"/>
        <family val="3"/>
      </rPr>
      <t>재활용</t>
    </r>
    <r>
      <rPr>
        <sz val="10"/>
        <color rgb="FF000000"/>
        <rFont val="Arial"/>
        <family val="2"/>
      </rPr>
      <t>).</t>
    </r>
    <r>
      <rPr>
        <sz val="10"/>
        <color rgb="FF000000"/>
        <rFont val="나눔고딕"/>
        <family val="3"/>
      </rPr>
      <t>한국전지학회지</t>
    </r>
  </si>
  <si>
    <r>
      <t>GVC</t>
    </r>
    <r>
      <rPr>
        <sz val="10"/>
        <color rgb="FF000000"/>
        <rFont val="나눔고딕"/>
        <family val="3"/>
      </rPr>
      <t>산업분석</t>
    </r>
    <r>
      <rPr>
        <sz val="10"/>
        <color rgb="FF000000"/>
        <rFont val="Arial"/>
        <family val="2"/>
      </rPr>
      <t xml:space="preserve">TF </t>
    </r>
    <r>
      <rPr>
        <sz val="10"/>
        <color rgb="FF000000"/>
        <rFont val="나눔고딕"/>
        <family val="3"/>
      </rPr>
      <t>김희영</t>
    </r>
    <r>
      <rPr>
        <sz val="10"/>
        <color rgb="FF000000"/>
        <rFont val="Arial"/>
        <family val="2"/>
      </rPr>
      <t xml:space="preserve"> </t>
    </r>
    <r>
      <rPr>
        <sz val="10"/>
        <color rgb="FF000000"/>
        <rFont val="나눔고딕"/>
        <family val="3"/>
      </rPr>
      <t>연구위원</t>
    </r>
    <r>
      <rPr>
        <sz val="10"/>
        <color rgb="FF000000"/>
        <rFont val="Arial"/>
        <family val="2"/>
      </rPr>
      <t>. ”</t>
    </r>
    <r>
      <rPr>
        <sz val="10"/>
        <color rgb="FF000000"/>
        <rFont val="나눔고딕"/>
        <family val="3"/>
      </rPr>
      <t>전기차</t>
    </r>
    <r>
      <rPr>
        <sz val="10"/>
        <color rgb="FF000000"/>
        <rFont val="Arial"/>
        <family val="2"/>
      </rPr>
      <t xml:space="preserve"> </t>
    </r>
    <r>
      <rPr>
        <sz val="10"/>
        <color rgb="FF000000"/>
        <rFont val="나눔고딕"/>
        <family val="3"/>
      </rPr>
      <t>배터리</t>
    </r>
    <r>
      <rPr>
        <sz val="10"/>
        <color rgb="FF000000"/>
        <rFont val="Arial"/>
        <family val="2"/>
      </rPr>
      <t xml:space="preserve"> </t>
    </r>
    <r>
      <rPr>
        <sz val="10"/>
        <color rgb="FF000000"/>
        <rFont val="나눔고딕"/>
        <family val="3"/>
      </rPr>
      <t>재활용</t>
    </r>
    <r>
      <rPr>
        <sz val="10"/>
        <color rgb="FF000000"/>
        <rFont val="Arial"/>
        <family val="2"/>
      </rPr>
      <t xml:space="preserve"> </t>
    </r>
    <r>
      <rPr>
        <sz val="10"/>
        <color rgb="FF000000"/>
        <rFont val="나눔고딕"/>
        <family val="3"/>
      </rPr>
      <t>산업</t>
    </r>
    <r>
      <rPr>
        <sz val="10"/>
        <color rgb="FF000000"/>
        <rFont val="Arial"/>
        <family val="2"/>
      </rPr>
      <t xml:space="preserve"> </t>
    </r>
    <r>
      <rPr>
        <sz val="10"/>
        <color rgb="FF000000"/>
        <rFont val="나눔고딕"/>
        <family val="3"/>
      </rPr>
      <t>동향</t>
    </r>
    <r>
      <rPr>
        <sz val="10"/>
        <color rgb="FF000000"/>
        <rFont val="Arial"/>
        <family val="2"/>
      </rPr>
      <t xml:space="preserve"> </t>
    </r>
    <r>
      <rPr>
        <sz val="10"/>
        <color rgb="FF000000"/>
        <rFont val="나눔고딕"/>
        <family val="3"/>
      </rPr>
      <t>및</t>
    </r>
    <r>
      <rPr>
        <sz val="10"/>
        <color rgb="FF000000"/>
        <rFont val="Arial"/>
        <family val="2"/>
      </rPr>
      <t xml:space="preserve"> </t>
    </r>
    <r>
      <rPr>
        <sz val="10"/>
        <color rgb="FF000000"/>
        <rFont val="나눔고딕"/>
        <family val="3"/>
      </rPr>
      <t>시사점</t>
    </r>
    <r>
      <rPr>
        <sz val="10"/>
        <color rgb="FF000000"/>
        <rFont val="Arial"/>
        <family val="2"/>
      </rPr>
      <t xml:space="preserve">: </t>
    </r>
    <r>
      <rPr>
        <sz val="10"/>
        <color rgb="FF000000"/>
        <rFont val="나눔고딕"/>
        <family val="3"/>
      </rPr>
      <t>중국</t>
    </r>
    <r>
      <rPr>
        <sz val="10"/>
        <color rgb="FF000000"/>
        <rFont val="Arial"/>
        <family val="2"/>
      </rPr>
      <t xml:space="preserve"> </t>
    </r>
    <r>
      <rPr>
        <sz val="10"/>
        <color rgb="FF000000"/>
        <rFont val="나눔고딕"/>
        <family val="3"/>
      </rPr>
      <t>사례</t>
    </r>
    <r>
      <rPr>
        <sz val="10"/>
        <color rgb="FF000000"/>
        <rFont val="Arial"/>
        <family val="2"/>
      </rPr>
      <t xml:space="preserve"> </t>
    </r>
    <r>
      <rPr>
        <sz val="10"/>
        <color rgb="FF000000"/>
        <rFont val="나눔고딕"/>
        <family val="3"/>
      </rPr>
      <t>중심으로</t>
    </r>
    <r>
      <rPr>
        <sz val="10"/>
        <color rgb="FF000000"/>
        <rFont val="Arial"/>
        <family val="2"/>
      </rPr>
      <t xml:space="preserve">”. </t>
    </r>
    <r>
      <rPr>
        <sz val="10"/>
        <color rgb="FF000000"/>
        <rFont val="나눔고딕"/>
        <family val="3"/>
      </rPr>
      <t>한국무엽협회</t>
    </r>
    <r>
      <rPr>
        <sz val="10"/>
        <color rgb="FF000000"/>
        <rFont val="Arial"/>
        <family val="2"/>
      </rPr>
      <t xml:space="preserve"> </t>
    </r>
    <r>
      <rPr>
        <sz val="10"/>
        <color rgb="FF000000"/>
        <rFont val="나눔고딕"/>
        <family val="3"/>
      </rPr>
      <t>국제무역통상연구원</t>
    </r>
  </si>
  <si>
    <r>
      <rPr>
        <sz val="10"/>
        <color rgb="FF000000"/>
        <rFont val="나눔고딕"/>
        <family val="3"/>
      </rPr>
      <t>폐</t>
    </r>
    <r>
      <rPr>
        <sz val="10"/>
        <color rgb="FF000000"/>
        <rFont val="Arial"/>
        <family val="2"/>
      </rPr>
      <t xml:space="preserve"> </t>
    </r>
    <r>
      <rPr>
        <sz val="10"/>
        <color rgb="FF000000"/>
        <rFont val="나눔고딕"/>
        <family val="3"/>
      </rPr>
      <t>리튬이온</t>
    </r>
    <r>
      <rPr>
        <sz val="10"/>
        <color rgb="FF000000"/>
        <rFont val="Arial"/>
        <family val="2"/>
      </rPr>
      <t xml:space="preserve"> 2</t>
    </r>
    <r>
      <rPr>
        <sz val="10"/>
        <color rgb="FF000000"/>
        <rFont val="나눔고딕"/>
        <family val="3"/>
      </rPr>
      <t>차전지의</t>
    </r>
    <r>
      <rPr>
        <sz val="10"/>
        <color rgb="FF000000"/>
        <rFont val="Arial"/>
        <family val="2"/>
      </rPr>
      <t xml:space="preserve"> </t>
    </r>
    <r>
      <rPr>
        <sz val="10"/>
        <color rgb="FF000000"/>
        <rFont val="나눔고딕"/>
        <family val="3"/>
      </rPr>
      <t>양극재로부터</t>
    </r>
    <r>
      <rPr>
        <sz val="10"/>
        <color rgb="FF000000"/>
        <rFont val="Arial"/>
        <family val="2"/>
      </rPr>
      <t xml:space="preserve"> </t>
    </r>
    <r>
      <rPr>
        <sz val="10"/>
        <color rgb="FF000000"/>
        <rFont val="나눔고딕"/>
        <family val="3"/>
      </rPr>
      <t>리튬을</t>
    </r>
    <r>
      <rPr>
        <sz val="10"/>
        <color rgb="FF000000"/>
        <rFont val="Arial"/>
        <family val="2"/>
      </rPr>
      <t xml:space="preserve"> </t>
    </r>
    <r>
      <rPr>
        <sz val="10"/>
        <color rgb="FF000000"/>
        <rFont val="나눔고딕"/>
        <family val="3"/>
      </rPr>
      <t>회수하여</t>
    </r>
    <r>
      <rPr>
        <sz val="10"/>
        <color rgb="FF000000"/>
        <rFont val="Arial"/>
        <family val="2"/>
      </rPr>
      <t xml:space="preserve"> </t>
    </r>
    <r>
      <rPr>
        <sz val="10"/>
        <color rgb="FF000000"/>
        <rFont val="나눔고딕"/>
        <family val="3"/>
      </rPr>
      <t>고순도</t>
    </r>
    <r>
      <rPr>
        <sz val="10"/>
        <color rgb="FF000000"/>
        <rFont val="Arial"/>
        <family val="2"/>
      </rPr>
      <t xml:space="preserve"> </t>
    </r>
    <r>
      <rPr>
        <sz val="10"/>
        <color rgb="FF000000"/>
        <rFont val="나눔고딕"/>
        <family val="3"/>
      </rPr>
      <t>탄산리튬을</t>
    </r>
    <r>
      <rPr>
        <sz val="10"/>
        <color rgb="FF000000"/>
        <rFont val="Arial"/>
        <family val="2"/>
      </rPr>
      <t xml:space="preserve"> </t>
    </r>
    <r>
      <rPr>
        <sz val="10"/>
        <color rgb="FF000000"/>
        <rFont val="나눔고딕"/>
        <family val="3"/>
      </rPr>
      <t>제조하는</t>
    </r>
    <r>
      <rPr>
        <sz val="10"/>
        <color rgb="FF000000"/>
        <rFont val="Arial"/>
        <family val="2"/>
      </rPr>
      <t xml:space="preserve"> </t>
    </r>
    <r>
      <rPr>
        <sz val="10"/>
        <color rgb="FF000000"/>
        <rFont val="나눔고딕"/>
        <family val="3"/>
      </rPr>
      <t>방법</t>
    </r>
    <r>
      <rPr>
        <sz val="10"/>
        <color rgb="FF000000"/>
        <rFont val="Arial"/>
        <family val="2"/>
      </rPr>
      <t>_</t>
    </r>
    <r>
      <rPr>
        <sz val="10"/>
        <color rgb="FF000000"/>
        <rFont val="나눔고딕"/>
        <family val="3"/>
      </rPr>
      <t>특허</t>
    </r>
  </si>
  <si>
    <r>
      <rPr>
        <sz val="10"/>
        <color rgb="FF000000"/>
        <rFont val="나눔고딕"/>
        <family val="3"/>
      </rPr>
      <t>박상영</t>
    </r>
    <r>
      <rPr>
        <sz val="10"/>
        <color rgb="FF000000"/>
        <rFont val="Arial"/>
        <family val="2"/>
      </rPr>
      <t>, ‘</t>
    </r>
    <r>
      <rPr>
        <sz val="10"/>
        <color rgb="FF000000"/>
        <rFont val="나눔고딕"/>
        <family val="3"/>
      </rPr>
      <t>도시광산</t>
    </r>
    <r>
      <rPr>
        <sz val="10"/>
        <color rgb="FF000000"/>
        <rFont val="Arial"/>
        <family val="2"/>
      </rPr>
      <t xml:space="preserve">’ </t>
    </r>
    <r>
      <rPr>
        <sz val="10"/>
        <color rgb="FF000000"/>
        <rFont val="나눔고딕"/>
        <family val="3"/>
      </rPr>
      <t>폐배터리</t>
    </r>
    <r>
      <rPr>
        <sz val="10"/>
        <color rgb="FF000000"/>
        <rFont val="Arial"/>
        <family val="2"/>
      </rPr>
      <t xml:space="preserve"> </t>
    </r>
    <r>
      <rPr>
        <sz val="10"/>
        <color rgb="FF000000"/>
        <rFont val="나눔고딕"/>
        <family val="3"/>
      </rPr>
      <t>재활용</t>
    </r>
    <r>
      <rPr>
        <sz val="10"/>
        <color rgb="FF000000"/>
        <rFont val="Arial"/>
        <family val="2"/>
      </rPr>
      <t>···2045</t>
    </r>
    <r>
      <rPr>
        <sz val="10"/>
        <color rgb="FF000000"/>
        <rFont val="나눔고딕"/>
        <family val="3"/>
      </rPr>
      <t>년에는</t>
    </r>
    <r>
      <rPr>
        <sz val="10"/>
        <color rgb="FF000000"/>
        <rFont val="Arial"/>
        <family val="2"/>
      </rPr>
      <t xml:space="preserve"> </t>
    </r>
    <r>
      <rPr>
        <sz val="10"/>
        <color rgb="FF000000"/>
        <rFont val="나눔고딕"/>
        <family val="3"/>
      </rPr>
      <t>수산화리튬</t>
    </r>
    <r>
      <rPr>
        <sz val="10"/>
        <color rgb="FF000000"/>
        <rFont val="Arial"/>
        <family val="2"/>
      </rPr>
      <t xml:space="preserve"> 2</t>
    </r>
    <r>
      <rPr>
        <sz val="10"/>
        <color rgb="FF000000"/>
        <rFont val="나눔고딕"/>
        <family val="3"/>
      </rPr>
      <t>만</t>
    </r>
    <r>
      <rPr>
        <sz val="10"/>
        <color rgb="FF000000"/>
        <rFont val="Arial"/>
        <family val="2"/>
      </rPr>
      <t xml:space="preserve">t </t>
    </r>
    <r>
      <rPr>
        <sz val="10"/>
        <color rgb="FF000000"/>
        <rFont val="나눔고딕"/>
        <family val="3"/>
      </rPr>
      <t>확보</t>
    </r>
    <r>
      <rPr>
        <sz val="10"/>
        <color rgb="FF000000"/>
        <rFont val="Arial"/>
        <family val="2"/>
      </rPr>
      <t>, 2023.03.23.</t>
    </r>
  </si>
  <si>
    <r>
      <rPr>
        <sz val="10"/>
        <color rgb="FF000000"/>
        <rFont val="나눔고딕"/>
        <family val="3"/>
      </rPr>
      <t>리튬</t>
    </r>
    <r>
      <rPr>
        <sz val="10"/>
        <color rgb="FF000000"/>
        <rFont val="Arial"/>
        <family val="2"/>
      </rPr>
      <t xml:space="preserve"> </t>
    </r>
    <r>
      <rPr>
        <sz val="10"/>
        <color rgb="FF000000"/>
        <rFont val="나눔고딕"/>
        <family val="3"/>
      </rPr>
      <t>이온</t>
    </r>
    <r>
      <rPr>
        <sz val="10"/>
        <color rgb="FF000000"/>
        <rFont val="Arial"/>
        <family val="2"/>
      </rPr>
      <t xml:space="preserve"> </t>
    </r>
    <r>
      <rPr>
        <sz val="10"/>
        <color rgb="FF000000"/>
        <rFont val="나눔고딕"/>
        <family val="3"/>
      </rPr>
      <t>배터리</t>
    </r>
    <r>
      <rPr>
        <sz val="10"/>
        <color rgb="FF000000"/>
        <rFont val="Arial"/>
        <family val="2"/>
      </rPr>
      <t xml:space="preserve"> </t>
    </r>
    <r>
      <rPr>
        <sz val="10"/>
        <color rgb="FF000000"/>
        <rFont val="나눔고딕"/>
        <family val="3"/>
      </rPr>
      <t>재활용</t>
    </r>
    <r>
      <rPr>
        <sz val="10"/>
        <color rgb="FF000000"/>
        <rFont val="Arial"/>
        <family val="2"/>
      </rPr>
      <t xml:space="preserve">, </t>
    </r>
    <r>
      <rPr>
        <sz val="10"/>
        <color rgb="FF000000"/>
        <rFont val="나눔고딕"/>
        <family val="3"/>
      </rPr>
      <t>한국과학기술정보연구원</t>
    </r>
    <r>
      <rPr>
        <sz val="10"/>
        <color rgb="FF000000"/>
        <rFont val="Arial"/>
        <family val="2"/>
      </rPr>
      <t xml:space="preserve">, </t>
    </r>
    <r>
      <rPr>
        <sz val="10"/>
        <color rgb="FF000000"/>
        <rFont val="나눔고딕"/>
        <family val="3"/>
      </rPr>
      <t>전문연구위원</t>
    </r>
    <r>
      <rPr>
        <sz val="10"/>
        <color rgb="FF000000"/>
        <rFont val="Arial"/>
        <family val="2"/>
      </rPr>
      <t xml:space="preserve"> </t>
    </r>
    <r>
      <rPr>
        <sz val="10"/>
        <color rgb="FF000000"/>
        <rFont val="나눔고딕"/>
        <family val="3"/>
      </rPr>
      <t>김성호</t>
    </r>
  </si>
  <si>
    <r>
      <rPr>
        <sz val="10"/>
        <color rgb="FF000000"/>
        <rFont val="나눔고딕"/>
        <family val="3"/>
      </rPr>
      <t>리튬이차전지</t>
    </r>
    <r>
      <rPr>
        <sz val="10"/>
        <color rgb="FF000000"/>
        <rFont val="Arial"/>
        <family val="2"/>
      </rPr>
      <t xml:space="preserve"> </t>
    </r>
    <r>
      <rPr>
        <sz val="10"/>
        <color rgb="FF000000"/>
        <rFont val="나눔고딕"/>
        <family val="3"/>
      </rPr>
      <t>재활용</t>
    </r>
    <r>
      <rPr>
        <sz val="10"/>
        <color rgb="FF000000"/>
        <rFont val="Arial"/>
        <family val="2"/>
      </rPr>
      <t xml:space="preserve"> </t>
    </r>
    <r>
      <rPr>
        <sz val="10"/>
        <color rgb="FF000000"/>
        <rFont val="나눔고딕"/>
        <family val="3"/>
      </rPr>
      <t>기술동향</t>
    </r>
    <r>
      <rPr>
        <sz val="10"/>
        <color rgb="FF000000"/>
        <rFont val="Arial"/>
        <family val="2"/>
      </rPr>
      <t xml:space="preserve">, </t>
    </r>
    <r>
      <rPr>
        <sz val="10"/>
        <color rgb="FF000000"/>
        <rFont val="나눔고딕"/>
        <family val="3"/>
      </rPr>
      <t>손정수</t>
    </r>
    <r>
      <rPr>
        <sz val="10"/>
        <color rgb="FF000000"/>
        <rFont val="Arial"/>
        <family val="2"/>
      </rPr>
      <t xml:space="preserve">, </t>
    </r>
    <r>
      <rPr>
        <sz val="10"/>
        <color rgb="FF000000"/>
        <rFont val="나눔고딕"/>
        <family val="3"/>
      </rPr>
      <t>한국지질자원연구원</t>
    </r>
  </si>
  <si>
    <r>
      <rPr>
        <sz val="10"/>
        <color rgb="FF000000"/>
        <rFont val="나눔고딕"/>
        <family val="3"/>
      </rPr>
      <t>폐리튬이차전지에서</t>
    </r>
    <r>
      <rPr>
        <sz val="10"/>
        <color rgb="FF000000"/>
        <rFont val="Arial"/>
        <family val="2"/>
      </rPr>
      <t xml:space="preserve"> </t>
    </r>
    <r>
      <rPr>
        <sz val="10"/>
        <color rgb="FF000000"/>
        <rFont val="나눔고딕"/>
        <family val="3"/>
      </rPr>
      <t>회수한</t>
    </r>
    <r>
      <rPr>
        <sz val="10"/>
        <color rgb="FF000000"/>
        <rFont val="Arial"/>
        <family val="2"/>
      </rPr>
      <t xml:space="preserve"> </t>
    </r>
    <r>
      <rPr>
        <sz val="10"/>
        <color rgb="FF000000"/>
        <rFont val="나눔고딕"/>
        <family val="3"/>
      </rPr>
      <t>탄산리튬으로부터</t>
    </r>
    <r>
      <rPr>
        <sz val="10"/>
        <color rgb="FF000000"/>
        <rFont val="Arial"/>
        <family val="2"/>
      </rPr>
      <t xml:space="preserve"> 2-step </t>
    </r>
    <r>
      <rPr>
        <sz val="10"/>
        <color rgb="FF000000"/>
        <rFont val="나눔고딕"/>
        <family val="3"/>
      </rPr>
      <t>침전공정을</t>
    </r>
    <r>
      <rPr>
        <sz val="10"/>
        <color rgb="FF000000"/>
        <rFont val="Arial"/>
        <family val="2"/>
      </rPr>
      <t xml:space="preserve"> </t>
    </r>
    <r>
      <rPr>
        <sz val="10"/>
        <color rgb="FF000000"/>
        <rFont val="나눔고딕"/>
        <family val="3"/>
      </rPr>
      <t>이용한</t>
    </r>
    <r>
      <rPr>
        <sz val="10"/>
        <color rgb="FF000000"/>
        <rFont val="Arial"/>
        <family val="2"/>
      </rPr>
      <t xml:space="preserve"> </t>
    </r>
    <r>
      <rPr>
        <sz val="10"/>
        <color rgb="FF000000"/>
        <rFont val="나눔고딕"/>
        <family val="3"/>
      </rPr>
      <t>고순도</t>
    </r>
    <r>
      <rPr>
        <sz val="10"/>
        <color rgb="FF000000"/>
        <rFont val="Arial"/>
        <family val="2"/>
      </rPr>
      <t xml:space="preserve"> </t>
    </r>
    <r>
      <rPr>
        <sz val="10"/>
        <color rgb="FF000000"/>
        <rFont val="나눔고딕"/>
        <family val="3"/>
      </rPr>
      <t>수산화리튬</t>
    </r>
    <r>
      <rPr>
        <sz val="10"/>
        <color rgb="FF000000"/>
        <rFont val="Arial"/>
        <family val="2"/>
      </rPr>
      <t xml:space="preserve"> </t>
    </r>
    <r>
      <rPr>
        <sz val="10"/>
        <color rgb="FF000000"/>
        <rFont val="나눔고딕"/>
        <family val="3"/>
      </rPr>
      <t>분말</t>
    </r>
    <r>
      <rPr>
        <sz val="10"/>
        <color rgb="FF000000"/>
        <rFont val="Arial"/>
        <family val="2"/>
      </rPr>
      <t xml:space="preserve"> </t>
    </r>
    <r>
      <rPr>
        <sz val="10"/>
        <color rgb="FF000000"/>
        <rFont val="나눔고딕"/>
        <family val="3"/>
      </rPr>
      <t>제조</t>
    </r>
    <r>
      <rPr>
        <sz val="10"/>
        <color rgb="FF000000"/>
        <rFont val="Arial"/>
        <family val="2"/>
      </rPr>
      <t xml:space="preserve"> </t>
    </r>
    <r>
      <rPr>
        <sz val="10"/>
        <color rgb="FF000000"/>
        <rFont val="나눔고딕"/>
        <family val="3"/>
      </rPr>
      <t>연구</t>
    </r>
    <r>
      <rPr>
        <sz val="10"/>
        <color rgb="FF000000"/>
        <rFont val="Arial"/>
        <family val="2"/>
      </rPr>
      <t xml:space="preserve">, </t>
    </r>
    <r>
      <rPr>
        <sz val="10"/>
        <color rgb="FF000000"/>
        <rFont val="나눔고딕"/>
        <family val="3"/>
      </rPr>
      <t>주소영</t>
    </r>
    <r>
      <rPr>
        <sz val="10"/>
        <color rgb="FF000000"/>
        <rFont val="Arial"/>
        <family val="2"/>
      </rPr>
      <t xml:space="preserve">, </t>
    </r>
    <r>
      <rPr>
        <sz val="10"/>
        <color rgb="FF000000"/>
        <rFont val="나눔고딕"/>
        <family val="3"/>
      </rPr>
      <t>강유빈</t>
    </r>
    <r>
      <rPr>
        <sz val="10"/>
        <color rgb="FF000000"/>
        <rFont val="Arial"/>
        <family val="2"/>
      </rPr>
      <t xml:space="preserve">, </t>
    </r>
    <r>
      <rPr>
        <sz val="10"/>
        <color rgb="FF000000"/>
        <rFont val="나눔고딕"/>
        <family val="3"/>
      </rPr>
      <t>심현우</t>
    </r>
    <r>
      <rPr>
        <sz val="10"/>
        <color rgb="FF000000"/>
        <rFont val="Arial"/>
        <family val="2"/>
      </rPr>
      <t xml:space="preserve">, </t>
    </r>
    <r>
      <rPr>
        <sz val="10"/>
        <color rgb="FF000000"/>
        <rFont val="나눔고딕"/>
        <family val="3"/>
      </rPr>
      <t>변석현</t>
    </r>
    <r>
      <rPr>
        <sz val="10"/>
        <color rgb="FF000000"/>
        <rFont val="Arial"/>
        <family val="2"/>
      </rPr>
      <t xml:space="preserve">, </t>
    </r>
    <r>
      <rPr>
        <sz val="10"/>
        <color rgb="FF000000"/>
        <rFont val="나눔고딕"/>
        <family val="3"/>
      </rPr>
      <t>김용환</t>
    </r>
    <r>
      <rPr>
        <sz val="10"/>
        <color rgb="FF000000"/>
        <rFont val="Arial"/>
        <family val="2"/>
      </rPr>
      <t xml:space="preserve">, </t>
    </r>
    <r>
      <rPr>
        <sz val="10"/>
        <color rgb="FF000000"/>
        <rFont val="나눔고딕"/>
        <family val="3"/>
      </rPr>
      <t>이찬기</t>
    </r>
    <r>
      <rPr>
        <sz val="10"/>
        <color rgb="FF000000"/>
        <rFont val="Arial"/>
        <family val="2"/>
      </rPr>
      <t xml:space="preserve">, </t>
    </r>
    <r>
      <rPr>
        <sz val="10"/>
        <color rgb="FF000000"/>
        <rFont val="나눔고딕"/>
        <family val="3"/>
      </rPr>
      <t>김대근</t>
    </r>
    <r>
      <rPr>
        <sz val="10"/>
        <color rgb="FF000000"/>
        <rFont val="Arial"/>
        <family val="2"/>
      </rPr>
      <t xml:space="preserve">, </t>
    </r>
    <r>
      <rPr>
        <sz val="10"/>
        <color rgb="FF000000"/>
        <rFont val="나눔고딕"/>
        <family val="3"/>
      </rPr>
      <t>고등기술연구원</t>
    </r>
    <r>
      <rPr>
        <sz val="10"/>
        <color rgb="FF000000"/>
        <rFont val="Arial"/>
        <family val="2"/>
      </rPr>
      <t xml:space="preserve"> </t>
    </r>
    <r>
      <rPr>
        <sz val="10"/>
        <color rgb="FF000000"/>
        <rFont val="나눔고딕"/>
        <family val="3"/>
      </rPr>
      <t>융합소재공정센터</t>
    </r>
    <r>
      <rPr>
        <sz val="10"/>
        <color rgb="FF000000"/>
        <rFont val="Arial"/>
        <family val="2"/>
      </rPr>
      <t xml:space="preserve">, </t>
    </r>
    <r>
      <rPr>
        <sz val="10"/>
        <color rgb="FF000000"/>
        <rFont val="나눔고딕"/>
        <family val="3"/>
      </rPr>
      <t>성일하이텍㈜</t>
    </r>
    <r>
      <rPr>
        <sz val="10"/>
        <color rgb="FF000000"/>
        <rFont val="Arial"/>
        <family val="2"/>
      </rPr>
      <t xml:space="preserve"> </t>
    </r>
    <r>
      <rPr>
        <sz val="10"/>
        <color rgb="FF000000"/>
        <rFont val="나눔고딕"/>
        <family val="3"/>
      </rPr>
      <t>부설연구소</t>
    </r>
    <r>
      <rPr>
        <sz val="10"/>
        <color rgb="FF000000"/>
        <rFont val="Arial"/>
        <family val="2"/>
      </rPr>
      <t xml:space="preserve">, </t>
    </r>
    <r>
      <rPr>
        <sz val="10"/>
        <color rgb="FF000000"/>
        <rFont val="나눔고딕"/>
        <family val="3"/>
      </rPr>
      <t>한국생산기술연구원</t>
    </r>
    <r>
      <rPr>
        <sz val="10"/>
        <color rgb="FF000000"/>
        <rFont val="Arial"/>
        <family val="2"/>
      </rPr>
      <t xml:space="preserve"> </t>
    </r>
    <r>
      <rPr>
        <sz val="10"/>
        <color rgb="FF000000"/>
        <rFont val="나눔고딕"/>
        <family val="3"/>
      </rPr>
      <t>뿌리산업기술연구소</t>
    </r>
  </si>
  <si>
    <r>
      <rPr>
        <sz val="10"/>
        <color rgb="FF000000"/>
        <rFont val="나눔고딕"/>
        <family val="3"/>
      </rPr>
      <t>이원석</t>
    </r>
    <r>
      <rPr>
        <sz val="10"/>
        <color rgb="FF000000"/>
        <rFont val="Arial"/>
        <family val="2"/>
      </rPr>
      <t>,</t>
    </r>
    <r>
      <rPr>
        <sz val="10"/>
        <color rgb="FF000000"/>
        <rFont val="나눔고딕"/>
        <family val="3"/>
      </rPr>
      <t>김영민</t>
    </r>
    <r>
      <rPr>
        <sz val="10"/>
        <color rgb="FF000000"/>
        <rFont val="Arial"/>
        <family val="2"/>
      </rPr>
      <t>,</t>
    </r>
    <r>
      <rPr>
        <sz val="10"/>
        <color rgb="FF000000"/>
        <rFont val="나눔고딕"/>
        <family val="3"/>
      </rPr>
      <t>신영재</t>
    </r>
    <r>
      <rPr>
        <sz val="10"/>
        <color rgb="FF000000"/>
        <rFont val="Arial"/>
        <family val="2"/>
      </rPr>
      <t>,</t>
    </r>
    <r>
      <rPr>
        <sz val="10"/>
        <color rgb="FF000000"/>
        <rFont val="나눔고딕"/>
        <family val="3"/>
      </rPr>
      <t>왕지훈</t>
    </r>
    <r>
      <rPr>
        <sz val="10"/>
        <color rgb="FF000000"/>
        <rFont val="Arial"/>
        <family val="2"/>
      </rPr>
      <t>,</t>
    </r>
    <r>
      <rPr>
        <sz val="10"/>
        <color rgb="FF000000"/>
        <rFont val="나눔고딕"/>
        <family val="3"/>
      </rPr>
      <t>문상호</t>
    </r>
    <r>
      <rPr>
        <sz val="10"/>
        <color rgb="FF000000"/>
        <rFont val="Arial"/>
        <family val="2"/>
      </rPr>
      <t>,</t>
    </r>
    <r>
      <rPr>
        <sz val="10"/>
        <color rgb="FF000000"/>
        <rFont val="나눔고딕"/>
        <family val="3"/>
      </rPr>
      <t>박희준</t>
    </r>
    <r>
      <rPr>
        <sz val="10"/>
        <color rgb="FF000000"/>
        <rFont val="Arial"/>
        <family val="2"/>
      </rPr>
      <t>,</t>
    </r>
    <r>
      <rPr>
        <sz val="10"/>
        <color rgb="FF000000"/>
        <rFont val="나눔고딕"/>
        <family val="3"/>
      </rPr>
      <t>장성진</t>
    </r>
    <r>
      <rPr>
        <sz val="10"/>
        <color rgb="FF000000"/>
        <rFont val="Arial"/>
        <family val="2"/>
      </rPr>
      <t xml:space="preserve">,and </t>
    </r>
    <r>
      <rPr>
        <sz val="10"/>
        <color rgb="FF000000"/>
        <rFont val="나눔고딕"/>
        <family val="3"/>
      </rPr>
      <t>권오광</t>
    </r>
    <r>
      <rPr>
        <sz val="10"/>
        <color rgb="FF000000"/>
        <rFont val="Arial"/>
        <family val="2"/>
      </rPr>
      <t>. "</t>
    </r>
    <r>
      <rPr>
        <sz val="10"/>
        <color rgb="FF000000"/>
        <rFont val="나눔고딕"/>
        <family val="3"/>
      </rPr>
      <t>국가</t>
    </r>
    <r>
      <rPr>
        <sz val="10"/>
        <color rgb="FF000000"/>
        <rFont val="Arial"/>
        <family val="2"/>
      </rPr>
      <t xml:space="preserve"> </t>
    </r>
    <r>
      <rPr>
        <sz val="10"/>
        <color rgb="FF000000"/>
        <rFont val="나눔고딕"/>
        <family val="3"/>
      </rPr>
      <t>수소공급</t>
    </r>
    <r>
      <rPr>
        <sz val="10"/>
        <color rgb="FF000000"/>
        <rFont val="Arial"/>
        <family val="2"/>
      </rPr>
      <t xml:space="preserve"> </t>
    </r>
    <r>
      <rPr>
        <sz val="10"/>
        <color rgb="FF000000"/>
        <rFont val="나눔고딕"/>
        <family val="3"/>
      </rPr>
      <t>인프라</t>
    </r>
    <r>
      <rPr>
        <sz val="10"/>
        <color rgb="FF000000"/>
        <rFont val="Arial"/>
        <family val="2"/>
      </rPr>
      <t xml:space="preserve"> </t>
    </r>
    <r>
      <rPr>
        <sz val="10"/>
        <color rgb="FF000000"/>
        <rFont val="나눔고딕"/>
        <family val="3"/>
      </rPr>
      <t>구축을</t>
    </r>
    <r>
      <rPr>
        <sz val="10"/>
        <color rgb="FF000000"/>
        <rFont val="Arial"/>
        <family val="2"/>
      </rPr>
      <t xml:space="preserve"> </t>
    </r>
    <r>
      <rPr>
        <sz val="10"/>
        <color rgb="FF000000"/>
        <rFont val="나눔고딕"/>
        <family val="3"/>
      </rPr>
      <t>위한</t>
    </r>
    <r>
      <rPr>
        <sz val="10"/>
        <color rgb="FF000000"/>
        <rFont val="Arial"/>
        <family val="2"/>
      </rPr>
      <t xml:space="preserve"> </t>
    </r>
    <r>
      <rPr>
        <sz val="10"/>
        <color rgb="FF000000"/>
        <rFont val="나눔고딕"/>
        <family val="3"/>
      </rPr>
      <t>블루수소의</t>
    </r>
    <r>
      <rPr>
        <sz val="10"/>
        <color rgb="FF000000"/>
        <rFont val="Arial"/>
        <family val="2"/>
      </rPr>
      <t xml:space="preserve"> </t>
    </r>
    <r>
      <rPr>
        <sz val="10"/>
        <color rgb="FF000000"/>
        <rFont val="나눔고딕"/>
        <family val="3"/>
      </rPr>
      <t>역할</t>
    </r>
    <r>
      <rPr>
        <sz val="10"/>
        <color rgb="FF000000"/>
        <rFont val="Arial"/>
        <family val="2"/>
      </rPr>
      <t xml:space="preserve">." </t>
    </r>
    <r>
      <rPr>
        <sz val="10"/>
        <color rgb="FF000000"/>
        <rFont val="나눔고딕"/>
        <family val="3"/>
      </rPr>
      <t>한국자원공학회지</t>
    </r>
    <r>
      <rPr>
        <sz val="10"/>
        <color rgb="FF000000"/>
        <rFont val="Arial"/>
        <family val="2"/>
      </rPr>
      <t xml:space="preserve"> 58.5 (2021): 503-520.</t>
    </r>
  </si>
  <si>
    <r>
      <t>“</t>
    </r>
    <r>
      <rPr>
        <sz val="10"/>
        <color rgb="FF000000"/>
        <rFont val="나눔고딕"/>
        <family val="3"/>
        <charset val="129"/>
      </rPr>
      <t>요금</t>
    </r>
    <r>
      <rPr>
        <sz val="10"/>
        <color rgb="FF000000"/>
        <rFont val="Arial"/>
        <family val="2"/>
      </rPr>
      <t xml:space="preserve"> </t>
    </r>
    <r>
      <rPr>
        <sz val="10"/>
        <color rgb="FF000000"/>
        <rFont val="나눔고딕"/>
        <family val="3"/>
        <charset val="129"/>
      </rPr>
      <t>단가표</t>
    </r>
    <r>
      <rPr>
        <sz val="10"/>
        <color rgb="FF000000"/>
        <rFont val="Arial"/>
        <family val="2"/>
      </rPr>
      <t xml:space="preserve">”. CNCITY </t>
    </r>
    <r>
      <rPr>
        <sz val="10"/>
        <color rgb="FF000000"/>
        <rFont val="나눔고딕"/>
        <family val="3"/>
        <charset val="129"/>
      </rPr>
      <t>에너지</t>
    </r>
    <r>
      <rPr>
        <sz val="10"/>
        <color rgb="FF000000"/>
        <rFont val="Arial"/>
        <family val="2"/>
      </rPr>
      <t>. https://www.cncityenergy.com/jsp/customer/chargeInfoGas.jsp</t>
    </r>
  </si>
  <si>
    <r>
      <t>“</t>
    </r>
    <r>
      <rPr>
        <sz val="10"/>
        <color rgb="FF000000"/>
        <rFont val="나눔고딕"/>
        <family val="3"/>
      </rPr>
      <t>요금</t>
    </r>
    <r>
      <rPr>
        <sz val="10"/>
        <color rgb="FF000000"/>
        <rFont val="Arial"/>
        <family val="2"/>
      </rPr>
      <t xml:space="preserve"> </t>
    </r>
    <r>
      <rPr>
        <sz val="10"/>
        <color rgb="FF000000"/>
        <rFont val="나눔고딕"/>
        <family val="3"/>
      </rPr>
      <t>단가</t>
    </r>
    <r>
      <rPr>
        <sz val="10"/>
        <color rgb="FF000000"/>
        <rFont val="Arial"/>
        <family val="2"/>
      </rPr>
      <t xml:space="preserve">”. </t>
    </r>
    <r>
      <rPr>
        <sz val="10"/>
        <color rgb="FF000000"/>
        <rFont val="나눔고딕"/>
        <family val="3"/>
      </rPr>
      <t>한국수자원공사</t>
    </r>
    <r>
      <rPr>
        <sz val="10"/>
        <color rgb="FF000000"/>
        <rFont val="Arial"/>
        <family val="2"/>
      </rPr>
      <t>. https://www.kwater.or.kr/cust/sub04/sub01/char/char04Page.do?s_mid=1966</t>
    </r>
  </si>
  <si>
    <r>
      <rPr>
        <sz val="10"/>
        <color rgb="FF000000"/>
        <rFont val="나눔고딕"/>
        <family val="3"/>
      </rPr>
      <t>한국에너지기술연구원</t>
    </r>
    <r>
      <rPr>
        <sz val="10"/>
        <color rgb="FF000000"/>
        <rFont val="Arial"/>
        <family val="2"/>
      </rPr>
      <t>. https://www.kier.re.kr/main</t>
    </r>
  </si>
  <si>
    <r>
      <rPr>
        <sz val="10"/>
        <color rgb="FF000000"/>
        <rFont val="나눔고딕"/>
        <family val="3"/>
        <charset val="129"/>
      </rPr>
      <t>한국에너지공단</t>
    </r>
    <r>
      <rPr>
        <sz val="10"/>
        <color rgb="FF000000"/>
        <rFont val="Arial"/>
        <family val="2"/>
      </rPr>
      <t xml:space="preserve">, 2020 </t>
    </r>
    <r>
      <rPr>
        <sz val="10"/>
        <color rgb="FF000000"/>
        <rFont val="나눔고딕"/>
        <family val="3"/>
        <charset val="129"/>
      </rPr>
      <t>신재생</t>
    </r>
    <r>
      <rPr>
        <sz val="10"/>
        <color rgb="FF000000"/>
        <rFont val="Arial"/>
        <family val="2"/>
      </rPr>
      <t xml:space="preserve"> </t>
    </r>
    <r>
      <rPr>
        <sz val="10"/>
        <color rgb="FF000000"/>
        <rFont val="나눔고딕"/>
        <family val="3"/>
        <charset val="129"/>
      </rPr>
      <t>에너지백서</t>
    </r>
  </si>
  <si>
    <r>
      <rPr>
        <sz val="11"/>
        <color rgb="FF000000"/>
        <rFont val="맑은 고딕"/>
        <family val="2"/>
      </rPr>
      <t>△</t>
    </r>
    <r>
      <rPr>
        <sz val="11"/>
        <color rgb="FF000000"/>
        <rFont val="Arial"/>
        <family val="2"/>
      </rPr>
      <t>H</t>
    </r>
    <r>
      <rPr>
        <sz val="8"/>
        <color rgb="FF000000"/>
        <rFont val="Arial"/>
        <family val="2"/>
      </rPr>
      <t>f</t>
    </r>
    <r>
      <rPr>
        <sz val="11"/>
        <color rgb="FF000000"/>
        <rFont val="Arial"/>
        <family val="2"/>
      </rPr>
      <t xml:space="preserve"> (kJ/mol)</t>
    </r>
  </si>
  <si>
    <r>
      <rPr>
        <sz val="11"/>
        <color theme="1"/>
        <rFont val="맑은 고딕"/>
        <family val="2"/>
        <charset val="129"/>
      </rPr>
      <t>△</t>
    </r>
    <r>
      <rPr>
        <sz val="11"/>
        <color theme="1"/>
        <rFont val="Arial"/>
        <family val="2"/>
      </rPr>
      <t>H (kJ/yr)</t>
    </r>
  </si>
  <si>
    <r>
      <rPr>
        <sz val="11"/>
        <color rgb="FF444444"/>
        <rFont val="Calibri"/>
        <family val="2"/>
      </rPr>
      <t>△</t>
    </r>
    <r>
      <rPr>
        <sz val="11"/>
        <color rgb="FF444444"/>
        <rFont val="Arial"/>
        <family val="2"/>
      </rPr>
      <t>H (kJ/h)</t>
    </r>
  </si>
  <si>
    <r>
      <t>CH</t>
    </r>
    <r>
      <rPr>
        <vertAlign val="subscript"/>
        <sz val="11"/>
        <color rgb="FF000000"/>
        <rFont val="Arial"/>
        <family val="2"/>
      </rPr>
      <t>4</t>
    </r>
  </si>
  <si>
    <r>
      <t>3H</t>
    </r>
    <r>
      <rPr>
        <vertAlign val="subscript"/>
        <sz val="11"/>
        <color rgb="FF000000"/>
        <rFont val="Arial"/>
        <family val="2"/>
      </rPr>
      <t>2</t>
    </r>
  </si>
  <si>
    <r>
      <rPr>
        <sz val="11"/>
        <color theme="1"/>
        <rFont val="맑은 고딕"/>
        <family val="2"/>
        <charset val="129"/>
      </rPr>
      <t>△</t>
    </r>
    <r>
      <rPr>
        <sz val="11"/>
        <color theme="1"/>
        <rFont val="Arial"/>
        <family val="2"/>
      </rPr>
      <t>H (kJ)</t>
    </r>
  </si>
  <si>
    <r>
      <t>CaCO</t>
    </r>
    <r>
      <rPr>
        <vertAlign val="subscript"/>
        <sz val="11"/>
        <color rgb="FF000000"/>
        <rFont val="Arial"/>
        <family val="2"/>
      </rPr>
      <t>3</t>
    </r>
    <r>
      <rPr>
        <sz val="11"/>
        <color rgb="FF000000"/>
        <rFont val="Arial"/>
        <family val="2"/>
      </rPr>
      <t xml:space="preserve"> → CO</t>
    </r>
    <r>
      <rPr>
        <vertAlign val="subscript"/>
        <sz val="11"/>
        <color rgb="FF000000"/>
        <rFont val="Arial"/>
        <family val="2"/>
      </rPr>
      <t>2</t>
    </r>
    <r>
      <rPr>
        <sz val="11"/>
        <color rgb="FF000000"/>
        <rFont val="Arial"/>
        <family val="2"/>
      </rPr>
      <t>+CaO</t>
    </r>
  </si>
  <si>
    <r>
      <t>Na</t>
    </r>
    <r>
      <rPr>
        <vertAlign val="subscript"/>
        <sz val="11"/>
        <color rgb="FF000000"/>
        <rFont val="Arial"/>
        <family val="2"/>
      </rPr>
      <t>2</t>
    </r>
    <r>
      <rPr>
        <sz val="11"/>
        <color rgb="FF000000"/>
        <rFont val="Arial"/>
        <family val="2"/>
      </rPr>
      <t>CO</t>
    </r>
    <r>
      <rPr>
        <vertAlign val="subscript"/>
        <sz val="11"/>
        <color rgb="FF000000"/>
        <rFont val="Arial"/>
        <family val="2"/>
      </rPr>
      <t>3</t>
    </r>
  </si>
  <si>
    <r>
      <t>2H</t>
    </r>
    <r>
      <rPr>
        <vertAlign val="subscript"/>
        <sz val="11"/>
        <color rgb="FF000000"/>
        <rFont val="Arial"/>
        <family val="2"/>
      </rPr>
      <t>2</t>
    </r>
    <r>
      <rPr>
        <sz val="11"/>
        <color rgb="FF000000"/>
        <rFont val="Arial"/>
        <family val="2"/>
      </rPr>
      <t>O</t>
    </r>
  </si>
  <si>
    <r>
      <t>2LiCoO</t>
    </r>
    <r>
      <rPr>
        <vertAlign val="subscript"/>
        <sz val="11"/>
        <color rgb="FF000000"/>
        <rFont val="Arial"/>
        <family val="2"/>
      </rPr>
      <t>2</t>
    </r>
  </si>
  <si>
    <r>
      <t>Na</t>
    </r>
    <r>
      <rPr>
        <vertAlign val="subscript"/>
        <sz val="11"/>
        <color rgb="FF000000"/>
        <rFont val="Arial"/>
        <family val="2"/>
      </rPr>
      <t>2</t>
    </r>
    <r>
      <rPr>
        <sz val="11"/>
        <color rgb="FF000000"/>
        <rFont val="Arial"/>
        <family val="2"/>
      </rPr>
      <t>O</t>
    </r>
  </si>
  <si>
    <r>
      <t>CoO</t>
    </r>
    <r>
      <rPr>
        <vertAlign val="subscript"/>
        <sz val="11"/>
        <color rgb="FF000000"/>
        <rFont val="Arial"/>
        <family val="2"/>
      </rPr>
      <t>2</t>
    </r>
  </si>
  <si>
    <r>
      <t>Li</t>
    </r>
    <r>
      <rPr>
        <sz val="8"/>
        <color rgb="FF000000"/>
        <rFont val="Arial"/>
        <family val="2"/>
      </rPr>
      <t>2</t>
    </r>
    <r>
      <rPr>
        <sz val="11"/>
        <color rgb="FF000000"/>
        <rFont val="Arial"/>
        <family val="2"/>
      </rPr>
      <t>CO</t>
    </r>
    <r>
      <rPr>
        <sz val="8"/>
        <color rgb="FF000000"/>
        <rFont val="Arial"/>
        <family val="2"/>
      </rPr>
      <t>3</t>
    </r>
    <r>
      <rPr>
        <sz val="11"/>
        <color rgb="FF000000"/>
        <rFont val="Arial"/>
        <family val="2"/>
      </rPr>
      <t>(l)·H</t>
    </r>
    <r>
      <rPr>
        <sz val="8"/>
        <color rgb="FF000000"/>
        <rFont val="Arial"/>
        <family val="2"/>
      </rPr>
      <t>2</t>
    </r>
    <r>
      <rPr>
        <sz val="11"/>
        <color rgb="FF000000"/>
        <rFont val="Arial"/>
        <family val="2"/>
      </rPr>
      <t>O</t>
    </r>
  </si>
  <si>
    <r>
      <t>m</t>
    </r>
    <r>
      <rPr>
        <vertAlign val="superscript"/>
        <sz val="11"/>
        <color theme="1"/>
        <rFont val="Arial"/>
        <family val="2"/>
      </rPr>
      <t>3</t>
    </r>
    <r>
      <rPr>
        <sz val="11"/>
        <color theme="1"/>
        <rFont val="Arial"/>
        <family val="2"/>
      </rPr>
      <t>/day</t>
    </r>
    <phoneticPr fontId="1" type="noConversion"/>
  </si>
  <si>
    <r>
      <t>Total flow(m</t>
    </r>
    <r>
      <rPr>
        <vertAlign val="superscript"/>
        <sz val="11"/>
        <color theme="1"/>
        <rFont val="Arial"/>
        <family val="2"/>
      </rPr>
      <t>3</t>
    </r>
    <r>
      <rPr>
        <sz val="11"/>
        <color theme="1"/>
        <rFont val="Arial"/>
        <family val="2"/>
      </rPr>
      <t>/day)</t>
    </r>
    <phoneticPr fontId="1" type="noConversion"/>
  </si>
  <si>
    <r>
      <rPr>
        <sz val="12"/>
        <color rgb="FF000000"/>
        <rFont val="맑은 고딕"/>
        <family val="3"/>
      </rPr>
      <t>　</t>
    </r>
  </si>
  <si>
    <r>
      <rPr>
        <b/>
        <sz val="12"/>
        <color rgb="FF000000"/>
        <rFont val="맑은 고딕"/>
        <family val="3"/>
      </rPr>
      <t>　</t>
    </r>
  </si>
  <si>
    <r>
      <t>Li</t>
    </r>
    <r>
      <rPr>
        <sz val="8"/>
        <color rgb="FF000000"/>
        <rFont val="Arial"/>
        <family val="2"/>
      </rPr>
      <t>2</t>
    </r>
    <r>
      <rPr>
        <sz val="11"/>
        <color rgb="FF000000"/>
        <rFont val="Arial"/>
        <family val="2"/>
      </rPr>
      <t>CO</t>
    </r>
    <r>
      <rPr>
        <sz val="8"/>
        <color rgb="FF000000"/>
        <rFont val="Arial"/>
        <family val="2"/>
      </rPr>
      <t>3</t>
    </r>
    <r>
      <rPr>
        <sz val="11"/>
        <color rgb="FF000000"/>
        <rFont val="Arial"/>
        <family val="2"/>
      </rPr>
      <t xml:space="preserve"> sales </t>
    </r>
    <phoneticPr fontId="1" type="noConversion"/>
  </si>
  <si>
    <r>
      <t>H</t>
    </r>
    <r>
      <rPr>
        <sz val="8"/>
        <color rgb="FF000000"/>
        <rFont val="Arial"/>
        <family val="2"/>
      </rPr>
      <t>2</t>
    </r>
    <r>
      <rPr>
        <sz val="11"/>
        <color rgb="FF000000"/>
        <rFont val="Arial"/>
        <family val="2"/>
      </rPr>
      <t xml:space="preserve"> sales </t>
    </r>
    <phoneticPr fontId="1" type="noConversion"/>
  </si>
  <si>
    <t>Estimation of Total Cost of Production</t>
    <phoneticPr fontId="1" type="noConversion"/>
  </si>
  <si>
    <t>Separator 2(CaO + unreacted CaCO3)</t>
  </si>
  <si>
    <r>
      <t>CH</t>
    </r>
    <r>
      <rPr>
        <sz val="8"/>
        <color rgb="FF000000"/>
        <rFont val="Arial"/>
        <family val="2"/>
      </rPr>
      <t>4</t>
    </r>
    <phoneticPr fontId="1" type="noConversion"/>
  </si>
  <si>
    <r>
      <t>CH</t>
    </r>
    <r>
      <rPr>
        <vertAlign val="subscript"/>
        <sz val="11"/>
        <color rgb="FF000000"/>
        <rFont val="Arial"/>
        <family val="2"/>
      </rPr>
      <t>4</t>
    </r>
    <phoneticPr fontId="1" type="noConversion"/>
  </si>
  <si>
    <r>
      <t>H</t>
    </r>
    <r>
      <rPr>
        <vertAlign val="subscript"/>
        <sz val="11"/>
        <color rgb="FF000000"/>
        <rFont val="Arial"/>
        <family val="2"/>
      </rPr>
      <t>2</t>
    </r>
    <r>
      <rPr>
        <sz val="11"/>
        <color rgb="FF000000"/>
        <rFont val="Arial"/>
        <family val="2"/>
      </rPr>
      <t>O</t>
    </r>
    <phoneticPr fontId="1" type="noConversion"/>
  </si>
  <si>
    <r>
      <t>CO</t>
    </r>
    <r>
      <rPr>
        <vertAlign val="subscript"/>
        <sz val="11"/>
        <color rgb="FF000000"/>
        <rFont val="Arial"/>
        <family val="2"/>
      </rPr>
      <t>2</t>
    </r>
    <phoneticPr fontId="1" type="noConversion"/>
  </si>
  <si>
    <r>
      <t>H</t>
    </r>
    <r>
      <rPr>
        <vertAlign val="subscript"/>
        <sz val="11"/>
        <color rgb="FF000000"/>
        <rFont val="Arial"/>
        <family val="2"/>
      </rPr>
      <t>2</t>
    </r>
    <phoneticPr fontId="1" type="noConversion"/>
  </si>
  <si>
    <r>
      <t>NH</t>
    </r>
    <r>
      <rPr>
        <vertAlign val="subscript"/>
        <sz val="11"/>
        <color rgb="FF000000"/>
        <rFont val="Arial"/>
        <family val="2"/>
      </rPr>
      <t>4</t>
    </r>
    <r>
      <rPr>
        <sz val="11"/>
        <color rgb="FF000000"/>
        <rFont val="Arial"/>
        <family val="2"/>
      </rPr>
      <t>OH</t>
    </r>
    <phoneticPr fontId="1" type="noConversion"/>
  </si>
  <si>
    <r>
      <t>2NaHCO</t>
    </r>
    <r>
      <rPr>
        <vertAlign val="subscript"/>
        <sz val="11"/>
        <color rgb="FF000000"/>
        <rFont val="Arial"/>
        <family val="2"/>
      </rPr>
      <t>3</t>
    </r>
    <phoneticPr fontId="1" type="noConversion"/>
  </si>
  <si>
    <r>
      <t>2NH</t>
    </r>
    <r>
      <rPr>
        <sz val="11"/>
        <color theme="1"/>
        <rFont val="맑은 고딕"/>
        <family val="2"/>
        <charset val="129"/>
        <scheme val="minor"/>
      </rPr>
      <t>4</t>
    </r>
    <r>
      <rPr>
        <sz val="11"/>
        <color rgb="FF000000"/>
        <rFont val="Arial"/>
        <family val="2"/>
      </rPr>
      <t>Cl</t>
    </r>
    <phoneticPr fontId="1" type="noConversion"/>
  </si>
  <si>
    <r>
      <t>Ca(OH)</t>
    </r>
    <r>
      <rPr>
        <vertAlign val="subscript"/>
        <sz val="11"/>
        <color rgb="FF000000"/>
        <rFont val="Arial"/>
        <family val="2"/>
      </rPr>
      <t>2</t>
    </r>
    <phoneticPr fontId="1" type="noConversion"/>
  </si>
  <si>
    <r>
      <t>NH</t>
    </r>
    <r>
      <rPr>
        <vertAlign val="subscript"/>
        <sz val="11"/>
        <color rgb="FF000000"/>
        <rFont val="Arial"/>
        <family val="2"/>
      </rPr>
      <t>3</t>
    </r>
    <phoneticPr fontId="1" type="noConversion"/>
  </si>
  <si>
    <r>
      <t>CaCO</t>
    </r>
    <r>
      <rPr>
        <vertAlign val="subscript"/>
        <sz val="11"/>
        <color rgb="FF000000"/>
        <rFont val="Arial"/>
        <family val="2"/>
      </rPr>
      <t>3</t>
    </r>
    <phoneticPr fontId="1" type="noConversion"/>
  </si>
  <si>
    <r>
      <t>NaHCO</t>
    </r>
    <r>
      <rPr>
        <vertAlign val="subscript"/>
        <sz val="11"/>
        <color rgb="FF000000"/>
        <rFont val="Arial"/>
        <family val="2"/>
      </rPr>
      <t>3</t>
    </r>
    <phoneticPr fontId="1" type="noConversion"/>
  </si>
  <si>
    <r>
      <t>NH</t>
    </r>
    <r>
      <rPr>
        <vertAlign val="subscript"/>
        <sz val="11"/>
        <color rgb="FF000000"/>
        <rFont val="Arial"/>
        <family val="2"/>
      </rPr>
      <t>4</t>
    </r>
    <r>
      <rPr>
        <sz val="11"/>
        <color rgb="FF000000"/>
        <rFont val="Arial"/>
        <family val="2"/>
      </rPr>
      <t>Cl</t>
    </r>
    <phoneticPr fontId="1" type="noConversion"/>
  </si>
  <si>
    <r>
      <t>Na</t>
    </r>
    <r>
      <rPr>
        <vertAlign val="subscript"/>
        <sz val="11"/>
        <color rgb="FF000000"/>
        <rFont val="Arial"/>
        <family val="2"/>
      </rPr>
      <t>2</t>
    </r>
    <r>
      <rPr>
        <sz val="11"/>
        <color rgb="FF000000"/>
        <rFont val="Arial"/>
        <family val="2"/>
      </rPr>
      <t>CO</t>
    </r>
    <r>
      <rPr>
        <vertAlign val="subscript"/>
        <sz val="11"/>
        <color rgb="FF000000"/>
        <rFont val="Arial"/>
        <family val="2"/>
      </rPr>
      <t>3</t>
    </r>
    <phoneticPr fontId="1" type="noConversion"/>
  </si>
  <si>
    <r>
      <t>CaCl</t>
    </r>
    <r>
      <rPr>
        <vertAlign val="subscript"/>
        <sz val="11"/>
        <color rgb="FF000000"/>
        <rFont val="Arial"/>
        <family val="2"/>
      </rPr>
      <t>2</t>
    </r>
    <phoneticPr fontId="1" type="noConversion"/>
  </si>
  <si>
    <r>
      <t>2LiCoO</t>
    </r>
    <r>
      <rPr>
        <vertAlign val="subscript"/>
        <sz val="11"/>
        <color rgb="FF000000"/>
        <rFont val="Arial"/>
        <family val="2"/>
      </rPr>
      <t>2</t>
    </r>
    <phoneticPr fontId="1" type="noConversion"/>
  </si>
  <si>
    <r>
      <t>Na</t>
    </r>
    <r>
      <rPr>
        <vertAlign val="subscript"/>
        <sz val="11"/>
        <color rgb="FF000000"/>
        <rFont val="Arial"/>
        <family val="2"/>
      </rPr>
      <t>2</t>
    </r>
    <r>
      <rPr>
        <sz val="11"/>
        <color rgb="FF000000"/>
        <rFont val="Arial"/>
        <family val="2"/>
      </rPr>
      <t>O</t>
    </r>
    <phoneticPr fontId="1" type="noConversion"/>
  </si>
  <si>
    <t>CoO</t>
    <phoneticPr fontId="1" type="noConversion"/>
  </si>
  <si>
    <r>
      <t>CoO</t>
    </r>
    <r>
      <rPr>
        <vertAlign val="subscript"/>
        <sz val="11"/>
        <color rgb="FF000000"/>
        <rFont val="Arial"/>
        <family val="2"/>
      </rPr>
      <t>2</t>
    </r>
    <phoneticPr fontId="1" type="noConversion"/>
  </si>
  <si>
    <r>
      <t>Li</t>
    </r>
    <r>
      <rPr>
        <vertAlign val="subscript"/>
        <sz val="11"/>
        <color rgb="FF000000"/>
        <rFont val="Arial"/>
        <family val="2"/>
      </rPr>
      <t>2</t>
    </r>
    <r>
      <rPr>
        <sz val="11"/>
        <color rgb="FF000000"/>
        <rFont val="Arial"/>
        <family val="2"/>
      </rPr>
      <t>CO</t>
    </r>
    <r>
      <rPr>
        <vertAlign val="subscript"/>
        <sz val="11"/>
        <color rgb="FF000000"/>
        <rFont val="Arial"/>
        <family val="2"/>
      </rPr>
      <t>3</t>
    </r>
    <r>
      <rPr>
        <sz val="11"/>
        <color rgb="FF000000"/>
        <rFont val="Arial"/>
        <family val="2"/>
      </rPr>
      <t>(s)</t>
    </r>
    <phoneticPr fontId="1" type="noConversion"/>
  </si>
  <si>
    <r>
      <t>Separator 1(CaO + CO</t>
    </r>
    <r>
      <rPr>
        <vertAlign val="subscript"/>
        <sz val="11"/>
        <color rgb="FF000000"/>
        <rFont val="Arial"/>
        <family val="2"/>
      </rPr>
      <t>2</t>
    </r>
    <r>
      <rPr>
        <sz val="11"/>
        <color rgb="FF000000"/>
        <rFont val="Arial"/>
        <family val="2"/>
      </rPr>
      <t xml:space="preserve"> + unreacted CaCO</t>
    </r>
    <r>
      <rPr>
        <vertAlign val="subscript"/>
        <sz val="11"/>
        <color rgb="FF000000"/>
        <rFont val="Arial"/>
        <family val="2"/>
      </rPr>
      <t>3</t>
    </r>
    <r>
      <rPr>
        <sz val="11"/>
        <color rgb="FF000000"/>
        <rFont val="Arial"/>
        <family val="2"/>
      </rPr>
      <t>)</t>
    </r>
    <phoneticPr fontId="1" type="noConversion"/>
  </si>
  <si>
    <r>
      <t>Separator 3(NH</t>
    </r>
    <r>
      <rPr>
        <vertAlign val="subscript"/>
        <sz val="11"/>
        <color rgb="FF000000"/>
        <rFont val="Arial"/>
        <family val="2"/>
      </rPr>
      <t>4</t>
    </r>
    <r>
      <rPr>
        <sz val="11"/>
        <color rgb="FF000000"/>
        <rFont val="Arial"/>
        <family val="2"/>
      </rPr>
      <t>OH + NaCl)</t>
    </r>
    <phoneticPr fontId="1" type="noConversion"/>
  </si>
  <si>
    <r>
      <t>Separator 4(Ca(OH)</t>
    </r>
    <r>
      <rPr>
        <vertAlign val="subscript"/>
        <sz val="11"/>
        <color rgb="FF000000"/>
        <rFont val="Arial"/>
        <family val="2"/>
      </rPr>
      <t>2</t>
    </r>
    <r>
      <rPr>
        <sz val="11"/>
        <color rgb="FF000000"/>
        <rFont val="Arial"/>
        <family val="2"/>
      </rPr>
      <t xml:space="preserve"> + Remaining H</t>
    </r>
    <r>
      <rPr>
        <vertAlign val="subscript"/>
        <sz val="11"/>
        <color rgb="FF000000"/>
        <rFont val="Arial"/>
        <family val="2"/>
      </rPr>
      <t>2</t>
    </r>
    <r>
      <rPr>
        <sz val="11"/>
        <color rgb="FF000000"/>
        <rFont val="Arial"/>
        <family val="2"/>
      </rPr>
      <t>O)</t>
    </r>
    <phoneticPr fontId="1" type="noConversion"/>
  </si>
  <si>
    <r>
      <t>Separator 5(NH</t>
    </r>
    <r>
      <rPr>
        <vertAlign val="subscript"/>
        <sz val="11"/>
        <color rgb="FF000000"/>
        <rFont val="Arial"/>
        <family val="2"/>
      </rPr>
      <t>4</t>
    </r>
    <r>
      <rPr>
        <sz val="11"/>
        <color rgb="FF000000"/>
        <rFont val="Arial"/>
        <family val="2"/>
      </rPr>
      <t>Cl + NaHCO</t>
    </r>
    <r>
      <rPr>
        <vertAlign val="subscript"/>
        <sz val="11"/>
        <color rgb="FF000000"/>
        <rFont val="Arial"/>
        <family val="2"/>
      </rPr>
      <t>3</t>
    </r>
    <r>
      <rPr>
        <sz val="11"/>
        <color rgb="FF000000"/>
        <rFont val="Arial"/>
        <family val="2"/>
      </rPr>
      <t xml:space="preserve"> + Residual reactants)</t>
    </r>
    <phoneticPr fontId="1" type="noConversion"/>
  </si>
  <si>
    <r>
      <t>Separator 6(NaHCO</t>
    </r>
    <r>
      <rPr>
        <vertAlign val="subscript"/>
        <sz val="11"/>
        <color rgb="FF000000"/>
        <rFont val="Arial"/>
        <family val="2"/>
      </rPr>
      <t>3</t>
    </r>
    <r>
      <rPr>
        <sz val="11"/>
        <color rgb="FF000000"/>
        <rFont val="Arial"/>
        <family val="2"/>
      </rPr>
      <t xml:space="preserve"> + NH</t>
    </r>
    <r>
      <rPr>
        <vertAlign val="subscript"/>
        <sz val="11"/>
        <color rgb="FF000000"/>
        <rFont val="Arial"/>
        <family val="2"/>
      </rPr>
      <t>4</t>
    </r>
    <r>
      <rPr>
        <sz val="11"/>
        <color rgb="FF000000"/>
        <rFont val="Arial"/>
        <family val="2"/>
      </rPr>
      <t>Cl)</t>
    </r>
    <phoneticPr fontId="1" type="noConversion"/>
  </si>
  <si>
    <r>
      <t>Separator 7(Na</t>
    </r>
    <r>
      <rPr>
        <vertAlign val="subscript"/>
        <sz val="11"/>
        <color rgb="FF000000"/>
        <rFont val="Arial"/>
        <family val="2"/>
      </rPr>
      <t>2</t>
    </r>
    <r>
      <rPr>
        <sz val="11"/>
        <color rgb="FF000000"/>
        <rFont val="Arial"/>
        <family val="2"/>
      </rPr>
      <t>CO</t>
    </r>
    <r>
      <rPr>
        <vertAlign val="subscript"/>
        <sz val="11"/>
        <color rgb="FF000000"/>
        <rFont val="Arial"/>
        <family val="2"/>
      </rPr>
      <t>3</t>
    </r>
    <r>
      <rPr>
        <sz val="11"/>
        <color rgb="FF000000"/>
        <rFont val="Arial"/>
        <family val="2"/>
      </rPr>
      <t xml:space="preserve"> + H</t>
    </r>
    <r>
      <rPr>
        <vertAlign val="subscript"/>
        <sz val="11"/>
        <color rgb="FF000000"/>
        <rFont val="Arial"/>
        <family val="2"/>
      </rPr>
      <t>2</t>
    </r>
    <r>
      <rPr>
        <sz val="11"/>
        <color rgb="FF000000"/>
        <rFont val="Arial"/>
        <family val="2"/>
      </rPr>
      <t>O + CO</t>
    </r>
    <r>
      <rPr>
        <vertAlign val="subscript"/>
        <sz val="11"/>
        <color rgb="FF000000"/>
        <rFont val="Arial"/>
        <family val="2"/>
      </rPr>
      <t>2</t>
    </r>
    <r>
      <rPr>
        <sz val="11"/>
        <color rgb="FF000000"/>
        <rFont val="Arial"/>
        <family val="2"/>
      </rPr>
      <t>)</t>
    </r>
    <phoneticPr fontId="1" type="noConversion"/>
  </si>
  <si>
    <r>
      <t>Separator 8(NH</t>
    </r>
    <r>
      <rPr>
        <vertAlign val="subscript"/>
        <sz val="11"/>
        <color rgb="FF000000"/>
        <rFont val="Arial"/>
        <family val="2"/>
      </rPr>
      <t>3</t>
    </r>
    <r>
      <rPr>
        <sz val="11"/>
        <color rgb="FF000000"/>
        <rFont val="Arial"/>
        <family val="2"/>
      </rPr>
      <t xml:space="preserve"> + CaCl</t>
    </r>
    <r>
      <rPr>
        <vertAlign val="subscript"/>
        <sz val="11"/>
        <color rgb="FF000000"/>
        <rFont val="Arial"/>
        <family val="2"/>
      </rPr>
      <t>2</t>
    </r>
    <r>
      <rPr>
        <sz val="11"/>
        <color rgb="FF000000"/>
        <rFont val="Arial"/>
        <family val="2"/>
      </rPr>
      <t xml:space="preserve"> + H</t>
    </r>
    <r>
      <rPr>
        <vertAlign val="subscript"/>
        <sz val="11"/>
        <color rgb="FF000000"/>
        <rFont val="Arial"/>
        <family val="2"/>
      </rPr>
      <t>2</t>
    </r>
    <r>
      <rPr>
        <sz val="11"/>
        <color rgb="FF000000"/>
        <rFont val="Arial"/>
        <family val="2"/>
      </rPr>
      <t>O)</t>
    </r>
    <phoneticPr fontId="1" type="noConversion"/>
  </si>
  <si>
    <r>
      <t>3H</t>
    </r>
    <r>
      <rPr>
        <vertAlign val="subscript"/>
        <sz val="11"/>
        <color theme="1"/>
        <rFont val="Arial"/>
        <family val="2"/>
      </rPr>
      <t>2</t>
    </r>
    <phoneticPr fontId="1" type="noConversion"/>
  </si>
  <si>
    <r>
      <t>H</t>
    </r>
    <r>
      <rPr>
        <vertAlign val="subscript"/>
        <sz val="11"/>
        <color theme="1"/>
        <rFont val="Arial"/>
        <family val="2"/>
      </rPr>
      <t>2</t>
    </r>
    <phoneticPr fontId="1" type="noConversion"/>
  </si>
  <si>
    <r>
      <t>2NH</t>
    </r>
    <r>
      <rPr>
        <vertAlign val="subscript"/>
        <sz val="11"/>
        <color rgb="FF000000"/>
        <rFont val="Arial"/>
        <family val="2"/>
      </rPr>
      <t>3</t>
    </r>
    <phoneticPr fontId="1" type="noConversion"/>
  </si>
  <si>
    <r>
      <t>2H</t>
    </r>
    <r>
      <rPr>
        <vertAlign val="subscript"/>
        <sz val="11"/>
        <color rgb="FF000000"/>
        <rFont val="Arial"/>
        <family val="2"/>
      </rPr>
      <t>2</t>
    </r>
    <r>
      <rPr>
        <sz val="11"/>
        <color rgb="FF000000"/>
        <rFont val="Arial"/>
        <family val="2"/>
      </rPr>
      <t>O</t>
    </r>
    <phoneticPr fontId="1" type="noConversion"/>
  </si>
  <si>
    <r>
      <t>Li</t>
    </r>
    <r>
      <rPr>
        <vertAlign val="subscript"/>
        <sz val="11"/>
        <color rgb="FF000000"/>
        <rFont val="Arial"/>
        <family val="2"/>
      </rPr>
      <t>2</t>
    </r>
    <r>
      <rPr>
        <sz val="11"/>
        <color rgb="FF000000"/>
        <rFont val="Arial"/>
        <family val="2"/>
      </rPr>
      <t>CO</t>
    </r>
    <r>
      <rPr>
        <vertAlign val="subscript"/>
        <sz val="11"/>
        <color rgb="FF000000"/>
        <rFont val="Arial"/>
        <family val="2"/>
      </rPr>
      <t>3</t>
    </r>
    <phoneticPr fontId="1" type="noConversion"/>
  </si>
  <si>
    <r>
      <t>Li</t>
    </r>
    <r>
      <rPr>
        <vertAlign val="subscript"/>
        <sz val="11"/>
        <color rgb="FF000000"/>
        <rFont val="Arial"/>
        <family val="2"/>
      </rPr>
      <t>2</t>
    </r>
    <r>
      <rPr>
        <sz val="11"/>
        <color rgb="FF000000"/>
        <rFont val="Arial"/>
        <family val="2"/>
      </rPr>
      <t>CO</t>
    </r>
    <r>
      <rPr>
        <vertAlign val="subscript"/>
        <sz val="11"/>
        <color rgb="FF000000"/>
        <rFont val="Arial"/>
        <family val="2"/>
      </rPr>
      <t>3</t>
    </r>
    <r>
      <rPr>
        <sz val="11"/>
        <color rgb="FF000000"/>
        <rFont val="Arial"/>
        <family val="2"/>
      </rPr>
      <t>(l)·H</t>
    </r>
    <r>
      <rPr>
        <vertAlign val="subscript"/>
        <sz val="11"/>
        <color rgb="FF000000"/>
        <rFont val="Arial"/>
        <family val="2"/>
      </rPr>
      <t>2</t>
    </r>
    <r>
      <rPr>
        <sz val="11"/>
        <color rgb="FF000000"/>
        <rFont val="Arial"/>
        <family val="2"/>
      </rPr>
      <t>O</t>
    </r>
    <phoneticPr fontId="1" type="noConversion"/>
  </si>
  <si>
    <r>
      <t>Li</t>
    </r>
    <r>
      <rPr>
        <vertAlign val="subscript"/>
        <sz val="11"/>
        <color rgb="FF000000"/>
        <rFont val="Arial"/>
        <family val="2"/>
      </rPr>
      <t>2</t>
    </r>
    <r>
      <rPr>
        <sz val="11"/>
        <color rgb="FF000000"/>
        <rFont val="Arial"/>
        <family val="2"/>
      </rPr>
      <t>CO</t>
    </r>
    <r>
      <rPr>
        <vertAlign val="subscript"/>
        <sz val="11"/>
        <color rgb="FF000000"/>
        <rFont val="Arial"/>
        <family val="2"/>
      </rPr>
      <t>3(</t>
    </r>
    <r>
      <rPr>
        <sz val="11"/>
        <color rgb="FF000000"/>
        <rFont val="Arial"/>
        <family val="2"/>
      </rPr>
      <t>l)</t>
    </r>
    <phoneticPr fontId="1" type="noConversion"/>
  </si>
  <si>
    <r>
      <t>2LiCoO</t>
    </r>
    <r>
      <rPr>
        <vertAlign val="subscript"/>
        <sz val="11"/>
        <color rgb="FF000000"/>
        <rFont val="Arial"/>
        <family val="2"/>
      </rPr>
      <t>2</t>
    </r>
    <r>
      <rPr>
        <sz val="11"/>
        <color rgb="FF000000"/>
        <rFont val="Arial"/>
        <family val="2"/>
      </rPr>
      <t xml:space="preserve"> + Na</t>
    </r>
    <r>
      <rPr>
        <vertAlign val="subscript"/>
        <sz val="11"/>
        <color rgb="FF000000"/>
        <rFont val="Arial"/>
        <family val="2"/>
      </rPr>
      <t>2</t>
    </r>
    <r>
      <rPr>
        <sz val="11"/>
        <color rgb="FF000000"/>
        <rFont val="Arial"/>
        <family val="2"/>
      </rPr>
      <t>CO</t>
    </r>
    <r>
      <rPr>
        <vertAlign val="subscript"/>
        <sz val="11"/>
        <color rgb="FF000000"/>
        <rFont val="Arial"/>
        <family val="2"/>
      </rPr>
      <t>3</t>
    </r>
    <r>
      <rPr>
        <sz val="11"/>
        <color rgb="FF000000"/>
        <rFont val="Arial"/>
        <family val="2"/>
      </rPr>
      <t xml:space="preserve"> → Li</t>
    </r>
    <r>
      <rPr>
        <vertAlign val="subscript"/>
        <sz val="11"/>
        <color rgb="FF000000"/>
        <rFont val="Arial"/>
        <family val="2"/>
      </rPr>
      <t>2</t>
    </r>
    <r>
      <rPr>
        <sz val="11"/>
        <color rgb="FF000000"/>
        <rFont val="Arial"/>
        <family val="2"/>
      </rPr>
      <t>CO</t>
    </r>
    <r>
      <rPr>
        <vertAlign val="subscript"/>
        <sz val="11"/>
        <color rgb="FF000000"/>
        <rFont val="Arial"/>
        <family val="2"/>
      </rPr>
      <t>3</t>
    </r>
    <r>
      <rPr>
        <sz val="11"/>
        <color rgb="FF000000"/>
        <rFont val="Arial"/>
        <family val="2"/>
      </rPr>
      <t xml:space="preserve"> + Na</t>
    </r>
    <r>
      <rPr>
        <vertAlign val="subscript"/>
        <sz val="11"/>
        <color rgb="FF000000"/>
        <rFont val="Arial"/>
        <family val="2"/>
      </rPr>
      <t>2</t>
    </r>
    <r>
      <rPr>
        <sz val="11"/>
        <color rgb="FF000000"/>
        <rFont val="Arial"/>
        <family val="2"/>
      </rPr>
      <t>O + CoO + CoO</t>
    </r>
    <r>
      <rPr>
        <vertAlign val="subscript"/>
        <sz val="11"/>
        <color rgb="FF000000"/>
        <rFont val="Arial"/>
        <family val="2"/>
      </rPr>
      <t>2</t>
    </r>
    <phoneticPr fontId="1" type="noConversion"/>
  </si>
  <si>
    <r>
      <t>2LiCl + NaCO</t>
    </r>
    <r>
      <rPr>
        <vertAlign val="subscript"/>
        <sz val="11"/>
        <color rgb="FF000000"/>
        <rFont val="Arial"/>
        <family val="2"/>
      </rPr>
      <t>3</t>
    </r>
    <r>
      <rPr>
        <sz val="11"/>
        <color rgb="FF000000"/>
        <rFont val="Arial"/>
        <family val="2"/>
      </rPr>
      <t xml:space="preserve"> → Li</t>
    </r>
    <r>
      <rPr>
        <vertAlign val="subscript"/>
        <sz val="11"/>
        <color rgb="FF000000"/>
        <rFont val="Arial"/>
        <family val="2"/>
      </rPr>
      <t>2</t>
    </r>
    <r>
      <rPr>
        <sz val="11"/>
        <color rgb="FF000000"/>
        <rFont val="Arial"/>
        <family val="2"/>
      </rPr>
      <t>CO</t>
    </r>
    <r>
      <rPr>
        <vertAlign val="subscript"/>
        <sz val="11"/>
        <color rgb="FF000000"/>
        <rFont val="Arial"/>
        <family val="2"/>
      </rPr>
      <t>3</t>
    </r>
    <r>
      <rPr>
        <sz val="11"/>
        <color rgb="FF000000"/>
        <rFont val="Arial"/>
        <family val="2"/>
      </rPr>
      <t>(s) + NaCl</t>
    </r>
    <phoneticPr fontId="1" type="noConversion"/>
  </si>
  <si>
    <r>
      <t>H</t>
    </r>
    <r>
      <rPr>
        <vertAlign val="subscript"/>
        <sz val="11"/>
        <color rgb="FF000000"/>
        <rFont val="Arial"/>
        <family val="2"/>
      </rPr>
      <t>2</t>
    </r>
    <r>
      <rPr>
        <sz val="11"/>
        <color rgb="FF000000"/>
        <rFont val="Arial"/>
        <family val="2"/>
      </rPr>
      <t>O</t>
    </r>
    <phoneticPr fontId="1" type="noConversion"/>
  </si>
  <si>
    <r>
      <t>Design on a benchmarking platform: Integrated S</t>
    </r>
    <r>
      <rPr>
        <b/>
        <vertAlign val="superscript"/>
        <sz val="14"/>
        <color rgb="FF444444"/>
        <rFont val="Arial Black"/>
        <family val="2"/>
      </rPr>
      <t>3</t>
    </r>
    <r>
      <rPr>
        <b/>
        <sz val="14"/>
        <color rgb="FF444444"/>
        <rFont val="Arial Black"/>
        <family val="2"/>
      </rPr>
      <t xml:space="preserve"> process</t>
    </r>
    <phoneticPr fontId="1" type="noConversion"/>
  </si>
  <si>
    <r>
      <t>Design on a benchmarking platform: Integrated S</t>
    </r>
    <r>
      <rPr>
        <b/>
        <vertAlign val="superscript"/>
        <sz val="12"/>
        <color rgb="FF444444"/>
        <rFont val="Arial Black"/>
        <family val="2"/>
      </rPr>
      <t>3</t>
    </r>
    <r>
      <rPr>
        <b/>
        <sz val="12"/>
        <color rgb="FF444444"/>
        <rFont val="Arial Black"/>
        <family val="2"/>
      </rPr>
      <t xml:space="preserve"> process</t>
    </r>
    <phoneticPr fontId="1" type="noConversion"/>
  </si>
  <si>
    <t>NREL</t>
    <phoneticPr fontId="1" type="noConversion"/>
  </si>
  <si>
    <t>European Environment Agency</t>
    <phoneticPr fontId="1" type="noConversion"/>
  </si>
  <si>
    <t>NPV(10 years)</t>
    <phoneticPr fontId="1" type="noConversion"/>
  </si>
  <si>
    <t>Estimation of total cost of production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</si>
</sst>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 #,##0_-;_-* &quot;-&quot;_-;_-@_-"/>
    <numFmt numFmtId="23" formatCode="\$#,##0_);\(\$#,##0\)"/>
    <numFmt numFmtId="26" formatCode="\$#,##0.00_);[Red]\(\$#,##0.00\)"/>
    <numFmt numFmtId="176" formatCode="_(&quot;$&quot;* #,##0_);_(&quot;$&quot;* \(#,##0\);_(&quot;$&quot;* &quot;-&quot;_);_(@_)"/>
    <numFmt numFmtId="177" formatCode="_(* #,##0_);_(* \(#,##0\);_(* &quot;-&quot;_);_(@_)"/>
    <numFmt numFmtId="178" formatCode="#,##0_ "/>
    <numFmt numFmtId="179" formatCode="_-\$* #,##0_ ;_-\$* \-#,##0\ ;_-\$* &quot;-&quot;_ ;_-@_ "/>
    <numFmt numFmtId="180" formatCode="0.0"/>
    <numFmt numFmtId="181" formatCode="_-[$$]* #,##0_-;\-[$$]* #,##0_-;_-[$$]* &quot;-&quot;_-;_-@_-"/>
    <numFmt numFmtId="182" formatCode="_-* #,##0.0_-;\-* #,##0.0_-;_-* &quot;-&quot;?_-;_-@_-"/>
    <numFmt numFmtId="183" formatCode="_([$$-409]* #,##0.00_);_([$$-409]* \(#,##0.00\);_([$$-409]* &quot;-&quot;??_);_(@_)"/>
    <numFmt numFmtId="184" formatCode="_-\$* #,##0.00_ ;_-\$* \-#,##0.00\ ;_-\$* &quot;-&quot;??_ ;_-@_ "/>
    <numFmt numFmtId="185" formatCode="0.00_);[Red]\(0.00\)"/>
    <numFmt numFmtId="186" formatCode="_(&quot;$&quot;* #,##0.00_);_(&quot;$&quot;* \(#,##0.00\);_(&quot;$&quot;* &quot;-&quot;??_);_(@_)"/>
    <numFmt numFmtId="187" formatCode="0.00_ "/>
    <numFmt numFmtId="188" formatCode="0.0_ "/>
    <numFmt numFmtId="189" formatCode="#,##0.0_ "/>
  </numFmts>
  <fonts count="57"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0"/>
      <name val="Arial"/>
      <family val="2"/>
    </font>
    <font>
      <sz val="11"/>
      <color theme="1"/>
      <name val="Arial"/>
      <family val="2"/>
    </font>
    <font>
      <b/>
      <sz val="11"/>
      <color theme="1"/>
      <name val="Arial"/>
      <family val="2"/>
    </font>
    <font>
      <b/>
      <sz val="14"/>
      <color rgb="FF444444"/>
      <name val="Arial Black"/>
      <family val="2"/>
    </font>
    <font>
      <sz val="11"/>
      <color rgb="FF444444"/>
      <name val="Calibri"/>
      <family val="2"/>
    </font>
    <font>
      <sz val="11"/>
      <color rgb="FF000000"/>
      <name val="맑은 고딕"/>
      <family val="3"/>
      <charset val="129"/>
    </font>
    <font>
      <sz val="11"/>
      <color rgb="FF000000"/>
      <name val="Arial"/>
      <family val="2"/>
    </font>
    <font>
      <vertAlign val="subscript"/>
      <sz val="11"/>
      <color rgb="FF000000"/>
      <name val="Arial"/>
      <family val="2"/>
    </font>
    <font>
      <sz val="11"/>
      <color rgb="FF202124"/>
      <name val="Arial"/>
      <family val="2"/>
    </font>
    <font>
      <sz val="10"/>
      <name val="Arial"/>
      <family val="2"/>
    </font>
    <font>
      <sz val="11"/>
      <color theme="1"/>
      <name val="맑은 고딕"/>
      <family val="2"/>
      <charset val="129"/>
      <scheme val="minor"/>
    </font>
    <font>
      <sz val="11"/>
      <color rgb="FF444444"/>
      <name val="Arial"/>
      <family val="2"/>
    </font>
    <font>
      <sz val="11"/>
      <color theme="1" tint="0.499984740745262"/>
      <name val="Arial"/>
      <family val="2"/>
    </font>
    <font>
      <vertAlign val="subscript"/>
      <sz val="11"/>
      <color theme="1" tint="0.499984740745262"/>
      <name val="Arial"/>
      <family val="2"/>
    </font>
    <font>
      <sz val="12"/>
      <color rgb="FF000000"/>
      <name val="Arial"/>
      <family val="2"/>
    </font>
    <font>
      <i/>
      <sz val="10"/>
      <color rgb="FF222222"/>
      <name val="Arial"/>
      <family val="2"/>
    </font>
    <font>
      <sz val="10"/>
      <color rgb="FF222222"/>
      <name val="Arial"/>
      <family val="2"/>
    </font>
    <font>
      <sz val="10"/>
      <color rgb="FF000000"/>
      <name val="나눔고딕"/>
      <family val="3"/>
      <charset val="129"/>
    </font>
    <font>
      <sz val="10"/>
      <color rgb="FF000000"/>
      <name val="나눔고딕"/>
      <family val="3"/>
    </font>
    <font>
      <b/>
      <i/>
      <sz val="16"/>
      <color rgb="FF000000"/>
      <name val="Arial"/>
      <family val="2"/>
    </font>
    <font>
      <sz val="12"/>
      <color rgb="FF000000"/>
      <name val="맑은 고딕"/>
      <family val="3"/>
    </font>
    <font>
      <b/>
      <sz val="12"/>
      <color rgb="FF000000"/>
      <name val="맑은 고딕"/>
      <family val="3"/>
    </font>
    <font>
      <b/>
      <sz val="11"/>
      <color rgb="FF000000"/>
      <name val="Arial"/>
      <family val="2"/>
    </font>
    <font>
      <sz val="11"/>
      <color rgb="FF000000"/>
      <name val="Arial"/>
      <family val="2"/>
    </font>
    <font>
      <b/>
      <sz val="11"/>
      <color rgb="FFFF0000"/>
      <name val="Arial"/>
      <family val="2"/>
    </font>
    <font>
      <b/>
      <sz val="11"/>
      <color rgb="FF444444"/>
      <name val="Arial"/>
      <family val="2"/>
    </font>
    <font>
      <sz val="11"/>
      <color rgb="FF444444"/>
      <name val="Arial"/>
      <family val="2"/>
    </font>
    <font>
      <b/>
      <sz val="11"/>
      <color rgb="FF0070C0"/>
      <name val="Arial"/>
      <family val="2"/>
    </font>
    <font>
      <b/>
      <sz val="11"/>
      <color theme="5" tint="-0.249977111117893"/>
      <name val="Arial"/>
      <family val="2"/>
    </font>
    <font>
      <sz val="8"/>
      <color rgb="FF000000"/>
      <name val="Arial"/>
      <family val="2"/>
    </font>
    <font>
      <b/>
      <sz val="8"/>
      <color rgb="FF000000"/>
      <name val="Arial"/>
      <family val="2"/>
    </font>
    <font>
      <b/>
      <sz val="8"/>
      <color rgb="FF444444"/>
      <name val="Arial"/>
      <family val="2"/>
    </font>
    <font>
      <sz val="8"/>
      <color rgb="FF444444"/>
      <name val="Arial"/>
      <family val="2"/>
    </font>
    <font>
      <sz val="11"/>
      <color theme="1"/>
      <name val="맑은 고딕"/>
      <family val="2"/>
      <charset val="129"/>
    </font>
    <font>
      <sz val="11"/>
      <color rgb="FFFF0000"/>
      <name val="Arial"/>
      <family val="2"/>
    </font>
    <font>
      <sz val="10"/>
      <color rgb="FF000000"/>
      <name val="Arial"/>
      <family val="2"/>
    </font>
    <font>
      <sz val="11"/>
      <color rgb="FF000000"/>
      <name val="맑은 고딕"/>
      <family val="2"/>
    </font>
    <font>
      <sz val="10"/>
      <color rgb="FF424242"/>
      <name val="Arial"/>
      <family val="2"/>
    </font>
    <font>
      <sz val="11"/>
      <color theme="0" tint="-0.499984740745262"/>
      <name val="Arial"/>
      <family val="2"/>
    </font>
    <font>
      <vertAlign val="superscript"/>
      <sz val="11"/>
      <color theme="1"/>
      <name val="Arial"/>
      <family val="2"/>
    </font>
    <font>
      <b/>
      <sz val="12"/>
      <color rgb="FF000000"/>
      <name val="Arial"/>
      <family val="2"/>
    </font>
    <font>
      <b/>
      <sz val="12"/>
      <color rgb="FF800000"/>
      <name val="Arial"/>
      <family val="2"/>
    </font>
    <font>
      <sz val="12"/>
      <color rgb="FF595959"/>
      <name val="Arial"/>
      <family val="2"/>
    </font>
    <font>
      <b/>
      <sz val="12"/>
      <color rgb="FF595959"/>
      <name val="Arial"/>
      <family val="2"/>
    </font>
    <font>
      <sz val="12"/>
      <color rgb="FFFF0000"/>
      <name val="Arial"/>
      <family val="2"/>
    </font>
    <font>
      <sz val="12"/>
      <color theme="1"/>
      <name val="Arial"/>
      <family val="2"/>
    </font>
    <font>
      <b/>
      <sz val="12"/>
      <color theme="1"/>
      <name val="Arial"/>
      <family val="2"/>
    </font>
    <font>
      <sz val="12"/>
      <color rgb="FF9C0006"/>
      <name val="Arial"/>
      <family val="2"/>
    </font>
    <font>
      <b/>
      <sz val="12"/>
      <color rgb="FFFF0000"/>
      <name val="Arial"/>
      <family val="2"/>
    </font>
    <font>
      <b/>
      <u/>
      <sz val="12"/>
      <color rgb="FF000000"/>
      <name val="Arial"/>
      <family val="2"/>
    </font>
    <font>
      <b/>
      <sz val="12"/>
      <color rgb="FF444444"/>
      <name val="Arial Black"/>
      <family val="2"/>
    </font>
    <font>
      <vertAlign val="subscript"/>
      <sz val="11"/>
      <color theme="1"/>
      <name val="Arial"/>
      <family val="2"/>
    </font>
    <font>
      <b/>
      <vertAlign val="superscript"/>
      <sz val="14"/>
      <color rgb="FF444444"/>
      <name val="Arial Black"/>
      <family val="2"/>
    </font>
    <font>
      <b/>
      <vertAlign val="superscript"/>
      <sz val="12"/>
      <color rgb="FF444444"/>
      <name val="Arial Black"/>
      <family val="2"/>
    </font>
  </fonts>
  <fills count="20">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5"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99FF99"/>
        <bgColor indexed="64"/>
      </patternFill>
    </fill>
    <fill>
      <patternFill patternType="solid">
        <fgColor rgb="FFFFCCCC"/>
        <bgColor indexed="64"/>
      </patternFill>
    </fill>
    <fill>
      <patternFill patternType="solid">
        <fgColor rgb="FFDAEEF3"/>
        <bgColor rgb="FF000000"/>
      </patternFill>
    </fill>
    <fill>
      <patternFill patternType="solid">
        <fgColor rgb="FFFFFFFF"/>
        <bgColor rgb="FF000000"/>
      </patternFill>
    </fill>
    <fill>
      <patternFill patternType="solid">
        <fgColor rgb="FFD9D9D9"/>
        <bgColor rgb="FF000000"/>
      </patternFill>
    </fill>
    <fill>
      <patternFill patternType="solid">
        <fgColor theme="0" tint="-0.249977111117893"/>
        <bgColor indexed="64"/>
      </patternFill>
    </fill>
  </fills>
  <borders count="43">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style="thin">
        <color indexed="64"/>
      </top>
      <bottom/>
      <diagonal/>
    </border>
    <border>
      <left/>
      <right style="thin">
        <color indexed="64"/>
      </right>
      <top style="thin">
        <color indexed="64"/>
      </top>
      <bottom/>
      <diagonal/>
    </border>
    <border>
      <left/>
      <right/>
      <top style="medium">
        <color rgb="FF000000"/>
      </top>
      <bottom/>
      <diagonal/>
    </border>
    <border>
      <left/>
      <right style="thin">
        <color indexed="64"/>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indexed="64"/>
      </bottom>
      <diagonal/>
    </border>
    <border>
      <left/>
      <right style="thin">
        <color indexed="64"/>
      </right>
      <top/>
      <bottom style="thin">
        <color indexed="64"/>
      </bottom>
      <diagonal/>
    </border>
    <border>
      <left/>
      <right/>
      <top/>
      <bottom style="medium">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bottom style="thin">
        <color indexed="64"/>
      </bottom>
      <diagonal/>
    </border>
    <border>
      <left style="thin">
        <color rgb="FF000000"/>
      </left>
      <right/>
      <top style="thin">
        <color indexed="64"/>
      </top>
      <bottom/>
      <diagonal/>
    </border>
    <border>
      <left style="thin">
        <color rgb="FF000000"/>
      </left>
      <right/>
      <top/>
      <bottom/>
      <diagonal/>
    </border>
    <border>
      <left style="medium">
        <color rgb="FF000000"/>
      </left>
      <right style="medium">
        <color rgb="FF000000"/>
      </right>
      <top style="thin">
        <color rgb="FF000000"/>
      </top>
      <bottom style="medium">
        <color rgb="FF000000"/>
      </bottom>
      <diagonal/>
    </border>
    <border>
      <left/>
      <right style="thin">
        <color rgb="FF000000"/>
      </right>
      <top/>
      <bottom/>
      <diagonal/>
    </border>
    <border>
      <left/>
      <right/>
      <top/>
      <bottom style="thin">
        <color rgb="FF000000"/>
      </bottom>
      <diagonal/>
    </border>
    <border>
      <left/>
      <right style="thin">
        <color indexed="64"/>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rgb="FF000000"/>
      </top>
      <bottom style="thin">
        <color indexed="64"/>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177" fontId="13" fillId="0" borderId="0" applyFont="0" applyFill="0" applyBorder="0" applyAlignment="0" applyProtection="0"/>
    <xf numFmtId="0" fontId="2" fillId="0" borderId="0" applyNumberFormat="0" applyFill="0" applyBorder="0" applyAlignment="0" applyProtection="0">
      <alignment vertical="center"/>
    </xf>
  </cellStyleXfs>
  <cellXfs count="360">
    <xf numFmtId="0" fontId="0" fillId="0" borderId="0" xfId="0">
      <alignment vertical="center"/>
    </xf>
    <xf numFmtId="0" fontId="3" fillId="0" borderId="0" xfId="0" applyFont="1" applyAlignment="1">
      <alignment vertical="center" wrapText="1"/>
    </xf>
    <xf numFmtId="0" fontId="4" fillId="0" borderId="0" xfId="0" applyFont="1">
      <alignment vertical="center"/>
    </xf>
    <xf numFmtId="0" fontId="5" fillId="0" borderId="2" xfId="0" applyFont="1" applyBorder="1" applyAlignment="1">
      <alignment horizontal="right" vertical="center"/>
    </xf>
    <xf numFmtId="0" fontId="4" fillId="0" borderId="3" xfId="0" applyFont="1" applyBorder="1" applyAlignment="1">
      <alignment vertical="center" wrapText="1"/>
    </xf>
    <xf numFmtId="0" fontId="5" fillId="0" borderId="4" xfId="0" applyFont="1" applyBorder="1" applyAlignment="1">
      <alignment horizontal="right" vertical="center"/>
    </xf>
    <xf numFmtId="0" fontId="4" fillId="0" borderId="5" xfId="0" applyFont="1" applyBorder="1">
      <alignment vertical="center"/>
    </xf>
    <xf numFmtId="0" fontId="5" fillId="0" borderId="6" xfId="0" applyFont="1" applyBorder="1" applyAlignment="1">
      <alignment horizontal="right" vertical="center"/>
    </xf>
    <xf numFmtId="0" fontId="4" fillId="0" borderId="7" xfId="0" applyFont="1" applyBorder="1">
      <alignment vertical="center"/>
    </xf>
    <xf numFmtId="0" fontId="5" fillId="0" borderId="0" xfId="0" applyFont="1" applyAlignment="1">
      <alignment horizontal="right" vertical="center"/>
    </xf>
    <xf numFmtId="0" fontId="4" fillId="0" borderId="3" xfId="0" applyFont="1" applyBorder="1">
      <alignment vertical="center"/>
    </xf>
    <xf numFmtId="0" fontId="4" fillId="0" borderId="5" xfId="0" applyFont="1" applyBorder="1" applyAlignment="1">
      <alignment vertical="center" wrapText="1"/>
    </xf>
    <xf numFmtId="0" fontId="4" fillId="0" borderId="7" xfId="0" applyFont="1" applyBorder="1" applyAlignment="1">
      <alignment vertical="center" wrapText="1"/>
    </xf>
    <xf numFmtId="0" fontId="7" fillId="0" borderId="0" xfId="0" applyFont="1">
      <alignment vertical="center"/>
    </xf>
    <xf numFmtId="0" fontId="8" fillId="0" borderId="0" xfId="0" applyFont="1">
      <alignment vertical="center"/>
    </xf>
    <xf numFmtId="3" fontId="0" fillId="0" borderId="0" xfId="0" applyNumberFormat="1">
      <alignment vertical="center"/>
    </xf>
    <xf numFmtId="15" fontId="4" fillId="0" borderId="5" xfId="0" applyNumberFormat="1" applyFont="1" applyBorder="1" applyAlignment="1">
      <alignment horizontal="left" vertical="center"/>
    </xf>
    <xf numFmtId="0" fontId="12" fillId="0" borderId="0" xfId="0" applyFont="1">
      <alignment vertical="center"/>
    </xf>
    <xf numFmtId="0" fontId="3" fillId="0" borderId="0" xfId="0" applyFont="1">
      <alignment vertical="center"/>
    </xf>
    <xf numFmtId="0" fontId="4" fillId="0" borderId="0" xfId="0" applyFont="1" applyAlignment="1">
      <alignment horizontal="center" vertical="center"/>
    </xf>
    <xf numFmtId="0" fontId="4" fillId="4" borderId="0" xfId="0" applyFont="1" applyFill="1" applyAlignment="1">
      <alignment horizontal="center" vertical="center"/>
    </xf>
    <xf numFmtId="178" fontId="4" fillId="0" borderId="0" xfId="0" applyNumberFormat="1" applyFont="1" applyAlignment="1">
      <alignment horizontal="center" vertical="center"/>
    </xf>
    <xf numFmtId="0" fontId="4" fillId="8" borderId="0" xfId="0" applyFont="1" applyFill="1" applyAlignment="1">
      <alignment horizontal="center" vertical="center"/>
    </xf>
    <xf numFmtId="0" fontId="5" fillId="0" borderId="0" xfId="0" applyFont="1" applyAlignment="1">
      <alignment horizontal="center" vertical="center" wrapText="1"/>
    </xf>
    <xf numFmtId="9" fontId="4" fillId="6" borderId="0" xfId="0" applyNumberFormat="1" applyFont="1" applyFill="1" applyAlignment="1">
      <alignment horizontal="center" vertical="center"/>
    </xf>
    <xf numFmtId="3" fontId="4" fillId="0" borderId="0" xfId="0" applyNumberFormat="1" applyFont="1" applyAlignment="1">
      <alignment horizontal="center" vertical="center"/>
    </xf>
    <xf numFmtId="0" fontId="14" fillId="8" borderId="0" xfId="0" applyFont="1" applyFill="1" applyAlignment="1">
      <alignment horizontal="center" vertical="center"/>
    </xf>
    <xf numFmtId="0" fontId="14" fillId="0" borderId="0" xfId="0" applyFont="1" applyAlignment="1">
      <alignment horizontal="center" vertical="center"/>
    </xf>
    <xf numFmtId="2" fontId="4" fillId="6" borderId="0" xfId="0" applyNumberFormat="1" applyFont="1" applyFill="1" applyAlignment="1">
      <alignment horizontal="center" vertical="center"/>
    </xf>
    <xf numFmtId="0" fontId="4" fillId="8" borderId="0" xfId="0" applyFont="1" applyFill="1" applyAlignment="1">
      <alignment horizontal="center" vertical="top" wrapText="1"/>
    </xf>
    <xf numFmtId="0" fontId="4" fillId="8" borderId="0" xfId="0" applyFont="1" applyFill="1" applyAlignment="1">
      <alignment horizontal="center" vertical="top"/>
    </xf>
    <xf numFmtId="180" fontId="4" fillId="0" borderId="0" xfId="0" applyNumberFormat="1" applyFont="1" applyAlignment="1">
      <alignment horizontal="center" vertical="center"/>
    </xf>
    <xf numFmtId="2" fontId="4" fillId="0" borderId="0" xfId="0" applyNumberFormat="1" applyFont="1" applyAlignment="1">
      <alignment horizontal="center" vertical="center"/>
    </xf>
    <xf numFmtId="0" fontId="9" fillId="4" borderId="0" xfId="0" applyFont="1" applyFill="1" applyAlignment="1">
      <alignment horizontal="center" vertical="center"/>
    </xf>
    <xf numFmtId="0" fontId="15" fillId="4" borderId="0" xfId="0" applyFont="1" applyFill="1" applyAlignment="1">
      <alignment horizontal="center" vertical="center"/>
    </xf>
    <xf numFmtId="0" fontId="17" fillId="4" borderId="0" xfId="0" applyFont="1" applyFill="1" applyAlignment="1">
      <alignment horizontal="center" vertical="center"/>
    </xf>
    <xf numFmtId="0" fontId="9" fillId="0" borderId="0" xfId="0" applyFont="1" applyAlignment="1">
      <alignment horizontal="center" vertical="center"/>
    </xf>
    <xf numFmtId="0" fontId="11" fillId="2" borderId="0" xfId="0" applyFont="1" applyFill="1" applyAlignment="1">
      <alignment vertical="center" wrapText="1" readingOrder="1"/>
    </xf>
    <xf numFmtId="0" fontId="9" fillId="2" borderId="0" xfId="0" applyFont="1" applyFill="1" applyAlignment="1">
      <alignment vertical="center" wrapText="1"/>
    </xf>
    <xf numFmtId="0" fontId="27" fillId="19" borderId="0" xfId="0" applyFont="1" applyFill="1">
      <alignment vertical="center"/>
    </xf>
    <xf numFmtId="0" fontId="30" fillId="19" borderId="0" xfId="0" applyFont="1" applyFill="1">
      <alignment vertical="center"/>
    </xf>
    <xf numFmtId="0" fontId="28" fillId="19" borderId="0" xfId="0" applyFont="1" applyFill="1" applyAlignment="1">
      <alignment horizontal="left" vertical="center"/>
    </xf>
    <xf numFmtId="0" fontId="28" fillId="19" borderId="0" xfId="0" applyFont="1" applyFill="1">
      <alignment vertical="center"/>
    </xf>
    <xf numFmtId="0" fontId="25" fillId="19" borderId="0" xfId="0" applyFont="1" applyFill="1">
      <alignment vertical="center"/>
    </xf>
    <xf numFmtId="0" fontId="31" fillId="19" borderId="0" xfId="0" applyFont="1" applyFill="1">
      <alignment vertical="center"/>
    </xf>
    <xf numFmtId="0" fontId="2" fillId="0" borderId="5" xfId="2" applyBorder="1">
      <alignment vertical="center"/>
    </xf>
    <xf numFmtId="0" fontId="22" fillId="16" borderId="2" xfId="0" applyFont="1" applyFill="1" applyBorder="1">
      <alignment vertical="center"/>
    </xf>
    <xf numFmtId="0" fontId="22" fillId="16" borderId="12" xfId="0" applyFont="1" applyFill="1" applyBorder="1">
      <alignment vertical="center"/>
    </xf>
    <xf numFmtId="0" fontId="22" fillId="16" borderId="3" xfId="0" applyFont="1" applyFill="1" applyBorder="1">
      <alignment vertical="center"/>
    </xf>
    <xf numFmtId="0" fontId="28" fillId="0" borderId="0" xfId="0" applyFont="1" applyAlignment="1">
      <alignment horizontal="center" vertical="center" wrapText="1"/>
    </xf>
    <xf numFmtId="0" fontId="26" fillId="8" borderId="0" xfId="0" applyFont="1" applyFill="1" applyAlignment="1">
      <alignment horizontal="center" vertical="center"/>
    </xf>
    <xf numFmtId="0" fontId="29" fillId="0" borderId="0" xfId="0" applyFont="1" applyAlignment="1">
      <alignment horizontal="center" vertical="center"/>
    </xf>
    <xf numFmtId="0" fontId="26" fillId="8" borderId="0" xfId="0" applyFont="1" applyFill="1" applyAlignment="1">
      <alignment horizontal="center" vertical="top"/>
    </xf>
    <xf numFmtId="0" fontId="3" fillId="7" borderId="0" xfId="0" applyFont="1" applyFill="1" applyAlignment="1">
      <alignment wrapText="1"/>
    </xf>
    <xf numFmtId="0" fontId="3" fillId="0" borderId="0" xfId="0" applyFont="1" applyAlignment="1">
      <alignment wrapText="1"/>
    </xf>
    <xf numFmtId="0" fontId="4" fillId="3" borderId="0" xfId="0" applyFont="1" applyFill="1">
      <alignment vertical="center"/>
    </xf>
    <xf numFmtId="0" fontId="4" fillId="19" borderId="2" xfId="0" applyFont="1" applyFill="1" applyBorder="1">
      <alignment vertical="center"/>
    </xf>
    <xf numFmtId="0" fontId="4" fillId="19" borderId="12" xfId="0" applyFont="1" applyFill="1" applyBorder="1">
      <alignment vertical="center"/>
    </xf>
    <xf numFmtId="0" fontId="4" fillId="19" borderId="3" xfId="0" applyFont="1" applyFill="1" applyBorder="1">
      <alignment vertical="center"/>
    </xf>
    <xf numFmtId="0" fontId="4" fillId="19" borderId="4" xfId="0" applyFont="1" applyFill="1" applyBorder="1">
      <alignment vertical="center"/>
    </xf>
    <xf numFmtId="0" fontId="4" fillId="19" borderId="0" xfId="0" applyFont="1" applyFill="1">
      <alignment vertical="center"/>
    </xf>
    <xf numFmtId="0" fontId="4" fillId="19" borderId="5" xfId="0" applyFont="1" applyFill="1" applyBorder="1">
      <alignment vertical="center"/>
    </xf>
    <xf numFmtId="0" fontId="5" fillId="19" borderId="0" xfId="0" applyFont="1" applyFill="1">
      <alignment vertical="center"/>
    </xf>
    <xf numFmtId="3" fontId="4" fillId="7" borderId="1" xfId="0" applyNumberFormat="1" applyFont="1" applyFill="1" applyBorder="1">
      <alignment vertical="center"/>
    </xf>
    <xf numFmtId="3" fontId="4" fillId="7" borderId="1" xfId="0" applyNumberFormat="1" applyFont="1" applyFill="1" applyBorder="1" applyAlignment="1">
      <alignment horizontal="right" vertical="center"/>
    </xf>
    <xf numFmtId="0" fontId="4" fillId="19" borderId="0" xfId="0" applyFont="1" applyFill="1" applyAlignment="1">
      <alignment horizontal="right" vertical="center"/>
    </xf>
    <xf numFmtId="0" fontId="9" fillId="19" borderId="0" xfId="0" applyFont="1" applyFill="1" applyAlignment="1">
      <alignment vertical="center" readingOrder="1"/>
    </xf>
    <xf numFmtId="0" fontId="4" fillId="7" borderId="1" xfId="0" applyFont="1" applyFill="1" applyBorder="1">
      <alignment vertical="center"/>
    </xf>
    <xf numFmtId="9" fontId="4" fillId="19" borderId="0" xfId="0" applyNumberFormat="1" applyFont="1" applyFill="1">
      <alignment vertical="center"/>
    </xf>
    <xf numFmtId="0" fontId="4" fillId="19" borderId="0" xfId="0" applyFont="1" applyFill="1" applyAlignment="1">
      <alignment horizontal="left" vertical="center"/>
    </xf>
    <xf numFmtId="187" fontId="4" fillId="7" borderId="1" xfId="0" applyNumberFormat="1" applyFont="1" applyFill="1" applyBorder="1" applyAlignment="1">
      <alignment horizontal="right" vertical="center"/>
    </xf>
    <xf numFmtId="2" fontId="4" fillId="7" borderId="1" xfId="0" applyNumberFormat="1" applyFont="1" applyFill="1" applyBorder="1" applyAlignment="1">
      <alignment horizontal="right" vertical="center"/>
    </xf>
    <xf numFmtId="0" fontId="9" fillId="19" borderId="0" xfId="0" applyFont="1" applyFill="1">
      <alignment vertical="center"/>
    </xf>
    <xf numFmtId="0" fontId="4" fillId="19" borderId="0" xfId="0" applyFont="1" applyFill="1" applyAlignment="1">
      <alignment horizontal="center" vertical="center"/>
    </xf>
    <xf numFmtId="0" fontId="9" fillId="19" borderId="0" xfId="0" applyFont="1" applyFill="1" applyAlignment="1">
      <alignment horizontal="left" vertical="center"/>
    </xf>
    <xf numFmtId="0" fontId="9" fillId="7" borderId="1" xfId="0" applyFont="1" applyFill="1" applyBorder="1">
      <alignment vertical="center"/>
    </xf>
    <xf numFmtId="0" fontId="4" fillId="19" borderId="6" xfId="0" applyFont="1" applyFill="1" applyBorder="1">
      <alignment vertical="center"/>
    </xf>
    <xf numFmtId="0" fontId="4" fillId="19" borderId="18" xfId="0" applyFont="1" applyFill="1" applyBorder="1">
      <alignment vertical="center"/>
    </xf>
    <xf numFmtId="0" fontId="4" fillId="19" borderId="7" xfId="0" applyFont="1" applyFill="1" applyBorder="1">
      <alignment vertical="center"/>
    </xf>
    <xf numFmtId="0" fontId="37" fillId="0" borderId="0" xfId="0" applyFont="1">
      <alignment vertical="center"/>
    </xf>
    <xf numFmtId="0" fontId="4" fillId="7" borderId="0" xfId="0" applyFont="1" applyFill="1">
      <alignment vertical="center"/>
    </xf>
    <xf numFmtId="0" fontId="38" fillId="0" borderId="0" xfId="0" applyFont="1">
      <alignment vertical="center"/>
    </xf>
    <xf numFmtId="0" fontId="5" fillId="0" borderId="0" xfId="0" applyFont="1">
      <alignment vertical="center"/>
    </xf>
    <xf numFmtId="0" fontId="14" fillId="4" borderId="0" xfId="0" applyFont="1" applyFill="1" applyAlignment="1">
      <alignment horizontal="center" vertical="center"/>
    </xf>
    <xf numFmtId="0" fontId="4" fillId="4" borderId="0" xfId="0" applyFont="1" applyFill="1">
      <alignment vertical="center"/>
    </xf>
    <xf numFmtId="3" fontId="41" fillId="0" borderId="0" xfId="0" applyNumberFormat="1" applyFont="1" applyAlignment="1">
      <alignment horizontal="center" vertical="center"/>
    </xf>
    <xf numFmtId="9" fontId="4" fillId="0" borderId="0" xfId="0" applyNumberFormat="1" applyFont="1">
      <alignment vertical="center"/>
    </xf>
    <xf numFmtId="4" fontId="4" fillId="0" borderId="0" xfId="0" applyNumberFormat="1" applyFont="1" applyAlignment="1">
      <alignment horizontal="center" vertical="center"/>
    </xf>
    <xf numFmtId="0" fontId="41" fillId="4" borderId="0" xfId="0" applyFont="1" applyFill="1" applyAlignment="1">
      <alignment horizontal="center" vertical="center"/>
    </xf>
    <xf numFmtId="0" fontId="4" fillId="6" borderId="0" xfId="0" applyFont="1" applyFill="1" applyAlignment="1">
      <alignment horizontal="center" vertical="center"/>
    </xf>
    <xf numFmtId="3" fontId="4" fillId="0" borderId="0" xfId="0" applyNumberFormat="1" applyFont="1">
      <alignment vertical="center"/>
    </xf>
    <xf numFmtId="3" fontId="4" fillId="4" borderId="0" xfId="0" applyNumberFormat="1" applyFont="1" applyFill="1">
      <alignment vertical="center"/>
    </xf>
    <xf numFmtId="0" fontId="4" fillId="12" borderId="10" xfId="0" applyFont="1" applyFill="1" applyBorder="1" applyAlignment="1">
      <alignment horizontal="center" vertical="center"/>
    </xf>
    <xf numFmtId="0" fontId="9" fillId="12" borderId="11" xfId="0" applyFont="1" applyFill="1" applyBorder="1" applyAlignment="1">
      <alignment horizontal="center" vertical="center"/>
    </xf>
    <xf numFmtId="0" fontId="4" fillId="12" borderId="0" xfId="0" applyFont="1" applyFill="1" applyAlignment="1">
      <alignment horizontal="center" vertical="center"/>
    </xf>
    <xf numFmtId="3" fontId="4" fillId="0" borderId="13" xfId="1" applyNumberFormat="1" applyFont="1" applyBorder="1" applyAlignment="1">
      <alignment horizontal="right" vertical="center"/>
    </xf>
    <xf numFmtId="0" fontId="4" fillId="12" borderId="16" xfId="0" applyFont="1" applyFill="1" applyBorder="1" applyAlignment="1">
      <alignment horizontal="center" vertical="center"/>
    </xf>
    <xf numFmtId="182" fontId="4" fillId="14" borderId="17" xfId="1" applyNumberFormat="1" applyFont="1" applyFill="1" applyBorder="1" applyAlignment="1">
      <alignment horizontal="center" vertical="center"/>
    </xf>
    <xf numFmtId="0" fontId="9" fillId="12" borderId="10" xfId="0" applyFont="1" applyFill="1" applyBorder="1" applyAlignment="1">
      <alignment horizontal="center" vertical="center"/>
    </xf>
    <xf numFmtId="0" fontId="4" fillId="12" borderId="11" xfId="0" applyFont="1" applyFill="1" applyBorder="1" applyAlignment="1">
      <alignment horizontal="center" vertical="center"/>
    </xf>
    <xf numFmtId="3" fontId="4" fillId="0" borderId="0" xfId="1" applyNumberFormat="1" applyFont="1" applyAlignment="1">
      <alignment horizontal="right" vertical="center"/>
    </xf>
    <xf numFmtId="182" fontId="4" fillId="0" borderId="16" xfId="1" applyNumberFormat="1" applyFont="1" applyBorder="1" applyAlignment="1">
      <alignment horizontal="center" vertical="center"/>
    </xf>
    <xf numFmtId="0" fontId="4" fillId="12" borderId="20" xfId="0" applyFont="1" applyFill="1" applyBorder="1" applyAlignment="1">
      <alignment horizontal="center" vertical="center"/>
    </xf>
    <xf numFmtId="0" fontId="9" fillId="12" borderId="21" xfId="0" applyFont="1" applyFill="1" applyBorder="1" applyAlignment="1">
      <alignment horizontal="center" vertical="center"/>
    </xf>
    <xf numFmtId="0" fontId="4" fillId="12" borderId="22" xfId="0" applyFont="1" applyFill="1" applyBorder="1" applyAlignment="1">
      <alignment horizontal="center" vertical="center"/>
    </xf>
    <xf numFmtId="1" fontId="4" fillId="0" borderId="0" xfId="1" applyNumberFormat="1" applyFont="1" applyAlignment="1">
      <alignment vertical="center"/>
    </xf>
    <xf numFmtId="1" fontId="4" fillId="0" borderId="13" xfId="1" applyNumberFormat="1" applyFont="1" applyBorder="1" applyAlignment="1">
      <alignment vertical="center"/>
    </xf>
    <xf numFmtId="182" fontId="4" fillId="0" borderId="16" xfId="1" applyNumberFormat="1" applyFont="1" applyBorder="1" applyAlignment="1">
      <alignment vertical="center"/>
    </xf>
    <xf numFmtId="182" fontId="4" fillId="14" borderId="17" xfId="1" applyNumberFormat="1" applyFont="1" applyFill="1" applyBorder="1" applyAlignment="1">
      <alignment vertical="center"/>
    </xf>
    <xf numFmtId="38" fontId="4" fillId="0" borderId="0" xfId="0" applyNumberFormat="1" applyFont="1">
      <alignment vertical="center"/>
    </xf>
    <xf numFmtId="38" fontId="4" fillId="0" borderId="0" xfId="1" applyNumberFormat="1" applyFont="1" applyAlignment="1">
      <alignment vertical="center"/>
    </xf>
    <xf numFmtId="38" fontId="4" fillId="0" borderId="13" xfId="1" applyNumberFormat="1" applyFont="1" applyBorder="1" applyAlignment="1">
      <alignment vertical="center"/>
    </xf>
    <xf numFmtId="38" fontId="4" fillId="0" borderId="16" xfId="1" applyNumberFormat="1" applyFont="1" applyBorder="1" applyAlignment="1">
      <alignment vertical="center"/>
    </xf>
    <xf numFmtId="38" fontId="4" fillId="0" borderId="16" xfId="0" applyNumberFormat="1" applyFont="1" applyBorder="1">
      <alignment vertical="center"/>
    </xf>
    <xf numFmtId="3" fontId="4" fillId="0" borderId="0" xfId="1" applyNumberFormat="1" applyFont="1" applyAlignment="1">
      <alignment vertical="center"/>
    </xf>
    <xf numFmtId="182" fontId="4" fillId="0" borderId="13" xfId="1" applyNumberFormat="1" applyFont="1" applyBorder="1" applyAlignment="1">
      <alignment vertical="center"/>
    </xf>
    <xf numFmtId="3" fontId="4" fillId="0" borderId="13" xfId="1" applyNumberFormat="1" applyFont="1" applyBorder="1" applyAlignment="1">
      <alignment vertical="center"/>
    </xf>
    <xf numFmtId="182" fontId="4" fillId="0" borderId="26" xfId="1" applyNumberFormat="1" applyFont="1" applyBorder="1" applyAlignment="1">
      <alignment vertical="center"/>
    </xf>
    <xf numFmtId="0" fontId="4" fillId="13" borderId="2" xfId="0" applyFont="1" applyFill="1" applyBorder="1" applyAlignment="1">
      <alignment horizontal="center" vertical="center"/>
    </xf>
    <xf numFmtId="0" fontId="4" fillId="13" borderId="12" xfId="0" applyFont="1" applyFill="1" applyBorder="1" applyAlignment="1">
      <alignment horizontal="center" vertical="center"/>
    </xf>
    <xf numFmtId="0" fontId="4" fillId="13" borderId="3" xfId="0" applyFont="1" applyFill="1" applyBorder="1" applyAlignment="1">
      <alignment horizontal="center" vertical="center"/>
    </xf>
    <xf numFmtId="0" fontId="5" fillId="3" borderId="0" xfId="0" applyFont="1" applyFill="1" applyAlignment="1">
      <alignment horizontal="center" vertical="center"/>
    </xf>
    <xf numFmtId="177" fontId="4" fillId="0" borderId="0" xfId="1" applyFont="1" applyAlignment="1">
      <alignment horizontal="center" vertical="center"/>
    </xf>
    <xf numFmtId="41" fontId="4" fillId="0" borderId="13" xfId="0" applyNumberFormat="1" applyFont="1" applyBorder="1" applyAlignment="1">
      <alignment horizontal="center" vertical="center"/>
    </xf>
    <xf numFmtId="0" fontId="4" fillId="13" borderId="4" xfId="0" applyFont="1" applyFill="1" applyBorder="1" applyAlignment="1">
      <alignment horizontal="center" vertical="center"/>
    </xf>
    <xf numFmtId="181" fontId="4" fillId="0" borderId="0" xfId="0" applyNumberFormat="1" applyFont="1" applyAlignment="1">
      <alignment horizontal="center" vertical="center"/>
    </xf>
    <xf numFmtId="181" fontId="4" fillId="0" borderId="5" xfId="0" applyNumberFormat="1" applyFont="1" applyBorder="1" applyAlignment="1">
      <alignment horizontal="center" vertical="center"/>
    </xf>
    <xf numFmtId="177" fontId="4" fillId="0" borderId="16" xfId="1" applyFont="1" applyBorder="1" applyAlignment="1">
      <alignment horizontal="center" vertical="center"/>
    </xf>
    <xf numFmtId="177" fontId="4" fillId="14" borderId="17" xfId="1" applyFont="1" applyFill="1" applyBorder="1" applyAlignment="1">
      <alignment horizontal="center" vertical="center"/>
    </xf>
    <xf numFmtId="0" fontId="4" fillId="13" borderId="6" xfId="0" applyFont="1" applyFill="1" applyBorder="1" applyAlignment="1">
      <alignment horizontal="center" vertical="center"/>
    </xf>
    <xf numFmtId="181" fontId="4" fillId="0" borderId="18" xfId="0" applyNumberFormat="1" applyFont="1" applyBorder="1" applyAlignment="1">
      <alignment horizontal="center" vertical="center"/>
    </xf>
    <xf numFmtId="181" fontId="4" fillId="0" borderId="7" xfId="0" applyNumberFormat="1" applyFont="1" applyBorder="1" applyAlignment="1">
      <alignment horizontal="center" vertical="center"/>
    </xf>
    <xf numFmtId="41" fontId="4" fillId="14" borderId="17" xfId="0" applyNumberFormat="1" applyFont="1" applyFill="1" applyBorder="1" applyAlignment="1">
      <alignment horizontal="center" vertical="center"/>
    </xf>
    <xf numFmtId="26" fontId="4" fillId="0" borderId="0" xfId="0" applyNumberFormat="1" applyFont="1" applyAlignment="1">
      <alignment horizontal="center" vertical="center"/>
    </xf>
    <xf numFmtId="0" fontId="4" fillId="13" borderId="31" xfId="0" applyFont="1" applyFill="1" applyBorder="1" applyAlignment="1">
      <alignment horizontal="center" vertical="center"/>
    </xf>
    <xf numFmtId="0" fontId="4" fillId="13" borderId="19" xfId="0" applyFont="1" applyFill="1" applyBorder="1" applyAlignment="1">
      <alignment horizontal="center" vertical="center"/>
    </xf>
    <xf numFmtId="176" fontId="4" fillId="0" borderId="0" xfId="0" applyNumberFormat="1" applyFont="1" applyAlignment="1">
      <alignment horizontal="center" vertical="center"/>
    </xf>
    <xf numFmtId="0" fontId="4" fillId="0" borderId="5" xfId="0" applyFont="1" applyBorder="1" applyAlignment="1">
      <alignment horizontal="center" vertical="center"/>
    </xf>
    <xf numFmtId="3" fontId="4" fillId="4" borderId="0" xfId="0" applyNumberFormat="1" applyFont="1" applyFill="1" applyAlignment="1">
      <alignment horizontal="center" vertical="center"/>
    </xf>
    <xf numFmtId="3" fontId="9" fillId="4" borderId="0" xfId="0" applyNumberFormat="1" applyFont="1" applyFill="1" applyAlignment="1">
      <alignment horizontal="center" vertical="center"/>
    </xf>
    <xf numFmtId="0" fontId="9" fillId="13" borderId="19" xfId="0" applyFont="1" applyFill="1" applyBorder="1" applyAlignment="1">
      <alignment horizontal="center" vertical="center"/>
    </xf>
    <xf numFmtId="0" fontId="9" fillId="13" borderId="23" xfId="0" applyFont="1" applyFill="1" applyBorder="1" applyAlignment="1">
      <alignment horizontal="center" vertical="center"/>
    </xf>
    <xf numFmtId="0" fontId="9" fillId="0" borderId="0" xfId="0" applyFont="1">
      <alignment vertical="center"/>
    </xf>
    <xf numFmtId="38" fontId="4" fillId="4" borderId="0" xfId="0" applyNumberFormat="1" applyFont="1" applyFill="1" applyAlignment="1">
      <alignment horizontal="center" vertical="center"/>
    </xf>
    <xf numFmtId="38" fontId="9" fillId="4" borderId="0" xfId="0" applyNumberFormat="1" applyFont="1" applyFill="1" applyAlignment="1">
      <alignment horizontal="center" vertical="center"/>
    </xf>
    <xf numFmtId="38" fontId="4" fillId="0" borderId="0" xfId="0" applyNumberFormat="1" applyFont="1" applyAlignment="1">
      <alignment horizontal="center" vertical="center"/>
    </xf>
    <xf numFmtId="0" fontId="4" fillId="12" borderId="9" xfId="0" applyFont="1" applyFill="1" applyBorder="1" applyAlignment="1">
      <alignment horizontal="center" vertical="center"/>
    </xf>
    <xf numFmtId="0" fontId="4" fillId="12" borderId="27" xfId="0" applyFont="1" applyFill="1" applyBorder="1" applyAlignment="1">
      <alignment horizontal="center" vertical="center"/>
    </xf>
    <xf numFmtId="0" fontId="4" fillId="0" borderId="0" xfId="0" applyFont="1" applyAlignment="1">
      <alignment horizontal="center" vertical="center" wrapText="1"/>
    </xf>
    <xf numFmtId="182" fontId="4" fillId="0" borderId="0" xfId="1" applyNumberFormat="1" applyFont="1" applyAlignment="1">
      <alignment horizontal="center" vertical="center"/>
    </xf>
    <xf numFmtId="0" fontId="4" fillId="0" borderId="24" xfId="0" applyFont="1" applyBorder="1" applyAlignment="1">
      <alignment horizontal="center" vertical="center"/>
    </xf>
    <xf numFmtId="183" fontId="4" fillId="0" borderId="32" xfId="0" applyNumberFormat="1" applyFont="1" applyBorder="1" applyAlignment="1">
      <alignment horizontal="center" vertical="center"/>
    </xf>
    <xf numFmtId="0" fontId="4" fillId="0" borderId="16" xfId="0" applyFont="1" applyBorder="1" applyAlignment="1">
      <alignment horizontal="center" vertical="center"/>
    </xf>
    <xf numFmtId="182" fontId="4" fillId="14" borderId="16" xfId="1" applyNumberFormat="1" applyFont="1" applyFill="1" applyBorder="1" applyAlignment="1">
      <alignment horizontal="center" vertical="center"/>
    </xf>
    <xf numFmtId="183" fontId="4" fillId="0" borderId="33" xfId="0" applyNumberFormat="1" applyFont="1" applyBorder="1" applyAlignment="1">
      <alignment horizontal="center" vertical="center"/>
    </xf>
    <xf numFmtId="0" fontId="9" fillId="12" borderId="0" xfId="0" applyFont="1" applyFill="1" applyAlignment="1">
      <alignment horizontal="center" vertical="center"/>
    </xf>
    <xf numFmtId="0" fontId="9" fillId="12" borderId="9" xfId="0" applyFont="1" applyFill="1" applyBorder="1" applyAlignment="1">
      <alignment horizontal="center" vertical="center"/>
    </xf>
    <xf numFmtId="182" fontId="4" fillId="0" borderId="24" xfId="1" applyNumberFormat="1" applyFont="1" applyBorder="1" applyAlignment="1">
      <alignment horizontal="center" vertical="center"/>
    </xf>
    <xf numFmtId="182" fontId="4" fillId="0" borderId="0" xfId="0" applyNumberFormat="1" applyFont="1" applyAlignment="1">
      <alignment horizontal="center" vertical="center"/>
    </xf>
    <xf numFmtId="38" fontId="9" fillId="12" borderId="0" xfId="0" applyNumberFormat="1" applyFont="1" applyFill="1" applyAlignment="1">
      <alignment horizontal="center" vertical="center"/>
    </xf>
    <xf numFmtId="183" fontId="4" fillId="7" borderId="32" xfId="0" applyNumberFormat="1" applyFont="1" applyFill="1" applyBorder="1" applyAlignment="1">
      <alignment horizontal="center" vertical="center"/>
    </xf>
    <xf numFmtId="183" fontId="4" fillId="15" borderId="33" xfId="0" applyNumberFormat="1" applyFont="1" applyFill="1" applyBorder="1" applyAlignment="1">
      <alignment horizontal="center" vertical="center"/>
    </xf>
    <xf numFmtId="38" fontId="4" fillId="12" borderId="0" xfId="0" applyNumberFormat="1" applyFont="1" applyFill="1" applyAlignment="1">
      <alignment horizontal="center" vertical="center"/>
    </xf>
    <xf numFmtId="0" fontId="4" fillId="0" borderId="25" xfId="0" applyFont="1" applyBorder="1" applyAlignment="1">
      <alignment horizontal="center" vertical="center"/>
    </xf>
    <xf numFmtId="0" fontId="4" fillId="0" borderId="28" xfId="0" applyFont="1" applyBorder="1" applyAlignment="1">
      <alignment horizontal="center" vertical="center"/>
    </xf>
    <xf numFmtId="0" fontId="4" fillId="0" borderId="9" xfId="0" applyFont="1" applyBorder="1" applyAlignment="1">
      <alignment horizontal="center" vertical="center"/>
    </xf>
    <xf numFmtId="0" fontId="4" fillId="6" borderId="1" xfId="0" applyFont="1" applyFill="1" applyBorder="1" applyAlignment="1">
      <alignment horizontal="center" vertical="center"/>
    </xf>
    <xf numFmtId="176" fontId="4" fillId="0" borderId="1" xfId="0" applyNumberFormat="1" applyFont="1" applyBorder="1" applyAlignment="1">
      <alignment horizontal="center" vertical="center"/>
    </xf>
    <xf numFmtId="179" fontId="4" fillId="0" borderId="0" xfId="0" applyNumberFormat="1" applyFont="1" applyAlignment="1">
      <alignment horizontal="center" vertical="center"/>
    </xf>
    <xf numFmtId="0" fontId="17" fillId="0" borderId="0" xfId="0" applyFont="1">
      <alignment vertical="center"/>
    </xf>
    <xf numFmtId="181" fontId="5" fillId="0" borderId="0" xfId="0" applyNumberFormat="1" applyFont="1" applyAlignment="1">
      <alignment horizontal="center" vertical="center"/>
    </xf>
    <xf numFmtId="0" fontId="17" fillId="18" borderId="2" xfId="0" applyFont="1" applyFill="1" applyBorder="1">
      <alignment vertical="center"/>
    </xf>
    <xf numFmtId="0" fontId="17" fillId="18" borderId="12" xfId="0" applyFont="1" applyFill="1" applyBorder="1">
      <alignment vertical="center"/>
    </xf>
    <xf numFmtId="0" fontId="17" fillId="18" borderId="3" xfId="0" applyFont="1" applyFill="1" applyBorder="1">
      <alignment vertical="center"/>
    </xf>
    <xf numFmtId="0" fontId="17" fillId="18" borderId="2" xfId="0" applyFont="1" applyFill="1" applyBorder="1" applyAlignment="1">
      <alignment horizontal="left" vertical="center"/>
    </xf>
    <xf numFmtId="0" fontId="17" fillId="18" borderId="12" xfId="0" applyFont="1" applyFill="1" applyBorder="1" applyAlignment="1">
      <alignment horizontal="left" vertical="center"/>
    </xf>
    <xf numFmtId="0" fontId="17" fillId="18" borderId="3" xfId="0" applyFont="1" applyFill="1" applyBorder="1" applyAlignment="1">
      <alignment horizontal="left" vertical="center"/>
    </xf>
    <xf numFmtId="184" fontId="4" fillId="0" borderId="0" xfId="0" applyNumberFormat="1" applyFont="1">
      <alignment vertical="center"/>
    </xf>
    <xf numFmtId="0" fontId="17" fillId="18" borderId="4" xfId="0" applyFont="1" applyFill="1" applyBorder="1">
      <alignment vertical="center"/>
    </xf>
    <xf numFmtId="0" fontId="43" fillId="18" borderId="0" xfId="0" applyFont="1" applyFill="1">
      <alignment vertical="center"/>
    </xf>
    <xf numFmtId="0" fontId="44" fillId="18" borderId="0" xfId="0" applyFont="1" applyFill="1">
      <alignment vertical="center"/>
    </xf>
    <xf numFmtId="0" fontId="43" fillId="18" borderId="5" xfId="0" applyFont="1" applyFill="1" applyBorder="1">
      <alignment vertical="center"/>
    </xf>
    <xf numFmtId="0" fontId="17" fillId="18" borderId="4" xfId="0" applyFont="1" applyFill="1" applyBorder="1" applyAlignment="1">
      <alignment horizontal="left" vertical="center"/>
    </xf>
    <xf numFmtId="0" fontId="43" fillId="18" borderId="0" xfId="0" applyFont="1" applyFill="1" applyAlignment="1">
      <alignment horizontal="left" vertical="center"/>
    </xf>
    <xf numFmtId="0" fontId="25" fillId="18" borderId="0" xfId="0" applyFont="1" applyFill="1" applyAlignment="1">
      <alignment horizontal="left" vertical="center"/>
    </xf>
    <xf numFmtId="0" fontId="9" fillId="18" borderId="0" xfId="0" applyFont="1" applyFill="1" applyAlignment="1">
      <alignment horizontal="left" vertical="center"/>
    </xf>
    <xf numFmtId="0" fontId="43" fillId="18" borderId="5" xfId="0" applyFont="1" applyFill="1" applyBorder="1" applyAlignment="1">
      <alignment horizontal="left" vertical="center"/>
    </xf>
    <xf numFmtId="0" fontId="17" fillId="18" borderId="0" xfId="0" applyFont="1" applyFill="1">
      <alignment vertical="center"/>
    </xf>
    <xf numFmtId="0" fontId="17" fillId="18" borderId="5" xfId="0" applyFont="1" applyFill="1" applyBorder="1">
      <alignment vertical="center"/>
    </xf>
    <xf numFmtId="0" fontId="17" fillId="18" borderId="0" xfId="0" applyFont="1" applyFill="1" applyAlignment="1">
      <alignment horizontal="left" vertical="center"/>
    </xf>
    <xf numFmtId="0" fontId="17" fillId="18" borderId="5" xfId="0" applyFont="1" applyFill="1" applyBorder="1" applyAlignment="1">
      <alignment horizontal="left" vertical="center"/>
    </xf>
    <xf numFmtId="185" fontId="4" fillId="0" borderId="0" xfId="0" applyNumberFormat="1" applyFont="1" applyAlignment="1">
      <alignment horizontal="center" vertical="center"/>
    </xf>
    <xf numFmtId="0" fontId="45" fillId="18" borderId="37" xfId="0" applyFont="1" applyFill="1" applyBorder="1">
      <alignment vertical="center"/>
    </xf>
    <xf numFmtId="176" fontId="4" fillId="12" borderId="5" xfId="0" applyNumberFormat="1" applyFont="1" applyFill="1" applyBorder="1">
      <alignment vertical="center"/>
    </xf>
    <xf numFmtId="3" fontId="9" fillId="17" borderId="1" xfId="0" applyNumberFormat="1" applyFont="1" applyFill="1" applyBorder="1">
      <alignment vertical="center"/>
    </xf>
    <xf numFmtId="3" fontId="9" fillId="0" borderId="1" xfId="0" applyNumberFormat="1" applyFont="1" applyBorder="1">
      <alignment vertical="center"/>
    </xf>
    <xf numFmtId="0" fontId="9" fillId="18" borderId="5" xfId="0" applyFont="1" applyFill="1" applyBorder="1" applyAlignment="1">
      <alignment horizontal="left" vertical="center"/>
    </xf>
    <xf numFmtId="181" fontId="4" fillId="0" borderId="0" xfId="0" applyNumberFormat="1" applyFont="1">
      <alignment vertical="center"/>
    </xf>
    <xf numFmtId="0" fontId="45" fillId="7" borderId="38" xfId="0" applyFont="1" applyFill="1" applyBorder="1">
      <alignment vertical="center"/>
    </xf>
    <xf numFmtId="10" fontId="4" fillId="0" borderId="0" xfId="0" applyNumberFormat="1" applyFont="1" applyAlignment="1">
      <alignment horizontal="center" vertical="center"/>
    </xf>
    <xf numFmtId="0" fontId="17" fillId="17" borderId="38" xfId="0" applyFont="1" applyFill="1" applyBorder="1">
      <alignment vertical="center"/>
    </xf>
    <xf numFmtId="0" fontId="9" fillId="18" borderId="25" xfId="0" applyFont="1" applyFill="1" applyBorder="1" applyAlignment="1">
      <alignment horizontal="left" vertical="center"/>
    </xf>
    <xf numFmtId="0" fontId="45" fillId="18" borderId="0" xfId="0" applyFont="1" applyFill="1" applyAlignment="1">
      <alignment horizontal="left" vertical="center"/>
    </xf>
    <xf numFmtId="0" fontId="43" fillId="18" borderId="9" xfId="0" applyFont="1" applyFill="1" applyBorder="1">
      <alignment vertical="center"/>
    </xf>
    <xf numFmtId="0" fontId="46" fillId="18" borderId="0" xfId="0" applyFont="1" applyFill="1">
      <alignment vertical="center"/>
    </xf>
    <xf numFmtId="0" fontId="46" fillId="18" borderId="0" xfId="0" applyFont="1" applyFill="1" applyAlignment="1">
      <alignment horizontal="left" vertical="center"/>
    </xf>
    <xf numFmtId="176" fontId="4" fillId="0" borderId="0" xfId="0" applyNumberFormat="1" applyFont="1">
      <alignment vertical="center"/>
    </xf>
    <xf numFmtId="179" fontId="4" fillId="0" borderId="0" xfId="0" applyNumberFormat="1" applyFont="1">
      <alignment vertical="center"/>
    </xf>
    <xf numFmtId="0" fontId="47" fillId="12" borderId="0" xfId="0" applyFont="1" applyFill="1">
      <alignment vertical="center"/>
    </xf>
    <xf numFmtId="0" fontId="45" fillId="18" borderId="0" xfId="0" applyFont="1" applyFill="1">
      <alignment vertical="center"/>
    </xf>
    <xf numFmtId="0" fontId="17" fillId="12" borderId="5" xfId="0" applyFont="1" applyFill="1" applyBorder="1">
      <alignment vertical="center"/>
    </xf>
    <xf numFmtId="0" fontId="47" fillId="18" borderId="0" xfId="0" applyFont="1" applyFill="1" applyAlignment="1">
      <alignment horizontal="left" vertical="center"/>
    </xf>
    <xf numFmtId="0" fontId="4" fillId="12" borderId="0" xfId="0" applyFont="1" applyFill="1">
      <alignment vertical="center"/>
    </xf>
    <xf numFmtId="0" fontId="43" fillId="12" borderId="5" xfId="0" applyFont="1" applyFill="1" applyBorder="1">
      <alignment vertical="center"/>
    </xf>
    <xf numFmtId="3" fontId="9" fillId="0" borderId="37" xfId="0" applyNumberFormat="1" applyFont="1" applyBorder="1">
      <alignment vertical="center"/>
    </xf>
    <xf numFmtId="0" fontId="17" fillId="18" borderId="0" xfId="0" applyFont="1" applyFill="1" applyAlignment="1">
      <alignment horizontal="center" vertical="center"/>
    </xf>
    <xf numFmtId="0" fontId="17" fillId="17" borderId="34" xfId="0" applyFont="1" applyFill="1" applyBorder="1">
      <alignment vertical="center"/>
    </xf>
    <xf numFmtId="181" fontId="17" fillId="12" borderId="5" xfId="0" applyNumberFormat="1" applyFont="1" applyFill="1" applyBorder="1">
      <alignment vertical="center"/>
    </xf>
    <xf numFmtId="0" fontId="17" fillId="17" borderId="35" xfId="0" applyFont="1" applyFill="1" applyBorder="1">
      <alignment vertical="center"/>
    </xf>
    <xf numFmtId="0" fontId="17" fillId="18" borderId="25" xfId="0" applyFont="1" applyFill="1" applyBorder="1">
      <alignment vertical="center"/>
    </xf>
    <xf numFmtId="181" fontId="43" fillId="12" borderId="5" xfId="0" applyNumberFormat="1" applyFont="1" applyFill="1" applyBorder="1">
      <alignment vertical="center"/>
    </xf>
    <xf numFmtId="181" fontId="4" fillId="12" borderId="5" xfId="0" applyNumberFormat="1" applyFont="1" applyFill="1" applyBorder="1">
      <alignment vertical="center"/>
    </xf>
    <xf numFmtId="0" fontId="48" fillId="12" borderId="0" xfId="0" applyFont="1" applyFill="1" applyAlignment="1">
      <alignment horizontal="left" vertical="center"/>
    </xf>
    <xf numFmtId="0" fontId="9" fillId="0" borderId="1" xfId="0" applyFont="1" applyBorder="1">
      <alignment vertical="center"/>
    </xf>
    <xf numFmtId="176" fontId="5" fillId="12" borderId="5" xfId="0" applyNumberFormat="1" applyFont="1" applyFill="1" applyBorder="1">
      <alignment vertical="center"/>
    </xf>
    <xf numFmtId="0" fontId="25" fillId="18" borderId="5" xfId="0" applyFont="1" applyFill="1" applyBorder="1" applyAlignment="1">
      <alignment horizontal="left" vertical="center"/>
    </xf>
    <xf numFmtId="0" fontId="17" fillId="18" borderId="16" xfId="0" applyFont="1" applyFill="1" applyBorder="1">
      <alignment vertical="center"/>
    </xf>
    <xf numFmtId="0" fontId="17" fillId="0" borderId="36" xfId="0" applyFont="1" applyBorder="1">
      <alignment vertical="center"/>
    </xf>
    <xf numFmtId="176" fontId="5" fillId="0" borderId="0" xfId="0" applyNumberFormat="1" applyFont="1" applyAlignment="1">
      <alignment horizontal="center" vertical="center"/>
    </xf>
    <xf numFmtId="0" fontId="4" fillId="12" borderId="4" xfId="0" applyFont="1" applyFill="1" applyBorder="1">
      <alignment vertical="center"/>
    </xf>
    <xf numFmtId="0" fontId="4" fillId="12" borderId="5" xfId="0" applyFont="1" applyFill="1" applyBorder="1">
      <alignment vertical="center"/>
    </xf>
    <xf numFmtId="0" fontId="9" fillId="18" borderId="4" xfId="0" applyFont="1" applyFill="1" applyBorder="1" applyAlignment="1">
      <alignment horizontal="left" vertical="center"/>
    </xf>
    <xf numFmtId="0" fontId="5" fillId="0" borderId="41" xfId="0" applyFont="1" applyBorder="1">
      <alignment vertical="center"/>
    </xf>
    <xf numFmtId="0" fontId="4" fillId="12" borderId="6" xfId="0" applyFont="1" applyFill="1" applyBorder="1">
      <alignment vertical="center"/>
    </xf>
    <xf numFmtId="0" fontId="4" fillId="12" borderId="18" xfId="0" applyFont="1" applyFill="1" applyBorder="1">
      <alignment vertical="center"/>
    </xf>
    <xf numFmtId="0" fontId="4" fillId="12" borderId="7" xfId="0" applyFont="1" applyFill="1" applyBorder="1">
      <alignment vertical="center"/>
    </xf>
    <xf numFmtId="0" fontId="9" fillId="18" borderId="6" xfId="0" applyFont="1" applyFill="1" applyBorder="1" applyAlignment="1">
      <alignment horizontal="left" vertical="center"/>
    </xf>
    <xf numFmtId="0" fontId="9" fillId="18" borderId="18" xfId="0" applyFont="1" applyFill="1" applyBorder="1" applyAlignment="1">
      <alignment horizontal="left" vertical="center"/>
    </xf>
    <xf numFmtId="0" fontId="9" fillId="18" borderId="7" xfId="0" applyFont="1" applyFill="1" applyBorder="1" applyAlignment="1">
      <alignment horizontal="left" vertical="center"/>
    </xf>
    <xf numFmtId="176" fontId="4" fillId="7" borderId="42" xfId="0" applyNumberFormat="1" applyFont="1" applyFill="1" applyBorder="1">
      <alignment vertical="center"/>
    </xf>
    <xf numFmtId="0" fontId="4" fillId="3" borderId="41" xfId="0" applyFont="1" applyFill="1" applyBorder="1">
      <alignment vertical="center"/>
    </xf>
    <xf numFmtId="176" fontId="4" fillId="3" borderId="42" xfId="0" applyNumberFormat="1" applyFont="1" applyFill="1" applyBorder="1">
      <alignment vertical="center"/>
    </xf>
    <xf numFmtId="0" fontId="4" fillId="3" borderId="41" xfId="0" applyFont="1" applyFill="1" applyBorder="1" applyAlignment="1"/>
    <xf numFmtId="179" fontId="4" fillId="3" borderId="41" xfId="0" applyNumberFormat="1" applyFont="1" applyFill="1" applyBorder="1" applyAlignment="1"/>
    <xf numFmtId="0" fontId="4" fillId="7" borderId="41" xfId="0" applyFont="1" applyFill="1" applyBorder="1" applyAlignment="1">
      <alignment horizontal="center"/>
    </xf>
    <xf numFmtId="23" fontId="4" fillId="3" borderId="41" xfId="0" applyNumberFormat="1" applyFont="1" applyFill="1" applyBorder="1" applyAlignment="1"/>
    <xf numFmtId="0" fontId="45" fillId="12" borderId="0" xfId="0" applyFont="1" applyFill="1">
      <alignment vertical="center"/>
    </xf>
    <xf numFmtId="0" fontId="45" fillId="7" borderId="1" xfId="0" applyFont="1" applyFill="1" applyBorder="1">
      <alignment vertical="center"/>
    </xf>
    <xf numFmtId="0" fontId="45" fillId="18" borderId="1" xfId="0" applyFont="1" applyFill="1" applyBorder="1">
      <alignment vertical="center"/>
    </xf>
    <xf numFmtId="0" fontId="17" fillId="17" borderId="1" xfId="0" applyFont="1" applyFill="1" applyBorder="1">
      <alignment vertical="center"/>
    </xf>
    <xf numFmtId="0" fontId="17" fillId="12" borderId="0" xfId="0" applyFont="1" applyFill="1">
      <alignment vertical="center"/>
    </xf>
    <xf numFmtId="0" fontId="45" fillId="18" borderId="38" xfId="0" applyFont="1" applyFill="1" applyBorder="1">
      <alignment vertical="center"/>
    </xf>
    <xf numFmtId="0" fontId="17" fillId="17" borderId="37" xfId="0" applyFont="1" applyFill="1" applyBorder="1">
      <alignment vertical="center"/>
    </xf>
    <xf numFmtId="0" fontId="48" fillId="12" borderId="25" xfId="0" applyFont="1" applyFill="1" applyBorder="1" applyAlignment="1">
      <alignment horizontal="left" vertical="center"/>
    </xf>
    <xf numFmtId="0" fontId="17" fillId="17" borderId="39" xfId="0" applyFont="1" applyFill="1" applyBorder="1">
      <alignment vertical="center"/>
    </xf>
    <xf numFmtId="0" fontId="49" fillId="12" borderId="0" xfId="0" applyFont="1" applyFill="1" applyAlignment="1">
      <alignment horizontal="left" vertical="center"/>
    </xf>
    <xf numFmtId="0" fontId="4" fillId="0" borderId="41" xfId="0" applyFont="1" applyBorder="1">
      <alignment vertical="center"/>
    </xf>
    <xf numFmtId="23" fontId="4" fillId="0" borderId="0" xfId="0" applyNumberFormat="1" applyFont="1">
      <alignment vertical="center"/>
    </xf>
    <xf numFmtId="0" fontId="17" fillId="17" borderId="8" xfId="0" applyFont="1" applyFill="1" applyBorder="1">
      <alignment vertical="center"/>
    </xf>
    <xf numFmtId="0" fontId="45" fillId="18" borderId="39" xfId="0" applyFont="1" applyFill="1" applyBorder="1">
      <alignment vertical="center"/>
    </xf>
    <xf numFmtId="0" fontId="43" fillId="18" borderId="25" xfId="0" applyFont="1" applyFill="1" applyBorder="1">
      <alignment vertical="center"/>
    </xf>
    <xf numFmtId="0" fontId="45" fillId="18" borderId="25" xfId="0" applyFont="1" applyFill="1" applyBorder="1">
      <alignment vertical="center"/>
    </xf>
    <xf numFmtId="0" fontId="17" fillId="12" borderId="4" xfId="0" applyFont="1" applyFill="1" applyBorder="1">
      <alignment vertical="center"/>
    </xf>
    <xf numFmtId="0" fontId="4" fillId="12" borderId="0" xfId="0" applyFont="1" applyFill="1" applyAlignment="1">
      <alignment horizontal="left" vertical="center"/>
    </xf>
    <xf numFmtId="0" fontId="43" fillId="12" borderId="0" xfId="0" applyFont="1" applyFill="1">
      <alignment vertical="center"/>
    </xf>
    <xf numFmtId="0" fontId="49" fillId="12" borderId="0" xfId="0" applyFont="1" applyFill="1">
      <alignment vertical="center"/>
    </xf>
    <xf numFmtId="176" fontId="5" fillId="12" borderId="5" xfId="0" applyNumberFormat="1" applyFont="1" applyFill="1" applyBorder="1" applyAlignment="1">
      <alignment horizontal="center" vertical="center"/>
    </xf>
    <xf numFmtId="0" fontId="50" fillId="12" borderId="0" xfId="0" applyFont="1" applyFill="1">
      <alignment vertical="center"/>
    </xf>
    <xf numFmtId="0" fontId="43" fillId="0" borderId="0" xfId="0" applyFont="1">
      <alignment vertical="center"/>
    </xf>
    <xf numFmtId="0" fontId="51" fillId="0" borderId="0" xfId="0" applyFont="1">
      <alignment vertical="center"/>
    </xf>
    <xf numFmtId="0" fontId="49" fillId="12" borderId="0" xfId="0" applyFont="1" applyFill="1" applyAlignment="1">
      <alignment horizontal="center" vertical="center"/>
    </xf>
    <xf numFmtId="0" fontId="52" fillId="12" borderId="0" xfId="0" applyFont="1" applyFill="1">
      <alignment vertical="center"/>
    </xf>
    <xf numFmtId="0" fontId="51" fillId="12" borderId="0" xfId="0" applyFont="1" applyFill="1">
      <alignment vertical="center"/>
    </xf>
    <xf numFmtId="181" fontId="48" fillId="12" borderId="5" xfId="0" applyNumberFormat="1" applyFont="1" applyFill="1" applyBorder="1">
      <alignment vertical="center"/>
    </xf>
    <xf numFmtId="176" fontId="48" fillId="12" borderId="5" xfId="0" applyNumberFormat="1" applyFont="1" applyFill="1" applyBorder="1">
      <alignment vertical="center"/>
    </xf>
    <xf numFmtId="176" fontId="49" fillId="12" borderId="5" xfId="0" applyNumberFormat="1" applyFont="1" applyFill="1" applyBorder="1">
      <alignment vertical="center"/>
    </xf>
    <xf numFmtId="0" fontId="17" fillId="18" borderId="6" xfId="0" applyFont="1" applyFill="1" applyBorder="1">
      <alignment vertical="center"/>
    </xf>
    <xf numFmtId="0" fontId="17" fillId="18" borderId="18" xfId="0" applyFont="1" applyFill="1" applyBorder="1">
      <alignment vertical="center"/>
    </xf>
    <xf numFmtId="0" fontId="17" fillId="18" borderId="7" xfId="0" applyFont="1" applyFill="1" applyBorder="1">
      <alignment vertical="center"/>
    </xf>
    <xf numFmtId="0" fontId="4" fillId="0" borderId="0" xfId="0" applyFont="1" applyAlignment="1"/>
    <xf numFmtId="186" fontId="4" fillId="0" borderId="0" xfId="0" applyNumberFormat="1" applyFont="1" applyAlignment="1"/>
    <xf numFmtId="0" fontId="4" fillId="0" borderId="0" xfId="0" applyFont="1" applyAlignment="1">
      <alignment horizontal="center"/>
    </xf>
    <xf numFmtId="0" fontId="52" fillId="0" borderId="0" xfId="0" applyFont="1">
      <alignment vertical="center"/>
    </xf>
    <xf numFmtId="0" fontId="45" fillId="0" borderId="0" xfId="0" quotePrefix="1" applyFont="1">
      <alignment vertical="center"/>
    </xf>
    <xf numFmtId="0" fontId="45" fillId="0" borderId="0" xfId="0" applyFont="1">
      <alignment vertical="center"/>
    </xf>
    <xf numFmtId="0" fontId="48" fillId="0" borderId="0" xfId="0" applyFont="1" applyAlignment="1">
      <alignment horizontal="center" vertical="center"/>
    </xf>
    <xf numFmtId="189" fontId="4" fillId="7" borderId="1" xfId="0" applyNumberFormat="1" applyFont="1" applyFill="1" applyBorder="1" applyAlignment="1">
      <alignment horizontal="right" vertical="center"/>
    </xf>
    <xf numFmtId="177" fontId="4" fillId="7" borderId="1" xfId="1" applyFont="1" applyFill="1" applyBorder="1" applyAlignment="1">
      <alignment horizontal="right" vertical="center"/>
    </xf>
    <xf numFmtId="177" fontId="4" fillId="7" borderId="8" xfId="1" applyFont="1" applyFill="1" applyBorder="1" applyAlignment="1">
      <alignment horizontal="right" vertical="center"/>
    </xf>
    <xf numFmtId="188" fontId="4" fillId="0" borderId="0" xfId="0" applyNumberFormat="1" applyFont="1" applyAlignment="1">
      <alignment horizontal="center" vertical="center"/>
    </xf>
    <xf numFmtId="0" fontId="53" fillId="3" borderId="0" xfId="0" applyFont="1" applyFill="1">
      <alignment vertical="center"/>
    </xf>
    <xf numFmtId="0" fontId="9" fillId="17" borderId="37" xfId="0" applyFont="1" applyFill="1" applyBorder="1">
      <alignment vertical="center"/>
    </xf>
    <xf numFmtId="179" fontId="4" fillId="0" borderId="41" xfId="0" applyNumberFormat="1" applyFont="1" applyBorder="1" applyAlignment="1">
      <alignment horizontal="center" vertical="center"/>
    </xf>
    <xf numFmtId="38" fontId="4" fillId="0" borderId="0" xfId="1" applyNumberFormat="1" applyFont="1" applyBorder="1" applyAlignment="1">
      <alignment vertical="center"/>
    </xf>
    <xf numFmtId="182" fontId="4" fillId="14" borderId="13" xfId="1" applyNumberFormat="1" applyFont="1" applyFill="1" applyBorder="1" applyAlignment="1">
      <alignment vertical="center"/>
    </xf>
    <xf numFmtId="0" fontId="6" fillId="0" borderId="0" xfId="0" applyFont="1">
      <alignment vertical="center"/>
    </xf>
    <xf numFmtId="0" fontId="6" fillId="0" borderId="0" xfId="0" applyFont="1" applyAlignment="1">
      <alignment horizontal="left" vertical="center"/>
    </xf>
    <xf numFmtId="0" fontId="4" fillId="4" borderId="0" xfId="0" applyFont="1" applyFill="1" applyAlignment="1">
      <alignment horizontal="center" vertical="center"/>
    </xf>
    <xf numFmtId="0" fontId="5" fillId="11" borderId="0" xfId="0" applyFont="1" applyFill="1" applyAlignment="1">
      <alignment horizontal="center"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14" fillId="4" borderId="0" xfId="0" applyFont="1" applyFill="1" applyAlignment="1">
      <alignment horizontal="center" vertical="center"/>
    </xf>
    <xf numFmtId="0" fontId="40" fillId="4" borderId="0" xfId="0" applyFont="1" applyFill="1" applyAlignment="1">
      <alignment horizontal="center" vertical="center"/>
    </xf>
    <xf numFmtId="0" fontId="4" fillId="12" borderId="8" xfId="0" applyFont="1" applyFill="1" applyBorder="1" applyAlignment="1">
      <alignment horizontal="center" vertical="center" wrapText="1"/>
    </xf>
    <xf numFmtId="0" fontId="4" fillId="12" borderId="14"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3" borderId="4" xfId="0" applyFont="1" applyFill="1" applyBorder="1" applyAlignment="1">
      <alignment horizontal="center" vertical="center"/>
    </xf>
    <xf numFmtId="0" fontId="4" fillId="13" borderId="6" xfId="0" applyFont="1" applyFill="1" applyBorder="1" applyAlignment="1">
      <alignment horizontal="center" vertical="center"/>
    </xf>
    <xf numFmtId="0" fontId="4" fillId="12" borderId="8" xfId="0" applyFont="1" applyFill="1" applyBorder="1" applyAlignment="1">
      <alignment horizontal="center" vertical="center"/>
    </xf>
    <xf numFmtId="0" fontId="4" fillId="12" borderId="14" xfId="0" applyFont="1" applyFill="1" applyBorder="1" applyAlignment="1">
      <alignment horizontal="center" vertical="center"/>
    </xf>
    <xf numFmtId="0" fontId="4" fillId="12" borderId="15" xfId="0" applyFont="1" applyFill="1" applyBorder="1" applyAlignment="1">
      <alignment horizontal="center" vertical="center"/>
    </xf>
    <xf numFmtId="0" fontId="4" fillId="13" borderId="29" xfId="0" applyFont="1" applyFill="1" applyBorder="1" applyAlignment="1">
      <alignment horizontal="center" vertical="center"/>
    </xf>
    <xf numFmtId="0" fontId="4" fillId="13" borderId="30" xfId="0" applyFont="1" applyFill="1" applyBorder="1" applyAlignment="1">
      <alignment horizontal="center" vertical="center"/>
    </xf>
    <xf numFmtId="0" fontId="9" fillId="12" borderId="8"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5" xfId="0" applyFont="1" applyFill="1" applyBorder="1" applyAlignment="1">
      <alignment horizontal="center" vertical="center"/>
    </xf>
    <xf numFmtId="176" fontId="4" fillId="0" borderId="4" xfId="1" applyNumberFormat="1" applyFont="1" applyBorder="1" applyAlignment="1">
      <alignment horizontal="center" vertical="center"/>
    </xf>
    <xf numFmtId="0" fontId="4" fillId="0" borderId="5" xfId="0" applyFont="1" applyBorder="1" applyAlignment="1">
      <alignment horizontal="center" vertical="center"/>
    </xf>
    <xf numFmtId="176" fontId="4" fillId="7" borderId="37" xfId="0" applyNumberFormat="1" applyFont="1" applyFill="1" applyBorder="1" applyAlignment="1">
      <alignment horizontal="center" vertical="center"/>
    </xf>
    <xf numFmtId="176" fontId="4" fillId="7" borderId="40" xfId="0" applyNumberFormat="1" applyFont="1" applyFill="1" applyBorder="1" applyAlignment="1">
      <alignment horizontal="center" vertical="center"/>
    </xf>
    <xf numFmtId="176" fontId="5" fillId="7" borderId="37" xfId="0" applyNumberFormat="1" applyFont="1" applyFill="1" applyBorder="1" applyAlignment="1">
      <alignment horizontal="center" vertical="center"/>
    </xf>
    <xf numFmtId="176" fontId="5" fillId="7" borderId="40" xfId="0" applyNumberFormat="1" applyFont="1" applyFill="1" applyBorder="1" applyAlignment="1">
      <alignment horizontal="center" vertical="center"/>
    </xf>
    <xf numFmtId="176" fontId="49" fillId="0" borderId="37" xfId="0" applyNumberFormat="1" applyFont="1" applyBorder="1" applyAlignment="1">
      <alignment horizontal="center" vertical="center"/>
    </xf>
    <xf numFmtId="176" fontId="49" fillId="0" borderId="40" xfId="0" applyNumberFormat="1" applyFont="1" applyBorder="1" applyAlignment="1">
      <alignment horizontal="center" vertical="center"/>
    </xf>
    <xf numFmtId="181" fontId="17" fillId="7" borderId="37" xfId="0" applyNumberFormat="1" applyFont="1" applyFill="1" applyBorder="1" applyAlignment="1">
      <alignment horizontal="center" vertical="center"/>
    </xf>
    <xf numFmtId="181" fontId="17" fillId="7" borderId="40" xfId="0" applyNumberFormat="1" applyFont="1" applyFill="1" applyBorder="1" applyAlignment="1">
      <alignment horizontal="center" vertical="center"/>
    </xf>
    <xf numFmtId="179" fontId="4" fillId="0" borderId="15" xfId="0" applyNumberFormat="1" applyFont="1" applyBorder="1" applyAlignment="1">
      <alignment horizontal="center" vertical="center"/>
    </xf>
    <xf numFmtId="179" fontId="4" fillId="0" borderId="1" xfId="0" applyNumberFormat="1" applyFont="1" applyBorder="1" applyAlignment="1">
      <alignment horizontal="center" vertical="center"/>
    </xf>
    <xf numFmtId="181" fontId="4" fillId="0" borderId="37" xfId="0" applyNumberFormat="1" applyFont="1" applyBorder="1" applyAlignment="1">
      <alignment horizontal="center" vertical="center"/>
    </xf>
    <xf numFmtId="181" fontId="4" fillId="0" borderId="40" xfId="0" applyNumberFormat="1" applyFont="1" applyBorder="1" applyAlignment="1">
      <alignment horizontal="center" vertical="center"/>
    </xf>
    <xf numFmtId="176" fontId="4" fillId="0" borderId="37" xfId="0" applyNumberFormat="1" applyFont="1" applyBorder="1" applyAlignment="1">
      <alignment horizontal="center" vertical="center"/>
    </xf>
    <xf numFmtId="176" fontId="4" fillId="0" borderId="40" xfId="0" applyNumberFormat="1" applyFont="1" applyBorder="1" applyAlignment="1">
      <alignment horizontal="center" vertical="center"/>
    </xf>
    <xf numFmtId="181" fontId="4" fillId="0" borderId="37" xfId="0" applyNumberFormat="1" applyFont="1" applyBorder="1" applyAlignment="1">
      <alignment horizontal="right" vertical="center"/>
    </xf>
    <xf numFmtId="181" fontId="4" fillId="0" borderId="40" xfId="0" applyNumberFormat="1" applyFont="1" applyBorder="1" applyAlignment="1">
      <alignment horizontal="right" vertical="center"/>
    </xf>
    <xf numFmtId="181" fontId="5" fillId="7" borderId="37" xfId="0" applyNumberFormat="1" applyFont="1" applyFill="1" applyBorder="1" applyAlignment="1">
      <alignment horizontal="center" vertical="center"/>
    </xf>
    <xf numFmtId="181" fontId="5" fillId="7" borderId="40" xfId="0" applyNumberFormat="1" applyFont="1" applyFill="1" applyBorder="1" applyAlignment="1">
      <alignment horizontal="center" vertical="center"/>
    </xf>
    <xf numFmtId="179" fontId="5" fillId="0" borderId="1" xfId="0" applyNumberFormat="1" applyFont="1" applyBorder="1" applyAlignment="1">
      <alignment horizontal="center" vertical="center"/>
    </xf>
    <xf numFmtId="181" fontId="4" fillId="0" borderId="1" xfId="0" applyNumberFormat="1" applyFont="1" applyBorder="1" applyAlignment="1">
      <alignment horizontal="center" vertical="center"/>
    </xf>
    <xf numFmtId="179" fontId="4" fillId="0" borderId="40" xfId="0" applyNumberFormat="1" applyFont="1" applyBorder="1" applyAlignment="1">
      <alignment horizontal="center" vertical="center"/>
    </xf>
    <xf numFmtId="179" fontId="4" fillId="0" borderId="27" xfId="0" applyNumberFormat="1" applyFont="1" applyBorder="1" applyAlignment="1">
      <alignment horizontal="center" vertical="center"/>
    </xf>
    <xf numFmtId="179" fontId="4" fillId="0" borderId="8" xfId="0" applyNumberFormat="1" applyFont="1" applyBorder="1" applyAlignment="1">
      <alignment horizontal="center" vertical="center"/>
    </xf>
    <xf numFmtId="0" fontId="48" fillId="12" borderId="0" xfId="0" applyFont="1" applyFill="1" applyAlignment="1">
      <alignment horizontal="left" vertical="center"/>
    </xf>
    <xf numFmtId="181" fontId="48" fillId="12" borderId="0" xfId="0" applyNumberFormat="1" applyFont="1" applyFill="1" applyAlignment="1">
      <alignment horizontal="center" vertical="center"/>
    </xf>
    <xf numFmtId="181" fontId="48" fillId="12" borderId="5" xfId="0" applyNumberFormat="1" applyFont="1" applyFill="1" applyBorder="1" applyAlignment="1">
      <alignment horizontal="center" vertical="center"/>
    </xf>
    <xf numFmtId="181" fontId="4" fillId="12" borderId="0" xfId="0" applyNumberFormat="1" applyFont="1" applyFill="1" applyAlignment="1">
      <alignment horizontal="center" vertical="center"/>
    </xf>
    <xf numFmtId="181" fontId="4" fillId="12" borderId="5" xfId="0" applyNumberFormat="1" applyFont="1" applyFill="1" applyBorder="1" applyAlignment="1">
      <alignment horizontal="center" vertical="center"/>
    </xf>
    <xf numFmtId="181" fontId="48" fillId="0" borderId="37" xfId="0" applyNumberFormat="1" applyFont="1" applyBorder="1" applyAlignment="1">
      <alignment horizontal="center" vertical="center"/>
    </xf>
    <xf numFmtId="181" fontId="48" fillId="0" borderId="40" xfId="0" applyNumberFormat="1" applyFont="1" applyBorder="1" applyAlignment="1">
      <alignment horizontal="center" vertical="center"/>
    </xf>
    <xf numFmtId="176" fontId="48" fillId="0" borderId="37" xfId="0" applyNumberFormat="1" applyFont="1" applyBorder="1" applyAlignment="1">
      <alignment horizontal="center" vertical="center"/>
    </xf>
    <xf numFmtId="176" fontId="48" fillId="0" borderId="40" xfId="0" applyNumberFormat="1" applyFont="1" applyBorder="1" applyAlignment="1">
      <alignment horizontal="center" vertical="center"/>
    </xf>
    <xf numFmtId="179" fontId="5" fillId="0" borderId="37" xfId="0" applyNumberFormat="1" applyFont="1" applyBorder="1" applyAlignment="1">
      <alignment horizontal="center" vertical="center"/>
    </xf>
    <xf numFmtId="179" fontId="5" fillId="0" borderId="40" xfId="0" applyNumberFormat="1" applyFont="1" applyBorder="1" applyAlignment="1">
      <alignment horizontal="center" vertical="center"/>
    </xf>
    <xf numFmtId="0" fontId="4" fillId="6" borderId="0" xfId="0" applyFont="1" applyFill="1" applyAlignment="1">
      <alignment horizontal="center" vertical="center"/>
    </xf>
    <xf numFmtId="0" fontId="5" fillId="6" borderId="0" xfId="0" applyFont="1" applyFill="1" applyAlignment="1">
      <alignment horizontal="center" vertical="center"/>
    </xf>
    <xf numFmtId="0" fontId="5" fillId="5" borderId="0" xfId="0" applyFont="1" applyFill="1" applyAlignment="1">
      <alignment horizontal="center" vertical="center"/>
    </xf>
    <xf numFmtId="184" fontId="4" fillId="0" borderId="0" xfId="0" applyNumberFormat="1" applyFont="1" applyAlignment="1">
      <alignment horizontal="center" vertical="center"/>
    </xf>
    <xf numFmtId="0" fontId="4" fillId="10" borderId="0" xfId="0" applyFont="1" applyFill="1" applyAlignment="1">
      <alignment horizontal="center" vertical="center"/>
    </xf>
    <xf numFmtId="0" fontId="9" fillId="9" borderId="0" xfId="0" applyFont="1" applyFill="1" applyAlignment="1">
      <alignment horizontal="center" vertical="center"/>
    </xf>
    <xf numFmtId="0" fontId="4" fillId="9" borderId="0" xfId="0" applyFont="1" applyFill="1" applyAlignment="1">
      <alignment horizontal="center" vertical="center"/>
    </xf>
    <xf numFmtId="0" fontId="26" fillId="9" borderId="0" xfId="0" applyFont="1" applyFill="1" applyAlignment="1">
      <alignment horizontal="center" vertical="center"/>
    </xf>
  </cellXfs>
  <cellStyles count="3">
    <cellStyle name="Hyperlink" xfId="2" xr:uid="{00000000-000B-0000-0000-000008000000}"/>
    <cellStyle name="쉼표 [0]" xfId="1" builtinId="6"/>
    <cellStyle name="표준" xfId="0" builtinId="0"/>
  </cellStyles>
  <dxfs count="0"/>
  <tableStyles count="0" defaultTableStyle="TableStyleMedium2" defaultPivotStyle="PivotStyleLight16"/>
  <colors>
    <mruColors>
      <color rgb="FFCCCCFF"/>
      <color rgb="FFFF66FF"/>
      <color rgb="FF00FFFF"/>
      <color rgb="FFCC00CC"/>
      <color rgb="FFFF9999"/>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'[1]Inputs &amp; results'!$C$23</c:f>
          <c:strCache>
            <c:ptCount val="1"/>
            <c:pt idx="0">
              <c:v>Raw material price</c:v>
            </c:pt>
          </c:strCache>
        </c:strRef>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ko-KR"/>
        </a:p>
      </c:txPr>
    </c:title>
    <c:autoTitleDeleted val="0"/>
    <c:plotArea>
      <c:layout/>
      <c:barChart>
        <c:barDir val="bar"/>
        <c:grouping val="clustered"/>
        <c:varyColors val="0"/>
        <c:ser>
          <c:idx val="4"/>
          <c:order val="4"/>
          <c:tx>
            <c:strRef>
              <c:f>'3. Inputs &amp; results'!$C$24:$C$29</c:f>
              <c:strCache>
                <c:ptCount val="6"/>
                <c:pt idx="0">
                  <c:v>CaCO3</c:v>
                </c:pt>
                <c:pt idx="1">
                  <c:v>CH4</c:v>
                </c:pt>
                <c:pt idx="2">
                  <c:v>H2O</c:v>
                </c:pt>
                <c:pt idx="3">
                  <c:v>HCl</c:v>
                </c:pt>
                <c:pt idx="4">
                  <c:v>NaCl</c:v>
                </c:pt>
                <c:pt idx="5">
                  <c:v>NH3</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'3. Inputs &amp; results'!$C$24:$C$29</c:f>
              <c:strCache>
                <c:ptCount val="6"/>
                <c:pt idx="0">
                  <c:v>CaCO3</c:v>
                </c:pt>
                <c:pt idx="1">
                  <c:v>CH4</c:v>
                </c:pt>
                <c:pt idx="2">
                  <c:v>H2O</c:v>
                </c:pt>
                <c:pt idx="3">
                  <c:v>HCl</c:v>
                </c:pt>
                <c:pt idx="4">
                  <c:v>NaCl</c:v>
                </c:pt>
                <c:pt idx="5">
                  <c:v>NH3</c:v>
                </c:pt>
              </c:strCache>
            </c:strRef>
          </c:cat>
          <c:val>
            <c:numRef>
              <c:f>'3. Inputs &amp; results'!$H$24:$H$29</c:f>
              <c:numCache>
                <c:formatCode>General</c:formatCode>
                <c:ptCount val="6"/>
                <c:pt idx="0">
                  <c:v>0.14000000000000001</c:v>
                </c:pt>
                <c:pt idx="1">
                  <c:v>0.78</c:v>
                </c:pt>
                <c:pt idx="2">
                  <c:v>0.12</c:v>
                </c:pt>
                <c:pt idx="3">
                  <c:v>0.17899999999999999</c:v>
                </c:pt>
                <c:pt idx="4">
                  <c:v>0.23</c:v>
                </c:pt>
                <c:pt idx="5">
                  <c:v>0.26</c:v>
                </c:pt>
              </c:numCache>
            </c:numRef>
          </c:val>
          <c:extLst>
            <c:ext xmlns:c16="http://schemas.microsoft.com/office/drawing/2014/chart" uri="{C3380CC4-5D6E-409C-BE32-E72D297353CC}">
              <c16:uniqueId val="{00000000-C6AB-43AD-A482-E38A117538ED}"/>
            </c:ext>
          </c:extLst>
        </c:ser>
        <c:dLbls>
          <c:dLblPos val="inEnd"/>
          <c:showLegendKey val="0"/>
          <c:showVal val="1"/>
          <c:showCatName val="0"/>
          <c:showSerName val="0"/>
          <c:showPercent val="0"/>
          <c:showBubbleSize val="0"/>
        </c:dLbls>
        <c:gapWidth val="65"/>
        <c:axId val="546987624"/>
        <c:axId val="546986184"/>
        <c:extLst>
          <c:ext xmlns:c15="http://schemas.microsoft.com/office/drawing/2012/chart" uri="{02D57815-91ED-43cb-92C2-25804820EDAC}">
            <c15:filteredBarSeries>
              <c15: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'3. Inputs &amp; results'!$C$24:$C$29</c15:sqref>
                        </c15:formulaRef>
                      </c:ext>
                    </c:extLst>
                    <c:strCache>
                      <c:ptCount val="6"/>
                      <c:pt idx="0">
                        <c:v>CaCO3</c:v>
                      </c:pt>
                      <c:pt idx="1">
                        <c:v>CH4</c:v>
                      </c:pt>
                      <c:pt idx="2">
                        <c:v>H2O</c:v>
                      </c:pt>
                      <c:pt idx="3">
                        <c:v>HCl</c:v>
                      </c:pt>
                      <c:pt idx="4">
                        <c:v>NaCl</c:v>
                      </c:pt>
                      <c:pt idx="5">
                        <c:v>NH3</c:v>
                      </c:pt>
                    </c:strCache>
                  </c:strRef>
                </c:cat>
                <c:val>
                  <c:numRef>
                    <c:extLst>
                      <c:ext uri="{02D57815-91ED-43cb-92C2-25804820EDAC}">
                        <c15:formulaRef>
                          <c15:sqref>'[1]Inputs &amp; results'!$D$24:$D$29</c15:sqref>
                        </c15:formulaRef>
                      </c:ext>
                    </c:extLst>
                    <c:numCache>
                      <c:formatCode>General</c:formatCode>
                      <c:ptCount val="6"/>
                    </c:numCache>
                  </c:numRef>
                </c:val>
                <c:extLst>
                  <c:ext xmlns:c16="http://schemas.microsoft.com/office/drawing/2014/chart" uri="{C3380CC4-5D6E-409C-BE32-E72D297353CC}">
                    <c16:uniqueId val="{00000001-C6AB-43AD-A482-E38A117538ED}"/>
                  </c:ext>
                </c:extLst>
              </c15:ser>
            </c15:filteredBarSeries>
            <c15:filteredBarSeries>
              <c15:ser>
                <c:idx val="1"/>
                <c:order val="1"/>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'3. Inputs &amp; results'!$C$24:$C$29</c15:sqref>
                        </c15:formulaRef>
                      </c:ext>
                    </c:extLst>
                    <c:strCache>
                      <c:ptCount val="6"/>
                      <c:pt idx="0">
                        <c:v>CaCO3</c:v>
                      </c:pt>
                      <c:pt idx="1">
                        <c:v>CH4</c:v>
                      </c:pt>
                      <c:pt idx="2">
                        <c:v>H2O</c:v>
                      </c:pt>
                      <c:pt idx="3">
                        <c:v>HCl</c:v>
                      </c:pt>
                      <c:pt idx="4">
                        <c:v>NaCl</c:v>
                      </c:pt>
                      <c:pt idx="5">
                        <c:v>NH3</c:v>
                      </c:pt>
                    </c:strCache>
                  </c:strRef>
                </c:cat>
                <c:val>
                  <c:numRef>
                    <c:extLst xmlns:c15="http://schemas.microsoft.com/office/drawing/2012/chart">
                      <c:ext xmlns:c15="http://schemas.microsoft.com/office/drawing/2012/chart" uri="{02D57815-91ED-43cb-92C2-25804820EDAC}">
                        <c15:formulaRef>
                          <c15:sqref>'[1]Inputs &amp; results'!$E$24:$E$29</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2-C6AB-43AD-A482-E38A117538ED}"/>
                  </c:ext>
                </c:extLst>
              </c15:ser>
            </c15:filteredBarSeries>
            <c15:filteredBarSeries>
              <c15:ser>
                <c:idx val="2"/>
                <c:order val="2"/>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'3. Inputs &amp; results'!$C$24:$C$29</c15:sqref>
                        </c15:formulaRef>
                      </c:ext>
                    </c:extLst>
                    <c:strCache>
                      <c:ptCount val="6"/>
                      <c:pt idx="0">
                        <c:v>CaCO3</c:v>
                      </c:pt>
                      <c:pt idx="1">
                        <c:v>CH4</c:v>
                      </c:pt>
                      <c:pt idx="2">
                        <c:v>H2O</c:v>
                      </c:pt>
                      <c:pt idx="3">
                        <c:v>HCl</c:v>
                      </c:pt>
                      <c:pt idx="4">
                        <c:v>NaCl</c:v>
                      </c:pt>
                      <c:pt idx="5">
                        <c:v>NH3</c:v>
                      </c:pt>
                    </c:strCache>
                  </c:strRef>
                </c:cat>
                <c:val>
                  <c:numRef>
                    <c:extLst xmlns:c15="http://schemas.microsoft.com/office/drawing/2012/chart">
                      <c:ext xmlns:c15="http://schemas.microsoft.com/office/drawing/2012/chart" uri="{02D57815-91ED-43cb-92C2-25804820EDAC}">
                        <c15:formulaRef>
                          <c15:sqref>'[1]Inputs &amp; results'!$F$24:$F$29</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3-C6AB-43AD-A482-E38A117538ED}"/>
                  </c:ext>
                </c:extLst>
              </c15:ser>
            </c15:filteredBarSeries>
            <c15:filteredBarSeries>
              <c15:ser>
                <c:idx val="3"/>
                <c:order val="3"/>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'3. Inputs &amp; results'!$C$24:$C$29</c15:sqref>
                        </c15:formulaRef>
                      </c:ext>
                    </c:extLst>
                    <c:strCache>
                      <c:ptCount val="6"/>
                      <c:pt idx="0">
                        <c:v>CaCO3</c:v>
                      </c:pt>
                      <c:pt idx="1">
                        <c:v>CH4</c:v>
                      </c:pt>
                      <c:pt idx="2">
                        <c:v>H2O</c:v>
                      </c:pt>
                      <c:pt idx="3">
                        <c:v>HCl</c:v>
                      </c:pt>
                      <c:pt idx="4">
                        <c:v>NaCl</c:v>
                      </c:pt>
                      <c:pt idx="5">
                        <c:v>NH3</c:v>
                      </c:pt>
                    </c:strCache>
                  </c:strRef>
                </c:cat>
                <c:val>
                  <c:numRef>
                    <c:extLst xmlns:c15="http://schemas.microsoft.com/office/drawing/2012/chart">
                      <c:ext xmlns:c15="http://schemas.microsoft.com/office/drawing/2012/chart" uri="{02D57815-91ED-43cb-92C2-25804820EDAC}">
                        <c15:formulaRef>
                          <c15:sqref>'[1]Inputs &amp; results'!$G$24:$G$29</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4-C6AB-43AD-A482-E38A117538ED}"/>
                  </c:ext>
                </c:extLst>
              </c15:ser>
            </c15:filteredBarSeries>
          </c:ext>
        </c:extLst>
      </c:barChart>
      <c:catAx>
        <c:axId val="5469876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o-KR"/>
          </a:p>
        </c:txPr>
        <c:crossAx val="546986184"/>
        <c:crosses val="autoZero"/>
        <c:auto val="1"/>
        <c:lblAlgn val="ctr"/>
        <c:lblOffset val="100"/>
        <c:noMultiLvlLbl val="0"/>
      </c:catAx>
      <c:valAx>
        <c:axId val="5469861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$/kg</a:t>
                </a:r>
                <a:endParaRPr lang="ko-K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crossAx val="546987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a:softEdge rad="0"/>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61473718427289"/>
          <c:y val="9.391989230914588E-2"/>
          <c:w val="0.78497440944881891"/>
          <c:h val="0.31475063124231972"/>
        </c:manualLayout>
      </c:layout>
      <c:barChart>
        <c:barDir val="bar"/>
        <c:grouping val="stacked"/>
        <c:varyColors val="0"/>
        <c:ser>
          <c:idx val="0"/>
          <c:order val="0"/>
          <c:tx>
            <c:strRef>
              <c:f>'6-2. Economic evaluation'!$Q$43</c:f>
              <c:strCache>
                <c:ptCount val="1"/>
                <c:pt idx="0">
                  <c:v>Li2CO3 sales </c:v>
                </c:pt>
              </c:strCache>
            </c:strRef>
          </c:tx>
          <c:invertIfNegative val="0"/>
          <c:cat>
            <c:strRef>
              <c:extLst>
                <c:ext xmlns:c15="http://schemas.microsoft.com/office/drawing/2012/chart" uri="{02D57815-91ED-43cb-92C2-25804820EDAC}">
                  <c15:fullRef>
                    <c15:sqref>'6-2. Economic evaluation'!$U$43:$U$45</c15:sqref>
                  </c15:fullRef>
                </c:ext>
              </c:extLst>
              <c:f>'6-2. Economic evaluation'!$U$44:$U$45</c:f>
              <c:strCache>
                <c:ptCount val="2"/>
                <c:pt idx="0">
                  <c:v>Total revenue</c:v>
                </c:pt>
                <c:pt idx="1">
                  <c:v>Gross product cost</c:v>
                </c:pt>
              </c:strCache>
            </c:strRef>
          </c:cat>
          <c:val>
            <c:numRef>
              <c:extLst>
                <c:ext xmlns:c15="http://schemas.microsoft.com/office/drawing/2012/chart" uri="{02D57815-91ED-43cb-92C2-25804820EDAC}">
                  <c15:fullRef>
                    <c15:sqref>'6-2. Economic evaluation'!$Q$43:$R$43</c15:sqref>
                  </c15:fullRef>
                </c:ext>
              </c:extLst>
              <c:f>'6-2. Economic evaluation'!$R$43</c:f>
              <c:numCache>
                <c:formatCode>_("$"* #,##0_);_("$"* \(#,##0\);_("$"* "-"_);_(@_)</c:formatCode>
                <c:ptCount val="1"/>
                <c:pt idx="0">
                  <c:v>15299833.388407867</c:v>
                </c:pt>
              </c:numCache>
            </c:numRef>
          </c:val>
          <c:extLst>
            <c:ext xmlns:c16="http://schemas.microsoft.com/office/drawing/2014/chart" uri="{C3380CC4-5D6E-409C-BE32-E72D297353CC}">
              <c16:uniqueId val="{00000000-27F2-4659-942C-B5E1E56FBFFA}"/>
            </c:ext>
          </c:extLst>
        </c:ser>
        <c:ser>
          <c:idx val="14"/>
          <c:order val="1"/>
          <c:tx>
            <c:strRef>
              <c:f>'6-2. Economic evaluation'!$Q$44</c:f>
              <c:strCache>
                <c:ptCount val="1"/>
                <c:pt idx="0">
                  <c:v>H2 sales </c:v>
                </c:pt>
              </c:strCache>
            </c:strRef>
          </c:tx>
          <c:spPr>
            <a:solidFill>
              <a:srgbClr val="FF0000"/>
            </a:solidFill>
          </c:spPr>
          <c:invertIfNegative val="0"/>
          <c:cat>
            <c:strRef>
              <c:extLst>
                <c:ext xmlns:c15="http://schemas.microsoft.com/office/drawing/2012/chart" uri="{02D57815-91ED-43cb-92C2-25804820EDAC}">
                  <c15:fullRef>
                    <c15:sqref>'6-2. Economic evaluation'!$U$43:$U$45</c15:sqref>
                  </c15:fullRef>
                </c:ext>
              </c:extLst>
              <c:f>'6-2. Economic evaluation'!$U$44:$U$45</c:f>
              <c:strCache>
                <c:ptCount val="2"/>
                <c:pt idx="0">
                  <c:v>Total revenue</c:v>
                </c:pt>
                <c:pt idx="1">
                  <c:v>Gross product cost</c:v>
                </c:pt>
              </c:strCache>
            </c:strRef>
          </c:cat>
          <c:val>
            <c:numRef>
              <c:extLst>
                <c:ext xmlns:c15="http://schemas.microsoft.com/office/drawing/2012/chart" uri="{02D57815-91ED-43cb-92C2-25804820EDAC}">
                  <c15:fullRef>
                    <c15:sqref>'6-2. Economic evaluation'!$Q$44:$R$44</c15:sqref>
                  </c15:fullRef>
                </c:ext>
              </c:extLst>
              <c:f>'6-2. Economic evaluation'!$R$44</c:f>
              <c:numCache>
                <c:formatCode>_("$"* #,##0_);_("$"* \(#,##0\);_("$"* "-"_);_(@_)</c:formatCode>
                <c:ptCount val="1"/>
                <c:pt idx="0">
                  <c:v>1062448.2125831235</c:v>
                </c:pt>
              </c:numCache>
            </c:numRef>
          </c:val>
          <c:extLst>
            <c:ext xmlns:c16="http://schemas.microsoft.com/office/drawing/2014/chart" uri="{C3380CC4-5D6E-409C-BE32-E72D297353CC}">
              <c16:uniqueId val="{0000000E-27F2-4659-942C-B5E1E56FBFFA}"/>
            </c:ext>
          </c:extLst>
        </c:ser>
        <c:ser>
          <c:idx val="1"/>
          <c:order val="2"/>
          <c:tx>
            <c:strRef>
              <c:f>'6-2. Economic evaluation'!$Q$47</c:f>
              <c:strCache>
                <c:ptCount val="1"/>
                <c:pt idx="0">
                  <c:v>Total fixed cost</c:v>
                </c:pt>
              </c:strCache>
            </c:strRef>
          </c:tx>
          <c:invertIfNegative val="0"/>
          <c:cat>
            <c:strRef>
              <c:extLst>
                <c:ext xmlns:c15="http://schemas.microsoft.com/office/drawing/2012/chart" uri="{02D57815-91ED-43cb-92C2-25804820EDAC}">
                  <c15:fullRef>
                    <c15:sqref>'6-2. Economic evaluation'!$U$43:$U$45</c15:sqref>
                  </c15:fullRef>
                </c:ext>
              </c:extLst>
              <c:f>'6-2. Economic evaluation'!$U$44:$U$45</c:f>
              <c:strCache>
                <c:ptCount val="2"/>
                <c:pt idx="0">
                  <c:v>Total revenue</c:v>
                </c:pt>
                <c:pt idx="1">
                  <c:v>Gross product cost</c:v>
                </c:pt>
              </c:strCache>
            </c:strRef>
          </c:cat>
          <c:val>
            <c:numRef>
              <c:extLst>
                <c:ext xmlns:c15="http://schemas.microsoft.com/office/drawing/2012/chart" uri="{02D57815-91ED-43cb-92C2-25804820EDAC}">
                  <c15:fullRef>
                    <c15:sqref>'6-2. Economic evaluation'!$Q$47:$S$47</c15:sqref>
                  </c15:fullRef>
                </c:ext>
              </c:extLst>
              <c:f>'6-2. Economic evaluation'!$R$47:$S$47</c:f>
              <c:numCache>
                <c:formatCode>General</c:formatCode>
                <c:ptCount val="2"/>
                <c:pt idx="1" formatCode="_-\$* #,##0_ ;_-\$* \-#,##0\ ;_-\$* &quot;-&quot;_ ;_-@_ ">
                  <c:v>9388670.6058176607</c:v>
                </c:pt>
              </c:numCache>
            </c:numRef>
          </c:val>
          <c:extLst>
            <c:ext xmlns:c16="http://schemas.microsoft.com/office/drawing/2014/chart" uri="{C3380CC4-5D6E-409C-BE32-E72D297353CC}">
              <c16:uniqueId val="{00000001-27F2-4659-942C-B5E1E56FBFFA}"/>
            </c:ext>
          </c:extLst>
        </c:ser>
        <c:ser>
          <c:idx val="2"/>
          <c:order val="3"/>
          <c:tx>
            <c:strRef>
              <c:f>'6-2. Economic evaluation'!$Q$49</c:f>
              <c:strCache>
                <c:ptCount val="1"/>
                <c:pt idx="0">
                  <c:v>Raw materials</c:v>
                </c:pt>
              </c:strCache>
            </c:strRef>
          </c:tx>
          <c:invertIfNegative val="0"/>
          <c:cat>
            <c:strRef>
              <c:extLst>
                <c:ext xmlns:c15="http://schemas.microsoft.com/office/drawing/2012/chart" uri="{02D57815-91ED-43cb-92C2-25804820EDAC}">
                  <c15:fullRef>
                    <c15:sqref>'6-2. Economic evaluation'!$U$43:$U$45</c15:sqref>
                  </c15:fullRef>
                </c:ext>
              </c:extLst>
              <c:f>'6-2. Economic evaluation'!$U$44:$U$45</c:f>
              <c:strCache>
                <c:ptCount val="2"/>
                <c:pt idx="0">
                  <c:v>Total revenue</c:v>
                </c:pt>
                <c:pt idx="1">
                  <c:v>Gross product cost</c:v>
                </c:pt>
              </c:strCache>
            </c:strRef>
          </c:cat>
          <c:val>
            <c:numRef>
              <c:extLst>
                <c:ext xmlns:c15="http://schemas.microsoft.com/office/drawing/2012/chart" uri="{02D57815-91ED-43cb-92C2-25804820EDAC}">
                  <c15:fullRef>
                    <c15:sqref>'6-2. Economic evaluation'!$Q$49:$S$49</c15:sqref>
                  </c15:fullRef>
                </c:ext>
              </c:extLst>
              <c:f>'6-2. Economic evaluation'!$R$49:$S$49</c:f>
              <c:numCache>
                <c:formatCode>General</c:formatCode>
                <c:ptCount val="2"/>
                <c:pt idx="1" formatCode="\$#,##0_);\(\$#,##0\)">
                  <c:v>2283832.014871791</c:v>
                </c:pt>
              </c:numCache>
            </c:numRef>
          </c:val>
          <c:extLst>
            <c:ext xmlns:c16="http://schemas.microsoft.com/office/drawing/2014/chart" uri="{C3380CC4-5D6E-409C-BE32-E72D297353CC}">
              <c16:uniqueId val="{00000002-27F2-4659-942C-B5E1E56FBFFA}"/>
            </c:ext>
          </c:extLst>
        </c:ser>
        <c:ser>
          <c:idx val="3"/>
          <c:order val="4"/>
          <c:tx>
            <c:strRef>
              <c:f>'6-2. Economic evaluation'!$Q$50</c:f>
              <c:strCache>
                <c:ptCount val="1"/>
                <c:pt idx="0">
                  <c:v>Operating labor</c:v>
                </c:pt>
              </c:strCache>
            </c:strRef>
          </c:tx>
          <c:invertIfNegative val="0"/>
          <c:cat>
            <c:strRef>
              <c:extLst>
                <c:ext xmlns:c15="http://schemas.microsoft.com/office/drawing/2012/chart" uri="{02D57815-91ED-43cb-92C2-25804820EDAC}">
                  <c15:fullRef>
                    <c15:sqref>'6-2. Economic evaluation'!$U$43:$U$45</c15:sqref>
                  </c15:fullRef>
                </c:ext>
              </c:extLst>
              <c:f>'6-2. Economic evaluation'!$U$44:$U$45</c:f>
              <c:strCache>
                <c:ptCount val="2"/>
                <c:pt idx="0">
                  <c:v>Total revenue</c:v>
                </c:pt>
                <c:pt idx="1">
                  <c:v>Gross product cost</c:v>
                </c:pt>
              </c:strCache>
            </c:strRef>
          </c:cat>
          <c:val>
            <c:numRef>
              <c:extLst>
                <c:ext xmlns:c15="http://schemas.microsoft.com/office/drawing/2012/chart" uri="{02D57815-91ED-43cb-92C2-25804820EDAC}">
                  <c15:fullRef>
                    <c15:sqref>'6-2. Economic evaluation'!$Q$50:$S$50</c15:sqref>
                  </c15:fullRef>
                </c:ext>
              </c:extLst>
              <c:f>'6-2. Economic evaluation'!$R$50:$S$50</c:f>
              <c:numCache>
                <c:formatCode>General</c:formatCode>
                <c:ptCount val="2"/>
                <c:pt idx="1" formatCode="\$#,##0_);\(\$#,##0\)">
                  <c:v>1128252.9924382197</c:v>
                </c:pt>
              </c:numCache>
            </c:numRef>
          </c:val>
          <c:extLst>
            <c:ext xmlns:c16="http://schemas.microsoft.com/office/drawing/2014/chart" uri="{C3380CC4-5D6E-409C-BE32-E72D297353CC}">
              <c16:uniqueId val="{00000003-27F2-4659-942C-B5E1E56FBFFA}"/>
            </c:ext>
          </c:extLst>
        </c:ser>
        <c:ser>
          <c:idx val="4"/>
          <c:order val="5"/>
          <c:tx>
            <c:strRef>
              <c:f>'6-2. Economic evaluation'!$Q$51</c:f>
              <c:strCache>
                <c:ptCount val="1"/>
                <c:pt idx="0">
                  <c:v>Direct Supervisory and clerical labor</c:v>
                </c:pt>
              </c:strCache>
            </c:strRef>
          </c:tx>
          <c:invertIfNegative val="0"/>
          <c:cat>
            <c:strRef>
              <c:extLst>
                <c:ext xmlns:c15="http://schemas.microsoft.com/office/drawing/2012/chart" uri="{02D57815-91ED-43cb-92C2-25804820EDAC}">
                  <c15:fullRef>
                    <c15:sqref>'6-2. Economic evaluation'!$U$43:$U$45</c15:sqref>
                  </c15:fullRef>
                </c:ext>
              </c:extLst>
              <c:f>'6-2. Economic evaluation'!$U$44:$U$45</c:f>
              <c:strCache>
                <c:ptCount val="2"/>
                <c:pt idx="0">
                  <c:v>Total revenue</c:v>
                </c:pt>
                <c:pt idx="1">
                  <c:v>Gross product cost</c:v>
                </c:pt>
              </c:strCache>
            </c:strRef>
          </c:cat>
          <c:val>
            <c:numRef>
              <c:extLst>
                <c:ext xmlns:c15="http://schemas.microsoft.com/office/drawing/2012/chart" uri="{02D57815-91ED-43cb-92C2-25804820EDAC}">
                  <c15:fullRef>
                    <c15:sqref>'6-2. Economic evaluation'!$Q$51:$S$51</c15:sqref>
                  </c15:fullRef>
                </c:ext>
              </c:extLst>
              <c:f>'6-2. Economic evaluation'!$R$51:$S$51</c:f>
              <c:numCache>
                <c:formatCode>General</c:formatCode>
                <c:ptCount val="2"/>
                <c:pt idx="1" formatCode="\$#,##0_);\(\$#,##0\)">
                  <c:v>169237.94886573299</c:v>
                </c:pt>
              </c:numCache>
            </c:numRef>
          </c:val>
          <c:extLst>
            <c:ext xmlns:c16="http://schemas.microsoft.com/office/drawing/2014/chart" uri="{C3380CC4-5D6E-409C-BE32-E72D297353CC}">
              <c16:uniqueId val="{00000004-27F2-4659-942C-B5E1E56FBFFA}"/>
            </c:ext>
          </c:extLst>
        </c:ser>
        <c:ser>
          <c:idx val="5"/>
          <c:order val="6"/>
          <c:tx>
            <c:strRef>
              <c:f>'6-2. Economic evaluation'!$Q$52</c:f>
              <c:strCache>
                <c:ptCount val="1"/>
                <c:pt idx="0">
                  <c:v>Utilities</c:v>
                </c:pt>
              </c:strCache>
            </c:strRef>
          </c:tx>
          <c:invertIfNegative val="0"/>
          <c:cat>
            <c:strRef>
              <c:extLst>
                <c:ext xmlns:c15="http://schemas.microsoft.com/office/drawing/2012/chart" uri="{02D57815-91ED-43cb-92C2-25804820EDAC}">
                  <c15:fullRef>
                    <c15:sqref>'6-2. Economic evaluation'!$U$43:$U$45</c15:sqref>
                  </c15:fullRef>
                </c:ext>
              </c:extLst>
              <c:f>'6-2. Economic evaluation'!$U$44:$U$45</c:f>
              <c:strCache>
                <c:ptCount val="2"/>
                <c:pt idx="0">
                  <c:v>Total revenue</c:v>
                </c:pt>
                <c:pt idx="1">
                  <c:v>Gross product cost</c:v>
                </c:pt>
              </c:strCache>
            </c:strRef>
          </c:cat>
          <c:val>
            <c:numRef>
              <c:extLst>
                <c:ext xmlns:c15="http://schemas.microsoft.com/office/drawing/2012/chart" uri="{02D57815-91ED-43cb-92C2-25804820EDAC}">
                  <c15:fullRef>
                    <c15:sqref>'6-2. Economic evaluation'!$Q$52:$S$52</c15:sqref>
                  </c15:fullRef>
                </c:ext>
              </c:extLst>
              <c:f>'6-2. Economic evaluation'!$R$52:$S$52</c:f>
              <c:numCache>
                <c:formatCode>General</c:formatCode>
                <c:ptCount val="2"/>
                <c:pt idx="1" formatCode="\$#,##0_);\(\$#,##0\)">
                  <c:v>526634.08342257806</c:v>
                </c:pt>
              </c:numCache>
            </c:numRef>
          </c:val>
          <c:extLst>
            <c:ext xmlns:c16="http://schemas.microsoft.com/office/drawing/2014/chart" uri="{C3380CC4-5D6E-409C-BE32-E72D297353CC}">
              <c16:uniqueId val="{00000005-27F2-4659-942C-B5E1E56FBFFA}"/>
            </c:ext>
          </c:extLst>
        </c:ser>
        <c:ser>
          <c:idx val="6"/>
          <c:order val="7"/>
          <c:tx>
            <c:strRef>
              <c:f>'6-2. Economic evaluation'!$Q$53</c:f>
              <c:strCache>
                <c:ptCount val="1"/>
                <c:pt idx="0">
                  <c:v>Maintenance and repairs</c:v>
                </c:pt>
              </c:strCache>
            </c:strRef>
          </c:tx>
          <c:invertIfNegative val="0"/>
          <c:cat>
            <c:strRef>
              <c:extLst>
                <c:ext xmlns:c15="http://schemas.microsoft.com/office/drawing/2012/chart" uri="{02D57815-91ED-43cb-92C2-25804820EDAC}">
                  <c15:fullRef>
                    <c15:sqref>'6-2. Economic evaluation'!$U$43:$U$45</c15:sqref>
                  </c15:fullRef>
                </c:ext>
              </c:extLst>
              <c:f>'6-2. Economic evaluation'!$U$44:$U$45</c:f>
              <c:strCache>
                <c:ptCount val="2"/>
                <c:pt idx="0">
                  <c:v>Total revenue</c:v>
                </c:pt>
                <c:pt idx="1">
                  <c:v>Gross product cost</c:v>
                </c:pt>
              </c:strCache>
            </c:strRef>
          </c:cat>
          <c:val>
            <c:numRef>
              <c:extLst>
                <c:ext xmlns:c15="http://schemas.microsoft.com/office/drawing/2012/chart" uri="{02D57815-91ED-43cb-92C2-25804820EDAC}">
                  <c15:fullRef>
                    <c15:sqref>'6-2. Economic evaluation'!$Q$53:$S$53</c15:sqref>
                  </c15:fullRef>
                </c:ext>
              </c:extLst>
              <c:f>'6-2. Economic evaluation'!$R$53:$S$53</c:f>
              <c:numCache>
                <c:formatCode>General</c:formatCode>
                <c:ptCount val="2"/>
                <c:pt idx="1" formatCode="\$#,##0_);\(\$#,##0\)">
                  <c:v>219015.52732736358</c:v>
                </c:pt>
              </c:numCache>
            </c:numRef>
          </c:val>
          <c:extLst>
            <c:ext xmlns:c16="http://schemas.microsoft.com/office/drawing/2014/chart" uri="{C3380CC4-5D6E-409C-BE32-E72D297353CC}">
              <c16:uniqueId val="{00000006-27F2-4659-942C-B5E1E56FBFFA}"/>
            </c:ext>
          </c:extLst>
        </c:ser>
        <c:ser>
          <c:idx val="7"/>
          <c:order val="8"/>
          <c:tx>
            <c:strRef>
              <c:f>'6-2. Economic evaluation'!$Q$54</c:f>
              <c:strCache>
                <c:ptCount val="1"/>
                <c:pt idx="0">
                  <c:v>Operating supplies</c:v>
                </c:pt>
              </c:strCache>
            </c:strRef>
          </c:tx>
          <c:invertIfNegative val="0"/>
          <c:cat>
            <c:strRef>
              <c:extLst>
                <c:ext xmlns:c15="http://schemas.microsoft.com/office/drawing/2012/chart" uri="{02D57815-91ED-43cb-92C2-25804820EDAC}">
                  <c15:fullRef>
                    <c15:sqref>'6-2. Economic evaluation'!$U$43:$U$45</c15:sqref>
                  </c15:fullRef>
                </c:ext>
              </c:extLst>
              <c:f>'6-2. Economic evaluation'!$U$44:$U$45</c:f>
              <c:strCache>
                <c:ptCount val="2"/>
                <c:pt idx="0">
                  <c:v>Total revenue</c:v>
                </c:pt>
                <c:pt idx="1">
                  <c:v>Gross product cost</c:v>
                </c:pt>
              </c:strCache>
            </c:strRef>
          </c:cat>
          <c:val>
            <c:numRef>
              <c:extLst>
                <c:ext xmlns:c15="http://schemas.microsoft.com/office/drawing/2012/chart" uri="{02D57815-91ED-43cb-92C2-25804820EDAC}">
                  <c15:fullRef>
                    <c15:sqref>'6-2. Economic evaluation'!$Q$54:$S$54</c15:sqref>
                  </c15:fullRef>
                </c:ext>
              </c:extLst>
              <c:f>'6-2. Economic evaluation'!$R$54:$S$54</c:f>
              <c:numCache>
                <c:formatCode>General</c:formatCode>
                <c:ptCount val="2"/>
                <c:pt idx="1" formatCode="\$#,##0_);\(\$#,##0\)">
                  <c:v>32852.329099104536</c:v>
                </c:pt>
              </c:numCache>
            </c:numRef>
          </c:val>
          <c:extLst>
            <c:ext xmlns:c16="http://schemas.microsoft.com/office/drawing/2014/chart" uri="{C3380CC4-5D6E-409C-BE32-E72D297353CC}">
              <c16:uniqueId val="{00000007-27F2-4659-942C-B5E1E56FBFFA}"/>
            </c:ext>
          </c:extLst>
        </c:ser>
        <c:ser>
          <c:idx val="8"/>
          <c:order val="9"/>
          <c:tx>
            <c:strRef>
              <c:f>'6-2. Economic evaluation'!$Q$55</c:f>
              <c:strCache>
                <c:ptCount val="1"/>
                <c:pt idx="0">
                  <c:v>Laboratory charges</c:v>
                </c:pt>
              </c:strCache>
            </c:strRef>
          </c:tx>
          <c:invertIfNegative val="0"/>
          <c:cat>
            <c:strRef>
              <c:extLst>
                <c:ext xmlns:c15="http://schemas.microsoft.com/office/drawing/2012/chart" uri="{02D57815-91ED-43cb-92C2-25804820EDAC}">
                  <c15:fullRef>
                    <c15:sqref>'6-2. Economic evaluation'!$U$43:$U$45</c15:sqref>
                  </c15:fullRef>
                </c:ext>
              </c:extLst>
              <c:f>'6-2. Economic evaluation'!$U$44:$U$45</c:f>
              <c:strCache>
                <c:ptCount val="2"/>
                <c:pt idx="0">
                  <c:v>Total revenue</c:v>
                </c:pt>
                <c:pt idx="1">
                  <c:v>Gross product cost</c:v>
                </c:pt>
              </c:strCache>
            </c:strRef>
          </c:cat>
          <c:val>
            <c:numRef>
              <c:extLst>
                <c:ext xmlns:c15="http://schemas.microsoft.com/office/drawing/2012/chart" uri="{02D57815-91ED-43cb-92C2-25804820EDAC}">
                  <c15:fullRef>
                    <c15:sqref>'6-2. Economic evaluation'!$Q$55:$S$55</c15:sqref>
                  </c15:fullRef>
                </c:ext>
              </c:extLst>
              <c:f>'6-2. Economic evaluation'!$R$55:$S$55</c:f>
              <c:numCache>
                <c:formatCode>General</c:formatCode>
                <c:ptCount val="2"/>
                <c:pt idx="1" formatCode="\$#,##0_);\(\$#,##0\)">
                  <c:v>169237.94886573299</c:v>
                </c:pt>
              </c:numCache>
            </c:numRef>
          </c:val>
          <c:extLst>
            <c:ext xmlns:c16="http://schemas.microsoft.com/office/drawing/2014/chart" uri="{C3380CC4-5D6E-409C-BE32-E72D297353CC}">
              <c16:uniqueId val="{00000008-27F2-4659-942C-B5E1E56FBFFA}"/>
            </c:ext>
          </c:extLst>
        </c:ser>
        <c:ser>
          <c:idx val="9"/>
          <c:order val="10"/>
          <c:tx>
            <c:strRef>
              <c:f>'6-2. Economic evaluation'!$Q$56</c:f>
              <c:strCache>
                <c:ptCount val="1"/>
                <c:pt idx="0">
                  <c:v>Patents and royal</c:v>
                </c:pt>
              </c:strCache>
            </c:strRef>
          </c:tx>
          <c:invertIfNegative val="0"/>
          <c:cat>
            <c:strRef>
              <c:extLst>
                <c:ext xmlns:c15="http://schemas.microsoft.com/office/drawing/2012/chart" uri="{02D57815-91ED-43cb-92C2-25804820EDAC}">
                  <c15:fullRef>
                    <c15:sqref>'6-2. Economic evaluation'!$U$43:$U$45</c15:sqref>
                  </c15:fullRef>
                </c:ext>
              </c:extLst>
              <c:f>'6-2. Economic evaluation'!$U$44:$U$45</c:f>
              <c:strCache>
                <c:ptCount val="2"/>
                <c:pt idx="0">
                  <c:v>Total revenue</c:v>
                </c:pt>
                <c:pt idx="1">
                  <c:v>Gross product cost</c:v>
                </c:pt>
              </c:strCache>
            </c:strRef>
          </c:cat>
          <c:val>
            <c:numRef>
              <c:extLst>
                <c:ext xmlns:c15="http://schemas.microsoft.com/office/drawing/2012/chart" uri="{02D57815-91ED-43cb-92C2-25804820EDAC}">
                  <c15:fullRef>
                    <c15:sqref>'6-2. Economic evaluation'!$Q$56:$S$56</c15:sqref>
                  </c15:fullRef>
                </c:ext>
              </c:extLst>
              <c:f>'6-2. Economic evaluation'!$R$56:$S$56</c:f>
              <c:numCache>
                <c:formatCode>General</c:formatCode>
                <c:ptCount val="2"/>
                <c:pt idx="1" formatCode="\$#,##0_);\(\$#,##0\)">
                  <c:v>225650.59848764396</c:v>
                </c:pt>
              </c:numCache>
            </c:numRef>
          </c:val>
          <c:extLst>
            <c:ext xmlns:c16="http://schemas.microsoft.com/office/drawing/2014/chart" uri="{C3380CC4-5D6E-409C-BE32-E72D297353CC}">
              <c16:uniqueId val="{00000009-27F2-4659-942C-B5E1E56FBFFA}"/>
            </c:ext>
          </c:extLst>
        </c:ser>
        <c:ser>
          <c:idx val="10"/>
          <c:order val="11"/>
          <c:tx>
            <c:strRef>
              <c:f>'6-2. Economic evaluation'!$Q$58</c:f>
              <c:strCache>
                <c:ptCount val="1"/>
                <c:pt idx="0">
                  <c:v>Plant overhead costs</c:v>
                </c:pt>
              </c:strCache>
            </c:strRef>
          </c:tx>
          <c:spPr>
            <a:solidFill>
              <a:srgbClr val="00FFFF"/>
            </a:solidFill>
          </c:spPr>
          <c:invertIfNegative val="0"/>
          <c:cat>
            <c:strRef>
              <c:extLst>
                <c:ext xmlns:c15="http://schemas.microsoft.com/office/drawing/2012/chart" uri="{02D57815-91ED-43cb-92C2-25804820EDAC}">
                  <c15:fullRef>
                    <c15:sqref>'6-2. Economic evaluation'!$U$43:$U$45</c15:sqref>
                  </c15:fullRef>
                </c:ext>
              </c:extLst>
              <c:f>'6-2. Economic evaluation'!$U$44:$U$45</c:f>
              <c:strCache>
                <c:ptCount val="2"/>
                <c:pt idx="0">
                  <c:v>Total revenue</c:v>
                </c:pt>
                <c:pt idx="1">
                  <c:v>Gross product cost</c:v>
                </c:pt>
              </c:strCache>
            </c:strRef>
          </c:cat>
          <c:val>
            <c:numRef>
              <c:extLst>
                <c:ext xmlns:c15="http://schemas.microsoft.com/office/drawing/2012/chart" uri="{02D57815-91ED-43cb-92C2-25804820EDAC}">
                  <c15:fullRef>
                    <c15:sqref>'6-2. Economic evaluation'!$Q$58:$S$58</c15:sqref>
                  </c15:fullRef>
                </c:ext>
              </c:extLst>
              <c:f>'6-2. Economic evaluation'!$R$58:$S$58</c:f>
              <c:numCache>
                <c:formatCode>General</c:formatCode>
                <c:ptCount val="2"/>
                <c:pt idx="1" formatCode="\$#,##0_);\(\$#,##0\)">
                  <c:v>752168.66162547993</c:v>
                </c:pt>
              </c:numCache>
            </c:numRef>
          </c:val>
          <c:extLst>
            <c:ext xmlns:c16="http://schemas.microsoft.com/office/drawing/2014/chart" uri="{C3380CC4-5D6E-409C-BE32-E72D297353CC}">
              <c16:uniqueId val="{0000000A-27F2-4659-942C-B5E1E56FBFFA}"/>
            </c:ext>
          </c:extLst>
        </c:ser>
        <c:ser>
          <c:idx val="11"/>
          <c:order val="12"/>
          <c:tx>
            <c:strRef>
              <c:f>'6-2. Economic evaluation'!$Q$61</c:f>
              <c:strCache>
                <c:ptCount val="1"/>
                <c:pt idx="0">
                  <c:v>Administrative costs</c:v>
                </c:pt>
              </c:strCache>
            </c:strRef>
          </c:tx>
          <c:spPr>
            <a:solidFill>
              <a:srgbClr val="FF66FF"/>
            </a:solidFill>
          </c:spPr>
          <c:invertIfNegative val="0"/>
          <c:cat>
            <c:strRef>
              <c:extLst>
                <c:ext xmlns:c15="http://schemas.microsoft.com/office/drawing/2012/chart" uri="{02D57815-91ED-43cb-92C2-25804820EDAC}">
                  <c15:fullRef>
                    <c15:sqref>'6-2. Economic evaluation'!$U$43:$U$45</c15:sqref>
                  </c15:fullRef>
                </c:ext>
              </c:extLst>
              <c:f>'6-2. Economic evaluation'!$U$44:$U$45</c:f>
              <c:strCache>
                <c:ptCount val="2"/>
                <c:pt idx="0">
                  <c:v>Total revenue</c:v>
                </c:pt>
                <c:pt idx="1">
                  <c:v>Gross product cost</c:v>
                </c:pt>
              </c:strCache>
            </c:strRef>
          </c:cat>
          <c:val>
            <c:numRef>
              <c:extLst>
                <c:ext xmlns:c15="http://schemas.microsoft.com/office/drawing/2012/chart" uri="{02D57815-91ED-43cb-92C2-25804820EDAC}">
                  <c15:fullRef>
                    <c15:sqref>'6-2. Economic evaluation'!$Q$61:$S$61</c15:sqref>
                  </c15:fullRef>
                </c:ext>
              </c:extLst>
              <c:f>'6-2. Economic evaluation'!$R$61:$S$61</c:f>
              <c:numCache>
                <c:formatCode>General</c:formatCode>
                <c:ptCount val="2"/>
                <c:pt idx="1" formatCode="\$#,##0_);\(\$#,##0\)">
                  <c:v>263259.03156891803</c:v>
                </c:pt>
              </c:numCache>
            </c:numRef>
          </c:val>
          <c:extLst>
            <c:ext xmlns:c16="http://schemas.microsoft.com/office/drawing/2014/chart" uri="{C3380CC4-5D6E-409C-BE32-E72D297353CC}">
              <c16:uniqueId val="{0000000B-27F2-4659-942C-B5E1E56FBFFA}"/>
            </c:ext>
          </c:extLst>
        </c:ser>
        <c:ser>
          <c:idx val="12"/>
          <c:order val="13"/>
          <c:tx>
            <c:strRef>
              <c:f>'6-2. Economic evaluation'!$Q$62</c:f>
              <c:strCache>
                <c:ptCount val="1"/>
                <c:pt idx="0">
                  <c:v>Distribution and marketing costs</c:v>
                </c:pt>
              </c:strCache>
            </c:strRef>
          </c:tx>
          <c:invertIfNegative val="0"/>
          <c:cat>
            <c:strRef>
              <c:extLst>
                <c:ext xmlns:c15="http://schemas.microsoft.com/office/drawing/2012/chart" uri="{02D57815-91ED-43cb-92C2-25804820EDAC}">
                  <c15:fullRef>
                    <c15:sqref>'6-2. Economic evaluation'!$U$43:$U$45</c15:sqref>
                  </c15:fullRef>
                </c:ext>
              </c:extLst>
              <c:f>'6-2. Economic evaluation'!$U$44:$U$45</c:f>
              <c:strCache>
                <c:ptCount val="2"/>
                <c:pt idx="0">
                  <c:v>Total revenue</c:v>
                </c:pt>
                <c:pt idx="1">
                  <c:v>Gross product cost</c:v>
                </c:pt>
              </c:strCache>
            </c:strRef>
          </c:cat>
          <c:val>
            <c:numRef>
              <c:extLst>
                <c:ext xmlns:c15="http://schemas.microsoft.com/office/drawing/2012/chart" uri="{02D57815-91ED-43cb-92C2-25804820EDAC}">
                  <c15:fullRef>
                    <c15:sqref>'6-2. Economic evaluation'!$Q$62:$S$62</c15:sqref>
                  </c15:fullRef>
                </c:ext>
              </c:extLst>
              <c:f>'6-2. Economic evaluation'!$R$62:$S$62</c:f>
              <c:numCache>
                <c:formatCode>General</c:formatCode>
                <c:ptCount val="2"/>
                <c:pt idx="1" formatCode="\$#,##0_);\(\$#,##0\)">
                  <c:v>827385.52778802789</c:v>
                </c:pt>
              </c:numCache>
            </c:numRef>
          </c:val>
          <c:extLst>
            <c:ext xmlns:c16="http://schemas.microsoft.com/office/drawing/2014/chart" uri="{C3380CC4-5D6E-409C-BE32-E72D297353CC}">
              <c16:uniqueId val="{0000000C-27F2-4659-942C-B5E1E56FBFFA}"/>
            </c:ext>
          </c:extLst>
        </c:ser>
        <c:ser>
          <c:idx val="13"/>
          <c:order val="14"/>
          <c:tx>
            <c:strRef>
              <c:f>'6-2. Economic evaluation'!$Q$63</c:f>
              <c:strCache>
                <c:ptCount val="1"/>
                <c:pt idx="0">
                  <c:v>Research and development costs</c:v>
                </c:pt>
              </c:strCache>
            </c:strRef>
          </c:tx>
          <c:invertIfNegative val="0"/>
          <c:dPt>
            <c:idx val="1"/>
            <c:invertIfNegative val="0"/>
            <c:bubble3D val="0"/>
            <c:spPr>
              <a:solidFill>
                <a:srgbClr val="FF9999"/>
              </a:solidFill>
            </c:spPr>
            <c:extLst>
              <c:ext xmlns:c16="http://schemas.microsoft.com/office/drawing/2014/chart" uri="{C3380CC4-5D6E-409C-BE32-E72D297353CC}">
                <c16:uniqueId val="{00000000-0958-4118-9F4D-AE96A1E465C9}"/>
              </c:ext>
            </c:extLst>
          </c:dPt>
          <c:cat>
            <c:strRef>
              <c:extLst>
                <c:ext xmlns:c15="http://schemas.microsoft.com/office/drawing/2012/chart" uri="{02D57815-91ED-43cb-92C2-25804820EDAC}">
                  <c15:fullRef>
                    <c15:sqref>'6-2. Economic evaluation'!$U$43:$U$45</c15:sqref>
                  </c15:fullRef>
                </c:ext>
              </c:extLst>
              <c:f>'6-2. Economic evaluation'!$U$44:$U$45</c:f>
              <c:strCache>
                <c:ptCount val="2"/>
                <c:pt idx="0">
                  <c:v>Total revenue</c:v>
                </c:pt>
                <c:pt idx="1">
                  <c:v>Gross product cost</c:v>
                </c:pt>
              </c:strCache>
            </c:strRef>
          </c:cat>
          <c:val>
            <c:numRef>
              <c:extLst>
                <c:ext xmlns:c15="http://schemas.microsoft.com/office/drawing/2012/chart" uri="{02D57815-91ED-43cb-92C2-25804820EDAC}">
                  <c15:fullRef>
                    <c15:sqref>'6-2. Economic evaluation'!$Q$63:$S$63</c15:sqref>
                  </c15:fullRef>
                </c:ext>
              </c:extLst>
              <c:f>'6-2. Economic evaluation'!$R$63:$S$63</c:f>
              <c:numCache>
                <c:formatCode>General</c:formatCode>
                <c:ptCount val="2"/>
                <c:pt idx="1" formatCode="\$#,##0_);\(\$#,##0\)">
                  <c:v>376084.33081273997</c:v>
                </c:pt>
              </c:numCache>
            </c:numRef>
          </c:val>
          <c:extLst>
            <c:ext xmlns:c16="http://schemas.microsoft.com/office/drawing/2014/chart" uri="{C3380CC4-5D6E-409C-BE32-E72D297353CC}">
              <c16:uniqueId val="{0000000D-27F2-4659-942C-B5E1E56FBFFA}"/>
            </c:ext>
          </c:extLst>
        </c:ser>
        <c:dLbls>
          <c:showLegendKey val="0"/>
          <c:showVal val="0"/>
          <c:showCatName val="0"/>
          <c:showSerName val="0"/>
          <c:showPercent val="0"/>
          <c:showBubbleSize val="0"/>
        </c:dLbls>
        <c:gapWidth val="20"/>
        <c:overlap val="100"/>
        <c:axId val="267054464"/>
        <c:axId val="267056256"/>
      </c:barChart>
      <c:catAx>
        <c:axId val="267054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ko-KR"/>
          </a:p>
        </c:txPr>
        <c:crossAx val="267056256"/>
        <c:crosses val="autoZero"/>
        <c:auto val="1"/>
        <c:lblAlgn val="ctr"/>
        <c:lblOffset val="100"/>
        <c:noMultiLvlLbl val="0"/>
      </c:catAx>
      <c:valAx>
        <c:axId val="267056256"/>
        <c:scaling>
          <c:orientation val="minMax"/>
          <c:max val="18000000"/>
          <c:min val="0"/>
        </c:scaling>
        <c:delete val="0"/>
        <c:axPos val="b"/>
        <c:majorGridlines>
          <c:spPr>
            <a:ln w="0" cap="flat" cmpd="sng" algn="ctr">
              <a:solidFill>
                <a:schemeClr val="bg1">
                  <a:lumMod val="95000"/>
                </a:schemeClr>
              </a:solidFill>
              <a:round/>
            </a:ln>
            <a:effectLst/>
          </c:spPr>
        </c:majorGridlines>
        <c:numFmt formatCode="_(&quot;$&quot;* #,##0.00_);;" sourceLinked="0"/>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ko-KR"/>
          </a:p>
        </c:txPr>
        <c:crossAx val="267054464"/>
        <c:crosses val="max"/>
        <c:crossBetween val="between"/>
        <c:majorUnit val="50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ko-KR"/>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400" b="1" i="0" u="none" strike="noStrike" baseline="0">
                <a:solidFill>
                  <a:sysClr val="windowText" lastClr="000000">
                    <a:lumMod val="65000"/>
                    <a:lumOff val="35000"/>
                  </a:sysClr>
                </a:solidFill>
                <a:latin typeface="Arial" panose="020B0604020202020204" pitchFamily="34" charset="0"/>
                <a:ea typeface="맑은 고딕" panose="020B0503020000020004" pitchFamily="50" charset="-127"/>
                <a:cs typeface="Arial" panose="020B0604020202020204" pitchFamily="34" charset="0"/>
              </a:rPr>
              <a:t>cumulative cash flow</a:t>
            </a:r>
            <a:endParaRPr lang="ko-KR" altLang="en-US" sz="1400" b="1" i="0" u="none" strike="noStrike" baseline="0">
              <a:solidFill>
                <a:sysClr val="windowText" lastClr="000000">
                  <a:lumMod val="65000"/>
                  <a:lumOff val="35000"/>
                </a:sysClr>
              </a:solidFill>
              <a:latin typeface="Arial" panose="020B0604020202020204" pitchFamily="34" charset="0"/>
              <a:ea typeface="맑은 고딕" panose="020B0503020000020004" pitchFamily="50" charset="-127"/>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'6-2. Economic evaluation'!$C$79</c:f>
              <c:strCache>
                <c:ptCount val="1"/>
                <c:pt idx="0">
                  <c:v>cash flow</c:v>
                </c:pt>
              </c:strCache>
            </c:strRef>
          </c:tx>
          <c:spPr>
            <a:solidFill>
              <a:schemeClr val="accent1"/>
            </a:solidFill>
            <a:ln>
              <a:noFill/>
            </a:ln>
            <a:effectLst/>
          </c:spPr>
          <c:invertIfNegative val="0"/>
          <c:cat>
            <c:strRef>
              <c:f>'6-2. Economic evaluation'!$B$80:$B$89</c:f>
              <c:strCache>
                <c:ptCount val="10"/>
                <c:pt idx="0">
                  <c:v>1 year</c:v>
                </c:pt>
                <c:pt idx="1">
                  <c:v>2 year</c:v>
                </c:pt>
                <c:pt idx="2">
                  <c:v>3 year</c:v>
                </c:pt>
                <c:pt idx="3">
                  <c:v>4 year</c:v>
                </c:pt>
                <c:pt idx="4">
                  <c:v>5 year</c:v>
                </c:pt>
                <c:pt idx="5">
                  <c:v>6 year</c:v>
                </c:pt>
                <c:pt idx="6">
                  <c:v>7 year</c:v>
                </c:pt>
                <c:pt idx="7">
                  <c:v>8 year</c:v>
                </c:pt>
                <c:pt idx="8">
                  <c:v>9 year</c:v>
                </c:pt>
                <c:pt idx="9">
                  <c:v>10 year</c:v>
                </c:pt>
              </c:strCache>
            </c:strRef>
          </c:cat>
          <c:val>
            <c:numRef>
              <c:f>'6-2. Economic evaluation'!$C$80:$C$89</c:f>
              <c:numCache>
                <c:formatCode>_-[$$]* #,##0_-;\-[$$]* #,##0_-;_-[$$]* "-"_-;_-@_-</c:formatCode>
                <c:ptCount val="10"/>
                <c:pt idx="0">
                  <c:v>105793473.57201092</c:v>
                </c:pt>
                <c:pt idx="1">
                  <c:v>105793473.57201092</c:v>
                </c:pt>
                <c:pt idx="2">
                  <c:v>105793473.57201092</c:v>
                </c:pt>
                <c:pt idx="3">
                  <c:v>105793473.57201092</c:v>
                </c:pt>
                <c:pt idx="4">
                  <c:v>105793473.57201092</c:v>
                </c:pt>
                <c:pt idx="5">
                  <c:v>105793473.57201092</c:v>
                </c:pt>
                <c:pt idx="6">
                  <c:v>105793473.57201092</c:v>
                </c:pt>
                <c:pt idx="7">
                  <c:v>105793473.57201092</c:v>
                </c:pt>
                <c:pt idx="8">
                  <c:v>105793473.57201092</c:v>
                </c:pt>
                <c:pt idx="9">
                  <c:v>105793473.57201092</c:v>
                </c:pt>
              </c:numCache>
            </c:numRef>
          </c:val>
          <c:extLst>
            <c:ext xmlns:c16="http://schemas.microsoft.com/office/drawing/2014/chart" uri="{C3380CC4-5D6E-409C-BE32-E72D297353CC}">
              <c16:uniqueId val="{00000000-E214-4449-945B-06E67F9526F9}"/>
            </c:ext>
          </c:extLst>
        </c:ser>
        <c:dLbls>
          <c:showLegendKey val="0"/>
          <c:showVal val="0"/>
          <c:showCatName val="0"/>
          <c:showSerName val="0"/>
          <c:showPercent val="0"/>
          <c:showBubbleSize val="0"/>
        </c:dLbls>
        <c:gapWidth val="219"/>
        <c:overlap val="-27"/>
        <c:axId val="651327224"/>
        <c:axId val="651333704"/>
      </c:barChart>
      <c:lineChart>
        <c:grouping val="standard"/>
        <c:varyColors val="0"/>
        <c:ser>
          <c:idx val="1"/>
          <c:order val="1"/>
          <c:tx>
            <c:strRef>
              <c:f>'6-2. Economic evaluation'!$D$79</c:f>
              <c:strCache>
                <c:ptCount val="1"/>
                <c:pt idx="0">
                  <c:v>total</c:v>
                </c:pt>
              </c:strCache>
            </c:strRef>
          </c:tx>
          <c:spPr>
            <a:ln w="28575" cap="rnd">
              <a:solidFill>
                <a:schemeClr val="accent2"/>
              </a:solidFill>
              <a:round/>
            </a:ln>
            <a:effectLst/>
          </c:spPr>
          <c:marker>
            <c:symbol val="none"/>
          </c:marker>
          <c:cat>
            <c:strRef>
              <c:f>'6-2. Economic evaluation'!$B$80:$B$89</c:f>
              <c:strCache>
                <c:ptCount val="10"/>
                <c:pt idx="0">
                  <c:v>1 year</c:v>
                </c:pt>
                <c:pt idx="1">
                  <c:v>2 year</c:v>
                </c:pt>
                <c:pt idx="2">
                  <c:v>3 year</c:v>
                </c:pt>
                <c:pt idx="3">
                  <c:v>4 year</c:v>
                </c:pt>
                <c:pt idx="4">
                  <c:v>5 year</c:v>
                </c:pt>
                <c:pt idx="5">
                  <c:v>6 year</c:v>
                </c:pt>
                <c:pt idx="6">
                  <c:v>7 year</c:v>
                </c:pt>
                <c:pt idx="7">
                  <c:v>8 year</c:v>
                </c:pt>
                <c:pt idx="8">
                  <c:v>9 year</c:v>
                </c:pt>
                <c:pt idx="9">
                  <c:v>10 year</c:v>
                </c:pt>
              </c:strCache>
            </c:strRef>
          </c:cat>
          <c:val>
            <c:numRef>
              <c:f>'6-2. Economic evaluation'!$D$80:$D$89</c:f>
              <c:numCache>
                <c:formatCode>_-[$$]* #,##0_-;\-[$$]* #,##0_-;_-[$$]* "-"_-;_-@_-</c:formatCode>
                <c:ptCount val="10"/>
                <c:pt idx="0">
                  <c:v>105793473.57201092</c:v>
                </c:pt>
                <c:pt idx="1">
                  <c:v>211586947.14402184</c:v>
                </c:pt>
                <c:pt idx="2">
                  <c:v>317380420.71603274</c:v>
                </c:pt>
                <c:pt idx="3">
                  <c:v>423173894.28804368</c:v>
                </c:pt>
                <c:pt idx="4">
                  <c:v>528967367.86005461</c:v>
                </c:pt>
                <c:pt idx="5">
                  <c:v>634760841.43206549</c:v>
                </c:pt>
                <c:pt idx="6">
                  <c:v>740554315.00407636</c:v>
                </c:pt>
                <c:pt idx="7">
                  <c:v>846347788.57608724</c:v>
                </c:pt>
                <c:pt idx="8">
                  <c:v>952141262.14809811</c:v>
                </c:pt>
                <c:pt idx="9">
                  <c:v>1057934735.720109</c:v>
                </c:pt>
              </c:numCache>
            </c:numRef>
          </c:val>
          <c:smooth val="0"/>
          <c:extLst>
            <c:ext xmlns:c16="http://schemas.microsoft.com/office/drawing/2014/chart" uri="{C3380CC4-5D6E-409C-BE32-E72D297353CC}">
              <c16:uniqueId val="{00000001-E214-4449-945B-06E67F9526F9}"/>
            </c:ext>
          </c:extLst>
        </c:ser>
        <c:dLbls>
          <c:showLegendKey val="0"/>
          <c:showVal val="0"/>
          <c:showCatName val="0"/>
          <c:showSerName val="0"/>
          <c:showPercent val="0"/>
          <c:showBubbleSize val="0"/>
        </c:dLbls>
        <c:marker val="1"/>
        <c:smooth val="0"/>
        <c:axId val="651327224"/>
        <c:axId val="651333704"/>
      </c:lineChart>
      <c:catAx>
        <c:axId val="65132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51333704"/>
        <c:crosses val="autoZero"/>
        <c:auto val="1"/>
        <c:lblAlgn val="ctr"/>
        <c:lblOffset val="100"/>
        <c:noMultiLvlLbl val="0"/>
      </c:catAx>
      <c:valAx>
        <c:axId val="65133370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51327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'6-2. Economic evaluation'!$G$16:$I$16</c:f>
          <c:strCache>
            <c:ptCount val="3"/>
            <c:pt idx="0">
              <c:v>Estimation of capital investment cost</c:v>
            </c:pt>
          </c:strCache>
        </c:strRef>
      </c:tx>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ko-KR"/>
        </a:p>
      </c:txPr>
    </c:title>
    <c:autoTitleDeleted val="0"/>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1A-7D2C-403A-95BD-4878B8BB6C57}"/>
              </c:ext>
            </c:extLst>
          </c:dPt>
          <c:dPt>
            <c:idx val="1"/>
            <c:bubble3D val="0"/>
            <c:spPr>
              <a:solidFill>
                <a:schemeClr val="accent2"/>
              </a:solidFill>
              <a:ln>
                <a:noFill/>
              </a:ln>
              <a:effectLst/>
            </c:spPr>
            <c:extLst>
              <c:ext xmlns:c16="http://schemas.microsoft.com/office/drawing/2014/chart" uri="{C3380CC4-5D6E-409C-BE32-E72D297353CC}">
                <c16:uniqueId val="{00000001-CB30-47FD-BBA7-9FB08900650D}"/>
              </c:ext>
            </c:extLst>
          </c:dPt>
          <c:dPt>
            <c:idx val="2"/>
            <c:bubble3D val="0"/>
            <c:spPr>
              <a:solidFill>
                <a:schemeClr val="accent3"/>
              </a:solidFill>
              <a:ln>
                <a:noFill/>
              </a:ln>
              <a:effectLst/>
            </c:spPr>
            <c:extLst>
              <c:ext xmlns:c16="http://schemas.microsoft.com/office/drawing/2014/chart" uri="{C3380CC4-5D6E-409C-BE32-E72D297353CC}">
                <c16:uniqueId val="{00000003-CB30-47FD-BBA7-9FB08900650D}"/>
              </c:ext>
            </c:extLst>
          </c:dPt>
          <c:dPt>
            <c:idx val="3"/>
            <c:bubble3D val="0"/>
            <c:spPr>
              <a:solidFill>
                <a:schemeClr val="accent4"/>
              </a:solidFill>
              <a:ln>
                <a:noFill/>
              </a:ln>
              <a:effectLst/>
            </c:spPr>
            <c:extLst>
              <c:ext xmlns:c16="http://schemas.microsoft.com/office/drawing/2014/chart" uri="{C3380CC4-5D6E-409C-BE32-E72D297353CC}">
                <c16:uniqueId val="{00000005-CB30-47FD-BBA7-9FB08900650D}"/>
              </c:ext>
            </c:extLst>
          </c:dPt>
          <c:dPt>
            <c:idx val="4"/>
            <c:bubble3D val="0"/>
            <c:spPr>
              <a:solidFill>
                <a:schemeClr val="accent5"/>
              </a:solidFill>
              <a:ln>
                <a:noFill/>
              </a:ln>
              <a:effectLst/>
            </c:spPr>
            <c:extLst>
              <c:ext xmlns:c16="http://schemas.microsoft.com/office/drawing/2014/chart" uri="{C3380CC4-5D6E-409C-BE32-E72D297353CC}">
                <c16:uniqueId val="{00000007-CB30-47FD-BBA7-9FB08900650D}"/>
              </c:ext>
            </c:extLst>
          </c:dPt>
          <c:dPt>
            <c:idx val="5"/>
            <c:bubble3D val="0"/>
            <c:spPr>
              <a:solidFill>
                <a:schemeClr val="accent6"/>
              </a:solidFill>
              <a:ln>
                <a:noFill/>
              </a:ln>
              <a:effectLst/>
            </c:spPr>
            <c:extLst>
              <c:ext xmlns:c16="http://schemas.microsoft.com/office/drawing/2014/chart" uri="{C3380CC4-5D6E-409C-BE32-E72D297353CC}">
                <c16:uniqueId val="{00000009-CB30-47FD-BBA7-9FB08900650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B-CB30-47FD-BBA7-9FB08900650D}"/>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D-CB30-47FD-BBA7-9FB08900650D}"/>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F-CB30-47FD-BBA7-9FB08900650D}"/>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1-CB30-47FD-BBA7-9FB08900650D}"/>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3-CB30-47FD-BBA7-9FB08900650D}"/>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5-CB30-47FD-BBA7-9FB08900650D}"/>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7-CB30-47FD-BBA7-9FB08900650D}"/>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9-CB30-47FD-BBA7-9FB08900650D}"/>
              </c:ext>
            </c:extLst>
          </c:dPt>
          <c:dLbls>
            <c:dLbl>
              <c:idx val="0"/>
              <c:layout>
                <c:manualLayout>
                  <c:x val="-0.19058907501828593"/>
                  <c:y val="-0.12756310607123381"/>
                </c:manualLayout>
              </c:layout>
              <c:tx>
                <c:rich>
                  <a:bodyPr/>
                  <a:lstStyle/>
                  <a:p>
                    <a:fld id="{84CE7A8D-B29B-4F13-8FE4-D26E56ED327D}" type="CELLRANGE">
                      <a:rPr lang="en-US" altLang="ko-KR"/>
                      <a:pPr/>
                      <a:t>[CELLRANGE]</a:t>
                    </a:fld>
                    <a:endParaRPr lang="ko-KR"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7D2C-403A-95BD-4878B8BB6C57}"/>
                </c:ext>
              </c:extLst>
            </c:dLbl>
            <c:dLbl>
              <c:idx val="1"/>
              <c:layout>
                <c:manualLayout>
                  <c:x val="-0.13448184644166389"/>
                  <c:y val="-0.16564342752579694"/>
                </c:manualLayout>
              </c:layout>
              <c:tx>
                <c:rich>
                  <a:bodyPr/>
                  <a:lstStyle/>
                  <a:p>
                    <a:fld id="{856621E9-FE90-41B5-8239-0451770EB72A}" type="CELLRANGE">
                      <a:rPr lang="en-US" altLang="ko-KR"/>
                      <a:pPr/>
                      <a:t>[CELLRANGE]</a:t>
                    </a:fld>
                    <a:endParaRPr lang="ko-KR"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B30-47FD-BBA7-9FB08900650D}"/>
                </c:ext>
              </c:extLst>
            </c:dLbl>
            <c:dLbl>
              <c:idx val="2"/>
              <c:layout>
                <c:manualLayout>
                  <c:x val="-5.654003440602106E-2"/>
                  <c:y val="-0.17693784038451515"/>
                </c:manualLayout>
              </c:layout>
              <c:tx>
                <c:rich>
                  <a:bodyPr/>
                  <a:lstStyle/>
                  <a:p>
                    <a:fld id="{0B2C52A7-20A7-4352-B5DB-83D18D3F05C1}" type="CELLRANGE">
                      <a:rPr lang="en-US" altLang="ko-KR"/>
                      <a:pPr/>
                      <a:t>[CELLRANGE]</a:t>
                    </a:fld>
                    <a:endParaRPr lang="ko-KR"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CB30-47FD-BBA7-9FB08900650D}"/>
                </c:ext>
              </c:extLst>
            </c:dLbl>
            <c:dLbl>
              <c:idx val="3"/>
              <c:layout>
                <c:manualLayout>
                  <c:x val="1.6949312079376271E-2"/>
                  <c:y val="-0.17550987018138178"/>
                </c:manualLayout>
              </c:layout>
              <c:tx>
                <c:rich>
                  <a:bodyPr/>
                  <a:lstStyle/>
                  <a:p>
                    <a:fld id="{26306AB5-E778-4BD8-BF06-1008FABB0F7E}" type="CELLRANGE">
                      <a:rPr lang="en-US" altLang="ko-KR"/>
                      <a:pPr/>
                      <a:t>[CELLRANGE]</a:t>
                    </a:fld>
                    <a:endParaRPr lang="ko-KR"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B30-47FD-BBA7-9FB08900650D}"/>
                </c:ext>
              </c:extLst>
            </c:dLbl>
            <c:dLbl>
              <c:idx val="4"/>
              <c:layout>
                <c:manualLayout>
                  <c:x val="9.6062115184425104E-2"/>
                  <c:y val="-0.16698657886575083"/>
                </c:manualLayout>
              </c:layout>
              <c:tx>
                <c:rich>
                  <a:bodyPr/>
                  <a:lstStyle/>
                  <a:p>
                    <a:fld id="{53C3583B-229F-4648-823B-D50331B3E5CB}" type="CELLRANGE">
                      <a:rPr lang="en-US" altLang="ko-KR"/>
                      <a:pPr/>
                      <a:t>[CELLRANGE]</a:t>
                    </a:fld>
                    <a:endParaRPr lang="ko-KR"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CB30-47FD-BBA7-9FB08900650D}"/>
                </c:ext>
              </c:extLst>
            </c:dLbl>
            <c:dLbl>
              <c:idx val="5"/>
              <c:layout>
                <c:manualLayout>
                  <c:x val="0.17053917181352471"/>
                  <c:y val="-0.17694208132767414"/>
                </c:manualLayout>
              </c:layout>
              <c:tx>
                <c:rich>
                  <a:bodyPr/>
                  <a:lstStyle/>
                  <a:p>
                    <a:fld id="{C6F71DF1-D5B7-4069-AE15-80551CA44DC0}" type="CELLRANGE">
                      <a:rPr lang="en-US" altLang="ko-KR"/>
                      <a:pPr/>
                      <a:t>[CELLRANGE]</a:t>
                    </a:fld>
                    <a:endParaRPr lang="ko-KR"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CB30-47FD-BBA7-9FB08900650D}"/>
                </c:ext>
              </c:extLst>
            </c:dLbl>
            <c:dLbl>
              <c:idx val="6"/>
              <c:layout>
                <c:manualLayout>
                  <c:x val="0.17396823006302672"/>
                  <c:y val="-0.16704595206997649"/>
                </c:manualLayout>
              </c:layout>
              <c:tx>
                <c:rich>
                  <a:bodyPr/>
                  <a:lstStyle/>
                  <a:p>
                    <a:fld id="{28DDF52A-A07D-4D3C-ACE3-10154D54BBC0}" type="CELLRANGE">
                      <a:rPr lang="en-US" altLang="ko-KR"/>
                      <a:pPr/>
                      <a:t>[CELLRANGE]</a:t>
                    </a:fld>
                    <a:endParaRPr lang="ko-KR"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CB30-47FD-BBA7-9FB08900650D}"/>
                </c:ext>
              </c:extLst>
            </c:dLbl>
            <c:dLbl>
              <c:idx val="7"/>
              <c:layout>
                <c:manualLayout>
                  <c:x val="0.15590387022005522"/>
                  <c:y val="-0.13588930513373981"/>
                </c:manualLayout>
              </c:layout>
              <c:tx>
                <c:rich>
                  <a:bodyPr/>
                  <a:lstStyle/>
                  <a:p>
                    <a:fld id="{3DFF2321-35A6-4AC7-A07E-7F2D579B850E}" type="CELLRANGE">
                      <a:rPr lang="en-US" altLang="ko-KR"/>
                      <a:pPr/>
                      <a:t>[CELLRANGE]</a:t>
                    </a:fld>
                    <a:endParaRPr lang="ko-KR"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CB30-47FD-BBA7-9FB08900650D}"/>
                </c:ext>
              </c:extLst>
            </c:dLbl>
            <c:dLbl>
              <c:idx val="8"/>
              <c:layout>
                <c:manualLayout>
                  <c:x val="0.19988596445504428"/>
                  <c:y val="-0.11608432378886754"/>
                </c:manualLayout>
              </c:layout>
              <c:tx>
                <c:rich>
                  <a:bodyPr rot="0" spcFirstLastPara="1" vertOverflow="ellipsis" vert="horz" wrap="square" lIns="38100" tIns="19050" rIns="38100" bIns="19050" anchor="ctr" anchorCtr="0">
                    <a:spAutoFit/>
                  </a:bodyPr>
                  <a:lstStyle/>
                  <a:p>
                    <a:pPr algn="ctr" rtl="0">
                      <a:defRPr lang="en-US" altLang="ko-KR" sz="1400" b="0" i="0" u="none" strike="noStrike" kern="1200" baseline="0">
                        <a:solidFill>
                          <a:sysClr val="windowText" lastClr="000000">
                            <a:lumMod val="75000"/>
                            <a:lumOff val="25000"/>
                          </a:sysClr>
                        </a:solidFill>
                        <a:latin typeface="Arial" panose="020B0604020202020204" pitchFamily="34" charset="0"/>
                        <a:ea typeface="+mn-ea"/>
                        <a:cs typeface="Arial" panose="020B0604020202020204" pitchFamily="34" charset="0"/>
                      </a:defRPr>
                    </a:pPr>
                    <a:fld id="{AA70495D-3ABC-4273-9005-E520F7236509}" type="CELLRANGE">
                      <a:rPr lang="en-US" altLang="ko-KR"/>
                      <a:pPr algn="ctr" rtl="0">
                        <a:defRPr lang="en-US" altLang="ko-KR">
                          <a:solidFill>
                            <a:sysClr val="windowText" lastClr="000000">
                              <a:lumMod val="75000"/>
                              <a:lumOff val="25000"/>
                            </a:sysClr>
                          </a:solidFill>
                        </a:defRPr>
                      </a:pPr>
                      <a:t>[CELLRANGE]</a:t>
                    </a:fld>
                    <a:endParaRPr lang="ko-KR" altLang="en-US"/>
                  </a:p>
                </c:rich>
              </c:tx>
              <c:spPr>
                <a:noFill/>
                <a:ln>
                  <a:noFill/>
                </a:ln>
                <a:effectLst/>
              </c:spPr>
              <c:txPr>
                <a:bodyPr rot="0" spcFirstLastPara="1" vertOverflow="ellipsis" vert="horz" wrap="square" lIns="38100" tIns="19050" rIns="38100" bIns="19050" anchor="ctr" anchorCtr="0">
                  <a:spAutoFit/>
                </a:bodyPr>
                <a:lstStyle/>
                <a:p>
                  <a:pPr algn="ctr" rtl="0">
                    <a:defRPr lang="en-US" altLang="ko-KR" sz="1400" b="0" i="0" u="none" strike="noStrike" kern="1200" baseline="0">
                      <a:solidFill>
                        <a:sysClr val="windowText" lastClr="000000">
                          <a:lumMod val="75000"/>
                          <a:lumOff val="25000"/>
                        </a:sysClr>
                      </a:solidFill>
                      <a:latin typeface="Arial" panose="020B0604020202020204" pitchFamily="34" charset="0"/>
                      <a:ea typeface="+mn-ea"/>
                      <a:cs typeface="Arial" panose="020B0604020202020204" pitchFamily="34" charset="0"/>
                    </a:defRPr>
                  </a:pPr>
                  <a:endParaRPr lang="ko-KR"/>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CB30-47FD-BBA7-9FB08900650D}"/>
                </c:ext>
              </c:extLst>
            </c:dLbl>
            <c:dLbl>
              <c:idx val="9"/>
              <c:layout>
                <c:manualLayout>
                  <c:x val="0.16830365955354934"/>
                  <c:y val="-8.9085363601167866E-2"/>
                </c:manualLayout>
              </c:layout>
              <c:tx>
                <c:rich>
                  <a:bodyPr rot="0" spcFirstLastPara="1" vertOverflow="ellipsis" vert="horz" wrap="square" lIns="38100" tIns="19050" rIns="38100" bIns="19050" anchor="ctr" anchorCtr="0">
                    <a:spAutoFit/>
                  </a:bodyPr>
                  <a:lstStyle/>
                  <a:p>
                    <a:pPr algn="ctr" rtl="0">
                      <a:defRPr lang="en-US" altLang="ko-KR" sz="1400" b="0" i="0" u="none" strike="noStrike" kern="1200" baseline="0">
                        <a:solidFill>
                          <a:sysClr val="windowText" lastClr="000000">
                            <a:lumMod val="75000"/>
                            <a:lumOff val="25000"/>
                          </a:sysClr>
                        </a:solidFill>
                        <a:latin typeface="Arial" panose="020B0604020202020204" pitchFamily="34" charset="0"/>
                        <a:ea typeface="+mn-ea"/>
                        <a:cs typeface="Arial" panose="020B0604020202020204" pitchFamily="34" charset="0"/>
                      </a:defRPr>
                    </a:pPr>
                    <a:fld id="{E21B0FC3-3C8F-40E2-A177-388B77CCF38F}" type="CELLRANGE">
                      <a:rPr lang="en-US" altLang="ko-KR"/>
                      <a:pPr algn="ctr" rtl="0">
                        <a:defRPr lang="en-US" altLang="ko-KR">
                          <a:solidFill>
                            <a:sysClr val="windowText" lastClr="000000">
                              <a:lumMod val="75000"/>
                              <a:lumOff val="25000"/>
                            </a:sysClr>
                          </a:solidFill>
                        </a:defRPr>
                      </a:pPr>
                      <a:t>[CELLRANGE]</a:t>
                    </a:fld>
                    <a:endParaRPr lang="ko-KR" altLang="en-US"/>
                  </a:p>
                </c:rich>
              </c:tx>
              <c:spPr>
                <a:noFill/>
                <a:ln>
                  <a:noFill/>
                </a:ln>
                <a:effectLst/>
              </c:spPr>
              <c:txPr>
                <a:bodyPr rot="0" spcFirstLastPara="1" vertOverflow="ellipsis" vert="horz" wrap="square" lIns="38100" tIns="19050" rIns="38100" bIns="19050" anchor="ctr" anchorCtr="0">
                  <a:spAutoFit/>
                </a:bodyPr>
                <a:lstStyle/>
                <a:p>
                  <a:pPr algn="ctr" rtl="0">
                    <a:defRPr lang="en-US" altLang="ko-KR" sz="1400" b="0" i="0" u="none" strike="noStrike" kern="1200" baseline="0">
                      <a:solidFill>
                        <a:sysClr val="windowText" lastClr="000000">
                          <a:lumMod val="75000"/>
                          <a:lumOff val="25000"/>
                        </a:sysClr>
                      </a:solidFill>
                      <a:latin typeface="Arial" panose="020B0604020202020204" pitchFamily="34" charset="0"/>
                      <a:ea typeface="+mn-ea"/>
                      <a:cs typeface="Arial" panose="020B0604020202020204" pitchFamily="34" charset="0"/>
                    </a:defRPr>
                  </a:pPr>
                  <a:endParaRPr lang="ko-KR"/>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CB30-47FD-BBA7-9FB08900650D}"/>
                </c:ext>
              </c:extLst>
            </c:dLbl>
            <c:dLbl>
              <c:idx val="10"/>
              <c:tx>
                <c:rich>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fld id="{62CBB61A-CE93-4169-80AF-5EA06CE1937A}" type="CELLRANGE">
                      <a:rPr lang="ko-KR" altLang="en-US"/>
                      <a:pPr>
                        <a:defRPr sz="1600">
                          <a:solidFill>
                            <a:schemeClr val="bg1"/>
                          </a:solidFill>
                        </a:defRPr>
                      </a:pPr>
                      <a:t>[CELLRANGE]</a:t>
                    </a:fld>
                    <a:endParaRPr lang="ko-KR" alt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ko-KR"/>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B30-47FD-BBA7-9FB08900650D}"/>
                </c:ext>
              </c:extLst>
            </c:dLbl>
            <c:dLbl>
              <c:idx val="11"/>
              <c:tx>
                <c:rich>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fld id="{A19D4BEA-C8F0-48A9-8205-075E29C8C45D}" type="CELLRANGE">
                      <a:rPr lang="ko-KR" altLang="en-US"/>
                      <a:pPr>
                        <a:defRPr sz="1600">
                          <a:solidFill>
                            <a:schemeClr val="bg1"/>
                          </a:solidFill>
                        </a:defRPr>
                      </a:pPr>
                      <a:t>[CELLRANGE]</a:t>
                    </a:fld>
                    <a:endParaRPr lang="ko-KR" alt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ko-KR"/>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CB30-47FD-BBA7-9FB08900650D}"/>
                </c:ext>
              </c:extLst>
            </c:dLbl>
            <c:dLbl>
              <c:idx val="12"/>
              <c:tx>
                <c:rich>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Arial" panose="020B0604020202020204" pitchFamily="34" charset="0"/>
                        <a:ea typeface="+mn-ea"/>
                        <a:cs typeface="Arial" panose="020B0604020202020204" pitchFamily="34" charset="0"/>
                      </a:defRPr>
                    </a:pPr>
                    <a:fld id="{5611A509-62A3-4B9B-89AC-FDDF660B0356}" type="CELLRANGE">
                      <a:rPr lang="ko-KR" altLang="en-US"/>
                      <a:pPr>
                        <a:defRPr sz="1800">
                          <a:solidFill>
                            <a:schemeClr val="bg1"/>
                          </a:solidFill>
                        </a:defRPr>
                      </a:pPr>
                      <a:t>[CELLRANGE]</a:t>
                    </a:fld>
                    <a:endParaRPr lang="ko-KR" altLang="en-US"/>
                  </a:p>
                </c:rich>
              </c:tx>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Arial" panose="020B0604020202020204" pitchFamily="34" charset="0"/>
                      <a:ea typeface="+mn-ea"/>
                      <a:cs typeface="Arial" panose="020B0604020202020204" pitchFamily="34" charset="0"/>
                    </a:defRPr>
                  </a:pPr>
                  <a:endParaRPr lang="ko-KR"/>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CB30-47FD-BBA7-9FB08900650D}"/>
                </c:ext>
              </c:extLst>
            </c:dLbl>
            <c:dLbl>
              <c:idx val="13"/>
              <c:tx>
                <c:rich>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fld id="{86C13C4B-0C29-41F7-8314-0AD94FA217F5}" type="CELLRANGE">
                      <a:rPr lang="ko-KR" altLang="en-US"/>
                      <a:pPr>
                        <a:defRPr sz="1600">
                          <a:solidFill>
                            <a:schemeClr val="bg1"/>
                          </a:solidFill>
                        </a:defRPr>
                      </a:pPr>
                      <a:t>[CELLRANGE]</a:t>
                    </a:fld>
                    <a:endParaRPr lang="ko-KR" alt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ko-KR"/>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B30-47FD-BBA7-9FB08900650D}"/>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ko-KR"/>
              </a:p>
            </c:txPr>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extLst>
                <c:ext xmlns:c15="http://schemas.microsoft.com/office/drawing/2012/chart" uri="{02D57815-91ED-43cb-92C2-25804820EDAC}">
                  <c15:fullRef>
                    <c15:sqref>'[3]Economic evaluation'!$AF$17:$AF$33</c15:sqref>
                  </c15:fullRef>
                </c:ext>
              </c:extLst>
              <c:f>('[3]Economic evaluation'!$AF$17:$AF$24,'[3]Economic evaluation'!$AF$26:$AF$29,'[3]Economic evaluation'!$AF$31,'[3]Economic evaluation'!$AF$33)</c:f>
              <c:strCache>
                <c:ptCount val="14"/>
                <c:pt idx="0">
                  <c:v>(except FCI) Equipment</c:v>
                </c:pt>
                <c:pt idx="1">
                  <c:v>Purchased equipments installation cost</c:v>
                </c:pt>
                <c:pt idx="2">
                  <c:v>Instrumentation and control</c:v>
                </c:pt>
                <c:pt idx="3">
                  <c:v>Piping</c:v>
                </c:pt>
                <c:pt idx="4">
                  <c:v>Electrical installation cost</c:v>
                </c:pt>
                <c:pt idx="5">
                  <c:v>Buildings, process, auxiliary</c:v>
                </c:pt>
                <c:pt idx="6">
                  <c:v>Service facilities and yard improvements</c:v>
                </c:pt>
                <c:pt idx="7">
                  <c:v>Land</c:v>
                </c:pt>
                <c:pt idx="8">
                  <c:v>Engineering and supervision</c:v>
                </c:pt>
                <c:pt idx="9">
                  <c:v>Legal expenses</c:v>
                </c:pt>
                <c:pt idx="10">
                  <c:v>Construction expense and constractor's fee</c:v>
                </c:pt>
                <c:pt idx="11">
                  <c:v>Contingency</c:v>
                </c:pt>
                <c:pt idx="12">
                  <c:v>(included FCI) Equipment</c:v>
                </c:pt>
                <c:pt idx="13">
                  <c:v>Working Capital</c:v>
                </c:pt>
              </c:strCache>
            </c:strRef>
          </c:cat>
          <c:val>
            <c:numRef>
              <c:extLst>
                <c:ext xmlns:c15="http://schemas.microsoft.com/office/drawing/2012/chart" uri="{02D57815-91ED-43cb-92C2-25804820EDAC}">
                  <c15:fullRef>
                    <c15:sqref>'[3]Economic evaluation'!$AG$17:$AG$33</c15:sqref>
                  </c15:fullRef>
                </c:ext>
              </c:extLst>
              <c:f>('[3]Economic evaluation'!$AG$17:$AG$24,'[3]Economic evaluation'!$AG$26:$AG$29,'[3]Economic evaluation'!$AG$31,'[3]Economic evaluation'!$AG$33)</c:f>
              <c:numCache>
                <c:formatCode>General</c:formatCode>
                <c:ptCount val="14"/>
                <c:pt idx="0">
                  <c:v>2515481.7760486221</c:v>
                </c:pt>
                <c:pt idx="1">
                  <c:v>1006192.7104194489</c:v>
                </c:pt>
                <c:pt idx="2">
                  <c:v>729489.71505410038</c:v>
                </c:pt>
                <c:pt idx="3">
                  <c:v>1131966.79922188</c:v>
                </c:pt>
                <c:pt idx="4">
                  <c:v>628870.44401215552</c:v>
                </c:pt>
                <c:pt idx="5">
                  <c:v>1006192.7104194489</c:v>
                </c:pt>
                <c:pt idx="6">
                  <c:v>1760837.2432340353</c:v>
                </c:pt>
                <c:pt idx="7">
                  <c:v>201238.54208388977</c:v>
                </c:pt>
                <c:pt idx="8">
                  <c:v>1571547.2395863764</c:v>
                </c:pt>
                <c:pt idx="9">
                  <c:v>1250596.6722734594</c:v>
                </c:pt>
                <c:pt idx="10">
                  <c:v>9379475.0420509446</c:v>
                </c:pt>
                <c:pt idx="11">
                  <c:v>6252983.3613672964</c:v>
                </c:pt>
                <c:pt idx="12">
                  <c:v>35094961.357901312</c:v>
                </c:pt>
                <c:pt idx="13">
                  <c:v>11034676.520059934</c:v>
                </c:pt>
              </c:numCache>
            </c:numRef>
          </c:val>
          <c:extLst>
            <c:ext xmlns:c15="http://schemas.microsoft.com/office/drawing/2012/chart" uri="{02D57815-91ED-43cb-92C2-25804820EDAC}">
              <c15:datalabelsRange>
                <c15:f>'6-2. Economic evaluation'!$I$17:$I$33</c15:f>
                <c15:dlblRangeCache>
                  <c:ptCount val="17"/>
                  <c:pt idx="0">
                    <c:v> $2,515,482 </c:v>
                  </c:pt>
                  <c:pt idx="1">
                    <c:v> $1,006,193 </c:v>
                  </c:pt>
                  <c:pt idx="2">
                    <c:v> $729,490 </c:v>
                  </c:pt>
                  <c:pt idx="3">
                    <c:v> $1,131,967 </c:v>
                  </c:pt>
                  <c:pt idx="4">
                    <c:v> $628,870 </c:v>
                  </c:pt>
                  <c:pt idx="5">
                    <c:v> $1,006,193 </c:v>
                  </c:pt>
                  <c:pt idx="6">
                    <c:v> $1,760,837 </c:v>
                  </c:pt>
                  <c:pt idx="7">
                    <c:v> $201,239 </c:v>
                  </c:pt>
                  <c:pt idx="8">
                    <c:v> $8,980,270 </c:v>
                  </c:pt>
                  <c:pt idx="9">
                    <c:v> $1,571,547 </c:v>
                  </c:pt>
                  <c:pt idx="10">
                    <c:v> $1,250,597 </c:v>
                  </c:pt>
                  <c:pt idx="11">
                    <c:v> $9,379,475 </c:v>
                  </c:pt>
                  <c:pt idx="12">
                    <c:v> $6,252,983 </c:v>
                  </c:pt>
                  <c:pt idx="13">
                    <c:v> $18,454,602 </c:v>
                  </c:pt>
                  <c:pt idx="14">
                    <c:v> $35,094,961 </c:v>
                  </c:pt>
                  <c:pt idx="15">
                    <c:v> $62,529,834 </c:v>
                  </c:pt>
                  <c:pt idx="16">
                    <c:v> $11,034,677 </c:v>
                  </c:pt>
                </c15:dlblRangeCache>
              </c15:datalabelsRange>
            </c:ext>
            <c:ext xmlns:c15="http://schemas.microsoft.com/office/drawing/2012/chart" uri="{02D57815-91ED-43cb-92C2-25804820EDAC}">
              <c15:categoryFilterExceptions/>
            </c:ext>
            <c:ext xmlns:c16="http://schemas.microsoft.com/office/drawing/2014/chart" uri="{C3380CC4-5D6E-409C-BE32-E72D297353CC}">
              <c16:uniqueId val="{0000001A-CB30-47FD-BBA7-9FB08900650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Arial" panose="020B0604020202020204" pitchFamily="34" charset="0"/>
          <a:ea typeface="+mn-ea"/>
          <a:cs typeface="Arial" panose="020B0604020202020204" pitchFamily="34" charset="0"/>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'6-2. Economic evaluation'!$B$44:$D$44</c:f>
          <c:strCache>
            <c:ptCount val="3"/>
            <c:pt idx="0">
              <c:v>Estimation of total cost of production</c:v>
            </c:pt>
          </c:strCache>
        </c:strRef>
      </c:tx>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ko-KR"/>
        </a:p>
      </c:txPr>
    </c:title>
    <c:autoTitleDeleted val="0"/>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B184-4516-BA48-08D587F9EB90}"/>
              </c:ext>
            </c:extLst>
          </c:dPt>
          <c:dPt>
            <c:idx val="1"/>
            <c:bubble3D val="0"/>
            <c:spPr>
              <a:solidFill>
                <a:schemeClr val="accent6">
                  <a:lumMod val="40000"/>
                  <a:lumOff val="60000"/>
                </a:schemeClr>
              </a:solidFill>
              <a:ln>
                <a:noFill/>
              </a:ln>
              <a:effectLst/>
            </c:spPr>
            <c:extLst>
              <c:ext xmlns:c16="http://schemas.microsoft.com/office/drawing/2014/chart" uri="{C3380CC4-5D6E-409C-BE32-E72D297353CC}">
                <c16:uniqueId val="{00000003-B184-4516-BA48-08D587F9EB90}"/>
              </c:ext>
            </c:extLst>
          </c:dPt>
          <c:dPt>
            <c:idx val="2"/>
            <c:bubble3D val="0"/>
            <c:spPr>
              <a:solidFill>
                <a:srgbClr val="FF0000"/>
              </a:solidFill>
              <a:ln>
                <a:noFill/>
              </a:ln>
              <a:effectLst/>
            </c:spPr>
            <c:extLst>
              <c:ext xmlns:c16="http://schemas.microsoft.com/office/drawing/2014/chart" uri="{C3380CC4-5D6E-409C-BE32-E72D297353CC}">
                <c16:uniqueId val="{00000005-B184-4516-BA48-08D587F9EB90}"/>
              </c:ext>
            </c:extLst>
          </c:dPt>
          <c:dPt>
            <c:idx val="3"/>
            <c:bubble3D val="0"/>
            <c:spPr>
              <a:solidFill>
                <a:schemeClr val="accent4"/>
              </a:solidFill>
              <a:ln>
                <a:noFill/>
              </a:ln>
              <a:effectLst/>
            </c:spPr>
            <c:extLst>
              <c:ext xmlns:c16="http://schemas.microsoft.com/office/drawing/2014/chart" uri="{C3380CC4-5D6E-409C-BE32-E72D297353CC}">
                <c16:uniqueId val="{00000007-B184-4516-BA48-08D587F9EB90}"/>
              </c:ext>
            </c:extLst>
          </c:dPt>
          <c:dPt>
            <c:idx val="4"/>
            <c:bubble3D val="0"/>
            <c:spPr>
              <a:solidFill>
                <a:srgbClr val="00FFFF"/>
              </a:solidFill>
              <a:ln>
                <a:noFill/>
              </a:ln>
              <a:effectLst/>
            </c:spPr>
            <c:extLst>
              <c:ext xmlns:c16="http://schemas.microsoft.com/office/drawing/2014/chart" uri="{C3380CC4-5D6E-409C-BE32-E72D297353CC}">
                <c16:uniqueId val="{00000009-B184-4516-BA48-08D587F9EB90}"/>
              </c:ext>
            </c:extLst>
          </c:dPt>
          <c:dPt>
            <c:idx val="5"/>
            <c:bubble3D val="0"/>
            <c:spPr>
              <a:solidFill>
                <a:schemeClr val="accent6">
                  <a:lumMod val="75000"/>
                </a:schemeClr>
              </a:solidFill>
              <a:ln>
                <a:noFill/>
              </a:ln>
              <a:effectLst/>
            </c:spPr>
            <c:extLst>
              <c:ext xmlns:c16="http://schemas.microsoft.com/office/drawing/2014/chart" uri="{C3380CC4-5D6E-409C-BE32-E72D297353CC}">
                <c16:uniqueId val="{0000000B-B184-4516-BA48-08D587F9EB9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B184-4516-BA48-08D587F9EB9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B184-4516-BA48-08D587F9EB9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D-B184-4516-BA48-08D587F9EB90}"/>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1-B184-4516-BA48-08D587F9EB90}"/>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3-B184-4516-BA48-08D587F9EB90}"/>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5-B184-4516-BA48-08D587F9EB90}"/>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7-B184-4516-BA48-08D587F9EB90}"/>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E-B184-4516-BA48-08D587F9EB90}"/>
              </c:ext>
            </c:extLst>
          </c:dPt>
          <c:dPt>
            <c:idx val="14"/>
            <c:bubble3D val="0"/>
            <c:spPr>
              <a:solidFill>
                <a:srgbClr val="FF66FF"/>
              </a:solidFill>
              <a:ln>
                <a:noFill/>
              </a:ln>
              <a:effectLst/>
            </c:spPr>
            <c:extLst>
              <c:ext xmlns:c16="http://schemas.microsoft.com/office/drawing/2014/chart" uri="{C3380CC4-5D6E-409C-BE32-E72D297353CC}">
                <c16:uniqueId val="{00000019-B184-4516-BA48-08D587F9EB90}"/>
              </c:ext>
            </c:extLst>
          </c:dPt>
          <c:dPt>
            <c:idx val="15"/>
            <c:bubble3D val="0"/>
            <c:spPr>
              <a:solidFill>
                <a:srgbClr val="CCCCFF"/>
              </a:solidFill>
              <a:ln>
                <a:noFill/>
              </a:ln>
              <a:effectLst/>
            </c:spPr>
            <c:extLst>
              <c:ext xmlns:c16="http://schemas.microsoft.com/office/drawing/2014/chart" uri="{C3380CC4-5D6E-409C-BE32-E72D297353CC}">
                <c16:uniqueId val="{0000001F-B184-4516-BA48-08D587F9EB90}"/>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1B-B184-4516-BA48-08D587F9EB90}"/>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ko-K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84-4516-BA48-08D587F9EB90}"/>
                </c:ext>
              </c:extLst>
            </c:dLbl>
            <c:dLbl>
              <c:idx val="1"/>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ko-K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84-4516-BA48-08D587F9EB90}"/>
                </c:ext>
              </c:extLst>
            </c:dLbl>
            <c:dLbl>
              <c:idx val="2"/>
              <c:layout>
                <c:manualLayout>
                  <c:x val="2.2985198228786197E-2"/>
                  <c:y val="0.142790341190500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184-4516-BA48-08D587F9EB90}"/>
                </c:ext>
              </c:extLst>
            </c:dLbl>
            <c:dLbl>
              <c:idx val="3"/>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ko-K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184-4516-BA48-08D587F9EB90}"/>
                </c:ext>
              </c:extLst>
            </c:dLbl>
            <c:dLbl>
              <c:idx val="4"/>
              <c:layout>
                <c:manualLayout>
                  <c:x val="-7.5457647662298316E-2"/>
                  <c:y val="0.137078753422846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184-4516-BA48-08D587F9EB90}"/>
                </c:ext>
              </c:extLst>
            </c:dLbl>
            <c:dLbl>
              <c:idx val="5"/>
              <c:layout>
                <c:manualLayout>
                  <c:x val="-0.10828998625345511"/>
                  <c:y val="0.102863498897377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184-4516-BA48-08D587F9EB90}"/>
                </c:ext>
              </c:extLst>
            </c:dLbl>
            <c:dLbl>
              <c:idx val="6"/>
              <c:layout>
                <c:manualLayout>
                  <c:x val="-0.14452924562547548"/>
                  <c:y val="6.28277268233323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184-4516-BA48-08D587F9EB90}"/>
                </c:ext>
              </c:extLst>
            </c:dLbl>
            <c:dLbl>
              <c:idx val="7"/>
              <c:layout>
                <c:manualLayout>
                  <c:x val="-0.15488148236167215"/>
                  <c:y val="2.5022248325240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184-4516-BA48-08D587F9EB90}"/>
                </c:ext>
              </c:extLst>
            </c:dLbl>
            <c:dLbl>
              <c:idx val="8"/>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ko-K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184-4516-BA48-08D587F9EB90}"/>
                </c:ext>
              </c:extLst>
            </c:dLbl>
            <c:dLbl>
              <c:idx val="9"/>
              <c:layout>
                <c:manualLayout>
                  <c:x val="-0.11616847839127992"/>
                  <c:y val="5.93463426753241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184-4516-BA48-08D587F9EB90}"/>
                </c:ext>
              </c:extLst>
            </c:dLbl>
            <c:dLbl>
              <c:idx val="10"/>
              <c:layout>
                <c:manualLayout>
                  <c:x val="-0.12009668877582345"/>
                  <c:y val="-1.52309726025384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184-4516-BA48-08D587F9EB90}"/>
                </c:ext>
              </c:extLst>
            </c:dLbl>
            <c:dLbl>
              <c:idx val="13"/>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ko-K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184-4516-BA48-08D587F9EB90}"/>
                </c:ext>
              </c:extLst>
            </c:dLbl>
            <c:dLbl>
              <c:idx val="14"/>
              <c:layout>
                <c:manualLayout>
                  <c:x val="-7.0724375731647041E-2"/>
                  <c:y val="-3.89640583294023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184-4516-BA48-08D587F9EB90}"/>
                </c:ext>
              </c:extLst>
            </c:dLbl>
            <c:dLbl>
              <c:idx val="15"/>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ko-K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184-4516-BA48-08D587F9EB90}"/>
                </c:ext>
              </c:extLst>
            </c:dLbl>
            <c:dLbl>
              <c:idx val="16"/>
              <c:layout>
                <c:manualLayout>
                  <c:x val="-2.5598404702043977E-2"/>
                  <c:y val="-0.142230338680994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184-4516-BA48-08D587F9EB90}"/>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ko-KR"/>
              </a:p>
            </c:txPr>
            <c:showLegendKey val="0"/>
            <c:showVal val="0"/>
            <c:showCatName val="0"/>
            <c:showSerName val="0"/>
            <c:showPercent val="0"/>
            <c:showBubbleSize val="0"/>
            <c:extLst>
              <c:ext xmlns:c15="http://schemas.microsoft.com/office/drawing/2012/chart" uri="{CE6537A1-D6FC-4f65-9D91-7224C49458BB}"/>
            </c:extLst>
          </c:dLbls>
          <c:cat>
            <c:strRef>
              <c:f>('6-2. Economic evaluation'!$C$46:$C$53,'6-2. Economic evaluation'!$C$55:$C$59,'6-2. Economic evaluation'!$C$61,'6-2. Economic evaluation'!$C$64:$C$66)</c:f>
              <c:strCache>
                <c:ptCount val="17"/>
                <c:pt idx="0">
                  <c:v>Raw materials</c:v>
                </c:pt>
                <c:pt idx="1">
                  <c:v>Operating labor</c:v>
                </c:pt>
                <c:pt idx="2">
                  <c:v>Direct Supervisory and clerical labor</c:v>
                </c:pt>
                <c:pt idx="3">
                  <c:v>Utilities</c:v>
                </c:pt>
                <c:pt idx="4">
                  <c:v>Maintenance and repairs</c:v>
                </c:pt>
                <c:pt idx="5">
                  <c:v>Operating supplies</c:v>
                </c:pt>
                <c:pt idx="6">
                  <c:v>Laboratory charges</c:v>
                </c:pt>
                <c:pt idx="7">
                  <c:v>Patents and royal</c:v>
                </c:pt>
                <c:pt idx="8">
                  <c:v>Depreciation</c:v>
                </c:pt>
                <c:pt idx="9">
                  <c:v>Local taxes</c:v>
                </c:pt>
                <c:pt idx="10">
                  <c:v>Insurance</c:v>
                </c:pt>
                <c:pt idx="11">
                  <c:v>Rent</c:v>
                </c:pt>
                <c:pt idx="12">
                  <c:v>Financing</c:v>
                </c:pt>
                <c:pt idx="13">
                  <c:v>Plant overhead costs</c:v>
                </c:pt>
                <c:pt idx="14">
                  <c:v>Administrative costs</c:v>
                </c:pt>
                <c:pt idx="15">
                  <c:v>Distribution and marketing costs</c:v>
                </c:pt>
                <c:pt idx="16">
                  <c:v>Research and development costs</c:v>
                </c:pt>
              </c:strCache>
            </c:strRef>
          </c:cat>
          <c:val>
            <c:numRef>
              <c:f>('6-2. Economic evaluation'!$D$46:$D$53,'6-2. Economic evaluation'!$D$55:$D$59,'6-2. Economic evaluation'!$D$61,'6-2. Economic evaluation'!$D$64:$D$66)</c:f>
              <c:numCache>
                <c:formatCode>_-\$* #,##0_ ;_-\$* \-#,##0\ ;_-\$* "-"_ ;_-@_ </c:formatCode>
                <c:ptCount val="17"/>
                <c:pt idx="0">
                  <c:v>39122605.862932436</c:v>
                </c:pt>
                <c:pt idx="1">
                  <c:v>19327252.113729779</c:v>
                </c:pt>
                <c:pt idx="2">
                  <c:v>2899087.8170594671</c:v>
                </c:pt>
                <c:pt idx="3">
                  <c:v>9021371.7758417632</c:v>
                </c:pt>
                <c:pt idx="4">
                  <c:v>3751790.0168203777</c:v>
                </c:pt>
                <c:pt idx="5">
                  <c:v>562768.50252305658</c:v>
                </c:pt>
                <c:pt idx="6">
                  <c:v>2899087.8170594671</c:v>
                </c:pt>
                <c:pt idx="7">
                  <c:v>3865450.4227459561</c:v>
                </c:pt>
                <c:pt idx="8">
                  <c:v>7356451.0133732902</c:v>
                </c:pt>
                <c:pt idx="9">
                  <c:v>1563245.8403418241</c:v>
                </c:pt>
                <c:pt idx="10">
                  <c:v>468973.75210254721</c:v>
                </c:pt>
                <c:pt idx="11">
                  <c:v>0</c:v>
                </c:pt>
                <c:pt idx="12">
                  <c:v>0</c:v>
                </c:pt>
                <c:pt idx="13">
                  <c:v>12884834.742486522</c:v>
                </c:pt>
                <c:pt idx="14">
                  <c:v>4509692.1598702827</c:v>
                </c:pt>
                <c:pt idx="15">
                  <c:v>14173318.216735173</c:v>
                </c:pt>
                <c:pt idx="16">
                  <c:v>6442417.3712432608</c:v>
                </c:pt>
              </c:numCache>
            </c:numRef>
          </c:val>
          <c:extLst>
            <c:ext xmlns:c16="http://schemas.microsoft.com/office/drawing/2014/chart" uri="{C3380CC4-5D6E-409C-BE32-E72D297353CC}">
              <c16:uniqueId val="{0000001C-B184-4516-BA48-08D587F9EB9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Arial" panose="020B0604020202020204" pitchFamily="34" charset="0"/>
          <a:ea typeface="+mn-ea"/>
          <a:cs typeface="Arial" panose="020B0604020202020204" pitchFamily="34" charset="0"/>
        </a:defRPr>
      </a:pPr>
      <a:endParaRPr lang="ko-K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a:latin typeface="Arial" panose="020B0604020202020204" pitchFamily="34" charset="0"/>
                <a:ea typeface="Arial" panose="020B0604020202020204" pitchFamily="34" charset="0"/>
                <a:cs typeface="Arial" panose="020B0604020202020204" pitchFamily="34" charset="0"/>
              </a:defRPr>
            </a:pPr>
            <a:r>
              <a:rPr lang="en-US" altLang="ko-KR" sz="2400" b="1" i="0" u="none" strike="noStrike" baseline="0">
                <a:solidFill>
                  <a:sysClr val="windowText" lastClr="000000">
                    <a:lumMod val="65000"/>
                    <a:lumOff val="35000"/>
                  </a:sysClr>
                </a:solidFill>
                <a:latin typeface="Arial" panose="020B0604020202020204" pitchFamily="34" charset="0"/>
                <a:ea typeface="맑은 고딕" panose="020B0503020000020004" pitchFamily="50" charset="-127"/>
                <a:cs typeface="Arial" panose="020B0604020202020204" pitchFamily="34" charset="0"/>
              </a:rPr>
              <a:t>cumulative cash flow</a:t>
            </a:r>
            <a:endParaRPr lang="ko-KR" altLang="en-US" sz="2400" b="1" i="0" u="none" strike="noStrike" baseline="0">
              <a:solidFill>
                <a:sysClr val="windowText" lastClr="000000">
                  <a:lumMod val="65000"/>
                  <a:lumOff val="35000"/>
                </a:sysClr>
              </a:solidFill>
              <a:latin typeface="Arial" panose="020B0604020202020204" pitchFamily="34" charset="0"/>
              <a:ea typeface="맑은 고딕" panose="020B0503020000020004" pitchFamily="50" charset="-127"/>
              <a:cs typeface="Arial" panose="020B0604020202020204" pitchFamily="34" charset="0"/>
            </a:endParaRPr>
          </a:p>
        </cx:rich>
      </cx:tx>
    </cx:title>
    <cx:plotArea>
      <cx:plotAreaRegion>
        <cx:series layoutId="waterfall" uniqueId="{1712089D-63DF-4E5A-80F5-A75777036B4B}">
          <cx:tx>
            <cx:txData>
              <cx:f>_xlchart.v1.1</cx:f>
              <cx:v>cumulative cash flow</cx:v>
            </cx:txData>
          </cx:tx>
          <cx:dataLabels pos="outEnd">
            <cx:txPr>
              <a:bodyPr spcFirstLastPara="1" vertOverflow="ellipsis" horzOverflow="overflow" wrap="square" lIns="0" tIns="0" rIns="0" bIns="0" anchor="ctr" anchorCtr="1"/>
              <a:lstStyle/>
              <a:p>
                <a:pPr algn="ctr" rtl="0">
                  <a:defRPr sz="1000" b="1"/>
                </a:pPr>
                <a:endParaRPr lang="ko-KR" altLang="en-US" sz="1000" b="1" i="0" u="none" strike="noStrike" baseline="0">
                  <a:solidFill>
                    <a:sysClr val="windowText" lastClr="000000">
                      <a:lumMod val="65000"/>
                      <a:lumOff val="35000"/>
                    </a:sysClr>
                  </a:solidFill>
                  <a:latin typeface="Calibri" panose="020F0502020204030204"/>
                  <a:ea typeface="맑은 고딕" panose="020B0503020000020004" pitchFamily="50" charset="-127"/>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1050" b="1"/>
            </a:pPr>
            <a:endParaRPr lang="ko-KR" altLang="en-US" sz="1050" b="1" i="0" u="none" strike="noStrike" baseline="0">
              <a:solidFill>
                <a:sysClr val="windowText" lastClr="000000">
                  <a:lumMod val="65000"/>
                  <a:lumOff val="35000"/>
                </a:sysClr>
              </a:solidFill>
              <a:latin typeface="Calibri" panose="020F0502020204030204"/>
              <a:ea typeface="맑은 고딕" panose="020B0503020000020004" pitchFamily="50" charset="-127"/>
            </a:endParaRPr>
          </a:p>
        </cx:txPr>
      </cx:axis>
      <cx:axis id="1">
        <cx:valScaling min="-500000000"/>
        <cx:majorGridlines/>
        <cx:tickLabels/>
        <cx:txPr>
          <a:bodyPr spcFirstLastPara="1" vertOverflow="ellipsis" horzOverflow="overflow" wrap="square" lIns="0" tIns="0" rIns="0" bIns="0" anchor="ctr" anchorCtr="1"/>
          <a:lstStyle/>
          <a:p>
            <a:pPr algn="ctr" rtl="0">
              <a:defRPr sz="1050" b="1"/>
            </a:pPr>
            <a:endParaRPr lang="ko-KR" altLang="en-US" sz="1050" b="1" i="0" u="none" strike="noStrike" baseline="0">
              <a:solidFill>
                <a:sysClr val="windowText" lastClr="000000">
                  <a:lumMod val="65000"/>
                  <a:lumOff val="35000"/>
                </a:sysClr>
              </a:solidFill>
              <a:latin typeface="Calibri" panose="020F0502020204030204"/>
              <a:ea typeface="맑은 고딕" panose="020B0503020000020004" pitchFamily="50" charset="-127"/>
            </a:endParaRPr>
          </a:p>
        </cx:txPr>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microsoft.com/office/2014/relationships/chartEx" Target="../charts/chartEx1.xml"/><Relationship Id="rId1" Type="http://schemas.openxmlformats.org/officeDocument/2006/relationships/chart" Target="../charts/chart2.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19</xdr:col>
          <xdr:colOff>0</xdr:colOff>
          <xdr:row>35</xdr:row>
          <xdr:rowOff>137160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5</xdr:row>
          <xdr:rowOff>0</xdr:rowOff>
        </xdr:from>
        <xdr:to>
          <xdr:col>38</xdr:col>
          <xdr:colOff>22860</xdr:colOff>
          <xdr:row>35</xdr:row>
          <xdr:rowOff>137160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39</xdr:row>
          <xdr:rowOff>0</xdr:rowOff>
        </xdr:from>
        <xdr:to>
          <xdr:col>19</xdr:col>
          <xdr:colOff>0</xdr:colOff>
          <xdr:row>69</xdr:row>
          <xdr:rowOff>137160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39</xdr:row>
          <xdr:rowOff>0</xdr:rowOff>
        </xdr:from>
        <xdr:to>
          <xdr:col>38</xdr:col>
          <xdr:colOff>0</xdr:colOff>
          <xdr:row>69</xdr:row>
          <xdr:rowOff>137160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41563</xdr:colOff>
      <xdr:row>24</xdr:row>
      <xdr:rowOff>180108</xdr:rowOff>
    </xdr:from>
    <xdr:to>
      <xdr:col>17</xdr:col>
      <xdr:colOff>332509</xdr:colOff>
      <xdr:row>43</xdr:row>
      <xdr:rowOff>124691</xdr:rowOff>
    </xdr:to>
    <xdr:graphicFrame macro="">
      <xdr:nvGraphicFramePr>
        <xdr:cNvPr id="2" name="차트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114300</xdr:colOff>
      <xdr:row>0</xdr:row>
      <xdr:rowOff>100790</xdr:rowOff>
    </xdr:from>
    <xdr:to>
      <xdr:col>26</xdr:col>
      <xdr:colOff>1482437</xdr:colOff>
      <xdr:row>36</xdr:row>
      <xdr:rowOff>0</xdr:rowOff>
    </xdr:to>
    <xdr:graphicFrame macro="">
      <xdr:nvGraphicFramePr>
        <xdr:cNvPr id="3" name="Chart 3">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91</xdr:row>
      <xdr:rowOff>0</xdr:rowOff>
    </xdr:from>
    <xdr:to>
      <xdr:col>11</xdr:col>
      <xdr:colOff>0</xdr:colOff>
      <xdr:row>125</xdr:row>
      <xdr:rowOff>0</xdr:rowOff>
    </xdr:to>
    <mc:AlternateContent xmlns:mc="http://schemas.openxmlformats.org/markup-compatibility/2006">
      <mc:Choice xmlns:cx1="http://schemas.microsoft.com/office/drawing/2015/9/8/chartex" Requires="cx1">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831580" y="16123920"/>
              <a:ext cx="9471660" cy="6484620"/>
            </a:xfrm>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1</xdr:col>
      <xdr:colOff>0</xdr:colOff>
      <xdr:row>90</xdr:row>
      <xdr:rowOff>152400</xdr:rowOff>
    </xdr:from>
    <xdr:to>
      <xdr:col>2</xdr:col>
      <xdr:colOff>2839538</xdr:colOff>
      <xdr:row>106</xdr:row>
      <xdr:rowOff>0</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xdr:colOff>
      <xdr:row>1</xdr:row>
      <xdr:rowOff>231915</xdr:rowOff>
    </xdr:from>
    <xdr:to>
      <xdr:col>14</xdr:col>
      <xdr:colOff>0</xdr:colOff>
      <xdr:row>40</xdr:row>
      <xdr:rowOff>0</xdr:rowOff>
    </xdr:to>
    <xdr:graphicFrame macro="">
      <xdr:nvGraphicFramePr>
        <xdr:cNvPr id="6" name="차트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42</xdr:row>
      <xdr:rowOff>0</xdr:rowOff>
    </xdr:from>
    <xdr:to>
      <xdr:col>14</xdr:col>
      <xdr:colOff>0</xdr:colOff>
      <xdr:row>79</xdr:row>
      <xdr:rowOff>147354</xdr:rowOff>
    </xdr:to>
    <xdr:graphicFrame macro="">
      <xdr:nvGraphicFramePr>
        <xdr:cNvPr id="10" name="차트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0.42854</cdr:x>
      <cdr:y>0.01286</cdr:y>
    </cdr:from>
    <cdr:to>
      <cdr:x>0.61549</cdr:x>
      <cdr:y>0.08083</cdr:y>
    </cdr:to>
    <cdr:sp macro="" textlink="">
      <cdr:nvSpPr>
        <cdr:cNvPr id="6" name="TextBox 1"/>
        <cdr:cNvSpPr txBox="1"/>
      </cdr:nvSpPr>
      <cdr:spPr>
        <a:xfrm xmlns:a="http://schemas.openxmlformats.org/drawingml/2006/main">
          <a:off x="7396376" y="83127"/>
          <a:ext cx="3226597" cy="43953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b="1">
              <a:latin typeface="Arial" panose="020B0604020202020204" pitchFamily="34" charset="0"/>
              <a:cs typeface="Arial" panose="020B0604020202020204" pitchFamily="34" charset="0"/>
            </a:rPr>
            <a:t>At break-even</a:t>
          </a:r>
          <a:r>
            <a:rPr lang="en-US" sz="2400" b="1" baseline="0">
              <a:latin typeface="Arial" panose="020B0604020202020204" pitchFamily="34" charset="0"/>
              <a:cs typeface="Arial" panose="020B0604020202020204" pitchFamily="34" charset="0"/>
            </a:rPr>
            <a:t> point</a:t>
          </a:r>
        </a:p>
      </cdr:txBody>
    </cdr:sp>
  </cdr:relSizeAnchor>
  <cdr:relSizeAnchor xmlns:cdr="http://schemas.openxmlformats.org/drawingml/2006/chartDrawing">
    <cdr:from>
      <cdr:x>0.0077</cdr:x>
      <cdr:y>0.5267</cdr:y>
    </cdr:from>
    <cdr:to>
      <cdr:x>1</cdr:x>
      <cdr:y>1</cdr:y>
    </cdr:to>
    <cdr:grpSp>
      <cdr:nvGrpSpPr>
        <cdr:cNvPr id="4" name="Group 3">
          <a:extLst xmlns:a="http://schemas.openxmlformats.org/drawingml/2006/main">
            <a:ext uri="{FF2B5EF4-FFF2-40B4-BE49-F238E27FC236}">
              <a16:creationId xmlns:a16="http://schemas.microsoft.com/office/drawing/2014/main" id="{01E51170-9AD5-40D1-B23A-F8A29BF2BF45}"/>
            </a:ext>
          </a:extLst>
        </cdr:cNvPr>
        <cdr:cNvGrpSpPr/>
      </cdr:nvGrpSpPr>
      <cdr:grpSpPr>
        <a:xfrm xmlns:a="http://schemas.openxmlformats.org/drawingml/2006/main">
          <a:off x="132897" y="3420376"/>
          <a:ext cx="17126403" cy="3073598"/>
          <a:chOff x="-20844" y="1450736"/>
          <a:chExt cx="6484005" cy="1855100"/>
        </a:xfrm>
      </cdr:grpSpPr>
      <cdr:sp macro="" textlink="'6-2. Economic evaluation'!$Y$22">
        <cdr:nvSpPr>
          <cdr:cNvPr id="11" name="TextBox 10"/>
          <cdr:cNvSpPr txBox="1"/>
        </cdr:nvSpPr>
        <cdr:spPr>
          <a:xfrm xmlns:a="http://schemas.openxmlformats.org/drawingml/2006/main">
            <a:off x="0" y="1898221"/>
            <a:ext cx="3171255" cy="178514"/>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l"/>
            <a:fld id="{1E8DCE65-6AAB-4397-A6F9-4B095D899DFB}" type="TxLink">
              <a:rPr lang="en-US" altLang="en-US" sz="1100" b="0" i="0" u="none" strike="noStrike">
                <a:solidFill>
                  <a:srgbClr val="FF0000"/>
                </a:solidFill>
                <a:latin typeface="맑은 고딕"/>
                <a:ea typeface="맑은 고딕"/>
                <a:cs typeface="Arial"/>
              </a:rPr>
              <a:pPr algn="l"/>
              <a:t> </a:t>
            </a:fld>
            <a:endParaRPr lang="en-US" sz="1600" b="1">
              <a:solidFill>
                <a:srgbClr val="FF0000"/>
              </a:solidFill>
            </a:endParaRPr>
          </a:p>
        </cdr:txBody>
      </cdr:sp>
      <cdr:sp macro="" textlink="'6-2. Economic evaluation'!$Y$29">
        <cdr:nvSpPr>
          <cdr:cNvPr id="17" name="TextBox 16"/>
          <cdr:cNvSpPr txBox="1"/>
        </cdr:nvSpPr>
        <cdr:spPr>
          <a:xfrm xmlns:a="http://schemas.openxmlformats.org/drawingml/2006/main">
            <a:off x="2045" y="3127321"/>
            <a:ext cx="3171256" cy="178515"/>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l"/>
            <a:fld id="{7C5CB124-0FF2-4C05-83FE-4CBC36108873}" type="TxLink">
              <a:rPr lang="en-US" altLang="en-US" sz="1100" b="0" i="0" u="none" strike="noStrike">
                <a:solidFill>
                  <a:schemeClr val="accent5">
                    <a:lumMod val="75000"/>
                  </a:schemeClr>
                </a:solidFill>
                <a:latin typeface="맑은 고딕"/>
                <a:ea typeface="맑은 고딕"/>
                <a:cs typeface="Arial"/>
              </a:rPr>
              <a:pPr algn="l"/>
              <a:t> </a:t>
            </a:fld>
            <a:endParaRPr lang="en-US" sz="1600" b="1">
              <a:solidFill>
                <a:schemeClr val="accent5">
                  <a:lumMod val="75000"/>
                </a:schemeClr>
              </a:solidFill>
            </a:endParaRPr>
          </a:p>
        </cdr:txBody>
      </cdr:sp>
      <cdr:sp macro="" textlink="'6-2. Economic evaluation'!$Y$30">
        <cdr:nvSpPr>
          <cdr:cNvPr id="18" name="TextBox 17"/>
          <cdr:cNvSpPr txBox="1"/>
        </cdr:nvSpPr>
        <cdr:spPr>
          <a:xfrm xmlns:a="http://schemas.openxmlformats.org/drawingml/2006/main">
            <a:off x="3285865" y="1450736"/>
            <a:ext cx="3171256" cy="178515"/>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l"/>
            <a:fld id="{1CA7BFA5-9F4D-46A6-9D09-92B0E4443108}" type="TxLink">
              <a:rPr lang="en-US" altLang="en-US" sz="1100" b="0" i="0" u="none" strike="noStrike">
                <a:solidFill>
                  <a:schemeClr val="accent6">
                    <a:lumMod val="75000"/>
                  </a:schemeClr>
                </a:solidFill>
                <a:latin typeface="맑은 고딕"/>
                <a:ea typeface="맑은 고딕"/>
                <a:cs typeface="Arial"/>
              </a:rPr>
              <a:pPr algn="l"/>
              <a:t> </a:t>
            </a:fld>
            <a:endParaRPr lang="en-US" sz="1600" b="1">
              <a:solidFill>
                <a:schemeClr val="accent6">
                  <a:lumMod val="75000"/>
                </a:schemeClr>
              </a:solidFill>
            </a:endParaRPr>
          </a:p>
        </cdr:txBody>
      </cdr:sp>
      <cdr:sp macro="" textlink="'6-2. Economic evaluation'!$Y$31">
        <cdr:nvSpPr>
          <cdr:cNvPr id="19" name="TextBox 18"/>
          <cdr:cNvSpPr txBox="1"/>
        </cdr:nvSpPr>
        <cdr:spPr>
          <a:xfrm xmlns:a="http://schemas.openxmlformats.org/drawingml/2006/main">
            <a:off x="3285865" y="1661475"/>
            <a:ext cx="3171256" cy="178515"/>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l"/>
            <a:fld id="{9D2F8A67-0452-4936-B4F3-2CA93BE1BCAB}" type="TxLink">
              <a:rPr lang="en-US" altLang="en-US" sz="1100" b="0" i="0" u="none" strike="noStrike">
                <a:solidFill>
                  <a:schemeClr val="accent1">
                    <a:lumMod val="50000"/>
                  </a:schemeClr>
                </a:solidFill>
                <a:latin typeface="맑은 고딕"/>
                <a:ea typeface="맑은 고딕"/>
                <a:cs typeface="Arial"/>
              </a:rPr>
              <a:pPr algn="l"/>
              <a:t> </a:t>
            </a:fld>
            <a:endParaRPr lang="en-US" sz="1600" b="1">
              <a:solidFill>
                <a:schemeClr val="accent1">
                  <a:lumMod val="50000"/>
                </a:schemeClr>
              </a:solidFill>
            </a:endParaRPr>
          </a:p>
        </cdr:txBody>
      </cdr:sp>
      <cdr:sp macro="" textlink="'6-2. Economic evaluation'!$Y$33">
        <cdr:nvSpPr>
          <cdr:cNvPr id="21" name="TextBox 20"/>
          <cdr:cNvSpPr txBox="1"/>
        </cdr:nvSpPr>
        <cdr:spPr>
          <a:xfrm xmlns:a="http://schemas.openxmlformats.org/drawingml/2006/main">
            <a:off x="3285865" y="2075506"/>
            <a:ext cx="3171256" cy="178515"/>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l"/>
            <a:fld id="{D1D062D5-2CA4-490A-8131-7F6B1A36A28D}" type="TxLink">
              <a:rPr lang="en-US" altLang="en-US" sz="1100" b="0" i="0" u="none" strike="noStrike">
                <a:solidFill>
                  <a:schemeClr val="accent3">
                    <a:lumMod val="75000"/>
                  </a:schemeClr>
                </a:solidFill>
                <a:latin typeface="맑은 고딕"/>
                <a:ea typeface="맑은 고딕"/>
                <a:cs typeface="Arial"/>
              </a:rPr>
              <a:pPr algn="l"/>
              <a:t> </a:t>
            </a:fld>
            <a:endParaRPr lang="en-US" sz="1600" b="1">
              <a:solidFill>
                <a:schemeClr val="accent3">
                  <a:lumMod val="75000"/>
                </a:schemeClr>
              </a:solidFill>
            </a:endParaRPr>
          </a:p>
        </cdr:txBody>
      </cdr:sp>
      <cdr:sp macro="" textlink="'6-2. Economic evaluation'!$Y$20">
        <cdr:nvSpPr>
          <cdr:cNvPr id="25" name="TextBox 1"/>
          <cdr:cNvSpPr txBox="1"/>
        </cdr:nvSpPr>
        <cdr:spPr>
          <a:xfrm xmlns:a="http://schemas.openxmlformats.org/drawingml/2006/main">
            <a:off x="0" y="1457438"/>
            <a:ext cx="3171255" cy="178548"/>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29240AB1-ABE8-40D1-BB5F-65C966B1A3AE}" type="TxLink">
              <a:rPr lang="en-US" altLang="en-US" sz="1100" b="1" i="0" u="none" strike="noStrike">
                <a:solidFill>
                  <a:srgbClr val="000000"/>
                </a:solidFill>
                <a:latin typeface="맑은 고딕"/>
                <a:ea typeface="맑은 고딕"/>
                <a:cs typeface="Arial"/>
              </a:rPr>
              <a:pPr algn="l"/>
              <a:t> </a:t>
            </a:fld>
            <a:endParaRPr lang="en-US" sz="1600" b="1">
              <a:solidFill>
                <a:srgbClr val="303C18"/>
              </a:solidFill>
            </a:endParaRPr>
          </a:p>
        </cdr:txBody>
      </cdr:sp>
      <cdr:sp macro="" textlink="'6-2. Economic evaluation'!$Y$21">
        <cdr:nvSpPr>
          <cdr:cNvPr id="26" name="TextBox 2"/>
          <cdr:cNvSpPr txBox="1"/>
        </cdr:nvSpPr>
        <cdr:spPr>
          <a:xfrm xmlns:a="http://schemas.openxmlformats.org/drawingml/2006/main">
            <a:off x="0" y="1686166"/>
            <a:ext cx="3171255" cy="17851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0A0CBE3C-5540-41A7-B987-55DA45C21507}" type="TxLink">
              <a:rPr lang="en-US" altLang="en-US" sz="1100" b="0" i="0" u="none" strike="noStrike">
                <a:solidFill>
                  <a:schemeClr val="accent1">
                    <a:lumMod val="75000"/>
                  </a:schemeClr>
                </a:solidFill>
                <a:latin typeface="맑은 고딕"/>
                <a:ea typeface="맑은 고딕"/>
                <a:cs typeface="Arial"/>
              </a:rPr>
              <a:pPr algn="l"/>
              <a:t> </a:t>
            </a:fld>
            <a:endParaRPr lang="en-US" sz="1600" b="1">
              <a:solidFill>
                <a:schemeClr val="accent1">
                  <a:lumMod val="75000"/>
                </a:schemeClr>
              </a:solidFill>
            </a:endParaRPr>
          </a:p>
        </cdr:txBody>
      </cdr:sp>
      <cdr:sp macro="" textlink="'[2]Tornado Charts &amp; Risk Analysis'!$N$157">
        <cdr:nvSpPr>
          <cdr:cNvPr id="27" name="TextBox 3"/>
          <cdr:cNvSpPr txBox="1"/>
        </cdr:nvSpPr>
        <cdr:spPr>
          <a:xfrm xmlns:a="http://schemas.openxmlformats.org/drawingml/2006/main">
            <a:off x="0" y="1896905"/>
            <a:ext cx="3171255" cy="17851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450BA20F-6F04-4978-853C-4A3915100AA6}" type="TxLink">
              <a:rPr lang="en-US" sz="1200" b="1" i="0" u="none" strike="noStrike">
                <a:solidFill>
                  <a:srgbClr val="A0BF61"/>
                </a:solidFill>
                <a:latin typeface="Arial"/>
                <a:cs typeface="Arial"/>
              </a:rPr>
              <a:pPr algn="l"/>
              <a:t> </a:t>
            </a:fld>
            <a:endParaRPr lang="en-US" sz="1600" b="1">
              <a:solidFill>
                <a:srgbClr val="A0BF61"/>
              </a:solidFill>
            </a:endParaRPr>
          </a:p>
        </cdr:txBody>
      </cdr:sp>
      <cdr:sp macro="" textlink="'6-2. Economic evaluation'!$Y$24">
        <cdr:nvSpPr>
          <cdr:cNvPr id="28" name="TextBox 4"/>
          <cdr:cNvSpPr txBox="1"/>
        </cdr:nvSpPr>
        <cdr:spPr>
          <a:xfrm xmlns:a="http://schemas.openxmlformats.org/drawingml/2006/main">
            <a:off x="-20844" y="2257906"/>
            <a:ext cx="3171255" cy="17851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EBAA6D35-C726-44D6-A405-3BC97F58D352}" type="TxLink">
              <a:rPr lang="en-US" altLang="en-US" sz="1100" b="1" i="0" u="none" strike="noStrike">
                <a:solidFill>
                  <a:srgbClr val="000000"/>
                </a:solidFill>
                <a:latin typeface="맑은 고딕"/>
                <a:ea typeface="맑은 고딕"/>
                <a:cs typeface="Arial"/>
              </a:rPr>
              <a:pPr algn="l"/>
              <a:t> </a:t>
            </a:fld>
            <a:endParaRPr lang="en-US" sz="1600" b="1">
              <a:solidFill>
                <a:srgbClr val="0000FF"/>
              </a:solidFill>
            </a:endParaRPr>
          </a:p>
        </cdr:txBody>
      </cdr:sp>
      <cdr:sp macro="" textlink="'6-2. Economic evaluation'!$Y$25">
        <cdr:nvSpPr>
          <cdr:cNvPr id="29" name="TextBox 5"/>
          <cdr:cNvSpPr txBox="1"/>
        </cdr:nvSpPr>
        <cdr:spPr>
          <a:xfrm xmlns:a="http://schemas.openxmlformats.org/drawingml/2006/main">
            <a:off x="0" y="2486601"/>
            <a:ext cx="3171256" cy="17851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743A1F8B-2B43-4D7F-A11E-540AC3A5F558}" type="TxLink">
              <a:rPr lang="en-US" altLang="en-US" sz="1100" b="0" i="0" u="none" strike="noStrike">
                <a:solidFill>
                  <a:schemeClr val="accent2">
                    <a:lumMod val="75000"/>
                  </a:schemeClr>
                </a:solidFill>
                <a:latin typeface="맑은 고딕"/>
                <a:ea typeface="맑은 고딕"/>
                <a:cs typeface="Arial"/>
              </a:rPr>
              <a:pPr algn="l"/>
              <a:t> </a:t>
            </a:fld>
            <a:endParaRPr lang="en-US" sz="1600" b="1">
              <a:solidFill>
                <a:schemeClr val="accent2">
                  <a:lumMod val="75000"/>
                </a:schemeClr>
              </a:solidFill>
            </a:endParaRPr>
          </a:p>
        </cdr:txBody>
      </cdr:sp>
      <cdr:sp macro="" textlink="'6-2. Economic evaluation'!$Y$27">
        <cdr:nvSpPr>
          <cdr:cNvPr id="30" name="TextBox 6"/>
          <cdr:cNvSpPr txBox="1"/>
        </cdr:nvSpPr>
        <cdr:spPr>
          <a:xfrm xmlns:a="http://schemas.openxmlformats.org/drawingml/2006/main">
            <a:off x="0" y="2697340"/>
            <a:ext cx="3171255" cy="17851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CA00AFE-AFCB-4FD9-99D1-FA3F3A882762}" type="TxLink">
              <a:rPr lang="en-US" altLang="en-US" sz="1100" b="0" i="0" u="none" strike="noStrike">
                <a:solidFill>
                  <a:schemeClr val="accent3">
                    <a:lumMod val="50000"/>
                  </a:schemeClr>
                </a:solidFill>
                <a:latin typeface="맑은 고딕"/>
                <a:ea typeface="맑은 고딕"/>
                <a:cs typeface="Arial"/>
              </a:rPr>
              <a:pPr algn="l"/>
              <a:t> </a:t>
            </a:fld>
            <a:endParaRPr lang="en-US" sz="1600" b="1">
              <a:solidFill>
                <a:schemeClr val="accent3">
                  <a:lumMod val="50000"/>
                </a:schemeClr>
              </a:solidFill>
            </a:endParaRPr>
          </a:p>
        </cdr:txBody>
      </cdr:sp>
      <cdr:sp macro="" textlink="'6-2. Economic evaluation'!$Y$28">
        <cdr:nvSpPr>
          <cdr:cNvPr id="31" name="TextBox 7"/>
          <cdr:cNvSpPr txBox="1"/>
        </cdr:nvSpPr>
        <cdr:spPr>
          <a:xfrm xmlns:a="http://schemas.openxmlformats.org/drawingml/2006/main">
            <a:off x="0" y="2908080"/>
            <a:ext cx="3171255" cy="178547"/>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466272BF-6235-4792-A811-6A712736E9D6}" type="TxLink">
              <a:rPr lang="en-US" altLang="en-US" sz="1100" b="0" i="0" u="none" strike="noStrike">
                <a:solidFill>
                  <a:srgbClr val="CC9900"/>
                </a:solidFill>
                <a:latin typeface="맑은 고딕"/>
                <a:ea typeface="맑은 고딕"/>
                <a:cs typeface="Arial"/>
              </a:rPr>
              <a:pPr algn="l"/>
              <a:t> </a:t>
            </a:fld>
            <a:endParaRPr lang="en-US" sz="1600" b="1">
              <a:solidFill>
                <a:srgbClr val="CC9900"/>
              </a:solidFill>
            </a:endParaRPr>
          </a:p>
        </cdr:txBody>
      </cdr:sp>
      <cdr:sp macro="" textlink="">
        <cdr:nvSpPr>
          <cdr:cNvPr id="32" name="TextBox 8"/>
          <cdr:cNvSpPr txBox="1"/>
        </cdr:nvSpPr>
        <cdr:spPr>
          <a:xfrm xmlns:a="http://schemas.openxmlformats.org/drawingml/2006/main">
            <a:off x="3285865" y="1475395"/>
            <a:ext cx="3171256" cy="178547"/>
          </a:xfrm>
          <a:prstGeom xmlns:a="http://schemas.openxmlformats.org/drawingml/2006/main" prst="rect">
            <a:avLst/>
          </a:prstGeom>
        </cdr:spPr>
        <cdr:txBody>
          <a:bodyPr xmlns:a="http://schemas.openxmlformats.org/drawingml/2006/main" wrap="none" rtlCol="0" anchor="ctr"/>
          <a:lstStyle xmlns:a="http://schemas.openxmlformats.org/drawingml/2006/main"/>
          <a:p xmlns:a="http://schemas.openxmlformats.org/drawingml/2006/main">
            <a:pPr algn="l"/>
            <a:endParaRPr lang="en-US" altLang="en-US" b="1">
              <a:solidFill>
                <a:srgbClr val="E6009F"/>
              </a:solidFill>
            </a:endParaRPr>
          </a:p>
        </cdr:txBody>
      </cdr:sp>
      <cdr:sp macro="" textlink="">
        <cdr:nvSpPr>
          <cdr:cNvPr id="33" name="TextBox 9"/>
          <cdr:cNvSpPr txBox="1"/>
        </cdr:nvSpPr>
        <cdr:spPr>
          <a:xfrm xmlns:a="http://schemas.openxmlformats.org/drawingml/2006/main">
            <a:off x="3285865" y="1686166"/>
            <a:ext cx="3171256" cy="178515"/>
          </a:xfrm>
          <a:prstGeom xmlns:a="http://schemas.openxmlformats.org/drawingml/2006/main" prst="rect">
            <a:avLst/>
          </a:prstGeom>
        </cdr:spPr>
        <cdr:txBody>
          <a:bodyPr xmlns:a="http://schemas.openxmlformats.org/drawingml/2006/main" wrap="none" rtlCol="0" anchor="ctr"/>
          <a:lstStyle xmlns:a="http://schemas.openxmlformats.org/drawingml/2006/main"/>
          <a:p xmlns:a="http://schemas.openxmlformats.org/drawingml/2006/main">
            <a:pPr algn="l"/>
            <a:endParaRPr lang="en-US" altLang="en-US" b="1">
              <a:solidFill>
                <a:srgbClr val="C1AB11"/>
              </a:solidFill>
            </a:endParaRPr>
          </a:p>
        </cdr:txBody>
      </cdr:sp>
      <cdr:sp macro="" textlink="">
        <cdr:nvSpPr>
          <cdr:cNvPr id="34" name="TextBox 10"/>
          <cdr:cNvSpPr txBox="1"/>
        </cdr:nvSpPr>
        <cdr:spPr>
          <a:xfrm xmlns:a="http://schemas.openxmlformats.org/drawingml/2006/main">
            <a:off x="3285865" y="1896905"/>
            <a:ext cx="3171256" cy="178515"/>
          </a:xfrm>
          <a:prstGeom xmlns:a="http://schemas.openxmlformats.org/drawingml/2006/main" prst="rect">
            <a:avLst/>
          </a:prstGeom>
        </cdr:spPr>
        <cdr:txBody>
          <a:bodyPr xmlns:a="http://schemas.openxmlformats.org/drawingml/2006/main" wrap="none" rtlCol="0" anchor="ctr"/>
          <a:lstStyle xmlns:a="http://schemas.openxmlformats.org/drawingml/2006/main"/>
          <a:p xmlns:a="http://schemas.openxmlformats.org/drawingml/2006/main">
            <a:pPr algn="l"/>
            <a:endParaRPr lang="en-US" altLang="en-US" b="1">
              <a:solidFill>
                <a:srgbClr val="A800D0"/>
              </a:solidFill>
            </a:endParaRPr>
          </a:p>
        </cdr:txBody>
      </cdr:sp>
      <cdr:sp macro="" textlink="'6-2. Economic evaluation'!$Y$32">
        <cdr:nvSpPr>
          <cdr:cNvPr id="35" name="TextBox 11"/>
          <cdr:cNvSpPr txBox="1"/>
        </cdr:nvSpPr>
        <cdr:spPr>
          <a:xfrm xmlns:a="http://schemas.openxmlformats.org/drawingml/2006/main">
            <a:off x="3291904" y="1855124"/>
            <a:ext cx="3171257" cy="178547"/>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72E10270-6CF7-4BF7-AACD-B99A7EBAE91B}" type="TxLink">
              <a:rPr lang="en-US" altLang="en-US" sz="1100" b="0" i="0" u="none" strike="noStrike">
                <a:solidFill>
                  <a:srgbClr val="FF9900"/>
                </a:solidFill>
                <a:latin typeface="맑은 고딕"/>
                <a:ea typeface="맑은 고딕"/>
                <a:cs typeface="Arial"/>
              </a:rPr>
              <a:pPr algn="l"/>
              <a:t> </a:t>
            </a:fld>
            <a:endParaRPr lang="en-US" sz="1600" b="1">
              <a:solidFill>
                <a:srgbClr val="FF9900"/>
              </a:solidFill>
            </a:endParaRPr>
          </a:p>
        </cdr:txBody>
      </cdr:sp>
      <cdr:sp macro="" textlink="">
        <cdr:nvSpPr>
          <cdr:cNvPr id="36" name="TextBox 12"/>
          <cdr:cNvSpPr txBox="1"/>
        </cdr:nvSpPr>
        <cdr:spPr>
          <a:xfrm xmlns:a="http://schemas.openxmlformats.org/drawingml/2006/main">
            <a:off x="3285865" y="2310936"/>
            <a:ext cx="3171256" cy="178515"/>
          </a:xfrm>
          <a:prstGeom xmlns:a="http://schemas.openxmlformats.org/drawingml/2006/main" prst="rect">
            <a:avLst/>
          </a:prstGeom>
        </cdr:spPr>
        <cdr:txBody>
          <a:bodyPr xmlns:a="http://schemas.openxmlformats.org/drawingml/2006/main" wrap="none" rtlCol="0" anchor="ctr"/>
          <a:lstStyle xmlns:a="http://schemas.openxmlformats.org/drawingml/2006/main"/>
          <a:p xmlns:a="http://schemas.openxmlformats.org/drawingml/2006/main">
            <a:pPr algn="l"/>
            <a:endParaRPr lang="en-US" altLang="en-US" b="1">
              <a:solidFill>
                <a:srgbClr val="82413A"/>
              </a:solidFill>
            </a:endParaRPr>
          </a:p>
        </cdr:txBody>
      </cdr:sp>
      <cdr:sp macro="" textlink="'6-2. Economic evaluation'!$Y$34">
        <cdr:nvSpPr>
          <cdr:cNvPr id="37" name="TextBox 13"/>
          <cdr:cNvSpPr txBox="1"/>
        </cdr:nvSpPr>
        <cdr:spPr>
          <a:xfrm xmlns:a="http://schemas.openxmlformats.org/drawingml/2006/main">
            <a:off x="3285865" y="2284929"/>
            <a:ext cx="3171256" cy="17851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7753B78C-D4A7-415B-BB3D-9E13C01DC667}" type="TxLink">
              <a:rPr lang="en-US" altLang="en-US" sz="1100" b="0" i="0" u="none" strike="noStrike">
                <a:solidFill>
                  <a:schemeClr val="accent4"/>
                </a:solidFill>
                <a:latin typeface="맑은 고딕"/>
                <a:ea typeface="맑은 고딕"/>
                <a:cs typeface="Arial"/>
              </a:rPr>
              <a:pPr algn="l"/>
              <a:t> </a:t>
            </a:fld>
            <a:endParaRPr lang="en-US" sz="1600" b="1">
              <a:solidFill>
                <a:schemeClr val="accent4"/>
              </a:solidFill>
            </a:endParaRPr>
          </a:p>
        </cdr:txBody>
      </cdr:sp>
      <cdr:sp macro="" textlink="'6-2. Economic evaluation'!$Y$36">
        <cdr:nvSpPr>
          <cdr:cNvPr id="38" name="TextBox 14"/>
          <cdr:cNvSpPr txBox="1"/>
        </cdr:nvSpPr>
        <cdr:spPr>
          <a:xfrm xmlns:a="http://schemas.openxmlformats.org/drawingml/2006/main">
            <a:off x="3285865" y="2495667"/>
            <a:ext cx="3171256" cy="17851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E25010DE-34B3-405D-BEE3-068E3FD50A4E}" type="TxLink">
              <a:rPr lang="en-US" altLang="en-US" sz="1100" b="0" i="0" u="none" strike="noStrike">
                <a:solidFill>
                  <a:srgbClr val="CC00CC"/>
                </a:solidFill>
                <a:latin typeface="맑은 고딕"/>
                <a:ea typeface="맑은 고딕"/>
                <a:cs typeface="Arial"/>
              </a:rPr>
              <a:pPr algn="l"/>
              <a:t> </a:t>
            </a:fld>
            <a:endParaRPr lang="en-US" sz="1600" b="1">
              <a:solidFill>
                <a:srgbClr val="CC00CC"/>
              </a:solidFill>
            </a:endParaRPr>
          </a:p>
        </cdr:txBody>
      </cdr:sp>
      <cdr:sp macro="" textlink="'6-2. Economic evaluation'!$Y$39">
        <cdr:nvSpPr>
          <cdr:cNvPr id="39" name="TextBox 15"/>
          <cdr:cNvSpPr txBox="1"/>
        </cdr:nvSpPr>
        <cdr:spPr>
          <a:xfrm xmlns:a="http://schemas.openxmlformats.org/drawingml/2006/main">
            <a:off x="3285865" y="2706406"/>
            <a:ext cx="3171256" cy="178547"/>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07575590-0CD9-49AA-BA64-88315F73FB5F}" type="TxLink">
              <a:rPr lang="en-US" altLang="en-US" sz="1100" b="0" i="0" u="none" strike="noStrike">
                <a:solidFill>
                  <a:srgbClr val="FF6699"/>
                </a:solidFill>
                <a:latin typeface="맑은 고딕"/>
                <a:ea typeface="맑은 고딕"/>
                <a:cs typeface="Arial"/>
              </a:rPr>
              <a:pPr algn="l"/>
              <a:t> </a:t>
            </a:fld>
            <a:endParaRPr lang="en-US" sz="1600" b="1">
              <a:solidFill>
                <a:srgbClr val="FF6699"/>
              </a:solidFill>
            </a:endParaRPr>
          </a:p>
        </cdr:txBody>
      </cdr:sp>
    </cdr:grpSp>
  </cdr:relSizeAnchor>
  <cdr:relSizeAnchor xmlns:cdr="http://schemas.openxmlformats.org/drawingml/2006/chartDrawing">
    <cdr:from>
      <cdr:x>0.51317</cdr:x>
      <cdr:y>0.89571</cdr:y>
    </cdr:from>
    <cdr:to>
      <cdr:x>0.99352</cdr:x>
      <cdr:y>0.94631</cdr:y>
    </cdr:to>
    <cdr:sp macro="" textlink="'6-2. Economic evaluation'!#REF!">
      <cdr:nvSpPr>
        <cdr:cNvPr id="2" name="TextBox 15">
          <a:extLst xmlns:a="http://schemas.openxmlformats.org/drawingml/2006/main">
            <a:ext uri="{FF2B5EF4-FFF2-40B4-BE49-F238E27FC236}">
              <a16:creationId xmlns:a16="http://schemas.microsoft.com/office/drawing/2014/main" id="{895D014D-676C-89E0-6217-870281DB3A33}"/>
            </a:ext>
          </a:extLst>
        </cdr:cNvPr>
        <cdr:cNvSpPr txBox="1"/>
      </cdr:nvSpPr>
      <cdr:spPr>
        <a:xfrm xmlns:a="http://schemas.openxmlformats.org/drawingml/2006/main">
          <a:off x="3836025" y="3050929"/>
          <a:ext cx="3590723" cy="172331"/>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AA05E19D-EDD8-44E2-8A82-4215DB19AD80}" type="TxLink">
            <a:rPr lang="en-US" altLang="en-US" sz="1100" b="0" i="0" u="none" strike="noStrike">
              <a:solidFill>
                <a:schemeClr val="accent1">
                  <a:lumMod val="40000"/>
                  <a:lumOff val="60000"/>
                </a:schemeClr>
              </a:solidFill>
              <a:latin typeface="맑은 고딕"/>
              <a:ea typeface="맑은 고딕"/>
              <a:cs typeface="Arial"/>
            </a:rPr>
            <a:pPr algn="l"/>
            <a:t> </a:t>
          </a:fld>
          <a:endParaRPr lang="en-US" sz="1600" b="1">
            <a:solidFill>
              <a:schemeClr val="accent1">
                <a:lumMod val="40000"/>
                <a:lumOff val="60000"/>
              </a:schemeClr>
            </a:solidFill>
          </a:endParaRPr>
        </a:p>
      </cdr:txBody>
    </cdr:sp>
  </cdr:relSizeAnchor>
  <cdr:relSizeAnchor xmlns:cdr="http://schemas.openxmlformats.org/drawingml/2006/chartDrawing">
    <cdr:from>
      <cdr:x>0.51342</cdr:x>
      <cdr:y>0.94941</cdr:y>
    </cdr:from>
    <cdr:to>
      <cdr:x>0.99377</cdr:x>
      <cdr:y>1</cdr:y>
    </cdr:to>
    <cdr:sp macro="" textlink="'6-2. Economic evaluation'!#REF!">
      <cdr:nvSpPr>
        <cdr:cNvPr id="8" name="TextBox 15">
          <a:extLst xmlns:a="http://schemas.openxmlformats.org/drawingml/2006/main">
            <a:ext uri="{FF2B5EF4-FFF2-40B4-BE49-F238E27FC236}">
              <a16:creationId xmlns:a16="http://schemas.microsoft.com/office/drawing/2014/main" id="{E6EBDAB7-231F-28F8-8560-D5F84B16C0FE}"/>
            </a:ext>
          </a:extLst>
        </cdr:cNvPr>
        <cdr:cNvSpPr txBox="1"/>
      </cdr:nvSpPr>
      <cdr:spPr>
        <a:xfrm xmlns:a="http://schemas.openxmlformats.org/drawingml/2006/main">
          <a:off x="3837940" y="3233809"/>
          <a:ext cx="3590723" cy="172331"/>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5E3CBFA-973A-4596-8340-B727F3D00CAB}" type="TxLink">
            <a:rPr lang="en-US" altLang="en-US" sz="1100" b="0" i="0" u="none" strike="noStrike">
              <a:solidFill>
                <a:srgbClr val="FFCC99"/>
              </a:solidFill>
              <a:latin typeface="맑은 고딕"/>
              <a:ea typeface="맑은 고딕"/>
              <a:cs typeface="Arial"/>
            </a:rPr>
            <a:pPr algn="l"/>
            <a:t> </a:t>
          </a:fld>
          <a:endParaRPr lang="en-US" sz="1600" b="1">
            <a:solidFill>
              <a:srgbClr val="FFCC99"/>
            </a:solidFill>
          </a:endParaRPr>
        </a:p>
      </cdr:txBody>
    </cdr:sp>
  </cdr:relSizeAnchor>
  <cdr:relSizeAnchor xmlns:cdr="http://schemas.openxmlformats.org/drawingml/2006/chartDrawing">
    <cdr:from>
      <cdr:x>0.01871</cdr:x>
      <cdr:y>0.45385</cdr:y>
    </cdr:from>
    <cdr:to>
      <cdr:x>1</cdr:x>
      <cdr:y>1</cdr:y>
    </cdr:to>
    <cdr:grpSp>
      <cdr:nvGrpSpPr>
        <cdr:cNvPr id="49" name="그룹 48">
          <a:extLst xmlns:a="http://schemas.openxmlformats.org/drawingml/2006/main">
            <a:ext uri="{FF2B5EF4-FFF2-40B4-BE49-F238E27FC236}">
              <a16:creationId xmlns:a16="http://schemas.microsoft.com/office/drawing/2014/main" id="{18E2D17F-2317-CD03-AC53-434B9F4FB1F6}"/>
            </a:ext>
          </a:extLst>
        </cdr:cNvPr>
        <cdr:cNvGrpSpPr/>
      </cdr:nvGrpSpPr>
      <cdr:grpSpPr>
        <a:xfrm xmlns:a="http://schemas.openxmlformats.org/drawingml/2006/main">
          <a:off x="322922" y="2947290"/>
          <a:ext cx="16936378" cy="3546684"/>
          <a:chOff x="0" y="0"/>
          <a:chExt cx="11342701" cy="2920217"/>
        </a:xfrm>
      </cdr:grpSpPr>
      <cdr:grpSp>
        <cdr:nvGrpSpPr>
          <cdr:cNvPr id="50" name="그룹 49">
            <a:extLst xmlns:a="http://schemas.openxmlformats.org/drawingml/2006/main">
              <a:ext uri="{FF2B5EF4-FFF2-40B4-BE49-F238E27FC236}">
                <a16:creationId xmlns:a16="http://schemas.microsoft.com/office/drawing/2014/main" id="{1BEE2CD6-6B49-7CAD-1AB8-28797066B860}"/>
              </a:ext>
            </a:extLst>
          </cdr:cNvPr>
          <cdr:cNvGrpSpPr/>
        </cdr:nvGrpSpPr>
        <cdr:grpSpPr>
          <a:xfrm xmlns:a="http://schemas.openxmlformats.org/drawingml/2006/main">
            <a:off x="23432" y="0"/>
            <a:ext cx="3565356" cy="1029516"/>
            <a:chOff x="23438" y="0"/>
            <a:chExt cx="3566355" cy="1022292"/>
          </a:xfrm>
        </cdr:grpSpPr>
        <cdr:sp macro="" textlink="">
          <cdr:nvSpPr>
            <cdr:cNvPr id="67" name="TextBox 2">
              <a:extLst xmlns:a="http://schemas.openxmlformats.org/drawingml/2006/main">
                <a:ext uri="{FF2B5EF4-FFF2-40B4-BE49-F238E27FC236}">
                  <a16:creationId xmlns:a16="http://schemas.microsoft.com/office/drawing/2014/main" id="{485937C6-D520-97EE-3379-47D6205ECCC7}"/>
                </a:ext>
              </a:extLst>
            </cdr:cNvPr>
            <cdr:cNvSpPr txBox="1"/>
          </cdr:nvSpPr>
          <cdr:spPr>
            <a:xfrm xmlns:a="http://schemas.openxmlformats.org/drawingml/2006/main">
              <a:off x="23438" y="727614"/>
              <a:ext cx="3566355" cy="294678"/>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1E8DCE65-6AAB-4397-A6F9-4B095D899DFB}" type="TxLink">
                <a:rPr lang="en-US" altLang="en-US" sz="1400" b="0" i="0" u="none" strike="noStrike">
                  <a:solidFill>
                    <a:srgbClr val="FF0000"/>
                  </a:solidFill>
                  <a:latin typeface="맑은 고딕"/>
                  <a:ea typeface="맑은 고딕"/>
                  <a:cs typeface="Arial"/>
                </a:rPr>
                <a:pPr algn="l"/>
                <a:t>H2 sales </a:t>
              </a:fld>
              <a:endParaRPr lang="en-US" sz="2000" b="1">
                <a:solidFill>
                  <a:srgbClr val="FF0000"/>
                </a:solidFill>
              </a:endParaRPr>
            </a:p>
          </cdr:txBody>
        </cdr:sp>
        <cdr:sp macro="" textlink="">
          <cdr:nvSpPr>
            <cdr:cNvPr id="68" name="TextBox 1">
              <a:extLst xmlns:a="http://schemas.openxmlformats.org/drawingml/2006/main">
                <a:ext uri="{FF2B5EF4-FFF2-40B4-BE49-F238E27FC236}">
                  <a16:creationId xmlns:a16="http://schemas.microsoft.com/office/drawing/2014/main" id="{DAA8670B-88FA-5D9E-81C8-39B7BC95D97D}"/>
                </a:ext>
              </a:extLst>
            </cdr:cNvPr>
            <cdr:cNvSpPr txBox="1"/>
          </cdr:nvSpPr>
          <cdr:spPr>
            <a:xfrm xmlns:a="http://schemas.openxmlformats.org/drawingml/2006/main">
              <a:off x="23438" y="0"/>
              <a:ext cx="3566355" cy="294734"/>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29240AB1-ABE8-40D1-BB5F-65C966B1A3AE}" type="TxLink">
                <a:rPr lang="en-US" altLang="en-US" sz="1400" b="1" i="0" u="none" strike="noStrike">
                  <a:solidFill>
                    <a:srgbClr val="000000"/>
                  </a:solidFill>
                  <a:latin typeface="맑은 고딕"/>
                  <a:ea typeface="맑은 고딕"/>
                  <a:cs typeface="Arial"/>
                </a:rPr>
                <a:pPr algn="l"/>
                <a:t>Total revenue at break-even point</a:t>
              </a:fld>
              <a:endParaRPr lang="en-US" sz="2000" b="1">
                <a:solidFill>
                  <a:srgbClr val="303C18"/>
                </a:solidFill>
              </a:endParaRPr>
            </a:p>
          </cdr:txBody>
        </cdr:sp>
        <cdr:sp macro="" textlink="">
          <cdr:nvSpPr>
            <cdr:cNvPr id="69" name="TextBox 2">
              <a:extLst xmlns:a="http://schemas.openxmlformats.org/drawingml/2006/main">
                <a:ext uri="{FF2B5EF4-FFF2-40B4-BE49-F238E27FC236}">
                  <a16:creationId xmlns:a16="http://schemas.microsoft.com/office/drawing/2014/main" id="{68277226-0908-A306-0F01-65E8C72F8539}"/>
                </a:ext>
              </a:extLst>
            </cdr:cNvPr>
            <cdr:cNvSpPr txBox="1"/>
          </cdr:nvSpPr>
          <cdr:spPr>
            <a:xfrm xmlns:a="http://schemas.openxmlformats.org/drawingml/2006/main">
              <a:off x="23438" y="377567"/>
              <a:ext cx="3566355" cy="294679"/>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0A0CBE3C-5540-41A7-B987-55DA45C21507}" type="TxLink">
                <a:rPr lang="en-US" altLang="en-US" sz="1400" b="0" i="0" u="none" strike="noStrike">
                  <a:solidFill>
                    <a:schemeClr val="accent1">
                      <a:lumMod val="75000"/>
                    </a:schemeClr>
                  </a:solidFill>
                  <a:latin typeface="맑은 고딕"/>
                  <a:ea typeface="맑은 고딕"/>
                  <a:cs typeface="Arial"/>
                </a:rPr>
                <a:pPr algn="l"/>
                <a:t>Li2CO3 sales </a:t>
              </a:fld>
              <a:endParaRPr lang="en-US" sz="2000" b="1">
                <a:solidFill>
                  <a:schemeClr val="accent1">
                    <a:lumMod val="75000"/>
                  </a:schemeClr>
                </a:solidFill>
              </a:endParaRPr>
            </a:p>
          </cdr:txBody>
        </cdr:sp>
      </cdr:grpSp>
      <cdr:grpSp>
        <cdr:nvGrpSpPr>
          <cdr:cNvPr id="51" name="그룹 50">
            <a:extLst xmlns:a="http://schemas.openxmlformats.org/drawingml/2006/main">
              <a:ext uri="{FF2B5EF4-FFF2-40B4-BE49-F238E27FC236}">
                <a16:creationId xmlns:a16="http://schemas.microsoft.com/office/drawing/2014/main" id="{382B9BF7-F7F4-2D55-A2D6-8D4D5A3B5A49}"/>
              </a:ext>
            </a:extLst>
          </cdr:cNvPr>
          <cdr:cNvGrpSpPr/>
        </cdr:nvGrpSpPr>
        <cdr:grpSpPr>
          <a:xfrm xmlns:a="http://schemas.openxmlformats.org/drawingml/2006/main">
            <a:off x="0" y="1177216"/>
            <a:ext cx="3591092" cy="1742071"/>
            <a:chOff x="0" y="1168955"/>
            <a:chExt cx="3592099" cy="1729846"/>
          </a:xfrm>
        </cdr:grpSpPr>
        <cdr:sp macro="" textlink="">
          <cdr:nvSpPr>
            <cdr:cNvPr id="62" name="TextBox 3">
              <a:extLst xmlns:a="http://schemas.openxmlformats.org/drawingml/2006/main">
                <a:ext uri="{FF2B5EF4-FFF2-40B4-BE49-F238E27FC236}">
                  <a16:creationId xmlns:a16="http://schemas.microsoft.com/office/drawing/2014/main" id="{C106915F-CE1E-58CB-65BD-C7FCAA5DAF2A}"/>
                </a:ext>
              </a:extLst>
            </cdr:cNvPr>
            <cdr:cNvSpPr txBox="1"/>
          </cdr:nvSpPr>
          <cdr:spPr>
            <a:xfrm xmlns:a="http://schemas.openxmlformats.org/drawingml/2006/main">
              <a:off x="25741" y="2604122"/>
              <a:ext cx="3566358" cy="294679"/>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7C5CB124-0FF2-4C05-83FE-4CBC36108873}" type="TxLink">
                <a:rPr lang="en-US" altLang="en-US" sz="1400" b="0" i="0" u="none" strike="noStrike">
                  <a:solidFill>
                    <a:schemeClr val="accent5">
                      <a:lumMod val="75000"/>
                    </a:schemeClr>
                  </a:solidFill>
                  <a:latin typeface="맑은 고딕"/>
                  <a:ea typeface="맑은 고딕"/>
                  <a:cs typeface="Arial"/>
                </a:rPr>
                <a:pPr algn="l"/>
                <a:t>Direct Supervisory and clerical labor</a:t>
              </a:fld>
              <a:endParaRPr lang="en-US" sz="2000" b="1">
                <a:solidFill>
                  <a:schemeClr val="accent5">
                    <a:lumMod val="75000"/>
                  </a:schemeClr>
                </a:solidFill>
              </a:endParaRPr>
            </a:p>
          </cdr:txBody>
        </cdr:sp>
        <cdr:sp macro="" textlink="">
          <cdr:nvSpPr>
            <cdr:cNvPr id="63" name="TextBox 4">
              <a:extLst xmlns:a="http://schemas.openxmlformats.org/drawingml/2006/main">
                <a:ext uri="{FF2B5EF4-FFF2-40B4-BE49-F238E27FC236}">
                  <a16:creationId xmlns:a16="http://schemas.microsoft.com/office/drawing/2014/main" id="{D48E94F3-102B-2861-1CBA-D29283D80003}"/>
                </a:ext>
              </a:extLst>
            </cdr:cNvPr>
            <cdr:cNvSpPr txBox="1"/>
          </cdr:nvSpPr>
          <cdr:spPr>
            <a:xfrm xmlns:a="http://schemas.openxmlformats.org/drawingml/2006/main">
              <a:off x="0" y="1168955"/>
              <a:ext cx="3566356" cy="294679"/>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EBAA6D35-C726-44D6-A405-3BC97F58D352}" type="TxLink">
                <a:rPr lang="en-US" altLang="en-US" sz="1400" b="1" i="0" u="none" strike="noStrike">
                  <a:solidFill>
                    <a:srgbClr val="000000"/>
                  </a:solidFill>
                  <a:latin typeface="맑은 고딕"/>
                  <a:ea typeface="맑은 고딕"/>
                  <a:cs typeface="Arial"/>
                </a:rPr>
                <a:pPr algn="l"/>
                <a:t>Gross product cost at break-even point</a:t>
              </a:fld>
              <a:endParaRPr lang="en-US" sz="2000" b="1">
                <a:solidFill>
                  <a:srgbClr val="0000FF"/>
                </a:solidFill>
              </a:endParaRPr>
            </a:p>
          </cdr:txBody>
        </cdr:sp>
        <cdr:sp macro="" textlink="">
          <cdr:nvSpPr>
            <cdr:cNvPr id="64" name="TextBox 5">
              <a:extLst xmlns:a="http://schemas.openxmlformats.org/drawingml/2006/main">
                <a:ext uri="{FF2B5EF4-FFF2-40B4-BE49-F238E27FC236}">
                  <a16:creationId xmlns:a16="http://schemas.microsoft.com/office/drawing/2014/main" id="{BCC97BBB-1797-D899-DDC0-FAEFBA176BEB}"/>
                </a:ext>
              </a:extLst>
            </cdr:cNvPr>
            <cdr:cNvSpPr txBox="1"/>
          </cdr:nvSpPr>
          <cdr:spPr>
            <a:xfrm xmlns:a="http://schemas.openxmlformats.org/drawingml/2006/main">
              <a:off x="23440" y="1546469"/>
              <a:ext cx="3566358" cy="294679"/>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743A1F8B-2B43-4D7F-A11E-540AC3A5F558}" type="TxLink">
                <a:rPr lang="en-US" altLang="en-US" sz="1400" b="0" i="0" u="none" strike="noStrike">
                  <a:solidFill>
                    <a:schemeClr val="accent2">
                      <a:lumMod val="75000"/>
                    </a:schemeClr>
                  </a:solidFill>
                  <a:latin typeface="맑은 고딕"/>
                  <a:ea typeface="맑은 고딕"/>
                  <a:cs typeface="Arial"/>
                </a:rPr>
                <a:pPr algn="l"/>
                <a:t>Total fixed cost</a:t>
              </a:fld>
              <a:endParaRPr lang="en-US" sz="2000" b="1">
                <a:solidFill>
                  <a:schemeClr val="accent2">
                    <a:lumMod val="75000"/>
                  </a:schemeClr>
                </a:solidFill>
              </a:endParaRPr>
            </a:p>
          </cdr:txBody>
        </cdr:sp>
        <cdr:sp macro="" textlink="">
          <cdr:nvSpPr>
            <cdr:cNvPr id="65" name="TextBox 6">
              <a:extLst xmlns:a="http://schemas.openxmlformats.org/drawingml/2006/main">
                <a:ext uri="{FF2B5EF4-FFF2-40B4-BE49-F238E27FC236}">
                  <a16:creationId xmlns:a16="http://schemas.microsoft.com/office/drawing/2014/main" id="{106C18BA-A334-B2FA-2169-F563967ACDE1}"/>
                </a:ext>
              </a:extLst>
            </cdr:cNvPr>
            <cdr:cNvSpPr txBox="1"/>
          </cdr:nvSpPr>
          <cdr:spPr>
            <a:xfrm xmlns:a="http://schemas.openxmlformats.org/drawingml/2006/main">
              <a:off x="23440" y="1894341"/>
              <a:ext cx="3566356" cy="294679"/>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CA00AFE-AFCB-4FD9-99D1-FA3F3A882762}" type="TxLink">
                <a:rPr lang="en-US" altLang="en-US" sz="1400" b="0" i="0" u="none" strike="noStrike">
                  <a:solidFill>
                    <a:schemeClr val="accent3">
                      <a:lumMod val="50000"/>
                    </a:schemeClr>
                  </a:solidFill>
                  <a:latin typeface="맑은 고딕"/>
                  <a:ea typeface="맑은 고딕"/>
                  <a:cs typeface="Arial"/>
                </a:rPr>
                <a:pPr algn="l"/>
                <a:t>Raw materials</a:t>
              </a:fld>
              <a:endParaRPr lang="en-US" sz="2000" b="1">
                <a:solidFill>
                  <a:schemeClr val="accent3">
                    <a:lumMod val="50000"/>
                  </a:schemeClr>
                </a:solidFill>
              </a:endParaRPr>
            </a:p>
          </cdr:txBody>
        </cdr:sp>
        <cdr:sp macro="" textlink="">
          <cdr:nvSpPr>
            <cdr:cNvPr id="66" name="TextBox 7">
              <a:extLst xmlns:a="http://schemas.openxmlformats.org/drawingml/2006/main">
                <a:ext uri="{FF2B5EF4-FFF2-40B4-BE49-F238E27FC236}">
                  <a16:creationId xmlns:a16="http://schemas.microsoft.com/office/drawing/2014/main" id="{E003B198-C6E4-54AB-5053-4ECBF8846906}"/>
                </a:ext>
              </a:extLst>
            </cdr:cNvPr>
            <cdr:cNvSpPr txBox="1"/>
          </cdr:nvSpPr>
          <cdr:spPr>
            <a:xfrm xmlns:a="http://schemas.openxmlformats.org/drawingml/2006/main">
              <a:off x="23440" y="2242215"/>
              <a:ext cx="3566356" cy="294733"/>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466272BF-6235-4792-A811-6A712736E9D6}" type="TxLink">
                <a:rPr lang="en-US" altLang="en-US" sz="1400" b="0" i="0" u="none" strike="noStrike">
                  <a:solidFill>
                    <a:srgbClr val="CC9900"/>
                  </a:solidFill>
                  <a:latin typeface="맑은 고딕"/>
                  <a:ea typeface="맑은 고딕"/>
                  <a:cs typeface="Arial"/>
                </a:rPr>
                <a:pPr algn="l"/>
                <a:t>Operating labor</a:t>
              </a:fld>
              <a:endParaRPr lang="en-US" sz="2000" b="1">
                <a:solidFill>
                  <a:srgbClr val="CC9900"/>
                </a:solidFill>
              </a:endParaRPr>
            </a:p>
          </cdr:txBody>
        </cdr:sp>
      </cdr:grpSp>
      <cdr:grpSp>
        <cdr:nvGrpSpPr>
          <cdr:cNvPr id="52" name="그룹 51">
            <a:extLst xmlns:a="http://schemas.openxmlformats.org/drawingml/2006/main">
              <a:ext uri="{FF2B5EF4-FFF2-40B4-BE49-F238E27FC236}">
                <a16:creationId xmlns:a16="http://schemas.microsoft.com/office/drawing/2014/main" id="{3C3B8B5B-7165-CBA7-3393-4AAE687834C3}"/>
              </a:ext>
            </a:extLst>
          </cdr:cNvPr>
          <cdr:cNvGrpSpPr/>
        </cdr:nvGrpSpPr>
        <cdr:grpSpPr>
          <a:xfrm xmlns:a="http://schemas.openxmlformats.org/drawingml/2006/main">
            <a:off x="3364318" y="1569960"/>
            <a:ext cx="3586271" cy="1335375"/>
            <a:chOff x="3365261" y="1558943"/>
            <a:chExt cx="3587277" cy="1326004"/>
          </a:xfrm>
        </cdr:grpSpPr>
        <cdr:sp macro="" textlink="">
          <cdr:nvSpPr>
            <cdr:cNvPr id="58" name="TextBox 4">
              <a:extLst xmlns:a="http://schemas.openxmlformats.org/drawingml/2006/main">
                <a:ext uri="{FF2B5EF4-FFF2-40B4-BE49-F238E27FC236}">
                  <a16:creationId xmlns:a16="http://schemas.microsoft.com/office/drawing/2014/main" id="{7B70F299-6625-DC37-6FDA-BBC7FE44193A}"/>
                </a:ext>
              </a:extLst>
            </cdr:cNvPr>
            <cdr:cNvSpPr txBox="1"/>
          </cdr:nvSpPr>
          <cdr:spPr>
            <a:xfrm xmlns:a="http://schemas.openxmlformats.org/drawingml/2006/main">
              <a:off x="3386179" y="1558943"/>
              <a:ext cx="3566359" cy="294679"/>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1CA7BFA5-9F4D-46A6-9D09-92B0E4443108}" type="TxLink">
                <a:rPr lang="en-US" altLang="en-US" sz="1400" b="0" i="0" u="none" strike="noStrike">
                  <a:solidFill>
                    <a:schemeClr val="accent6">
                      <a:lumMod val="75000"/>
                    </a:schemeClr>
                  </a:solidFill>
                  <a:latin typeface="맑은 고딕"/>
                  <a:ea typeface="맑은 고딕"/>
                  <a:cs typeface="Arial"/>
                </a:rPr>
                <a:pPr algn="l"/>
                <a:t>Utilities</a:t>
              </a:fld>
              <a:endParaRPr lang="en-US" sz="2000" b="1">
                <a:solidFill>
                  <a:schemeClr val="accent6">
                    <a:lumMod val="75000"/>
                  </a:schemeClr>
                </a:solidFill>
              </a:endParaRPr>
            </a:p>
          </cdr:txBody>
        </cdr:sp>
        <cdr:sp macro="" textlink="">
          <cdr:nvSpPr>
            <cdr:cNvPr id="59" name="TextBox 5">
              <a:extLst xmlns:a="http://schemas.openxmlformats.org/drawingml/2006/main">
                <a:ext uri="{FF2B5EF4-FFF2-40B4-BE49-F238E27FC236}">
                  <a16:creationId xmlns:a16="http://schemas.microsoft.com/office/drawing/2014/main" id="{8C1835BE-50E5-8D79-2A39-518F623A683D}"/>
                </a:ext>
              </a:extLst>
            </cdr:cNvPr>
            <cdr:cNvSpPr txBox="1"/>
          </cdr:nvSpPr>
          <cdr:spPr>
            <a:xfrm xmlns:a="http://schemas.openxmlformats.org/drawingml/2006/main">
              <a:off x="3386179" y="1906816"/>
              <a:ext cx="3566359" cy="294679"/>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D2F8A67-0452-4936-B4F3-2CA93BE1BCAB}" type="TxLink">
                <a:rPr lang="en-US" altLang="en-US" sz="1400" b="0" i="0" u="none" strike="noStrike">
                  <a:solidFill>
                    <a:schemeClr val="accent1">
                      <a:lumMod val="50000"/>
                    </a:schemeClr>
                  </a:solidFill>
                  <a:latin typeface="맑은 고딕"/>
                  <a:ea typeface="맑은 고딕"/>
                  <a:cs typeface="Arial"/>
                </a:rPr>
                <a:pPr algn="l"/>
                <a:t>Maintenance and repairs</a:t>
              </a:fld>
              <a:endParaRPr lang="en-US" sz="2000" b="1">
                <a:solidFill>
                  <a:schemeClr val="accent1">
                    <a:lumMod val="50000"/>
                  </a:schemeClr>
                </a:solidFill>
              </a:endParaRPr>
            </a:p>
          </cdr:txBody>
        </cdr:sp>
        <cdr:sp macro="" textlink="">
          <cdr:nvSpPr>
            <cdr:cNvPr id="60" name="TextBox 6">
              <a:extLst xmlns:a="http://schemas.openxmlformats.org/drawingml/2006/main">
                <a:ext uri="{FF2B5EF4-FFF2-40B4-BE49-F238E27FC236}">
                  <a16:creationId xmlns:a16="http://schemas.microsoft.com/office/drawing/2014/main" id="{29149745-AE53-987E-51B6-E0A6CCE08E55}"/>
                </a:ext>
              </a:extLst>
            </cdr:cNvPr>
            <cdr:cNvSpPr txBox="1"/>
          </cdr:nvSpPr>
          <cdr:spPr>
            <a:xfrm xmlns:a="http://schemas.openxmlformats.org/drawingml/2006/main">
              <a:off x="3386179" y="2590268"/>
              <a:ext cx="3566359" cy="294679"/>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D1D062D5-2CA4-490A-8131-7F6B1A36A28D}" type="TxLink">
                <a:rPr lang="en-US" altLang="en-US" sz="1400" b="0" i="0" u="none" strike="noStrike">
                  <a:solidFill>
                    <a:schemeClr val="accent3">
                      <a:lumMod val="75000"/>
                    </a:schemeClr>
                  </a:solidFill>
                  <a:latin typeface="맑은 고딕"/>
                  <a:ea typeface="맑은 고딕"/>
                  <a:cs typeface="Arial"/>
                </a:rPr>
                <a:pPr algn="l"/>
                <a:t>Laboratory charges</a:t>
              </a:fld>
              <a:endParaRPr lang="en-US" sz="2000" b="1">
                <a:solidFill>
                  <a:schemeClr val="accent3">
                    <a:lumMod val="75000"/>
                  </a:schemeClr>
                </a:solidFill>
              </a:endParaRPr>
            </a:p>
          </cdr:txBody>
        </cdr:sp>
        <cdr:sp macro="" textlink="">
          <cdr:nvSpPr>
            <cdr:cNvPr id="61" name="TextBox 11">
              <a:extLst xmlns:a="http://schemas.openxmlformats.org/drawingml/2006/main">
                <a:ext uri="{FF2B5EF4-FFF2-40B4-BE49-F238E27FC236}">
                  <a16:creationId xmlns:a16="http://schemas.microsoft.com/office/drawing/2014/main" id="{287E0BF3-384D-D45D-98A4-A26D5CE3B33C}"/>
                </a:ext>
              </a:extLst>
            </cdr:cNvPr>
            <cdr:cNvSpPr txBox="1"/>
          </cdr:nvSpPr>
          <cdr:spPr>
            <a:xfrm xmlns:a="http://schemas.openxmlformats.org/drawingml/2006/main">
              <a:off x="3365261" y="2254188"/>
              <a:ext cx="3566360" cy="294733"/>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72E10270-6CF7-4BF7-AACD-B99A7EBAE91B}" type="TxLink">
                <a:rPr lang="en-US" altLang="en-US" sz="1400" b="0" i="0" u="none" strike="noStrike">
                  <a:solidFill>
                    <a:srgbClr val="FF9900"/>
                  </a:solidFill>
                  <a:latin typeface="맑은 고딕"/>
                  <a:ea typeface="맑은 고딕"/>
                  <a:cs typeface="Arial"/>
                </a:rPr>
                <a:pPr algn="l"/>
                <a:t>Operating supplies</a:t>
              </a:fld>
              <a:endParaRPr lang="en-US" sz="2000" b="1">
                <a:solidFill>
                  <a:srgbClr val="FF9900"/>
                </a:solidFill>
              </a:endParaRPr>
            </a:p>
          </cdr:txBody>
        </cdr:sp>
      </cdr:grpSp>
      <cdr:sp macro="" textlink="">
        <cdr:nvSpPr>
          <cdr:cNvPr id="53" name="TextBox 13">
            <a:extLst xmlns:a="http://schemas.openxmlformats.org/drawingml/2006/main">
              <a:ext uri="{FF2B5EF4-FFF2-40B4-BE49-F238E27FC236}">
                <a16:creationId xmlns:a16="http://schemas.microsoft.com/office/drawing/2014/main" id="{4AE2DADC-4333-FD69-DFD1-15A111CAB8CE}"/>
              </a:ext>
            </a:extLst>
          </cdr:cNvPr>
          <cdr:cNvSpPr txBox="1"/>
        </cdr:nvSpPr>
        <cdr:spPr>
          <a:xfrm xmlns:a="http://schemas.openxmlformats.org/drawingml/2006/main">
            <a:off x="5919901" y="1598857"/>
            <a:ext cx="3565358" cy="296762"/>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7753B78C-D4A7-415B-BB3D-9E13C01DC667}" type="TxLink">
              <a:rPr lang="en-US" altLang="en-US" sz="1400" b="0" i="0" u="none" strike="noStrike">
                <a:solidFill>
                  <a:schemeClr val="accent4"/>
                </a:solidFill>
                <a:latin typeface="맑은 고딕"/>
                <a:ea typeface="맑은 고딕"/>
                <a:cs typeface="Arial"/>
              </a:rPr>
              <a:pPr algn="l"/>
              <a:t>Patents and royal</a:t>
            </a:fld>
            <a:endParaRPr lang="en-US" sz="2000" b="1">
              <a:solidFill>
                <a:schemeClr val="accent4"/>
              </a:solidFill>
            </a:endParaRPr>
          </a:p>
        </cdr:txBody>
      </cdr:sp>
      <cdr:sp macro="" textlink="">
        <cdr:nvSpPr>
          <cdr:cNvPr id="54" name="TextBox 14">
            <a:extLst xmlns:a="http://schemas.openxmlformats.org/drawingml/2006/main">
              <a:ext uri="{FF2B5EF4-FFF2-40B4-BE49-F238E27FC236}">
                <a16:creationId xmlns:a16="http://schemas.microsoft.com/office/drawing/2014/main" id="{C631C728-66FB-9A05-7A08-DFB7A871CD1B}"/>
              </a:ext>
            </a:extLst>
          </cdr:cNvPr>
          <cdr:cNvSpPr txBox="1"/>
        </cdr:nvSpPr>
        <cdr:spPr>
          <a:xfrm xmlns:a="http://schemas.openxmlformats.org/drawingml/2006/main">
            <a:off x="5919902" y="1949187"/>
            <a:ext cx="3565358" cy="296762"/>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E25010DE-34B3-405D-BEE3-068E3FD50A4E}" type="TxLink">
              <a:rPr lang="en-US" altLang="en-US" sz="1400" b="0" i="0" u="none" strike="noStrike">
                <a:solidFill>
                  <a:srgbClr val="00FFFF"/>
                </a:solidFill>
                <a:latin typeface="맑은 고딕"/>
                <a:ea typeface="맑은 고딕"/>
                <a:cs typeface="Arial"/>
              </a:rPr>
              <a:pPr algn="l"/>
              <a:t>Plant overhead costs</a:t>
            </a:fld>
            <a:endParaRPr lang="en-US" sz="2000" b="1">
              <a:solidFill>
                <a:srgbClr val="00FFFF"/>
              </a:solidFill>
            </a:endParaRPr>
          </a:p>
        </cdr:txBody>
      </cdr:sp>
      <cdr:sp macro="" textlink="">
        <cdr:nvSpPr>
          <cdr:cNvPr id="55" name="TextBox 15">
            <a:extLst xmlns:a="http://schemas.openxmlformats.org/drawingml/2006/main">
              <a:ext uri="{FF2B5EF4-FFF2-40B4-BE49-F238E27FC236}">
                <a16:creationId xmlns:a16="http://schemas.microsoft.com/office/drawing/2014/main" id="{CDAE7126-630E-771E-BE88-A3F221BE8535}"/>
              </a:ext>
            </a:extLst>
          </cdr:cNvPr>
          <cdr:cNvSpPr txBox="1"/>
        </cdr:nvSpPr>
        <cdr:spPr>
          <a:xfrm xmlns:a="http://schemas.openxmlformats.org/drawingml/2006/main">
            <a:off x="5919902" y="2271611"/>
            <a:ext cx="3565358" cy="296816"/>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07575590-0CD9-49AA-BA64-88315F73FB5F}" type="TxLink">
              <a:rPr lang="en-US" altLang="en-US" sz="1400" b="0" i="0" u="none" strike="noStrike">
                <a:solidFill>
                  <a:srgbClr val="FF66FF"/>
                </a:solidFill>
                <a:latin typeface="맑은 고딕"/>
                <a:ea typeface="맑은 고딕"/>
                <a:cs typeface="Arial"/>
              </a:rPr>
              <a:pPr algn="l"/>
              <a:t>Administrative costs</a:t>
            </a:fld>
            <a:endParaRPr lang="en-US" sz="2000" b="1">
              <a:solidFill>
                <a:srgbClr val="FF66FF"/>
              </a:solidFill>
            </a:endParaRPr>
          </a:p>
        </cdr:txBody>
      </cdr:sp>
      <cdr:sp macro="" textlink="">
        <cdr:nvSpPr>
          <cdr:cNvPr id="56" name="TextBox 15">
            <a:extLst xmlns:a="http://schemas.openxmlformats.org/drawingml/2006/main">
              <a:ext uri="{FF2B5EF4-FFF2-40B4-BE49-F238E27FC236}">
                <a16:creationId xmlns:a16="http://schemas.microsoft.com/office/drawing/2014/main" id="{5FD87900-C505-694D-49C2-F783F0480D25}"/>
              </a:ext>
            </a:extLst>
          </cdr:cNvPr>
          <cdr:cNvSpPr txBox="1"/>
        </cdr:nvSpPr>
        <cdr:spPr>
          <a:xfrm xmlns:a="http://schemas.openxmlformats.org/drawingml/2006/main">
            <a:off x="5906521" y="2623423"/>
            <a:ext cx="3167955" cy="296794"/>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26577C52-FE5B-48A9-A481-4701F3FE79A9}" type="TxLink">
              <a:rPr lang="en-US" altLang="en-US" sz="1400" b="0" i="0" u="none" strike="noStrike">
                <a:solidFill>
                  <a:srgbClr val="CCCCFF"/>
                </a:solidFill>
                <a:latin typeface="맑은 고딕"/>
                <a:ea typeface="맑은 고딕"/>
                <a:cs typeface="Arial"/>
              </a:rPr>
              <a:pPr algn="l"/>
              <a:t>Distribution and marketing costs</a:t>
            </a:fld>
            <a:endParaRPr lang="en-US" sz="1400" b="1">
              <a:solidFill>
                <a:srgbClr val="CCCCFF"/>
              </a:solidFill>
            </a:endParaRPr>
          </a:p>
        </cdr:txBody>
      </cdr:sp>
      <cdr:sp macro="" textlink="">
        <cdr:nvSpPr>
          <cdr:cNvPr id="57" name="TextBox 15">
            <a:extLst xmlns:a="http://schemas.openxmlformats.org/drawingml/2006/main">
              <a:ext uri="{FF2B5EF4-FFF2-40B4-BE49-F238E27FC236}">
                <a16:creationId xmlns:a16="http://schemas.microsoft.com/office/drawing/2014/main" id="{88FFB691-BC5A-520C-3C12-C71DB4659021}"/>
              </a:ext>
            </a:extLst>
          </cdr:cNvPr>
          <cdr:cNvSpPr txBox="1"/>
        </cdr:nvSpPr>
        <cdr:spPr>
          <a:xfrm xmlns:a="http://schemas.openxmlformats.org/drawingml/2006/main">
            <a:off x="8482923" y="1603964"/>
            <a:ext cx="2859778" cy="282842"/>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31090E56-ED21-48E0-90B1-6DC67FD14BF9}" type="TxLink">
              <a:rPr lang="en-US" altLang="en-US" sz="1400" b="0" i="0" u="none" strike="noStrike">
                <a:solidFill>
                  <a:srgbClr val="FF9999"/>
                </a:solidFill>
                <a:latin typeface="맑은 고딕"/>
                <a:ea typeface="맑은 고딕"/>
                <a:cs typeface="Arial"/>
              </a:rPr>
              <a:pPr algn="l"/>
              <a:t>Research and development costs</a:t>
            </a:fld>
            <a:endParaRPr lang="en-US" sz="1400" b="1">
              <a:solidFill>
                <a:srgbClr val="FF9999"/>
              </a:solidFill>
            </a:endParaRPr>
          </a:p>
        </cdr:txBody>
      </cdr:sp>
    </cdr:grpSp>
  </cdr:relSizeAnchor>
</c:userShapes>
</file>

<file path=xl/drawings/drawing5.xml><?xml version="1.0" encoding="utf-8"?>
<xdr:wsDr xmlns:xdr="http://schemas.openxmlformats.org/drawingml/2006/spreadsheetDrawing" xmlns:a="http://schemas.openxmlformats.org/drawingml/2006/main">
  <xdr:twoCellAnchor>
    <xdr:from>
      <xdr:col>5</xdr:col>
      <xdr:colOff>190500</xdr:colOff>
      <xdr:row>8</xdr:row>
      <xdr:rowOff>123825</xdr:rowOff>
    </xdr:from>
    <xdr:to>
      <xdr:col>5</xdr:col>
      <xdr:colOff>1095375</xdr:colOff>
      <xdr:row>11</xdr:row>
      <xdr:rowOff>85725</xdr:rowOff>
    </xdr:to>
    <xdr:sp macro="" textlink="">
      <xdr:nvSpPr>
        <xdr:cNvPr id="6" name="오른쪽 화살표 1">
          <a:extLst>
            <a:ext uri="{FF2B5EF4-FFF2-40B4-BE49-F238E27FC236}">
              <a16:creationId xmlns:a16="http://schemas.microsoft.com/office/drawing/2014/main" id="{00000000-0008-0000-0800-000006000000}"/>
            </a:ext>
          </a:extLst>
        </xdr:cNvPr>
        <xdr:cNvSpPr/>
      </xdr:nvSpPr>
      <xdr:spPr>
        <a:xfrm>
          <a:off x="7705725" y="1714500"/>
          <a:ext cx="904875" cy="504825"/>
        </a:xfrm>
        <a:prstGeom prst="rightArrow">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22860</xdr:colOff>
      <xdr:row>2</xdr:row>
      <xdr:rowOff>0</xdr:rowOff>
    </xdr:from>
    <xdr:to>
      <xdr:col>1</xdr:col>
      <xdr:colOff>8770620</xdr:colOff>
      <xdr:row>24</xdr:row>
      <xdr:rowOff>0</xdr:rowOff>
    </xdr:to>
    <xdr:grpSp>
      <xdr:nvGrpSpPr>
        <xdr:cNvPr id="4" name="그룹 3">
          <a:extLst>
            <a:ext uri="{FF2B5EF4-FFF2-40B4-BE49-F238E27FC236}">
              <a16:creationId xmlns:a16="http://schemas.microsoft.com/office/drawing/2014/main" id="{00000000-0008-0000-0900-000004000000}"/>
            </a:ext>
          </a:extLst>
        </xdr:cNvPr>
        <xdr:cNvGrpSpPr/>
      </xdr:nvGrpSpPr>
      <xdr:grpSpPr>
        <a:xfrm>
          <a:off x="685469" y="463826"/>
          <a:ext cx="8747760" cy="3790122"/>
          <a:chOff x="693420" y="396240"/>
          <a:chExt cx="8747760" cy="3756658"/>
        </a:xfrm>
      </xdr:grpSpPr>
      <mc:AlternateContent xmlns:mc="http://schemas.openxmlformats.org/markup-compatibility/2006">
        <mc:Choice xmlns:a14="http://schemas.microsoft.com/office/drawing/2010/main" Requires="a14">
          <xdr:sp macro="" textlink="">
            <xdr:nvSpPr>
              <xdr:cNvPr id="8194" name="Object 2" hidden="1">
                <a:extLst>
                  <a:ext uri="{63B3BB69-23CF-44E3-9099-C40C66FF867C}">
                    <a14:compatExt spid="_x0000_s8194"/>
                  </a:ext>
                  <a:ext uri="{FF2B5EF4-FFF2-40B4-BE49-F238E27FC236}">
                    <a16:creationId xmlns:a16="http://schemas.microsoft.com/office/drawing/2014/main" id="{00000000-0008-0000-0900-000002200000}"/>
                  </a:ext>
                </a:extLst>
              </xdr:cNvPr>
              <xdr:cNvSpPr/>
            </xdr:nvSpPr>
            <xdr:spPr bwMode="auto">
              <a:xfrm>
                <a:off x="693420" y="396240"/>
                <a:ext cx="8747760" cy="3756658"/>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mc:Choice>
        <mc:Fallback/>
      </mc:AlternateContent>
      <xdr:sp macro="" textlink="">
        <xdr:nvSpPr>
          <xdr:cNvPr id="2" name="직사각형 1">
            <a:extLst>
              <a:ext uri="{FF2B5EF4-FFF2-40B4-BE49-F238E27FC236}">
                <a16:creationId xmlns:a16="http://schemas.microsoft.com/office/drawing/2014/main" id="{00000000-0008-0000-0900-000002000000}"/>
              </a:ext>
            </a:extLst>
          </xdr:cNvPr>
          <xdr:cNvSpPr/>
        </xdr:nvSpPr>
        <xdr:spPr>
          <a:xfrm>
            <a:off x="6582424" y="1706233"/>
            <a:ext cx="1412327" cy="68790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 name="직사각형 2">
            <a:extLst>
              <a:ext uri="{FF2B5EF4-FFF2-40B4-BE49-F238E27FC236}">
                <a16:creationId xmlns:a16="http://schemas.microsoft.com/office/drawing/2014/main" id="{00000000-0008-0000-0900-000003000000}"/>
              </a:ext>
            </a:extLst>
          </xdr:cNvPr>
          <xdr:cNvSpPr/>
        </xdr:nvSpPr>
        <xdr:spPr>
          <a:xfrm>
            <a:off x="5501896" y="2623752"/>
            <a:ext cx="229247" cy="12992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ren4\Documents\&#52852;&#52852;&#50724;&#53665;%20&#48155;&#51008;%20&#54028;&#51068;\Tool(06.09)%20-%20&#49688;&#51221;2.xlsx" TargetMode="External"/><Relationship Id="rId1" Type="http://schemas.openxmlformats.org/officeDocument/2006/relationships/externalLinkPath" Target="/Users/jren4/Documents/&#52852;&#52852;&#50724;&#53665;%20&#48155;&#51008;%20&#54028;&#51068;/Tool(06.09)%20-%20&#49688;&#51221;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ornado%20Charts%20&amp;%20Risk%20Analysi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44396;&#50689;&#50865;\Documents\&#52852;&#52852;&#50724;&#53665;%20&#48155;&#51008;%20&#54028;&#51068;\Tool%20&#52572;&#49888;%20&#53685;&#54633;&#48376;(0611).xlsx" TargetMode="External"/><Relationship Id="rId1" Type="http://schemas.openxmlformats.org/officeDocument/2006/relationships/externalLinkPath" Target="/Users/&#44396;&#50689;&#50865;/Documents/&#52852;&#52852;&#50724;&#53665;%20&#48155;&#51008;%20&#54028;&#51068;/Tool%20&#52572;&#49888;%20&#53685;&#54633;&#48376;(06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Description"/>
      <sheetName val="Process flow"/>
      <sheetName val="Inputs &amp; results"/>
      <sheetName val="Material &amp; energy balance"/>
      <sheetName val="Equipment price"/>
      <sheetName val="Economic evaluation"/>
      <sheetName val="Environmental evaluation"/>
      <sheetName val="Future work"/>
    </sheetNames>
    <sheetDataSet>
      <sheetData sheetId="0"/>
      <sheetData sheetId="1"/>
      <sheetData sheetId="2"/>
      <sheetData sheetId="3">
        <row r="23">
          <cell r="C23" t="str">
            <v>Raw material price</v>
          </cell>
        </row>
      </sheetData>
      <sheetData sheetId="4"/>
      <sheetData sheetId="5"/>
      <sheetData sheetId="6">
        <row r="21">
          <cell r="Y21" t="str">
            <v xml:space="preserve">Li2CO3 sales </v>
          </cell>
        </row>
      </sheetData>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rnado Charts &amp; Risk Analysi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Description"/>
      <sheetName val="Process flow"/>
      <sheetName val="Inputs &amp; results"/>
      <sheetName val="Material &amp; energy balance"/>
      <sheetName val="Equipment price"/>
      <sheetName val="Economic evaluation"/>
      <sheetName val="Environmental evaluation"/>
      <sheetName val="Future work"/>
    </sheetNames>
    <sheetDataSet>
      <sheetData sheetId="0"/>
      <sheetData sheetId="1"/>
      <sheetData sheetId="2"/>
      <sheetData sheetId="3"/>
      <sheetData sheetId="4"/>
      <sheetData sheetId="5"/>
      <sheetData sheetId="6">
        <row r="17">
          <cell r="AF17" t="str">
            <v>(except FCI) Equipment</v>
          </cell>
          <cell r="AG17">
            <v>2515481.7760486221</v>
          </cell>
        </row>
        <row r="18">
          <cell r="AF18" t="str">
            <v>Purchased equipments installation cost</v>
          </cell>
          <cell r="AG18">
            <v>1006192.7104194489</v>
          </cell>
        </row>
        <row r="19">
          <cell r="AF19" t="str">
            <v>Instrumentation and control</v>
          </cell>
          <cell r="AG19">
            <v>729489.71505410038</v>
          </cell>
        </row>
        <row r="20">
          <cell r="AF20" t="str">
            <v>Piping</v>
          </cell>
          <cell r="AG20">
            <v>1131966.79922188</v>
          </cell>
        </row>
        <row r="21">
          <cell r="AF21" t="str">
            <v>Electrical installation cost</v>
          </cell>
          <cell r="AG21">
            <v>628870.44401215552</v>
          </cell>
        </row>
        <row r="22">
          <cell r="AF22" t="str">
            <v>Buildings, process, auxiliary</v>
          </cell>
          <cell r="AG22">
            <v>1006192.7104194489</v>
          </cell>
        </row>
        <row r="23">
          <cell r="AF23" t="str">
            <v>Service facilities and yard improvements</v>
          </cell>
          <cell r="AG23">
            <v>1760837.2432340353</v>
          </cell>
        </row>
        <row r="24">
          <cell r="AF24" t="str">
            <v>Land</v>
          </cell>
          <cell r="AG24">
            <v>201238.54208388977</v>
          </cell>
        </row>
        <row r="25">
          <cell r="AF25" t="str">
            <v>Total Direct</v>
          </cell>
          <cell r="AG25">
            <v>8980269.94049358</v>
          </cell>
        </row>
        <row r="26">
          <cell r="AF26" t="str">
            <v>Engineering and supervision</v>
          </cell>
          <cell r="AG26">
            <v>1571547.2395863764</v>
          </cell>
        </row>
        <row r="27">
          <cell r="AF27" t="str">
            <v>Legal expenses</v>
          </cell>
          <cell r="AG27">
            <v>1250596.6722734594</v>
          </cell>
        </row>
        <row r="28">
          <cell r="AF28" t="str">
            <v>Construction expense and constractor's fee</v>
          </cell>
          <cell r="AG28">
            <v>9379475.0420509446</v>
          </cell>
        </row>
        <row r="29">
          <cell r="AF29" t="str">
            <v>Contingency</v>
          </cell>
          <cell r="AG29">
            <v>6252983.3613672964</v>
          </cell>
        </row>
        <row r="30">
          <cell r="AF30" t="str">
            <v>Total Indirect</v>
          </cell>
          <cell r="AG30">
            <v>18454602.315278076</v>
          </cell>
        </row>
        <row r="31">
          <cell r="AF31" t="str">
            <v>(included FCI) Equipment</v>
          </cell>
          <cell r="AG31">
            <v>35094961.357901312</v>
          </cell>
        </row>
        <row r="32">
          <cell r="AF32" t="str">
            <v>Fixed Capital Investment (FCI)</v>
          </cell>
          <cell r="AG32">
            <v>62529833.613672964</v>
          </cell>
        </row>
        <row r="33">
          <cell r="AF33" t="str">
            <v>Working Capital</v>
          </cell>
          <cell r="AG33">
            <v>11034676.520059934</v>
          </cell>
        </row>
      </sheetData>
      <sheetData sheetId="7"/>
      <sheetData sheetId="8"/>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wjdtnals37@gmail.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oleObject" Target="../embeddings/oleObject5.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D0DAF-573A-4C61-9660-B5D54ADE4AC1}">
  <dimension ref="B2:E18"/>
  <sheetViews>
    <sheetView showGridLines="0" zoomScale="70" zoomScaleNormal="70" workbookViewId="0">
      <selection activeCell="B2" sqref="B2:E2"/>
    </sheetView>
  </sheetViews>
  <sheetFormatPr defaultColWidth="9" defaultRowHeight="13.8" x14ac:dyDescent="0.4"/>
  <cols>
    <col min="1" max="1" width="9.19921875" style="2" customWidth="1"/>
    <col min="2" max="2" width="34.8984375" style="2" bestFit="1" customWidth="1"/>
    <col min="3" max="3" width="61.8984375" style="2" customWidth="1"/>
    <col min="4" max="4" width="9" style="2"/>
    <col min="5" max="5" width="10.09765625" style="2" customWidth="1"/>
    <col min="6" max="16384" width="9" style="2"/>
  </cols>
  <sheetData>
    <row r="2" spans="2:5" ht="22.8" x14ac:dyDescent="0.4">
      <c r="B2" s="296" t="s">
        <v>443</v>
      </c>
      <c r="C2" s="296"/>
      <c r="D2" s="296"/>
      <c r="E2" s="296"/>
    </row>
    <row r="4" spans="2:5" ht="14.4" thickBot="1" x14ac:dyDescent="0.45"/>
    <row r="5" spans="2:5" ht="27.6" x14ac:dyDescent="0.4">
      <c r="B5" s="3" t="s">
        <v>0</v>
      </c>
      <c r="C5" s="4" t="s">
        <v>1</v>
      </c>
    </row>
    <row r="6" spans="2:5" x14ac:dyDescent="0.4">
      <c r="B6" s="5" t="s">
        <v>2</v>
      </c>
      <c r="C6" s="6" t="s">
        <v>3</v>
      </c>
    </row>
    <row r="7" spans="2:5" ht="17.399999999999999" x14ac:dyDescent="0.4">
      <c r="B7" s="5" t="s">
        <v>4</v>
      </c>
      <c r="C7" s="6" t="s">
        <v>5</v>
      </c>
      <c r="E7" s="14"/>
    </row>
    <row r="8" spans="2:5" ht="17.399999999999999" x14ac:dyDescent="0.4">
      <c r="B8" s="5" t="s">
        <v>6</v>
      </c>
      <c r="C8" s="45" t="s">
        <v>7</v>
      </c>
    </row>
    <row r="9" spans="2:5" x14ac:dyDescent="0.4">
      <c r="B9" s="5" t="s">
        <v>8</v>
      </c>
      <c r="C9" s="16">
        <v>45078</v>
      </c>
    </row>
    <row r="10" spans="2:5" ht="14.4" thickBot="1" x14ac:dyDescent="0.45">
      <c r="B10" s="7" t="s">
        <v>9</v>
      </c>
      <c r="C10" s="8"/>
    </row>
    <row r="11" spans="2:5" ht="14.4" thickBot="1" x14ac:dyDescent="0.45">
      <c r="B11" s="9"/>
    </row>
    <row r="12" spans="2:5" x14ac:dyDescent="0.4">
      <c r="B12" s="3" t="s">
        <v>10</v>
      </c>
      <c r="C12" s="10" t="s">
        <v>11</v>
      </c>
    </row>
    <row r="13" spans="2:5" x14ac:dyDescent="0.4">
      <c r="B13" s="5" t="s">
        <v>12</v>
      </c>
      <c r="C13" s="6" t="s">
        <v>13</v>
      </c>
    </row>
    <row r="14" spans="2:5" ht="27.6" x14ac:dyDescent="0.4">
      <c r="B14" s="5" t="s">
        <v>14</v>
      </c>
      <c r="C14" s="11" t="s">
        <v>15</v>
      </c>
    </row>
    <row r="15" spans="2:5" ht="27.6" x14ac:dyDescent="0.4">
      <c r="B15" s="7" t="s">
        <v>16</v>
      </c>
      <c r="C15" s="12" t="s">
        <v>17</v>
      </c>
    </row>
    <row r="18" spans="2:2" ht="14.4" x14ac:dyDescent="0.4">
      <c r="B18" s="13"/>
    </row>
  </sheetData>
  <mergeCells count="1">
    <mergeCell ref="B2:E2"/>
  </mergeCells>
  <phoneticPr fontId="1" type="noConversion"/>
  <hyperlinks>
    <hyperlink ref="C8" r:id="rId1" xr:uid="{56988F83-4279-483E-9D4B-44F0BE10A74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1D99B-1641-429C-89E3-A38376A697E1}">
  <dimension ref="B2:B25"/>
  <sheetViews>
    <sheetView showGridLines="0" zoomScale="115" zoomScaleNormal="115" workbookViewId="0">
      <selection activeCell="E12" sqref="E12"/>
    </sheetView>
  </sheetViews>
  <sheetFormatPr defaultColWidth="8.69921875" defaultRowHeight="13.8" x14ac:dyDescent="0.4"/>
  <cols>
    <col min="1" max="1" width="8.69921875" style="2"/>
    <col min="2" max="2" width="115.5" style="2" customWidth="1"/>
    <col min="3" max="16384" width="8.69921875" style="2"/>
  </cols>
  <sheetData>
    <row r="2" spans="2:2" ht="22.8" x14ac:dyDescent="0.4">
      <c r="B2" s="295" t="s">
        <v>443</v>
      </c>
    </row>
    <row r="25" spans="2:2" ht="96.6" x14ac:dyDescent="0.4">
      <c r="B25" s="38" t="s">
        <v>335</v>
      </c>
    </row>
  </sheetData>
  <phoneticPr fontId="1" type="noConversion"/>
  <pageMargins left="0.7" right="0.7" top="0.75" bottom="0.75" header="0.3" footer="0.3"/>
  <pageSetup paperSize="9" orientation="portrait" horizontalDpi="4294967292" r:id="rId1"/>
  <drawing r:id="rId2"/>
  <legacyDrawing r:id="rId3"/>
  <oleObjects>
    <mc:AlternateContent xmlns:mc="http://schemas.openxmlformats.org/markup-compatibility/2006">
      <mc:Choice Requires="x14">
        <oleObject progId="AutoCAD Drawing" shapeId="8194" r:id="rId4">
          <objectPr defaultSize="0" autoPict="0" r:id="rId5">
            <anchor moveWithCells="1">
              <from>
                <xdr:col>1</xdr:col>
                <xdr:colOff>22860</xdr:colOff>
                <xdr:row>2</xdr:row>
                <xdr:rowOff>0</xdr:rowOff>
              </from>
              <to>
                <xdr:col>1</xdr:col>
                <xdr:colOff>8770620</xdr:colOff>
                <xdr:row>24</xdr:row>
                <xdr:rowOff>0</xdr:rowOff>
              </to>
            </anchor>
          </objectPr>
        </oleObject>
      </mc:Choice>
      <mc:Fallback>
        <oleObject progId="AutoCAD Drawing" shapeId="8194"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6D9F8-E07C-4666-8870-468A3EC8F599}">
  <dimension ref="B2:E40"/>
  <sheetViews>
    <sheetView showGridLines="0" zoomScale="85" zoomScaleNormal="85" workbookViewId="0">
      <selection activeCell="B41" sqref="B41"/>
    </sheetView>
  </sheetViews>
  <sheetFormatPr defaultColWidth="8.69921875" defaultRowHeight="13.8" x14ac:dyDescent="0.4"/>
  <cols>
    <col min="1" max="1" width="8.69921875" style="2"/>
    <col min="2" max="2" width="120.19921875" style="2" customWidth="1"/>
    <col min="3" max="16384" width="8.69921875" style="2"/>
  </cols>
  <sheetData>
    <row r="2" spans="2:5" ht="22.8" x14ac:dyDescent="0.4">
      <c r="B2" s="296" t="s">
        <v>443</v>
      </c>
      <c r="C2" s="296"/>
      <c r="D2" s="296"/>
      <c r="E2" s="296"/>
    </row>
    <row r="3" spans="2:5" x14ac:dyDescent="0.4">
      <c r="B3" s="17"/>
    </row>
    <row r="4" spans="2:5" x14ac:dyDescent="0.4">
      <c r="B4" s="17"/>
    </row>
    <row r="5" spans="2:5" x14ac:dyDescent="0.4">
      <c r="B5" s="17"/>
    </row>
    <row r="6" spans="2:5" x14ac:dyDescent="0.4">
      <c r="B6" s="18" t="s">
        <v>18</v>
      </c>
    </row>
    <row r="7" spans="2:5" ht="69" customHeight="1" x14ac:dyDescent="0.4">
      <c r="B7" s="38" t="s">
        <v>370</v>
      </c>
    </row>
    <row r="10" spans="2:5" x14ac:dyDescent="0.4">
      <c r="B10" s="18" t="s">
        <v>19</v>
      </c>
    </row>
    <row r="11" spans="2:5" ht="69" x14ac:dyDescent="0.4">
      <c r="B11" s="38" t="s">
        <v>371</v>
      </c>
    </row>
    <row r="14" spans="2:5" x14ac:dyDescent="0.4">
      <c r="B14" s="18" t="s">
        <v>20</v>
      </c>
    </row>
    <row r="15" spans="2:5" ht="69" x14ac:dyDescent="0.4">
      <c r="B15" s="37" t="s">
        <v>21</v>
      </c>
    </row>
    <row r="16" spans="2:5" x14ac:dyDescent="0.4">
      <c r="B16" s="80"/>
    </row>
    <row r="18" spans="2:2" x14ac:dyDescent="0.4">
      <c r="B18" s="1" t="s">
        <v>22</v>
      </c>
    </row>
    <row r="19" spans="2:2" x14ac:dyDescent="0.4">
      <c r="B19" s="81" t="s">
        <v>23</v>
      </c>
    </row>
    <row r="20" spans="2:2" x14ac:dyDescent="0.4">
      <c r="B20" s="81" t="s">
        <v>372</v>
      </c>
    </row>
    <row r="21" spans="2:2" x14ac:dyDescent="0.4">
      <c r="B21" s="81" t="s">
        <v>373</v>
      </c>
    </row>
    <row r="22" spans="2:2" x14ac:dyDescent="0.4">
      <c r="B22" s="81" t="s">
        <v>374</v>
      </c>
    </row>
    <row r="23" spans="2:2" x14ac:dyDescent="0.4">
      <c r="B23" s="81" t="s">
        <v>375</v>
      </c>
    </row>
    <row r="24" spans="2:2" x14ac:dyDescent="0.4">
      <c r="B24" s="81" t="s">
        <v>24</v>
      </c>
    </row>
    <row r="25" spans="2:2" x14ac:dyDescent="0.4">
      <c r="B25" s="81" t="s">
        <v>25</v>
      </c>
    </row>
    <row r="26" spans="2:2" x14ac:dyDescent="0.4">
      <c r="B26" s="81" t="s">
        <v>376</v>
      </c>
    </row>
    <row r="27" spans="2:2" x14ac:dyDescent="0.4">
      <c r="B27" s="81" t="s">
        <v>377</v>
      </c>
    </row>
    <row r="28" spans="2:2" x14ac:dyDescent="0.4">
      <c r="B28" s="81" t="s">
        <v>378</v>
      </c>
    </row>
    <row r="29" spans="2:2" x14ac:dyDescent="0.4">
      <c r="B29" s="81" t="s">
        <v>379</v>
      </c>
    </row>
    <row r="30" spans="2:2" x14ac:dyDescent="0.4">
      <c r="B30" s="81" t="s">
        <v>380</v>
      </c>
    </row>
    <row r="31" spans="2:2" x14ac:dyDescent="0.4">
      <c r="B31" s="81" t="s">
        <v>26</v>
      </c>
    </row>
    <row r="32" spans="2:2" x14ac:dyDescent="0.4">
      <c r="B32" s="81" t="s">
        <v>381</v>
      </c>
    </row>
    <row r="33" spans="2:2" x14ac:dyDescent="0.4">
      <c r="B33" s="81" t="s">
        <v>382</v>
      </c>
    </row>
    <row r="34" spans="2:2" x14ac:dyDescent="0.4">
      <c r="B34" s="81" t="s">
        <v>27</v>
      </c>
    </row>
    <row r="35" spans="2:2" x14ac:dyDescent="0.4">
      <c r="B35" s="81" t="s">
        <v>383</v>
      </c>
    </row>
    <row r="36" spans="2:2" x14ac:dyDescent="0.4">
      <c r="B36" s="81" t="s">
        <v>28</v>
      </c>
    </row>
    <row r="37" spans="2:2" x14ac:dyDescent="0.4">
      <c r="B37" s="81" t="s">
        <v>384</v>
      </c>
    </row>
    <row r="38" spans="2:2" x14ac:dyDescent="0.4">
      <c r="B38" s="2" t="s">
        <v>29</v>
      </c>
    </row>
    <row r="39" spans="2:2" x14ac:dyDescent="0.4">
      <c r="B39" s="2" t="s">
        <v>445</v>
      </c>
    </row>
    <row r="40" spans="2:2" x14ac:dyDescent="0.4">
      <c r="B40" s="2" t="s">
        <v>446</v>
      </c>
    </row>
  </sheetData>
  <mergeCells count="1">
    <mergeCell ref="B2:E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F331C-ED8B-4B5D-AC54-447C846F62F4}">
  <dimension ref="B2:E2"/>
  <sheetViews>
    <sheetView showGridLines="0" zoomScale="55" zoomScaleNormal="55" workbookViewId="0">
      <selection activeCell="B2" sqref="B2"/>
    </sheetView>
  </sheetViews>
  <sheetFormatPr defaultColWidth="8.69921875" defaultRowHeight="13.8" x14ac:dyDescent="0.4"/>
  <cols>
    <col min="1" max="1" width="8.69921875" style="2"/>
    <col min="2" max="2" width="9" style="2" bestFit="1" customWidth="1"/>
    <col min="3" max="16384" width="8.69921875" style="2"/>
  </cols>
  <sheetData>
    <row r="2" spans="2:5" ht="22.8" x14ac:dyDescent="0.4">
      <c r="B2" s="295" t="s">
        <v>443</v>
      </c>
      <c r="C2" s="295"/>
      <c r="D2" s="295"/>
      <c r="E2" s="295"/>
    </row>
  </sheetData>
  <phoneticPr fontId="1" type="noConversion"/>
  <pageMargins left="0.7" right="0.7" top="0.75" bottom="0.75" header="0.3" footer="0.3"/>
  <pageSetup paperSize="9" orientation="portrait" horizontalDpi="4294967292" r:id="rId1"/>
  <drawing r:id="rId2"/>
  <legacyDrawing r:id="rId3"/>
  <oleObjects>
    <mc:AlternateContent xmlns:mc="http://schemas.openxmlformats.org/markup-compatibility/2006">
      <mc:Choice Requires="x14">
        <oleObject progId="AutoCAD Drawing" shapeId="5122" r:id="rId4">
          <objectPr defaultSize="0" autoPict="0" r:id="rId5">
            <anchor moveWithCells="1">
              <from>
                <xdr:col>1</xdr:col>
                <xdr:colOff>0</xdr:colOff>
                <xdr:row>5</xdr:row>
                <xdr:rowOff>0</xdr:rowOff>
              </from>
              <to>
                <xdr:col>19</xdr:col>
                <xdr:colOff>0</xdr:colOff>
                <xdr:row>35</xdr:row>
                <xdr:rowOff>137160</xdr:rowOff>
              </to>
            </anchor>
          </objectPr>
        </oleObject>
      </mc:Choice>
      <mc:Fallback>
        <oleObject progId="AutoCAD Drawing" shapeId="5122" r:id="rId4"/>
      </mc:Fallback>
    </mc:AlternateContent>
    <mc:AlternateContent xmlns:mc="http://schemas.openxmlformats.org/markup-compatibility/2006">
      <mc:Choice Requires="x14">
        <oleObject progId="AutoCAD Drawing" shapeId="5123" r:id="rId6">
          <objectPr defaultSize="0" autoPict="0" r:id="rId7">
            <anchor moveWithCells="1">
              <from>
                <xdr:col>20</xdr:col>
                <xdr:colOff>0</xdr:colOff>
                <xdr:row>5</xdr:row>
                <xdr:rowOff>0</xdr:rowOff>
              </from>
              <to>
                <xdr:col>38</xdr:col>
                <xdr:colOff>22860</xdr:colOff>
                <xdr:row>35</xdr:row>
                <xdr:rowOff>137160</xdr:rowOff>
              </to>
            </anchor>
          </objectPr>
        </oleObject>
      </mc:Choice>
      <mc:Fallback>
        <oleObject progId="AutoCAD Drawing" shapeId="5123" r:id="rId6"/>
      </mc:Fallback>
    </mc:AlternateContent>
    <mc:AlternateContent xmlns:mc="http://schemas.openxmlformats.org/markup-compatibility/2006">
      <mc:Choice Requires="x14">
        <oleObject progId="AutoCAD Drawing" shapeId="5124" r:id="rId8">
          <objectPr defaultSize="0" autoPict="0" r:id="rId9">
            <anchor moveWithCells="1">
              <from>
                <xdr:col>1</xdr:col>
                <xdr:colOff>0</xdr:colOff>
                <xdr:row>39</xdr:row>
                <xdr:rowOff>0</xdr:rowOff>
              </from>
              <to>
                <xdr:col>19</xdr:col>
                <xdr:colOff>0</xdr:colOff>
                <xdr:row>69</xdr:row>
                <xdr:rowOff>137160</xdr:rowOff>
              </to>
            </anchor>
          </objectPr>
        </oleObject>
      </mc:Choice>
      <mc:Fallback>
        <oleObject progId="AutoCAD Drawing" shapeId="5124" r:id="rId8"/>
      </mc:Fallback>
    </mc:AlternateContent>
    <mc:AlternateContent xmlns:mc="http://schemas.openxmlformats.org/markup-compatibility/2006">
      <mc:Choice Requires="x14">
        <oleObject progId="AutoCAD Drawing" shapeId="5125" r:id="rId10">
          <objectPr defaultSize="0" autoPict="0" r:id="rId11">
            <anchor moveWithCells="1">
              <from>
                <xdr:col>20</xdr:col>
                <xdr:colOff>0</xdr:colOff>
                <xdr:row>39</xdr:row>
                <xdr:rowOff>0</xdr:rowOff>
              </from>
              <to>
                <xdr:col>38</xdr:col>
                <xdr:colOff>0</xdr:colOff>
                <xdr:row>69</xdr:row>
                <xdr:rowOff>137160</xdr:rowOff>
              </to>
            </anchor>
          </objectPr>
        </oleObject>
      </mc:Choice>
      <mc:Fallback>
        <oleObject progId="AutoCAD Drawing" shapeId="5125" r:id="rId10"/>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A61EB-74E4-4965-A5F5-8405F67B3615}">
  <dimension ref="B2:U64"/>
  <sheetViews>
    <sheetView zoomScale="55" zoomScaleNormal="55" workbookViewId="0">
      <selection activeCell="B3" sqref="B3:S52"/>
    </sheetView>
  </sheetViews>
  <sheetFormatPr defaultColWidth="8.69921875" defaultRowHeight="13.8" x14ac:dyDescent="0.4"/>
  <cols>
    <col min="1" max="6" width="8.69921875" style="2"/>
    <col min="7" max="7" width="10" style="2" bestFit="1" customWidth="1"/>
    <col min="8" max="15" width="8.69921875" style="2"/>
    <col min="16" max="16" width="12.8984375" style="2" bestFit="1" customWidth="1"/>
    <col min="17" max="17" width="14.5" style="2" bestFit="1" customWidth="1"/>
    <col min="18" max="19" width="8.69921875" style="2"/>
    <col min="20" max="20" width="12.3984375" style="2" hidden="1" customWidth="1"/>
    <col min="21" max="21" width="0" style="2" hidden="1" customWidth="1"/>
    <col min="22" max="16384" width="8.69921875" style="2"/>
  </cols>
  <sheetData>
    <row r="2" spans="2:19" ht="19.8" x14ac:dyDescent="0.4">
      <c r="B2" s="290" t="s">
        <v>444</v>
      </c>
      <c r="C2" s="55"/>
      <c r="D2" s="55"/>
      <c r="E2" s="55"/>
      <c r="F2" s="55"/>
      <c r="G2" s="55"/>
      <c r="H2" s="55"/>
      <c r="I2" s="55"/>
      <c r="J2" s="55"/>
      <c r="K2" s="55"/>
      <c r="L2" s="55"/>
      <c r="M2" s="55"/>
      <c r="N2" s="55"/>
      <c r="O2" s="55"/>
      <c r="P2" s="55"/>
      <c r="Q2" s="55"/>
      <c r="R2" s="55"/>
      <c r="S2" s="55"/>
    </row>
    <row r="3" spans="2:19" x14ac:dyDescent="0.4">
      <c r="B3" s="56"/>
      <c r="C3" s="57"/>
      <c r="D3" s="57"/>
      <c r="E3" s="57"/>
      <c r="F3" s="57"/>
      <c r="G3" s="57"/>
      <c r="H3" s="57"/>
      <c r="I3" s="57"/>
      <c r="J3" s="57"/>
      <c r="K3" s="57"/>
      <c r="L3" s="57"/>
      <c r="M3" s="57"/>
      <c r="N3" s="57"/>
      <c r="O3" s="57"/>
      <c r="P3" s="57"/>
      <c r="Q3" s="57"/>
      <c r="R3" s="57"/>
      <c r="S3" s="58"/>
    </row>
    <row r="4" spans="2:19" x14ac:dyDescent="0.4">
      <c r="B4" s="59"/>
      <c r="C4" s="60"/>
      <c r="D4" s="60"/>
      <c r="E4" s="60"/>
      <c r="F4" s="60"/>
      <c r="G4" s="60"/>
      <c r="H4" s="60"/>
      <c r="I4" s="60"/>
      <c r="J4" s="60"/>
      <c r="K4" s="60"/>
      <c r="L4" s="60"/>
      <c r="M4" s="60"/>
      <c r="N4" s="60"/>
      <c r="O4" s="60"/>
      <c r="P4" s="60"/>
      <c r="Q4" s="60"/>
      <c r="R4" s="60"/>
      <c r="S4" s="61"/>
    </row>
    <row r="5" spans="2:19" x14ac:dyDescent="0.4">
      <c r="B5" s="59"/>
      <c r="C5" s="39" t="s">
        <v>30</v>
      </c>
      <c r="D5" s="60"/>
      <c r="E5" s="60"/>
      <c r="F5" s="60"/>
      <c r="G5" s="60"/>
      <c r="H5" s="44" t="s">
        <v>31</v>
      </c>
      <c r="I5" s="62" t="s">
        <v>32</v>
      </c>
      <c r="J5" s="60"/>
      <c r="K5" s="40" t="s">
        <v>33</v>
      </c>
      <c r="L5" s="60"/>
      <c r="M5" s="60"/>
      <c r="N5" s="60"/>
      <c r="O5" s="60"/>
      <c r="P5" s="60"/>
      <c r="Q5" s="44"/>
      <c r="R5" s="62" t="s">
        <v>32</v>
      </c>
      <c r="S5" s="61"/>
    </row>
    <row r="6" spans="2:19" x14ac:dyDescent="0.4">
      <c r="B6" s="59"/>
      <c r="C6" s="62" t="s">
        <v>34</v>
      </c>
      <c r="D6" s="60"/>
      <c r="E6" s="60"/>
      <c r="F6" s="60"/>
      <c r="G6" s="60"/>
      <c r="H6" s="63">
        <v>6500</v>
      </c>
      <c r="I6" s="60" t="s">
        <v>35</v>
      </c>
      <c r="J6" s="60"/>
      <c r="K6" s="41" t="s">
        <v>36</v>
      </c>
      <c r="L6" s="60"/>
      <c r="M6" s="60"/>
      <c r="N6" s="60"/>
      <c r="O6" s="60"/>
      <c r="P6" s="60"/>
      <c r="Q6" s="64">
        <f>'6-2. Economic evaluation'!C28/1000</f>
        <v>3590.5680000000002</v>
      </c>
      <c r="R6" s="60" t="s">
        <v>35</v>
      </c>
      <c r="S6" s="61"/>
    </row>
    <row r="7" spans="2:19" x14ac:dyDescent="0.4">
      <c r="B7" s="59"/>
      <c r="C7" s="60"/>
      <c r="D7" s="60"/>
      <c r="E7" s="60"/>
      <c r="F7" s="60"/>
      <c r="G7" s="60"/>
      <c r="H7" s="60"/>
      <c r="I7" s="60"/>
      <c r="J7" s="60"/>
      <c r="K7" s="41"/>
      <c r="L7" s="60"/>
      <c r="M7" s="60"/>
      <c r="N7" s="60"/>
      <c r="O7" s="60"/>
      <c r="P7" s="60"/>
      <c r="Q7" s="65"/>
      <c r="R7" s="60"/>
      <c r="S7" s="61"/>
    </row>
    <row r="8" spans="2:19" x14ac:dyDescent="0.4">
      <c r="B8" s="59"/>
      <c r="C8" s="60"/>
      <c r="D8" s="60"/>
      <c r="E8" s="60"/>
      <c r="F8" s="60"/>
      <c r="G8" s="60"/>
      <c r="H8" s="60"/>
      <c r="I8" s="60"/>
      <c r="J8" s="60"/>
      <c r="K8" s="60"/>
      <c r="L8" s="60"/>
      <c r="M8" s="60"/>
      <c r="N8" s="60"/>
      <c r="O8" s="60"/>
      <c r="P8" s="60"/>
      <c r="Q8" s="60"/>
      <c r="R8" s="60"/>
      <c r="S8" s="61"/>
    </row>
    <row r="9" spans="2:19" x14ac:dyDescent="0.4">
      <c r="B9" s="59"/>
      <c r="C9" s="62" t="s">
        <v>37</v>
      </c>
      <c r="D9" s="60"/>
      <c r="E9" s="60"/>
      <c r="F9" s="60"/>
      <c r="G9" s="60"/>
      <c r="H9" s="60"/>
      <c r="I9" s="60"/>
      <c r="J9" s="60"/>
      <c r="K9" s="62" t="s">
        <v>38</v>
      </c>
      <c r="L9" s="60"/>
      <c r="M9" s="60"/>
      <c r="N9" s="60"/>
      <c r="O9" s="60"/>
      <c r="P9" s="60"/>
      <c r="Q9" s="60"/>
      <c r="R9" s="60"/>
      <c r="S9" s="61"/>
    </row>
    <row r="10" spans="2:19" ht="16.2" x14ac:dyDescent="0.4">
      <c r="B10" s="59"/>
      <c r="C10" s="66" t="s">
        <v>354</v>
      </c>
      <c r="D10" s="60"/>
      <c r="E10" s="60"/>
      <c r="F10" s="60"/>
      <c r="G10" s="60"/>
      <c r="H10" s="67">
        <v>0.74</v>
      </c>
      <c r="I10" s="60"/>
      <c r="J10" s="68"/>
      <c r="K10" s="69" t="s">
        <v>39</v>
      </c>
      <c r="L10" s="60"/>
      <c r="M10" s="60"/>
      <c r="N10" s="60"/>
      <c r="O10" s="60"/>
      <c r="P10" s="60"/>
      <c r="Q10" s="287">
        <f>'6-2. Economic evaluation'!D7</f>
        <v>98437022.558637634</v>
      </c>
      <c r="R10" s="60" t="s">
        <v>40</v>
      </c>
      <c r="S10" s="61"/>
    </row>
    <row r="11" spans="2:19" ht="16.2" x14ac:dyDescent="0.4">
      <c r="B11" s="59"/>
      <c r="C11" s="66" t="s">
        <v>41</v>
      </c>
      <c r="D11" s="60"/>
      <c r="E11" s="60"/>
      <c r="F11" s="60"/>
      <c r="G11" s="60"/>
      <c r="H11" s="67">
        <v>0.9</v>
      </c>
      <c r="I11" s="60"/>
      <c r="J11" s="60"/>
      <c r="K11" s="69" t="s">
        <v>42</v>
      </c>
      <c r="L11" s="60"/>
      <c r="M11" s="60"/>
      <c r="N11" s="60"/>
      <c r="O11" s="60"/>
      <c r="P11" s="60"/>
      <c r="Q11" s="287">
        <f>'6-2. Economic evaluation'!D8</f>
        <v>105793473.57201092</v>
      </c>
      <c r="R11" s="60" t="s">
        <v>40</v>
      </c>
      <c r="S11" s="61"/>
    </row>
    <row r="12" spans="2:19" ht="16.2" x14ac:dyDescent="0.4">
      <c r="B12" s="59"/>
      <c r="C12" s="66" t="s">
        <v>355</v>
      </c>
      <c r="D12" s="60"/>
      <c r="E12" s="60"/>
      <c r="F12" s="60"/>
      <c r="G12" s="60"/>
      <c r="H12" s="67">
        <v>0.8</v>
      </c>
      <c r="I12" s="60"/>
      <c r="J12" s="68"/>
      <c r="K12" s="69" t="s">
        <v>43</v>
      </c>
      <c r="L12" s="60"/>
      <c r="M12" s="60"/>
      <c r="N12" s="60"/>
      <c r="O12" s="60"/>
      <c r="P12" s="60"/>
      <c r="Q12" s="70">
        <f>'6-2. Economic evaluation'!D7/'6-2. Economic evaluation'!I34*100</f>
        <v>133.81047787810863</v>
      </c>
      <c r="R12" s="60" t="s">
        <v>44</v>
      </c>
      <c r="S12" s="61"/>
    </row>
    <row r="13" spans="2:19" ht="17.399999999999999" x14ac:dyDescent="0.4">
      <c r="B13" s="59"/>
      <c r="C13" s="66" t="s">
        <v>45</v>
      </c>
      <c r="D13" s="60"/>
      <c r="E13" s="60"/>
      <c r="F13" s="60"/>
      <c r="G13" s="60"/>
      <c r="H13" s="67">
        <v>0.9</v>
      </c>
      <c r="I13" s="60"/>
      <c r="J13" s="60"/>
      <c r="K13" s="69" t="s">
        <v>46</v>
      </c>
      <c r="L13" s="60"/>
      <c r="M13" s="60"/>
      <c r="N13" s="60"/>
      <c r="O13" s="60"/>
      <c r="P13" s="60"/>
      <c r="Q13" s="70">
        <f>ROUND(('6-2. Economic evaluation'!I32)/'6-2. Economic evaluation'!D8,2)</f>
        <v>0.59</v>
      </c>
      <c r="R13" s="60" t="s">
        <v>356</v>
      </c>
      <c r="S13" s="61"/>
    </row>
    <row r="14" spans="2:19" ht="16.2" x14ac:dyDescent="0.4">
      <c r="B14" s="59"/>
      <c r="C14" s="66" t="s">
        <v>47</v>
      </c>
      <c r="D14" s="60"/>
      <c r="E14" s="60"/>
      <c r="F14" s="60"/>
      <c r="G14" s="60"/>
      <c r="H14" s="67">
        <v>0.75</v>
      </c>
      <c r="I14" s="60"/>
      <c r="J14" s="60"/>
      <c r="K14" s="69" t="s">
        <v>447</v>
      </c>
      <c r="L14" s="60"/>
      <c r="M14" s="60"/>
      <c r="N14" s="60"/>
      <c r="O14" s="60"/>
      <c r="P14" s="60"/>
      <c r="Q14" s="288">
        <f>'6-2. Economic evaluation'!D11</f>
        <v>99637113.482723862</v>
      </c>
      <c r="R14" s="60" t="s">
        <v>40</v>
      </c>
      <c r="S14" s="61"/>
    </row>
    <row r="15" spans="2:19" ht="16.2" x14ac:dyDescent="0.4">
      <c r="B15" s="59"/>
      <c r="C15" s="66" t="s">
        <v>357</v>
      </c>
      <c r="D15" s="60"/>
      <c r="E15" s="60"/>
      <c r="F15" s="60"/>
      <c r="G15" s="60"/>
      <c r="H15" s="67">
        <v>0.75</v>
      </c>
      <c r="I15" s="60"/>
      <c r="J15" s="68"/>
      <c r="K15" s="69" t="s">
        <v>48</v>
      </c>
      <c r="L15" s="60"/>
      <c r="M15" s="60"/>
      <c r="N15" s="60"/>
      <c r="O15" s="60"/>
      <c r="P15" s="60"/>
      <c r="Q15" s="71">
        <f>'6-2. Economic evaluation'!D12*100</f>
        <v>5.8376275416655137</v>
      </c>
      <c r="R15" s="60" t="s">
        <v>44</v>
      </c>
      <c r="S15" s="61"/>
    </row>
    <row r="16" spans="2:19" ht="16.2" x14ac:dyDescent="0.4">
      <c r="B16" s="59"/>
      <c r="C16" s="66" t="s">
        <v>358</v>
      </c>
      <c r="D16" s="60"/>
      <c r="E16" s="60"/>
      <c r="F16" s="60"/>
      <c r="G16" s="60"/>
      <c r="H16" s="67">
        <v>0.98</v>
      </c>
      <c r="I16" s="60"/>
      <c r="J16" s="60"/>
      <c r="K16" s="60"/>
      <c r="L16" s="60"/>
      <c r="M16" s="60"/>
      <c r="N16" s="60"/>
      <c r="O16" s="60"/>
      <c r="P16" s="60"/>
      <c r="Q16" s="60"/>
      <c r="R16" s="60"/>
      <c r="S16" s="61"/>
    </row>
    <row r="17" spans="2:19" ht="16.2" x14ac:dyDescent="0.4">
      <c r="B17" s="59"/>
      <c r="C17" s="66" t="s">
        <v>440</v>
      </c>
      <c r="D17" s="60"/>
      <c r="E17" s="60"/>
      <c r="F17" s="60"/>
      <c r="G17" s="60"/>
      <c r="H17" s="67">
        <v>0.9</v>
      </c>
      <c r="I17" s="60"/>
      <c r="J17" s="60"/>
      <c r="K17" s="60"/>
      <c r="L17" s="60"/>
      <c r="M17" s="60"/>
      <c r="N17" s="60"/>
      <c r="O17" s="60"/>
      <c r="P17" s="60"/>
      <c r="Q17" s="60"/>
      <c r="R17" s="60"/>
      <c r="S17" s="61"/>
    </row>
    <row r="18" spans="2:19" x14ac:dyDescent="0.4">
      <c r="B18" s="59"/>
      <c r="C18" s="66" t="s">
        <v>359</v>
      </c>
      <c r="D18" s="60"/>
      <c r="E18" s="60"/>
      <c r="F18" s="60"/>
      <c r="G18" s="60"/>
      <c r="H18" s="67">
        <v>0.8</v>
      </c>
      <c r="I18" s="60"/>
      <c r="J18" s="60"/>
      <c r="K18" s="42" t="s">
        <v>49</v>
      </c>
      <c r="L18" s="60"/>
      <c r="M18" s="60"/>
      <c r="N18" s="60"/>
      <c r="O18" s="60"/>
      <c r="P18" s="60"/>
      <c r="Q18" s="60"/>
      <c r="R18" s="60"/>
      <c r="S18" s="61"/>
    </row>
    <row r="19" spans="2:19" x14ac:dyDescent="0.4">
      <c r="B19" s="59"/>
      <c r="C19" s="72" t="s">
        <v>360</v>
      </c>
      <c r="D19" s="60"/>
      <c r="E19" s="60"/>
      <c r="F19" s="60"/>
      <c r="G19" s="60"/>
      <c r="H19" s="67">
        <v>0.8</v>
      </c>
      <c r="I19" s="60"/>
      <c r="J19" s="60"/>
      <c r="K19" s="69" t="s">
        <v>50</v>
      </c>
      <c r="L19" s="60"/>
      <c r="M19" s="60"/>
      <c r="N19" s="60"/>
      <c r="O19" s="60"/>
      <c r="P19" s="60"/>
      <c r="Q19" s="287">
        <f>'7. Environmental evaluation'!H16</f>
        <v>33954.300000000003</v>
      </c>
      <c r="R19" s="60" t="s">
        <v>35</v>
      </c>
      <c r="S19" s="61"/>
    </row>
    <row r="20" spans="2:19" ht="16.2" x14ac:dyDescent="0.4">
      <c r="B20" s="59"/>
      <c r="C20" s="72" t="s">
        <v>441</v>
      </c>
      <c r="D20" s="60"/>
      <c r="E20" s="60"/>
      <c r="F20" s="60"/>
      <c r="G20" s="60"/>
      <c r="H20" s="67">
        <v>0.8</v>
      </c>
      <c r="I20" s="60"/>
      <c r="J20" s="60"/>
      <c r="K20" s="69" t="s">
        <v>51</v>
      </c>
      <c r="L20" s="73"/>
      <c r="M20" s="60"/>
      <c r="N20" s="60"/>
      <c r="O20" s="60"/>
      <c r="P20" s="60"/>
      <c r="Q20" s="286">
        <f>'7. Environmental evaluation'!C4*100</f>
        <v>49.28738653632891</v>
      </c>
      <c r="R20" s="60" t="s">
        <v>44</v>
      </c>
      <c r="S20" s="61"/>
    </row>
    <row r="21" spans="2:19" x14ac:dyDescent="0.4">
      <c r="B21" s="59"/>
      <c r="C21" s="60"/>
      <c r="D21" s="60"/>
      <c r="E21" s="60"/>
      <c r="F21" s="60"/>
      <c r="G21" s="60"/>
      <c r="H21" s="68"/>
      <c r="I21" s="60"/>
      <c r="J21" s="60"/>
      <c r="K21" s="74" t="s">
        <v>361</v>
      </c>
      <c r="L21" s="73"/>
      <c r="M21" s="60"/>
      <c r="N21" s="60"/>
      <c r="O21" s="60"/>
      <c r="P21" s="60"/>
      <c r="Q21" s="71">
        <f>'7. Environmental evaluation'!C20</f>
        <v>2.6095219663885469</v>
      </c>
      <c r="R21" s="60" t="s">
        <v>35</v>
      </c>
      <c r="S21" s="61"/>
    </row>
    <row r="22" spans="2:19" x14ac:dyDescent="0.4">
      <c r="B22" s="59"/>
      <c r="C22" s="60"/>
      <c r="D22" s="60"/>
      <c r="E22" s="60"/>
      <c r="F22" s="60"/>
      <c r="G22" s="60"/>
      <c r="H22" s="60"/>
      <c r="I22" s="60"/>
      <c r="J22" s="60"/>
      <c r="K22" s="60"/>
      <c r="L22" s="60"/>
      <c r="M22" s="60"/>
      <c r="N22" s="60"/>
      <c r="O22" s="60"/>
      <c r="P22" s="60"/>
      <c r="Q22" s="60"/>
      <c r="R22" s="60"/>
      <c r="S22" s="61"/>
    </row>
    <row r="23" spans="2:19" x14ac:dyDescent="0.4">
      <c r="B23" s="59"/>
      <c r="C23" s="43" t="s">
        <v>52</v>
      </c>
      <c r="D23" s="60"/>
      <c r="E23" s="60"/>
      <c r="F23" s="60"/>
      <c r="G23" s="60"/>
      <c r="H23" s="60"/>
      <c r="I23" s="60"/>
      <c r="J23" s="60"/>
      <c r="K23" s="60"/>
      <c r="L23" s="60"/>
      <c r="M23" s="60"/>
      <c r="N23" s="60"/>
      <c r="O23" s="60"/>
      <c r="P23" s="60"/>
      <c r="Q23" s="60"/>
      <c r="R23" s="60"/>
      <c r="S23" s="61"/>
    </row>
    <row r="24" spans="2:19" x14ac:dyDescent="0.4">
      <c r="B24" s="59"/>
      <c r="C24" s="72" t="s">
        <v>362</v>
      </c>
      <c r="D24" s="60"/>
      <c r="E24" s="60"/>
      <c r="F24" s="60"/>
      <c r="G24" s="60"/>
      <c r="H24" s="67">
        <f>0.14</f>
        <v>0.14000000000000001</v>
      </c>
      <c r="I24" s="60" t="s">
        <v>54</v>
      </c>
      <c r="J24" s="60"/>
      <c r="K24" s="60"/>
      <c r="L24" s="60"/>
      <c r="M24" s="60"/>
      <c r="N24" s="60"/>
      <c r="O24" s="60"/>
      <c r="P24" s="60"/>
      <c r="Q24" s="60"/>
      <c r="R24" s="60"/>
      <c r="S24" s="61"/>
    </row>
    <row r="25" spans="2:19" x14ac:dyDescent="0.4">
      <c r="B25" s="59"/>
      <c r="C25" s="72" t="s">
        <v>406</v>
      </c>
      <c r="D25" s="60"/>
      <c r="E25" s="60"/>
      <c r="F25" s="60"/>
      <c r="G25" s="60"/>
      <c r="H25" s="67">
        <f>0.78</f>
        <v>0.78</v>
      </c>
      <c r="I25" s="60" t="s">
        <v>54</v>
      </c>
      <c r="J25" s="60"/>
      <c r="K25" s="60"/>
      <c r="L25" s="60"/>
      <c r="M25" s="60"/>
      <c r="N25" s="60"/>
      <c r="O25" s="60"/>
      <c r="P25" s="60"/>
      <c r="Q25" s="60"/>
      <c r="R25" s="60"/>
      <c r="S25" s="61"/>
    </row>
    <row r="26" spans="2:19" x14ac:dyDescent="0.4">
      <c r="B26" s="59"/>
      <c r="C26" s="72" t="s">
        <v>364</v>
      </c>
      <c r="D26" s="60"/>
      <c r="E26" s="60"/>
      <c r="F26" s="60"/>
      <c r="G26" s="60"/>
      <c r="H26" s="67">
        <f>0.12</f>
        <v>0.12</v>
      </c>
      <c r="I26" s="60" t="s">
        <v>54</v>
      </c>
      <c r="J26" s="60"/>
      <c r="K26" s="60"/>
      <c r="L26" s="60"/>
      <c r="M26" s="60"/>
      <c r="N26" s="60"/>
      <c r="O26" s="60"/>
      <c r="P26" s="60"/>
      <c r="Q26" s="60"/>
      <c r="R26" s="60"/>
      <c r="S26" s="61"/>
    </row>
    <row r="27" spans="2:19" x14ac:dyDescent="0.4">
      <c r="B27" s="59"/>
      <c r="C27" s="60" t="s">
        <v>55</v>
      </c>
      <c r="D27" s="60"/>
      <c r="E27" s="60"/>
      <c r="F27" s="60"/>
      <c r="G27" s="60"/>
      <c r="H27" s="67">
        <v>0.17899999999999999</v>
      </c>
      <c r="I27" s="60" t="s">
        <v>54</v>
      </c>
      <c r="J27" s="60"/>
      <c r="K27" s="60"/>
      <c r="L27" s="60"/>
      <c r="M27" s="60"/>
      <c r="N27" s="60"/>
      <c r="O27" s="60"/>
      <c r="P27" s="60"/>
      <c r="Q27" s="60"/>
      <c r="R27" s="60"/>
      <c r="S27" s="61"/>
    </row>
    <row r="28" spans="2:19" x14ac:dyDescent="0.4">
      <c r="B28" s="59"/>
      <c r="C28" s="60" t="s">
        <v>56</v>
      </c>
      <c r="D28" s="60"/>
      <c r="E28" s="60"/>
      <c r="F28" s="60"/>
      <c r="G28" s="60"/>
      <c r="H28" s="67">
        <f>0.23</f>
        <v>0.23</v>
      </c>
      <c r="I28" s="60" t="s">
        <v>54</v>
      </c>
      <c r="J28" s="60"/>
      <c r="K28" s="60"/>
      <c r="L28" s="60"/>
      <c r="M28" s="60"/>
      <c r="N28" s="60"/>
      <c r="O28" s="60"/>
      <c r="P28" s="60"/>
      <c r="Q28" s="60"/>
      <c r="R28" s="60"/>
      <c r="S28" s="61"/>
    </row>
    <row r="29" spans="2:19" x14ac:dyDescent="0.4">
      <c r="B29" s="59"/>
      <c r="C29" s="72" t="s">
        <v>365</v>
      </c>
      <c r="D29" s="60"/>
      <c r="E29" s="60"/>
      <c r="F29" s="60"/>
      <c r="G29" s="60"/>
      <c r="H29" s="67">
        <f>0.26</f>
        <v>0.26</v>
      </c>
      <c r="I29" s="60" t="s">
        <v>54</v>
      </c>
      <c r="J29" s="60"/>
      <c r="K29" s="60"/>
      <c r="L29" s="60"/>
      <c r="M29" s="60"/>
      <c r="N29" s="60"/>
      <c r="O29" s="60"/>
      <c r="P29" s="60"/>
      <c r="Q29" s="60"/>
      <c r="R29" s="60"/>
      <c r="S29" s="61"/>
    </row>
    <row r="30" spans="2:19" x14ac:dyDescent="0.4">
      <c r="B30" s="59"/>
      <c r="C30" s="60"/>
      <c r="D30" s="60"/>
      <c r="E30" s="60"/>
      <c r="F30" s="60"/>
      <c r="G30" s="60"/>
      <c r="H30" s="60"/>
      <c r="I30" s="60"/>
      <c r="J30" s="60"/>
      <c r="K30" s="60"/>
      <c r="L30" s="60"/>
      <c r="M30" s="60"/>
      <c r="N30" s="60"/>
      <c r="O30" s="60"/>
      <c r="P30" s="60"/>
      <c r="Q30" s="60"/>
      <c r="R30" s="60"/>
      <c r="S30" s="61"/>
    </row>
    <row r="31" spans="2:19" x14ac:dyDescent="0.4">
      <c r="B31" s="59"/>
      <c r="C31" s="60"/>
      <c r="D31" s="60"/>
      <c r="E31" s="60"/>
      <c r="F31" s="60"/>
      <c r="G31" s="60"/>
      <c r="H31" s="60"/>
      <c r="I31" s="60"/>
      <c r="J31" s="60"/>
      <c r="K31" s="60"/>
      <c r="L31" s="60"/>
      <c r="M31" s="60"/>
      <c r="N31" s="60"/>
      <c r="O31" s="60"/>
      <c r="P31" s="60"/>
      <c r="Q31" s="60"/>
      <c r="R31" s="60"/>
      <c r="S31" s="61"/>
    </row>
    <row r="32" spans="2:19" x14ac:dyDescent="0.4">
      <c r="B32" s="59"/>
      <c r="C32" s="62" t="s">
        <v>57</v>
      </c>
      <c r="D32" s="60"/>
      <c r="E32" s="60"/>
      <c r="F32" s="60"/>
      <c r="G32" s="60"/>
      <c r="H32" s="60"/>
      <c r="I32" s="60"/>
      <c r="J32" s="60"/>
      <c r="K32" s="60"/>
      <c r="L32" s="60"/>
      <c r="M32" s="60"/>
      <c r="N32" s="60"/>
      <c r="O32" s="60"/>
      <c r="P32" s="60"/>
      <c r="Q32" s="60"/>
      <c r="R32" s="60"/>
      <c r="S32" s="61"/>
    </row>
    <row r="33" spans="2:21" x14ac:dyDescent="0.4">
      <c r="B33" s="59"/>
      <c r="C33" s="72" t="s">
        <v>366</v>
      </c>
      <c r="D33" s="60"/>
      <c r="E33" s="60"/>
      <c r="F33" s="60"/>
      <c r="G33" s="60"/>
      <c r="H33" s="67">
        <v>2.8</v>
      </c>
      <c r="I33" s="60" t="s">
        <v>54</v>
      </c>
      <c r="J33" s="60"/>
      <c r="K33" s="60"/>
      <c r="L33" s="60"/>
      <c r="M33" s="60"/>
      <c r="N33" s="60"/>
      <c r="O33" s="60"/>
      <c r="P33" s="60"/>
      <c r="Q33" s="60"/>
      <c r="R33" s="60"/>
      <c r="S33" s="61"/>
    </row>
    <row r="34" spans="2:21" x14ac:dyDescent="0.4">
      <c r="B34" s="59"/>
      <c r="C34" s="72" t="s">
        <v>367</v>
      </c>
      <c r="D34" s="60"/>
      <c r="E34" s="60"/>
      <c r="F34" s="60"/>
      <c r="G34" s="60"/>
      <c r="H34" s="67">
        <v>72.994</v>
      </c>
      <c r="I34" s="60" t="s">
        <v>54</v>
      </c>
      <c r="J34" s="60"/>
      <c r="K34" s="60"/>
      <c r="L34" s="60"/>
      <c r="M34" s="60"/>
      <c r="N34" s="60"/>
      <c r="O34" s="60"/>
      <c r="P34" s="60"/>
      <c r="Q34" s="60"/>
      <c r="R34" s="60"/>
      <c r="S34" s="61"/>
    </row>
    <row r="35" spans="2:21" x14ac:dyDescent="0.4">
      <c r="B35" s="59"/>
      <c r="C35" s="60"/>
      <c r="D35" s="60"/>
      <c r="E35" s="60"/>
      <c r="F35" s="60"/>
      <c r="G35" s="60"/>
      <c r="H35" s="60"/>
      <c r="I35" s="60"/>
      <c r="J35" s="60"/>
      <c r="K35" s="60"/>
      <c r="L35" s="60"/>
      <c r="M35" s="60"/>
      <c r="N35" s="60"/>
      <c r="O35" s="60"/>
      <c r="P35" s="60"/>
      <c r="Q35" s="60"/>
      <c r="R35" s="60"/>
      <c r="S35" s="61"/>
    </row>
    <row r="36" spans="2:21" x14ac:dyDescent="0.4">
      <c r="B36" s="59"/>
      <c r="C36" s="60"/>
      <c r="D36" s="60"/>
      <c r="E36" s="60"/>
      <c r="F36" s="60"/>
      <c r="G36" s="60"/>
      <c r="H36" s="60"/>
      <c r="I36" s="60"/>
      <c r="J36" s="60"/>
      <c r="K36" s="60"/>
      <c r="L36" s="60"/>
      <c r="M36" s="60"/>
      <c r="N36" s="60"/>
      <c r="O36" s="60"/>
      <c r="P36" s="60"/>
      <c r="Q36" s="60"/>
      <c r="R36" s="60"/>
      <c r="S36" s="61"/>
    </row>
    <row r="37" spans="2:21" x14ac:dyDescent="0.4">
      <c r="B37" s="59"/>
      <c r="C37" s="62" t="s">
        <v>58</v>
      </c>
      <c r="D37" s="60"/>
      <c r="E37" s="60"/>
      <c r="F37" s="60"/>
      <c r="G37" s="60"/>
      <c r="H37" s="60"/>
      <c r="I37" s="60"/>
      <c r="J37" s="60"/>
      <c r="K37" s="60"/>
      <c r="L37" s="60"/>
      <c r="M37" s="60"/>
      <c r="N37" s="60"/>
      <c r="O37" s="60"/>
      <c r="P37" s="60"/>
      <c r="Q37" s="60"/>
      <c r="R37" s="60"/>
      <c r="S37" s="61"/>
    </row>
    <row r="38" spans="2:21" x14ac:dyDescent="0.4">
      <c r="B38" s="59"/>
      <c r="C38" s="60" t="s">
        <v>59</v>
      </c>
      <c r="D38" s="60"/>
      <c r="E38" s="60"/>
      <c r="F38" s="60"/>
      <c r="G38" s="60"/>
      <c r="H38" s="67">
        <f>0.07</f>
        <v>7.0000000000000007E-2</v>
      </c>
      <c r="I38" s="60" t="s">
        <v>60</v>
      </c>
      <c r="J38" s="60"/>
      <c r="K38" s="60"/>
      <c r="L38" s="60"/>
      <c r="M38" s="60"/>
      <c r="N38" s="60"/>
      <c r="O38" s="60"/>
      <c r="P38" s="60"/>
      <c r="Q38" s="60"/>
      <c r="R38" s="60"/>
      <c r="S38" s="61"/>
    </row>
    <row r="39" spans="2:21" x14ac:dyDescent="0.4">
      <c r="B39" s="59"/>
      <c r="C39" s="60"/>
      <c r="D39" s="60"/>
      <c r="E39" s="60"/>
      <c r="F39" s="60"/>
      <c r="G39" s="60"/>
      <c r="H39" s="60"/>
      <c r="I39" s="60"/>
      <c r="J39" s="60"/>
      <c r="K39" s="60"/>
      <c r="L39" s="60"/>
      <c r="M39" s="60"/>
      <c r="N39" s="60"/>
      <c r="O39" s="60"/>
      <c r="P39" s="60"/>
      <c r="Q39" s="60"/>
      <c r="R39" s="60"/>
      <c r="S39" s="61"/>
    </row>
    <row r="40" spans="2:21" x14ac:dyDescent="0.4">
      <c r="B40" s="59"/>
      <c r="C40" s="60"/>
      <c r="D40" s="60"/>
      <c r="E40" s="60"/>
      <c r="F40" s="60"/>
      <c r="G40" s="60"/>
      <c r="H40" s="60"/>
      <c r="I40" s="60"/>
      <c r="J40" s="60"/>
      <c r="K40" s="60"/>
      <c r="L40" s="60"/>
      <c r="M40" s="60"/>
      <c r="N40" s="60"/>
      <c r="O40" s="60"/>
      <c r="P40" s="60"/>
      <c r="Q40" s="60"/>
      <c r="R40" s="60"/>
      <c r="S40" s="61"/>
    </row>
    <row r="41" spans="2:21" x14ac:dyDescent="0.4">
      <c r="B41" s="59"/>
      <c r="C41" s="62" t="s">
        <v>61</v>
      </c>
      <c r="D41" s="60"/>
      <c r="E41" s="60"/>
      <c r="F41" s="60"/>
      <c r="G41" s="60"/>
      <c r="H41" s="60"/>
      <c r="I41" s="60"/>
      <c r="J41" s="60"/>
      <c r="K41" s="60"/>
      <c r="L41" s="60"/>
      <c r="M41" s="60"/>
      <c r="N41" s="60"/>
      <c r="O41" s="60"/>
      <c r="P41" s="60"/>
      <c r="Q41" s="60"/>
      <c r="R41" s="60"/>
      <c r="S41" s="61"/>
    </row>
    <row r="42" spans="2:21" x14ac:dyDescent="0.4">
      <c r="B42" s="59"/>
      <c r="C42" s="60" t="s">
        <v>62</v>
      </c>
      <c r="D42" s="60"/>
      <c r="E42" s="60"/>
      <c r="F42" s="60"/>
      <c r="G42" s="60"/>
      <c r="H42" s="67">
        <v>10</v>
      </c>
      <c r="I42" s="60" t="s">
        <v>63</v>
      </c>
      <c r="J42" s="60"/>
      <c r="K42" s="60"/>
      <c r="L42" s="60"/>
      <c r="M42" s="60"/>
      <c r="N42" s="60"/>
      <c r="O42" s="60"/>
      <c r="P42" s="60"/>
      <c r="Q42" s="60"/>
      <c r="R42" s="60"/>
      <c r="S42" s="61"/>
    </row>
    <row r="43" spans="2:21" x14ac:dyDescent="0.4">
      <c r="B43" s="59"/>
      <c r="C43" s="60" t="s">
        <v>64</v>
      </c>
      <c r="D43" s="60"/>
      <c r="E43" s="60"/>
      <c r="F43" s="60"/>
      <c r="G43" s="60"/>
      <c r="H43" s="67">
        <v>330</v>
      </c>
      <c r="I43" s="60" t="s">
        <v>65</v>
      </c>
      <c r="J43" s="60"/>
      <c r="K43" s="60"/>
      <c r="L43" s="60"/>
      <c r="M43" s="60"/>
      <c r="N43" s="60"/>
      <c r="O43" s="60"/>
      <c r="P43" s="60"/>
      <c r="Q43" s="60"/>
      <c r="R43" s="60"/>
      <c r="S43" s="61"/>
    </row>
    <row r="44" spans="2:21" x14ac:dyDescent="0.4">
      <c r="B44" s="59"/>
      <c r="C44" s="60" t="s">
        <v>66</v>
      </c>
      <c r="D44" s="60"/>
      <c r="E44" s="60"/>
      <c r="F44" s="60"/>
      <c r="G44" s="60"/>
      <c r="H44" s="67">
        <v>0.35</v>
      </c>
      <c r="I44" s="60"/>
      <c r="J44" s="60"/>
      <c r="K44" s="60"/>
      <c r="L44" s="60"/>
      <c r="M44" s="60"/>
      <c r="N44" s="60"/>
      <c r="O44" s="60"/>
      <c r="P44" s="60"/>
      <c r="Q44" s="60"/>
      <c r="R44" s="60"/>
      <c r="S44" s="61"/>
    </row>
    <row r="45" spans="2:21" x14ac:dyDescent="0.4">
      <c r="B45" s="59"/>
      <c r="C45" s="60" t="s">
        <v>67</v>
      </c>
      <c r="D45" s="60"/>
      <c r="E45" s="60"/>
      <c r="F45" s="60"/>
      <c r="G45" s="60"/>
      <c r="H45" s="67">
        <v>10</v>
      </c>
      <c r="I45" s="60" t="s">
        <v>63</v>
      </c>
      <c r="J45" s="60"/>
      <c r="K45" s="60"/>
      <c r="L45" s="60"/>
      <c r="M45" s="60"/>
      <c r="N45" s="60"/>
      <c r="O45" s="60"/>
      <c r="P45" s="60"/>
      <c r="Q45" s="60"/>
      <c r="R45" s="60"/>
      <c r="S45" s="61"/>
    </row>
    <row r="46" spans="2:21" x14ac:dyDescent="0.4">
      <c r="B46" s="59"/>
      <c r="C46" s="60" t="s">
        <v>68</v>
      </c>
      <c r="D46" s="60"/>
      <c r="E46" s="60"/>
      <c r="F46" s="60"/>
      <c r="G46" s="60"/>
      <c r="H46" s="67">
        <v>0.3</v>
      </c>
      <c r="I46" s="60"/>
      <c r="J46" s="60"/>
      <c r="K46" s="60"/>
      <c r="L46" s="60"/>
      <c r="M46" s="60"/>
      <c r="N46" s="60"/>
      <c r="O46" s="60"/>
      <c r="P46" s="60"/>
      <c r="Q46" s="60"/>
      <c r="R46" s="60"/>
      <c r="S46" s="61"/>
    </row>
    <row r="47" spans="2:21" x14ac:dyDescent="0.4">
      <c r="B47" s="59"/>
      <c r="C47" s="60"/>
      <c r="D47" s="60"/>
      <c r="E47" s="60"/>
      <c r="F47" s="60"/>
      <c r="G47" s="60"/>
      <c r="H47" s="60"/>
      <c r="I47" s="60"/>
      <c r="J47" s="60"/>
      <c r="K47" s="60"/>
      <c r="L47" s="60"/>
      <c r="M47" s="60"/>
      <c r="N47" s="60"/>
      <c r="O47" s="60"/>
      <c r="P47" s="60"/>
      <c r="Q47" s="60"/>
      <c r="R47" s="60"/>
      <c r="S47" s="61"/>
    </row>
    <row r="48" spans="2:21" x14ac:dyDescent="0.4">
      <c r="B48" s="59"/>
      <c r="C48" s="43" t="s">
        <v>368</v>
      </c>
      <c r="D48" s="60"/>
      <c r="E48" s="60"/>
      <c r="F48" s="60"/>
      <c r="G48" s="60"/>
      <c r="H48" s="60"/>
      <c r="I48" s="60"/>
      <c r="J48" s="60"/>
      <c r="K48" s="60"/>
      <c r="L48" s="60"/>
      <c r="M48" s="60"/>
      <c r="N48" s="60"/>
      <c r="O48" s="60"/>
      <c r="P48" s="60"/>
      <c r="Q48" s="60"/>
      <c r="R48" s="60"/>
      <c r="S48" s="61"/>
      <c r="T48" s="2" t="s">
        <v>69</v>
      </c>
      <c r="U48" s="2" t="s">
        <v>70</v>
      </c>
    </row>
    <row r="49" spans="2:21" x14ac:dyDescent="0.4">
      <c r="B49" s="59"/>
      <c r="C49" s="60" t="s">
        <v>71</v>
      </c>
      <c r="D49" s="60"/>
      <c r="E49" s="60"/>
      <c r="F49" s="60"/>
      <c r="G49" s="60"/>
      <c r="H49" s="75" t="s">
        <v>72</v>
      </c>
      <c r="I49" s="60"/>
      <c r="J49" s="60"/>
      <c r="K49" s="60"/>
      <c r="L49" s="60"/>
      <c r="M49" s="60"/>
      <c r="N49" s="60"/>
      <c r="O49" s="60"/>
      <c r="P49" s="60"/>
      <c r="Q49" s="60"/>
      <c r="R49" s="60"/>
      <c r="S49" s="61"/>
      <c r="T49" s="2" t="s">
        <v>73</v>
      </c>
      <c r="U49" s="2">
        <f>161.65</f>
        <v>161.65</v>
      </c>
    </row>
    <row r="50" spans="2:21" x14ac:dyDescent="0.4">
      <c r="B50" s="59"/>
      <c r="C50" s="60" t="s">
        <v>369</v>
      </c>
      <c r="D50" s="60"/>
      <c r="E50" s="60"/>
      <c r="F50" s="60"/>
      <c r="G50" s="60"/>
      <c r="H50" s="67">
        <f>VLOOKUP(H49,T49:U64,2,0)</f>
        <v>40.159999999999997</v>
      </c>
      <c r="I50" s="60" t="s">
        <v>74</v>
      </c>
      <c r="J50" s="60"/>
      <c r="K50" s="60"/>
      <c r="L50" s="60"/>
      <c r="M50" s="60"/>
      <c r="N50" s="60"/>
      <c r="O50" s="60"/>
      <c r="P50" s="60"/>
      <c r="Q50" s="60"/>
      <c r="R50" s="60"/>
      <c r="S50" s="61"/>
      <c r="T50" s="2" t="s">
        <v>75</v>
      </c>
      <c r="U50" s="2">
        <f>304.59</f>
        <v>304.58999999999997</v>
      </c>
    </row>
    <row r="51" spans="2:21" x14ac:dyDescent="0.4">
      <c r="B51" s="59"/>
      <c r="C51" s="60"/>
      <c r="D51" s="60"/>
      <c r="E51" s="60"/>
      <c r="F51" s="60"/>
      <c r="G51" s="60"/>
      <c r="H51" s="60"/>
      <c r="I51" s="60"/>
      <c r="J51" s="60"/>
      <c r="K51" s="60"/>
      <c r="L51" s="60"/>
      <c r="M51" s="60"/>
      <c r="N51" s="60"/>
      <c r="O51" s="60"/>
      <c r="P51" s="60"/>
      <c r="Q51" s="60"/>
      <c r="R51" s="60"/>
      <c r="S51" s="61"/>
      <c r="T51" s="2" t="s">
        <v>72</v>
      </c>
      <c r="U51" s="2">
        <f>40.16</f>
        <v>40.159999999999997</v>
      </c>
    </row>
    <row r="52" spans="2:21" x14ac:dyDescent="0.4">
      <c r="B52" s="76"/>
      <c r="C52" s="77"/>
      <c r="D52" s="77"/>
      <c r="E52" s="77"/>
      <c r="F52" s="77"/>
      <c r="G52" s="77"/>
      <c r="H52" s="77"/>
      <c r="I52" s="77"/>
      <c r="J52" s="77"/>
      <c r="K52" s="77"/>
      <c r="L52" s="77"/>
      <c r="M52" s="77"/>
      <c r="N52" s="77"/>
      <c r="O52" s="77"/>
      <c r="P52" s="77"/>
      <c r="Q52" s="77"/>
      <c r="R52" s="77"/>
      <c r="S52" s="78"/>
      <c r="T52" s="2" t="s">
        <v>76</v>
      </c>
      <c r="U52" s="2">
        <f>40.16</f>
        <v>40.159999999999997</v>
      </c>
    </row>
    <row r="53" spans="2:21" x14ac:dyDescent="0.4">
      <c r="T53" s="2" t="s">
        <v>77</v>
      </c>
      <c r="U53" s="2">
        <f>225.35</f>
        <v>225.35</v>
      </c>
    </row>
    <row r="54" spans="2:21" x14ac:dyDescent="0.4">
      <c r="T54" s="2" t="s">
        <v>78</v>
      </c>
      <c r="U54" s="2">
        <f>87.28</f>
        <v>87.28</v>
      </c>
    </row>
    <row r="55" spans="2:21" x14ac:dyDescent="0.4">
      <c r="T55" s="2" t="s">
        <v>79</v>
      </c>
      <c r="U55" s="2">
        <f>95.08</f>
        <v>95.08</v>
      </c>
    </row>
    <row r="56" spans="2:21" x14ac:dyDescent="0.4">
      <c r="M56" s="79"/>
      <c r="T56" s="2" t="s">
        <v>80</v>
      </c>
      <c r="U56" s="2">
        <f>107.63</f>
        <v>107.63</v>
      </c>
    </row>
    <row r="57" spans="2:21" x14ac:dyDescent="0.4">
      <c r="T57" s="2" t="s">
        <v>81</v>
      </c>
      <c r="U57" s="2">
        <f>147.22</f>
        <v>147.22</v>
      </c>
    </row>
    <row r="58" spans="2:21" x14ac:dyDescent="0.4">
      <c r="T58" s="2" t="s">
        <v>82</v>
      </c>
      <c r="U58" s="2">
        <f>193.72</f>
        <v>193.72</v>
      </c>
    </row>
    <row r="59" spans="2:21" x14ac:dyDescent="0.4">
      <c r="T59" s="2" t="s">
        <v>83</v>
      </c>
      <c r="U59" s="2">
        <f>244.39</f>
        <v>244.39</v>
      </c>
    </row>
    <row r="60" spans="2:21" x14ac:dyDescent="0.4">
      <c r="T60" s="2" t="s">
        <v>84</v>
      </c>
      <c r="U60" s="2">
        <f>150.14</f>
        <v>150.13999999999999</v>
      </c>
    </row>
    <row r="61" spans="2:21" x14ac:dyDescent="0.4">
      <c r="T61" s="2" t="s">
        <v>85</v>
      </c>
      <c r="U61" s="2">
        <f>245.36</f>
        <v>245.36</v>
      </c>
    </row>
    <row r="62" spans="2:21" x14ac:dyDescent="0.4">
      <c r="T62" s="2" t="s">
        <v>86</v>
      </c>
      <c r="U62" s="2">
        <f>202.26</f>
        <v>202.26</v>
      </c>
    </row>
    <row r="63" spans="2:21" x14ac:dyDescent="0.4">
      <c r="T63" s="2" t="s">
        <v>87</v>
      </c>
      <c r="U63" s="2">
        <f>147.94</f>
        <v>147.94</v>
      </c>
    </row>
    <row r="64" spans="2:21" x14ac:dyDescent="0.4">
      <c r="T64" s="2" t="s">
        <v>88</v>
      </c>
      <c r="U64" s="2">
        <f>132.49</f>
        <v>132.49</v>
      </c>
    </row>
  </sheetData>
  <sortState xmlns:xlrd2="http://schemas.microsoft.com/office/spreadsheetml/2017/richdata2" ref="C24:C32">
    <sortCondition ref="C24:C32"/>
  </sortState>
  <phoneticPr fontId="1" type="noConversion"/>
  <dataValidations count="2">
    <dataValidation allowBlank="1" showInputMessage="1" showErrorMessage="1" promptTitle="입력 방법" prompt="0~1 범위로 입력해주세요." sqref="H10:H20 H43:H46" xr:uid="{727173B9-55C9-479D-B0F7-108252CC2CE4}"/>
    <dataValidation type="list" allowBlank="1" showInputMessage="1" showErrorMessage="1" sqref="H49" xr:uid="{D8171362-3BC2-43FD-A3B7-277BCD4337E1}">
      <formula1>Coaltype</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CB43F-E3A7-4655-87FB-0B7E12DC3575}">
  <dimension ref="B2:AB75"/>
  <sheetViews>
    <sheetView zoomScale="40" zoomScaleNormal="40" workbookViewId="0">
      <selection activeCell="B2" sqref="B2"/>
    </sheetView>
  </sheetViews>
  <sheetFormatPr defaultColWidth="8.69921875" defaultRowHeight="13.8" x14ac:dyDescent="0.4"/>
  <cols>
    <col min="1" max="2" width="8.69921875" style="2"/>
    <col min="3" max="5" width="11.8984375" style="2" bestFit="1" customWidth="1"/>
    <col min="6" max="6" width="13" style="2" bestFit="1" customWidth="1"/>
    <col min="7" max="8" width="11.8984375" style="2" bestFit="1" customWidth="1"/>
    <col min="9" max="9" width="10.19921875" style="2" bestFit="1" customWidth="1"/>
    <col min="10" max="10" width="11.8984375" style="2" bestFit="1" customWidth="1"/>
    <col min="11" max="11" width="10.69921875" style="2" bestFit="1" customWidth="1"/>
    <col min="12" max="12" width="11.8984375" style="2" bestFit="1" customWidth="1"/>
    <col min="13" max="13" width="10.19921875" style="2" customWidth="1"/>
    <col min="14" max="14" width="38.09765625" style="2" bestFit="1" customWidth="1"/>
    <col min="15" max="15" width="15.5" style="2" bestFit="1" customWidth="1"/>
    <col min="16" max="16" width="18.09765625" style="2" bestFit="1" customWidth="1"/>
    <col min="17" max="17" width="15" style="2" bestFit="1" customWidth="1"/>
    <col min="18" max="18" width="13.69921875" style="2" bestFit="1" customWidth="1"/>
    <col min="19" max="19" width="8.69921875" style="2"/>
    <col min="20" max="20" width="9" style="2" customWidth="1"/>
    <col min="21" max="21" width="10.09765625" style="2" customWidth="1"/>
    <col min="22" max="22" width="11.8984375" style="2" bestFit="1" customWidth="1"/>
    <col min="23" max="23" width="13" style="2" bestFit="1" customWidth="1"/>
    <col min="24" max="24" width="11.8984375" style="2" bestFit="1" customWidth="1"/>
    <col min="25" max="25" width="13.69921875" style="2" bestFit="1" customWidth="1"/>
    <col min="26" max="26" width="12.09765625" style="2" customWidth="1"/>
    <col min="27" max="28" width="11.8984375" style="2" bestFit="1" customWidth="1"/>
    <col min="29" max="29" width="9" style="2" bestFit="1" customWidth="1"/>
    <col min="30" max="16384" width="8.69921875" style="2"/>
  </cols>
  <sheetData>
    <row r="2" spans="2:26" ht="22.8" x14ac:dyDescent="0.4">
      <c r="B2" s="295" t="s">
        <v>443</v>
      </c>
    </row>
    <row r="4" spans="2:26" x14ac:dyDescent="0.4">
      <c r="B4" s="298" t="s">
        <v>89</v>
      </c>
      <c r="C4" s="298"/>
      <c r="D4" s="298"/>
      <c r="E4" s="298"/>
      <c r="F4" s="298"/>
      <c r="G4" s="298"/>
      <c r="H4" s="298"/>
      <c r="I4" s="298"/>
      <c r="J4" s="298"/>
      <c r="K4" s="82"/>
      <c r="L4" s="82"/>
      <c r="N4" s="298" t="s">
        <v>90</v>
      </c>
      <c r="O4" s="298"/>
      <c r="P4" s="298"/>
      <c r="Q4" s="298"/>
      <c r="R4" s="298"/>
      <c r="U4" s="300" t="s">
        <v>91</v>
      </c>
      <c r="V4" s="300"/>
      <c r="W4" s="300"/>
      <c r="X4" s="300"/>
      <c r="Y4" s="300"/>
      <c r="Z4" s="300"/>
    </row>
    <row r="5" spans="2:26" ht="17.399999999999999" x14ac:dyDescent="0.4">
      <c r="B5" s="300" t="s">
        <v>92</v>
      </c>
      <c r="C5" s="300"/>
      <c r="D5" s="300"/>
      <c r="E5" s="300"/>
      <c r="F5" s="300"/>
      <c r="G5" s="300"/>
      <c r="H5" s="300"/>
      <c r="I5" s="300"/>
      <c r="J5" s="300"/>
      <c r="N5" s="20"/>
      <c r="O5" s="33" t="s">
        <v>385</v>
      </c>
      <c r="P5" s="20" t="s">
        <v>386</v>
      </c>
      <c r="Q5" s="83" t="s">
        <v>387</v>
      </c>
      <c r="R5" s="20" t="s">
        <v>93</v>
      </c>
      <c r="U5" s="84"/>
      <c r="V5" s="33" t="s">
        <v>388</v>
      </c>
      <c r="W5" s="33" t="s">
        <v>94</v>
      </c>
      <c r="X5" s="35" t="s">
        <v>95</v>
      </c>
      <c r="Y5" s="20" t="s">
        <v>96</v>
      </c>
      <c r="Z5" s="33" t="s">
        <v>389</v>
      </c>
    </row>
    <row r="6" spans="2:26" ht="15" x14ac:dyDescent="0.4">
      <c r="B6" s="301" t="s">
        <v>97</v>
      </c>
      <c r="C6" s="301"/>
      <c r="D6" s="301"/>
      <c r="E6" s="301"/>
      <c r="F6" s="301"/>
      <c r="G6" s="301"/>
      <c r="H6" s="84"/>
      <c r="I6" s="302" t="s">
        <v>98</v>
      </c>
      <c r="J6" s="297"/>
      <c r="N6" s="20"/>
      <c r="O6" s="20"/>
      <c r="P6" s="20"/>
      <c r="Q6" s="83"/>
      <c r="R6" s="20"/>
      <c r="U6" s="84"/>
      <c r="V6" s="33"/>
      <c r="W6" s="33"/>
      <c r="X6" s="35"/>
      <c r="Y6" s="20"/>
      <c r="Z6" s="33"/>
    </row>
    <row r="7" spans="2:26" ht="16.2" x14ac:dyDescent="0.4">
      <c r="B7" s="84"/>
      <c r="C7" s="33" t="s">
        <v>388</v>
      </c>
      <c r="D7" s="33" t="s">
        <v>94</v>
      </c>
      <c r="E7" s="35" t="s">
        <v>95</v>
      </c>
      <c r="F7" s="20" t="s">
        <v>96</v>
      </c>
      <c r="G7" s="33" t="s">
        <v>389</v>
      </c>
      <c r="H7" s="84"/>
      <c r="I7" s="34" t="s">
        <v>99</v>
      </c>
      <c r="J7" s="34" t="s">
        <v>100</v>
      </c>
      <c r="N7" s="36" t="s">
        <v>92</v>
      </c>
      <c r="O7" s="19">
        <f>206</f>
        <v>206</v>
      </c>
      <c r="P7" s="21">
        <f>C9*'3. Inputs &amp; results'!H10*1000*O7</f>
        <v>171666666666.66669</v>
      </c>
      <c r="Q7" s="21">
        <f>P7/('3. Inputs &amp; results'!H43*24)</f>
        <v>21675084.175084177</v>
      </c>
      <c r="R7" s="21">
        <f>Q7*0.0002777778</f>
        <v>6020.8571969696977</v>
      </c>
      <c r="U7" s="84" t="s">
        <v>101</v>
      </c>
      <c r="V7" s="25">
        <f>ROUND(V8*16,1)</f>
        <v>13333332.800000001</v>
      </c>
      <c r="W7" s="25">
        <f>W8*18</f>
        <v>14999999.4</v>
      </c>
      <c r="X7" s="25"/>
      <c r="Y7" s="25">
        <f>Y8*28</f>
        <v>23333332.400000002</v>
      </c>
      <c r="Z7" s="25">
        <f>Z8*2</f>
        <v>5000000</v>
      </c>
    </row>
    <row r="8" spans="2:26" ht="17.399999999999999" x14ac:dyDescent="0.4">
      <c r="B8" s="84" t="s">
        <v>101</v>
      </c>
      <c r="C8" s="25">
        <f>ROUND(C9*16,1)</f>
        <v>18018018</v>
      </c>
      <c r="D8" s="25">
        <f>D9*18</f>
        <v>20270270.270270269</v>
      </c>
      <c r="E8" s="25"/>
      <c r="F8" s="25">
        <f>F9*28</f>
        <v>23333333.333333336</v>
      </c>
      <c r="G8" s="25">
        <f>G9*2</f>
        <v>5000000</v>
      </c>
      <c r="I8" s="85">
        <f>I9*16</f>
        <v>4684684.8</v>
      </c>
      <c r="J8" s="85">
        <f>J9*18</f>
        <v>5270270.3999999994</v>
      </c>
      <c r="N8" s="20"/>
      <c r="O8" s="20" t="s">
        <v>102</v>
      </c>
      <c r="P8" s="20" t="s">
        <v>390</v>
      </c>
      <c r="Q8" s="20" t="s">
        <v>103</v>
      </c>
      <c r="R8" s="20" t="s">
        <v>93</v>
      </c>
      <c r="U8" s="84" t="s">
        <v>104</v>
      </c>
      <c r="V8" s="25">
        <f>ROUND(Z8/3,1)</f>
        <v>833333.3</v>
      </c>
      <c r="W8" s="25">
        <f>ROUND(Z8/3,1)</f>
        <v>833333.3</v>
      </c>
      <c r="X8" s="25"/>
      <c r="Y8" s="25">
        <f>ROUND(Z8/3,1)</f>
        <v>833333.3</v>
      </c>
      <c r="Z8" s="27">
        <f>('3. Inputs &amp; results'!H6*1000/2)*3/(3+'3. Inputs &amp; results'!H11)</f>
        <v>2500000</v>
      </c>
    </row>
    <row r="9" spans="2:26" x14ac:dyDescent="0.4">
      <c r="B9" s="84" t="s">
        <v>104</v>
      </c>
      <c r="C9" s="25">
        <f>G9/3/'3. Inputs &amp; results'!H10</f>
        <v>1126126.1261261262</v>
      </c>
      <c r="D9" s="25">
        <f>G9/3/'3. Inputs &amp; results'!H10</f>
        <v>1126126.1261261262</v>
      </c>
      <c r="E9" s="25"/>
      <c r="F9" s="25">
        <f>G9/3</f>
        <v>833333.33333333337</v>
      </c>
      <c r="G9" s="25">
        <f>('3. Inputs &amp; results'!H6*1000/2)*3/(3+'3. Inputs &amp; results'!H11)</f>
        <v>2500000</v>
      </c>
      <c r="I9" s="85">
        <f>ROUND(C9*(1-'3. Inputs &amp; results'!H10),1)</f>
        <v>292792.8</v>
      </c>
      <c r="J9" s="85">
        <f>ROUND(D9*(1-'3. Inputs &amp; results'!H10),1)</f>
        <v>292792.8</v>
      </c>
      <c r="L9" s="86"/>
      <c r="N9" s="36" t="s">
        <v>105</v>
      </c>
      <c r="O9" s="19">
        <f>D10*'3. Inputs &amp; results'!H10/('3. Inputs &amp; results'!H43*24*60*60)</f>
        <v>5.2609504769921434E-4</v>
      </c>
      <c r="P9" s="19">
        <f>165.33</f>
        <v>165.33</v>
      </c>
      <c r="Q9" s="87">
        <f>D9*'3. Inputs &amp; results'!H10*1000/('3. Inputs &amp; results'!H43*24*60*60)</f>
        <v>29.227459783015341</v>
      </c>
      <c r="R9" s="21">
        <f>P9*Q9</f>
        <v>4832.175925925927</v>
      </c>
      <c r="U9" s="84" t="s">
        <v>106</v>
      </c>
      <c r="V9" s="25">
        <f>ROUND(V7/1000,1)</f>
        <v>13333.3</v>
      </c>
      <c r="W9" s="25">
        <f>W7/1000</f>
        <v>14999.999400000001</v>
      </c>
      <c r="X9" s="25"/>
      <c r="Y9" s="25">
        <f>ROUND(Y7/1000,1)</f>
        <v>23333.3</v>
      </c>
      <c r="Z9" s="25">
        <f>Z7/1000</f>
        <v>5000</v>
      </c>
    </row>
    <row r="10" spans="2:26" ht="17.399999999999999" x14ac:dyDescent="0.4">
      <c r="B10" s="84" t="s">
        <v>106</v>
      </c>
      <c r="C10" s="25">
        <f>ROUND(C8/1000,1)</f>
        <v>18018</v>
      </c>
      <c r="D10" s="25">
        <f>ROUND(D8/1000,1)</f>
        <v>20270.3</v>
      </c>
      <c r="E10" s="25"/>
      <c r="F10" s="25">
        <f>ROUND(F8/1000,1)</f>
        <v>23333.3</v>
      </c>
      <c r="G10" s="25">
        <f>G8/1000</f>
        <v>5000</v>
      </c>
      <c r="I10" s="85">
        <f>ROUND(I8/1000,1)</f>
        <v>4684.7</v>
      </c>
      <c r="J10" s="85">
        <f>ROUND(J8/1000,1)</f>
        <v>5270.3</v>
      </c>
      <c r="N10" s="20"/>
      <c r="O10" s="33" t="s">
        <v>385</v>
      </c>
      <c r="P10" s="20" t="s">
        <v>386</v>
      </c>
      <c r="Q10" s="83" t="s">
        <v>387</v>
      </c>
      <c r="R10" s="20" t="s">
        <v>93</v>
      </c>
    </row>
    <row r="11" spans="2:26" ht="16.2" x14ac:dyDescent="0.4">
      <c r="N11" s="36" t="s">
        <v>391</v>
      </c>
      <c r="O11" s="19">
        <f>178</f>
        <v>178</v>
      </c>
      <c r="P11" s="21">
        <f>V23*1000*O11</f>
        <v>74166672600</v>
      </c>
      <c r="Q11" s="21">
        <f>P11/('3. Inputs &amp; results'!H43*24)</f>
        <v>9364478.8636363633</v>
      </c>
      <c r="R11" s="21">
        <f>Q11*0.0002777778</f>
        <v>2601.2443368874087</v>
      </c>
    </row>
    <row r="12" spans="2:26" ht="16.2" x14ac:dyDescent="0.4">
      <c r="B12" s="300" t="s">
        <v>107</v>
      </c>
      <c r="C12" s="300"/>
      <c r="D12" s="300"/>
      <c r="E12" s="300"/>
      <c r="F12" s="300"/>
      <c r="G12" s="300"/>
      <c r="H12" s="300"/>
      <c r="I12" s="300"/>
      <c r="J12" s="300"/>
      <c r="N12" s="36" t="s">
        <v>45</v>
      </c>
      <c r="O12" s="299" t="s">
        <v>108</v>
      </c>
      <c r="P12" s="299"/>
      <c r="Q12" s="299"/>
      <c r="R12" s="299"/>
      <c r="U12" s="300" t="s">
        <v>109</v>
      </c>
      <c r="V12" s="300"/>
      <c r="W12" s="300"/>
      <c r="X12" s="300"/>
      <c r="Y12" s="300"/>
      <c r="Z12" s="300"/>
    </row>
    <row r="13" spans="2:26" ht="16.2" x14ac:dyDescent="0.4">
      <c r="B13" s="301" t="s">
        <v>110</v>
      </c>
      <c r="C13" s="301"/>
      <c r="D13" s="301"/>
      <c r="E13" s="301"/>
      <c r="F13" s="301"/>
      <c r="G13" s="301"/>
      <c r="H13" s="84"/>
      <c r="I13" s="302"/>
      <c r="J13" s="297"/>
      <c r="N13" s="36" t="s">
        <v>47</v>
      </c>
      <c r="O13" s="299"/>
      <c r="P13" s="299"/>
      <c r="Q13" s="299"/>
      <c r="R13" s="299"/>
      <c r="U13" s="84"/>
      <c r="V13" s="20" t="s">
        <v>96</v>
      </c>
      <c r="W13" s="33" t="s">
        <v>94</v>
      </c>
      <c r="X13" s="35" t="s">
        <v>95</v>
      </c>
      <c r="Y13" s="33" t="s">
        <v>111</v>
      </c>
      <c r="Z13" s="33" t="s">
        <v>112</v>
      </c>
    </row>
    <row r="14" spans="2:26" ht="16.2" x14ac:dyDescent="0.4">
      <c r="B14" s="84"/>
      <c r="C14" s="20" t="s">
        <v>96</v>
      </c>
      <c r="D14" s="33" t="s">
        <v>94</v>
      </c>
      <c r="E14" s="35" t="s">
        <v>95</v>
      </c>
      <c r="F14" s="33" t="s">
        <v>111</v>
      </c>
      <c r="G14" s="33" t="s">
        <v>112</v>
      </c>
      <c r="H14" s="84"/>
      <c r="I14" s="88" t="s">
        <v>96</v>
      </c>
      <c r="J14" s="34" t="s">
        <v>100</v>
      </c>
      <c r="N14" s="36" t="s">
        <v>357</v>
      </c>
      <c r="O14" s="19">
        <f>85</f>
        <v>85</v>
      </c>
      <c r="P14" s="19">
        <f>X38*1000*O14</f>
        <v>35416665250</v>
      </c>
      <c r="Q14" s="21">
        <f>P14/('3. Inputs &amp; results'!H43*24)</f>
        <v>4471801.1679292927</v>
      </c>
      <c r="R14" s="21">
        <f>Q14*0.0002777778</f>
        <v>1242.1670904648295</v>
      </c>
      <c r="U14" s="84"/>
      <c r="V14" s="20"/>
      <c r="W14" s="33"/>
      <c r="X14" s="35"/>
      <c r="Y14" s="33"/>
      <c r="Z14" s="33"/>
    </row>
    <row r="15" spans="2:26" ht="16.2" x14ac:dyDescent="0.4">
      <c r="B15" s="84" t="s">
        <v>101</v>
      </c>
      <c r="C15" s="25">
        <f>F8</f>
        <v>23333333.333333336</v>
      </c>
      <c r="D15" s="25">
        <f>D16*18</f>
        <v>15000000</v>
      </c>
      <c r="E15" s="25"/>
      <c r="F15" s="25">
        <f>F16*44</f>
        <v>33000000</v>
      </c>
      <c r="G15" s="25">
        <f>G16*2</f>
        <v>1500000</v>
      </c>
      <c r="I15" s="85">
        <f>I16*28</f>
        <v>2333332.4</v>
      </c>
      <c r="J15" s="85">
        <f>J16*18</f>
        <v>1499999.4000000001</v>
      </c>
      <c r="N15" s="36" t="s">
        <v>358</v>
      </c>
      <c r="O15" s="19">
        <f>96.7</f>
        <v>96.7</v>
      </c>
      <c r="P15" s="21">
        <f>Z43*1000*O15</f>
        <v>40291669890</v>
      </c>
      <c r="Q15" s="21">
        <f>P15/('3. Inputs &amp; results'!H43*24)</f>
        <v>5087332.0568181816</v>
      </c>
      <c r="R15" s="21">
        <f>Q15*0.0002777778</f>
        <v>1413.1479066124296</v>
      </c>
      <c r="U15" s="84" t="s">
        <v>101</v>
      </c>
      <c r="V15" s="25">
        <f>V16*28</f>
        <v>23333333.333333336</v>
      </c>
      <c r="W15" s="25">
        <f>W16*18</f>
        <v>15000000</v>
      </c>
      <c r="X15" s="25"/>
      <c r="Y15" s="25">
        <f>Y16*44</f>
        <v>36666665.200000003</v>
      </c>
      <c r="Z15" s="25">
        <f>Z16*2</f>
        <v>1666666.6</v>
      </c>
    </row>
    <row r="16" spans="2:26" x14ac:dyDescent="0.4">
      <c r="B16" s="84" t="s">
        <v>104</v>
      </c>
      <c r="C16" s="25">
        <f>F9</f>
        <v>833333.33333333337</v>
      </c>
      <c r="D16" s="25">
        <f>C16</f>
        <v>833333.33333333337</v>
      </c>
      <c r="E16" s="25"/>
      <c r="F16" s="25">
        <f>ROUND(C16*'3. Inputs &amp; results'!H11,1)</f>
        <v>750000</v>
      </c>
      <c r="G16" s="25">
        <f>ROUND(C16*'3. Inputs &amp; results'!H11,1)</f>
        <v>750000</v>
      </c>
      <c r="I16" s="85">
        <f>ROUND(C16*(1-'3. Inputs &amp; results'!H11),1)</f>
        <v>83333.3</v>
      </c>
      <c r="J16" s="85">
        <f>ROUND(D16*(1-'3. Inputs &amp; results'!H11),1)</f>
        <v>83333.3</v>
      </c>
      <c r="N16" s="19"/>
      <c r="O16" s="19"/>
      <c r="P16" s="19"/>
      <c r="Q16" s="19"/>
      <c r="R16" s="19"/>
      <c r="U16" s="84" t="s">
        <v>104</v>
      </c>
      <c r="V16" s="25">
        <f>Z8/3</f>
        <v>833333.33333333337</v>
      </c>
      <c r="W16" s="25">
        <f>Z8/3</f>
        <v>833333.33333333337</v>
      </c>
      <c r="X16" s="25"/>
      <c r="Y16" s="25">
        <f>ROUND(Z8/3,1)</f>
        <v>833333.3</v>
      </c>
      <c r="Z16" s="25">
        <f>ROUND(Z8/3,1)</f>
        <v>833333.3</v>
      </c>
    </row>
    <row r="17" spans="2:28" x14ac:dyDescent="0.4">
      <c r="B17" s="84" t="s">
        <v>106</v>
      </c>
      <c r="C17" s="25">
        <f>F10</f>
        <v>23333.3</v>
      </c>
      <c r="D17" s="25">
        <f>ROUND(D15/1000,1)</f>
        <v>15000</v>
      </c>
      <c r="E17" s="25"/>
      <c r="F17" s="25">
        <f>ROUND(F15/1000,1)</f>
        <v>33000</v>
      </c>
      <c r="G17" s="25">
        <f>ROUND(G15/1000,1)</f>
        <v>1500</v>
      </c>
      <c r="I17" s="85">
        <f>ROUND(I15/1000,1)</f>
        <v>2333.3000000000002</v>
      </c>
      <c r="J17" s="85">
        <f>ROUND(J15/1000,1)</f>
        <v>1500</v>
      </c>
      <c r="N17" s="89" t="s">
        <v>113</v>
      </c>
      <c r="O17" s="21">
        <f>SUM(R7,R9,R11:R15)</f>
        <v>16109.592456860291</v>
      </c>
      <c r="P17" s="19"/>
      <c r="Q17" s="19"/>
      <c r="R17" s="19"/>
      <c r="U17" s="84" t="s">
        <v>106</v>
      </c>
      <c r="V17" s="25">
        <f>ROUND(V15/1000,1)</f>
        <v>23333.3</v>
      </c>
      <c r="W17" s="25">
        <f>W15/1000</f>
        <v>15000</v>
      </c>
      <c r="X17" s="25"/>
      <c r="Y17" s="25">
        <f>ROUND(Y15/1000,1)</f>
        <v>36666.699999999997</v>
      </c>
      <c r="Z17" s="25">
        <f>ROUND(Z15/1000,1)</f>
        <v>1666.7</v>
      </c>
    </row>
    <row r="20" spans="2:28" x14ac:dyDescent="0.4">
      <c r="B20" s="300" t="s">
        <v>114</v>
      </c>
      <c r="C20" s="300"/>
      <c r="D20" s="300"/>
      <c r="E20" s="300"/>
      <c r="F20" s="300"/>
      <c r="G20" s="300"/>
      <c r="H20" s="300"/>
      <c r="I20" s="300"/>
      <c r="J20" s="300"/>
      <c r="K20" s="300"/>
      <c r="L20" s="300"/>
      <c r="U20" s="300" t="s">
        <v>115</v>
      </c>
      <c r="V20" s="300"/>
      <c r="W20" s="300"/>
      <c r="X20" s="300"/>
      <c r="Y20" s="300"/>
      <c r="Z20" s="300"/>
      <c r="AA20" s="300"/>
      <c r="AB20" s="19"/>
    </row>
    <row r="21" spans="2:28" ht="16.2" x14ac:dyDescent="0.4">
      <c r="B21" s="297" t="s">
        <v>116</v>
      </c>
      <c r="C21" s="297"/>
      <c r="D21" s="297"/>
      <c r="E21" s="297"/>
      <c r="F21" s="297"/>
      <c r="G21" s="84"/>
      <c r="H21" s="84"/>
      <c r="I21" s="84"/>
      <c r="J21" s="297" t="s">
        <v>98</v>
      </c>
      <c r="K21" s="297"/>
      <c r="L21" s="297"/>
      <c r="U21" s="84"/>
      <c r="V21" s="33" t="s">
        <v>117</v>
      </c>
      <c r="W21" s="33" t="s">
        <v>95</v>
      </c>
      <c r="X21" s="33" t="s">
        <v>111</v>
      </c>
      <c r="Y21" s="33" t="s">
        <v>118</v>
      </c>
      <c r="Z21" s="84"/>
      <c r="AA21" s="84"/>
    </row>
    <row r="22" spans="2:28" ht="16.2" x14ac:dyDescent="0.4">
      <c r="B22" s="84"/>
      <c r="C22" s="33" t="s">
        <v>117</v>
      </c>
      <c r="D22" s="35" t="s">
        <v>95</v>
      </c>
      <c r="E22" s="33" t="s">
        <v>111</v>
      </c>
      <c r="F22" s="20" t="s">
        <v>118</v>
      </c>
      <c r="G22" s="84"/>
      <c r="H22" s="84"/>
      <c r="I22" s="84"/>
      <c r="J22" s="84"/>
      <c r="K22" s="84"/>
      <c r="L22" s="34" t="s">
        <v>119</v>
      </c>
      <c r="U22" s="84" t="s">
        <v>101</v>
      </c>
      <c r="V22" s="25">
        <f>V23*100</f>
        <v>41666670</v>
      </c>
      <c r="W22" s="25"/>
      <c r="X22" s="25">
        <f>X23*44</f>
        <v>18333334.800000001</v>
      </c>
      <c r="Y22" s="25">
        <f>X23*56</f>
        <v>23333335.199999999</v>
      </c>
      <c r="Z22" s="90"/>
      <c r="AA22" s="90"/>
    </row>
    <row r="23" spans="2:28" x14ac:dyDescent="0.4">
      <c r="B23" s="84" t="s">
        <v>101</v>
      </c>
      <c r="C23" s="25">
        <f>C24*100</f>
        <v>39062500</v>
      </c>
      <c r="D23" s="25"/>
      <c r="E23" s="25">
        <f>E24*44</f>
        <v>13750000</v>
      </c>
      <c r="F23" s="25">
        <f>E24*56</f>
        <v>17500000</v>
      </c>
      <c r="L23" s="85">
        <f>L24*100</f>
        <v>7812499.9999999981</v>
      </c>
      <c r="U23" s="84" t="s">
        <v>104</v>
      </c>
      <c r="V23" s="25">
        <f>Y23</f>
        <v>416666.7</v>
      </c>
      <c r="W23" s="25"/>
      <c r="X23" s="25">
        <f>Y23</f>
        <v>416666.7</v>
      </c>
      <c r="Y23" s="25">
        <f>V28</f>
        <v>416666.7</v>
      </c>
      <c r="Z23" s="90"/>
      <c r="AA23" s="90"/>
    </row>
    <row r="24" spans="2:28" x14ac:dyDescent="0.4">
      <c r="B24" s="84" t="s">
        <v>104</v>
      </c>
      <c r="C24" s="25">
        <f>F24/'3. Inputs &amp; results'!H12</f>
        <v>390625</v>
      </c>
      <c r="D24" s="25"/>
      <c r="E24" s="25">
        <f>F24</f>
        <v>312500</v>
      </c>
      <c r="F24" s="25">
        <f>C30</f>
        <v>312500</v>
      </c>
      <c r="L24" s="85">
        <f>C24*(1-'3. Inputs &amp; results'!H12)</f>
        <v>78124.999999999985</v>
      </c>
      <c r="U24" s="84" t="s">
        <v>106</v>
      </c>
      <c r="V24" s="25">
        <f>ROUND(V22/1000,1)</f>
        <v>41666.699999999997</v>
      </c>
      <c r="W24" s="25"/>
      <c r="X24" s="25">
        <f>ROUND(X22/1000,1)</f>
        <v>18333.3</v>
      </c>
      <c r="Y24" s="25">
        <f>ROUND(Y22/1000,1)</f>
        <v>23333.3</v>
      </c>
      <c r="Z24" s="90"/>
      <c r="AA24" s="90"/>
    </row>
    <row r="25" spans="2:28" x14ac:dyDescent="0.4">
      <c r="B25" s="84" t="s">
        <v>106</v>
      </c>
      <c r="C25" s="25">
        <f>ROUND(C23/1000,1)</f>
        <v>39062.5</v>
      </c>
      <c r="D25" s="25"/>
      <c r="E25" s="25">
        <f>ROUND(E23/1000,1)</f>
        <v>13750</v>
      </c>
      <c r="F25" s="25">
        <f>ROUND(F23/1000,1)</f>
        <v>17500</v>
      </c>
      <c r="L25" s="85">
        <f>ROUND(L23/1000,1)</f>
        <v>7812.5</v>
      </c>
      <c r="V25" s="90"/>
      <c r="W25" s="90"/>
      <c r="X25" s="90"/>
      <c r="Y25" s="90"/>
      <c r="Z25" s="90"/>
      <c r="AA25" s="90"/>
    </row>
    <row r="26" spans="2:28" ht="16.2" x14ac:dyDescent="0.4">
      <c r="U26" s="84"/>
      <c r="V26" s="33" t="s">
        <v>118</v>
      </c>
      <c r="W26" s="33" t="s">
        <v>94</v>
      </c>
      <c r="X26" s="33" t="s">
        <v>95</v>
      </c>
      <c r="Y26" s="33" t="s">
        <v>120</v>
      </c>
      <c r="Z26" s="91"/>
      <c r="AA26" s="91"/>
    </row>
    <row r="27" spans="2:28" x14ac:dyDescent="0.4">
      <c r="B27" s="297" t="s">
        <v>110</v>
      </c>
      <c r="C27" s="297"/>
      <c r="D27" s="297"/>
      <c r="E27" s="297"/>
      <c r="F27" s="297"/>
      <c r="G27" s="84"/>
      <c r="H27" s="84"/>
      <c r="I27" s="84"/>
      <c r="J27" s="297"/>
      <c r="K27" s="297"/>
      <c r="L27" s="297"/>
      <c r="U27" s="84" t="s">
        <v>101</v>
      </c>
      <c r="V27" s="25">
        <f>V28*56</f>
        <v>23333335.199999999</v>
      </c>
      <c r="W27" s="25">
        <f>W28*18</f>
        <v>7500000.6000000006</v>
      </c>
      <c r="X27" s="25"/>
      <c r="Y27" s="25">
        <f>Y28*74</f>
        <v>30833335.800000001</v>
      </c>
      <c r="Z27" s="90"/>
      <c r="AA27" s="90"/>
    </row>
    <row r="28" spans="2:28" ht="16.2" x14ac:dyDescent="0.4">
      <c r="B28" s="84"/>
      <c r="C28" s="20" t="s">
        <v>118</v>
      </c>
      <c r="D28" s="33" t="s">
        <v>94</v>
      </c>
      <c r="E28" s="35" t="s">
        <v>95</v>
      </c>
      <c r="F28" s="33" t="s">
        <v>120</v>
      </c>
      <c r="G28" s="84"/>
      <c r="H28" s="84"/>
      <c r="I28" s="84"/>
      <c r="J28" s="84"/>
      <c r="K28" s="34" t="s">
        <v>118</v>
      </c>
      <c r="L28" s="34" t="s">
        <v>100</v>
      </c>
      <c r="U28" s="84" t="s">
        <v>104</v>
      </c>
      <c r="V28" s="25">
        <f>Y28</f>
        <v>416666.7</v>
      </c>
      <c r="W28" s="25">
        <f>Y28</f>
        <v>416666.7</v>
      </c>
      <c r="X28" s="25"/>
      <c r="Y28" s="25">
        <f>ROUND(W43,1)</f>
        <v>416666.7</v>
      </c>
      <c r="Z28" s="90"/>
      <c r="AA28" s="90"/>
    </row>
    <row r="29" spans="2:28" x14ac:dyDescent="0.4">
      <c r="B29" s="84" t="s">
        <v>101</v>
      </c>
      <c r="C29" s="25">
        <f>C30*56</f>
        <v>17500000</v>
      </c>
      <c r="D29" s="25">
        <f>D30*18</f>
        <v>5625000</v>
      </c>
      <c r="E29" s="25"/>
      <c r="F29" s="25">
        <f>F30*74</f>
        <v>20812500</v>
      </c>
      <c r="K29" s="85">
        <f>K30*56</f>
        <v>1750000</v>
      </c>
      <c r="L29" s="85">
        <f>L30*18</f>
        <v>562500</v>
      </c>
      <c r="U29" s="84" t="s">
        <v>106</v>
      </c>
      <c r="V29" s="25">
        <f>ROUND(V27/1000,1)</f>
        <v>23333.3</v>
      </c>
      <c r="W29" s="25">
        <f>ROUND(W27/1000,1)</f>
        <v>7500</v>
      </c>
      <c r="X29" s="25"/>
      <c r="Y29" s="25">
        <f>ROUND(Y27/1000,1)</f>
        <v>30833.3</v>
      </c>
      <c r="Z29" s="90"/>
      <c r="AA29" s="90"/>
    </row>
    <row r="30" spans="2:28" x14ac:dyDescent="0.4">
      <c r="B30" s="84" t="s">
        <v>104</v>
      </c>
      <c r="C30" s="25">
        <f>ROUND(F30/'3. Inputs &amp; results'!H13,1)</f>
        <v>312500</v>
      </c>
      <c r="D30" s="25">
        <f>ROUND(F30/'3. Inputs &amp; results'!H13,1)</f>
        <v>312500</v>
      </c>
      <c r="E30" s="25"/>
      <c r="F30" s="25">
        <f>ROUND(D48,1)</f>
        <v>281250</v>
      </c>
      <c r="K30" s="85">
        <f>ROUND(C30*(1-'3. Inputs &amp; results'!H13),1)</f>
        <v>31250</v>
      </c>
      <c r="L30" s="85">
        <f>ROUND(D30*(1-'3. Inputs &amp; results'!H13),1)</f>
        <v>31250</v>
      </c>
      <c r="V30" s="90"/>
      <c r="W30" s="90"/>
      <c r="X30" s="90"/>
      <c r="Y30" s="90"/>
      <c r="Z30" s="90"/>
      <c r="AA30" s="90"/>
    </row>
    <row r="31" spans="2:28" ht="16.2" x14ac:dyDescent="0.4">
      <c r="B31" s="84" t="s">
        <v>106</v>
      </c>
      <c r="C31" s="25">
        <f>ROUND(C29/1000,1)</f>
        <v>17500</v>
      </c>
      <c r="D31" s="25">
        <f>ROUND(D29/1000,1)</f>
        <v>5625</v>
      </c>
      <c r="E31" s="25"/>
      <c r="F31" s="25">
        <f>ROUND(F29/1000,1)</f>
        <v>20812.5</v>
      </c>
      <c r="K31" s="85">
        <f>ROUND(K29/1000,1)</f>
        <v>1750</v>
      </c>
      <c r="L31" s="85">
        <f>ROUND(L29/1000,1)</f>
        <v>562.5</v>
      </c>
      <c r="U31" s="84"/>
      <c r="V31" s="33" t="s">
        <v>121</v>
      </c>
      <c r="W31" s="33" t="s">
        <v>122</v>
      </c>
      <c r="X31" s="33" t="s">
        <v>111</v>
      </c>
      <c r="Y31" s="33" t="s">
        <v>95</v>
      </c>
      <c r="Z31" s="33" t="s">
        <v>123</v>
      </c>
      <c r="AA31" s="33" t="s">
        <v>124</v>
      </c>
    </row>
    <row r="32" spans="2:28" x14ac:dyDescent="0.4">
      <c r="U32" s="84" t="s">
        <v>101</v>
      </c>
      <c r="V32" s="25">
        <f>V33*58.4</f>
        <v>48666664.719999999</v>
      </c>
      <c r="W32" s="25">
        <f>W33*35</f>
        <v>29166665.5</v>
      </c>
      <c r="X32" s="25">
        <f>X33*44</f>
        <v>36666665.200000003</v>
      </c>
      <c r="Y32" s="25"/>
      <c r="Z32" s="25">
        <f>Z33*84</f>
        <v>69999997.200000003</v>
      </c>
      <c r="AA32" s="25">
        <f>AA33*53.5</f>
        <v>44583331.550000004</v>
      </c>
    </row>
    <row r="33" spans="2:27" x14ac:dyDescent="0.4">
      <c r="B33" s="297" t="s">
        <v>125</v>
      </c>
      <c r="C33" s="297"/>
      <c r="D33" s="297"/>
      <c r="E33" s="297"/>
      <c r="F33" s="297"/>
      <c r="G33" s="297"/>
      <c r="H33" s="297"/>
      <c r="I33" s="84"/>
      <c r="J33" s="297"/>
      <c r="K33" s="297"/>
      <c r="L33" s="297"/>
      <c r="U33" s="84" t="s">
        <v>104</v>
      </c>
      <c r="V33" s="25">
        <f>ROUND($Z$8/3,1)</f>
        <v>833333.3</v>
      </c>
      <c r="W33" s="25">
        <f>ROUND($Z$8/3,1)</f>
        <v>833333.3</v>
      </c>
      <c r="X33" s="25">
        <f>ROUND($Z$8/3,1)</f>
        <v>833333.3</v>
      </c>
      <c r="Y33" s="25"/>
      <c r="Z33" s="25">
        <f>ROUND($Z$8/3,1)</f>
        <v>833333.3</v>
      </c>
      <c r="AA33" s="25">
        <f>ROUND($Z$8/3,1)</f>
        <v>833333.3</v>
      </c>
    </row>
    <row r="34" spans="2:27" ht="16.2" x14ac:dyDescent="0.4">
      <c r="B34" s="84"/>
      <c r="C34" s="20" t="s">
        <v>121</v>
      </c>
      <c r="D34" s="33" t="s">
        <v>122</v>
      </c>
      <c r="E34" s="33" t="s">
        <v>111</v>
      </c>
      <c r="F34" s="35" t="s">
        <v>95</v>
      </c>
      <c r="G34" s="33" t="s">
        <v>123</v>
      </c>
      <c r="H34" s="33" t="s">
        <v>124</v>
      </c>
      <c r="I34" s="84"/>
      <c r="J34" s="88" t="s">
        <v>121</v>
      </c>
      <c r="K34" s="34" t="s">
        <v>126</v>
      </c>
      <c r="L34" s="34" t="s">
        <v>127</v>
      </c>
      <c r="U34" s="84" t="s">
        <v>106</v>
      </c>
      <c r="V34" s="25">
        <f>ROUND(V32/1000,1)</f>
        <v>48666.7</v>
      </c>
      <c r="W34" s="25">
        <f>ROUND(W32/1000,1)</f>
        <v>29166.7</v>
      </c>
      <c r="X34" s="25">
        <f>ROUND(X32/1000,1)</f>
        <v>36666.699999999997</v>
      </c>
      <c r="Y34" s="25"/>
      <c r="Z34" s="25">
        <f>ROUND(Z32/1000,1)</f>
        <v>70000</v>
      </c>
      <c r="AA34" s="25">
        <f>ROUND(AA32/1000,1)</f>
        <v>44583.3</v>
      </c>
    </row>
    <row r="35" spans="2:27" x14ac:dyDescent="0.4">
      <c r="B35" s="84" t="s">
        <v>101</v>
      </c>
      <c r="C35" s="25">
        <f>C36*58.4</f>
        <v>43800000</v>
      </c>
      <c r="D35" s="25">
        <f>D36*35</f>
        <v>26250000</v>
      </c>
      <c r="E35" s="25">
        <f>F15</f>
        <v>33000000</v>
      </c>
      <c r="F35" s="25"/>
      <c r="G35" s="25">
        <f>G36*84</f>
        <v>47250000</v>
      </c>
      <c r="H35" s="25">
        <f>H36*53.5</f>
        <v>30093750</v>
      </c>
      <c r="J35" s="85">
        <f>ROUND(J36*58.4,1)</f>
        <v>10950000</v>
      </c>
      <c r="K35" s="85">
        <f>K36*35</f>
        <v>6562500</v>
      </c>
      <c r="L35" s="85">
        <f>L36*44</f>
        <v>8250000</v>
      </c>
      <c r="V35" s="90"/>
      <c r="W35" s="90"/>
      <c r="X35" s="90"/>
      <c r="Y35" s="90"/>
      <c r="Z35" s="90"/>
      <c r="AA35" s="90"/>
    </row>
    <row r="36" spans="2:27" ht="16.2" x14ac:dyDescent="0.4">
      <c r="B36" s="84" t="s">
        <v>104</v>
      </c>
      <c r="C36" s="25">
        <f>E36</f>
        <v>750000</v>
      </c>
      <c r="D36" s="25">
        <f>E36</f>
        <v>750000</v>
      </c>
      <c r="E36" s="25">
        <f>F16</f>
        <v>750000</v>
      </c>
      <c r="F36" s="25"/>
      <c r="G36" s="25">
        <f>ROUND(E36*'3. Inputs &amp; results'!H14,1)</f>
        <v>562500</v>
      </c>
      <c r="H36" s="25">
        <f>ROUND(E36*'3. Inputs &amp; results'!H14,1)</f>
        <v>562500</v>
      </c>
      <c r="J36" s="85">
        <f>ROUND(C36*(1-'3. Inputs &amp; results'!H14),1)</f>
        <v>187500</v>
      </c>
      <c r="K36" s="85">
        <f>ROUND(D36*(1-'3. Inputs &amp; results'!H14),1)</f>
        <v>187500</v>
      </c>
      <c r="L36" s="85">
        <f>ROUND(E36*(1-'3. Inputs &amp; results'!H14),1)</f>
        <v>187500</v>
      </c>
      <c r="U36" s="84"/>
      <c r="V36" s="33" t="s">
        <v>128</v>
      </c>
      <c r="W36" s="33" t="s">
        <v>95</v>
      </c>
      <c r="X36" s="33" t="s">
        <v>392</v>
      </c>
      <c r="Y36" s="33" t="s">
        <v>94</v>
      </c>
      <c r="Z36" s="33" t="s">
        <v>111</v>
      </c>
      <c r="AA36" s="91"/>
    </row>
    <row r="37" spans="2:27" x14ac:dyDescent="0.4">
      <c r="B37" s="84" t="s">
        <v>106</v>
      </c>
      <c r="C37" s="25">
        <f>ROUND(C35/1000,1)</f>
        <v>43800</v>
      </c>
      <c r="D37" s="25">
        <f>ROUND(D35/1000,1)</f>
        <v>26250</v>
      </c>
      <c r="E37" s="25">
        <f>F17</f>
        <v>33000</v>
      </c>
      <c r="F37" s="25"/>
      <c r="G37" s="25">
        <f>ROUND(G35/1000,1)</f>
        <v>47250</v>
      </c>
      <c r="H37" s="25">
        <f>ROUND(H35/1000,1)</f>
        <v>30093.8</v>
      </c>
      <c r="J37" s="85">
        <f>ROUND(J35/1000,1)</f>
        <v>10950</v>
      </c>
      <c r="K37" s="85">
        <f>ROUND(K35/1000,1)</f>
        <v>6562.5</v>
      </c>
      <c r="L37" s="85">
        <f>ROUND(L35/1000,1)</f>
        <v>8250</v>
      </c>
      <c r="U37" s="84" t="s">
        <v>101</v>
      </c>
      <c r="V37" s="25">
        <f>V38*84</f>
        <v>69999997.200000003</v>
      </c>
      <c r="W37" s="25"/>
      <c r="X37" s="25">
        <f>X38*106</f>
        <v>44166664.900000006</v>
      </c>
      <c r="Y37" s="25">
        <f>Y38*18</f>
        <v>7499999.7000000002</v>
      </c>
      <c r="Z37" s="25">
        <f>Z38*44</f>
        <v>18333332.600000001</v>
      </c>
      <c r="AA37" s="90"/>
    </row>
    <row r="38" spans="2:27" x14ac:dyDescent="0.4">
      <c r="U38" s="84" t="s">
        <v>104</v>
      </c>
      <c r="V38" s="25">
        <f>ROUND($Z$8/3,1)</f>
        <v>833333.3</v>
      </c>
      <c r="W38" s="25"/>
      <c r="X38" s="25">
        <f>V38/2</f>
        <v>416666.65</v>
      </c>
      <c r="Y38" s="25">
        <f>V38/2</f>
        <v>416666.65</v>
      </c>
      <c r="Z38" s="25">
        <f>V38/2</f>
        <v>416666.65</v>
      </c>
      <c r="AA38" s="90"/>
    </row>
    <row r="39" spans="2:27" x14ac:dyDescent="0.4">
      <c r="B39" s="297" t="s">
        <v>125</v>
      </c>
      <c r="C39" s="297"/>
      <c r="D39" s="297"/>
      <c r="E39" s="297"/>
      <c r="F39" s="297"/>
      <c r="G39" s="297"/>
      <c r="H39" s="84"/>
      <c r="I39" s="84"/>
      <c r="J39" s="297"/>
      <c r="K39" s="297"/>
      <c r="L39" s="297"/>
      <c r="U39" s="84" t="s">
        <v>106</v>
      </c>
      <c r="V39" s="25">
        <f>ROUND(V37/1000,1)</f>
        <v>70000</v>
      </c>
      <c r="W39" s="25"/>
      <c r="X39" s="25">
        <f>ROUND(X37/1000,1)</f>
        <v>44166.7</v>
      </c>
      <c r="Y39" s="25">
        <f>ROUND(Y37/1000,1)</f>
        <v>7500</v>
      </c>
      <c r="Z39" s="25">
        <f>ROUND(Z37/1000,1)</f>
        <v>18333.3</v>
      </c>
      <c r="AA39" s="90"/>
    </row>
    <row r="40" spans="2:27" ht="16.2" x14ac:dyDescent="0.4">
      <c r="B40" s="84"/>
      <c r="C40" s="33" t="s">
        <v>128</v>
      </c>
      <c r="D40" s="35" t="s">
        <v>95</v>
      </c>
      <c r="E40" s="33" t="s">
        <v>392</v>
      </c>
      <c r="F40" s="33" t="s">
        <v>94</v>
      </c>
      <c r="G40" s="33" t="s">
        <v>111</v>
      </c>
      <c r="H40" s="84"/>
      <c r="I40" s="84"/>
      <c r="J40" s="84"/>
      <c r="K40" s="84"/>
      <c r="L40" s="34" t="s">
        <v>129</v>
      </c>
      <c r="V40" s="90"/>
      <c r="W40" s="90"/>
      <c r="X40" s="90"/>
      <c r="Y40" s="90"/>
      <c r="Z40" s="90"/>
      <c r="AA40" s="90"/>
    </row>
    <row r="41" spans="2:27" ht="16.2" x14ac:dyDescent="0.4">
      <c r="B41" s="84" t="s">
        <v>101</v>
      </c>
      <c r="C41" s="25">
        <f>G35</f>
        <v>47250000</v>
      </c>
      <c r="D41" s="25"/>
      <c r="E41" s="25">
        <f>E42*105.98844</f>
        <v>22356936.5625</v>
      </c>
      <c r="F41" s="25">
        <f>F42*18</f>
        <v>3796875</v>
      </c>
      <c r="G41" s="25">
        <f>G42*44</f>
        <v>9281250</v>
      </c>
      <c r="L41" s="85">
        <f>L42*84</f>
        <v>11812500</v>
      </c>
      <c r="U41" s="84"/>
      <c r="V41" s="33" t="s">
        <v>130</v>
      </c>
      <c r="W41" s="33" t="s">
        <v>120</v>
      </c>
      <c r="X41" s="33" t="s">
        <v>95</v>
      </c>
      <c r="Y41" s="33" t="s">
        <v>131</v>
      </c>
      <c r="Z41" s="33" t="s">
        <v>132</v>
      </c>
      <c r="AA41" s="33" t="s">
        <v>393</v>
      </c>
    </row>
    <row r="42" spans="2:27" x14ac:dyDescent="0.4">
      <c r="B42" s="84" t="s">
        <v>104</v>
      </c>
      <c r="C42" s="25">
        <f>G36</f>
        <v>562500</v>
      </c>
      <c r="D42" s="25"/>
      <c r="E42" s="25">
        <f>C42/2*'3. Inputs &amp; results'!H15</f>
        <v>210937.5</v>
      </c>
      <c r="F42" s="25">
        <f>C42/2*'3. Inputs &amp; results'!H15</f>
        <v>210937.5</v>
      </c>
      <c r="G42" s="25">
        <f>C42/2*'3. Inputs &amp; results'!H15</f>
        <v>210937.5</v>
      </c>
      <c r="L42" s="85">
        <f>C42*(1-'3. Inputs &amp; results'!H15)</f>
        <v>140625</v>
      </c>
      <c r="U42" s="84" t="s">
        <v>101</v>
      </c>
      <c r="V42" s="25">
        <f>V43*53.5</f>
        <v>44583331.550000004</v>
      </c>
      <c r="W42" s="25">
        <f>W43*74</f>
        <v>30833335.800000001</v>
      </c>
      <c r="X42" s="25"/>
      <c r="Y42" s="25">
        <f>Y43*17</f>
        <v>14166666.100000001</v>
      </c>
      <c r="Z42" s="25">
        <f>Z43*111</f>
        <v>46250003.700000003</v>
      </c>
      <c r="AA42" s="25">
        <f>AA43*18</f>
        <v>14999999.4</v>
      </c>
    </row>
    <row r="43" spans="2:27" x14ac:dyDescent="0.4">
      <c r="B43" s="84" t="s">
        <v>106</v>
      </c>
      <c r="C43" s="25">
        <f>G37</f>
        <v>47250</v>
      </c>
      <c r="D43" s="25"/>
      <c r="E43" s="25">
        <f>ROUND(E41/1000,1)</f>
        <v>22356.9</v>
      </c>
      <c r="F43" s="25">
        <f>ROUND(F41/1000,1)</f>
        <v>3796.9</v>
      </c>
      <c r="G43" s="25">
        <f>ROUND(G41/1000,1)</f>
        <v>9281.2999999999993</v>
      </c>
      <c r="L43" s="85">
        <f>ROUND(L41/1000,1)</f>
        <v>11812.5</v>
      </c>
      <c r="U43" s="84" t="s">
        <v>104</v>
      </c>
      <c r="V43" s="25">
        <f>ROUND(AA33,1)</f>
        <v>833333.3</v>
      </c>
      <c r="W43" s="25">
        <f>ROUND(V43/2,1)</f>
        <v>416666.7</v>
      </c>
      <c r="X43" s="25"/>
      <c r="Y43" s="25">
        <f>V43</f>
        <v>833333.3</v>
      </c>
      <c r="Z43" s="25">
        <f>ROUND(V43/2,1)</f>
        <v>416666.7</v>
      </c>
      <c r="AA43" s="25">
        <f>V43</f>
        <v>833333.3</v>
      </c>
    </row>
    <row r="44" spans="2:27" x14ac:dyDescent="0.4">
      <c r="U44" s="84" t="s">
        <v>106</v>
      </c>
      <c r="V44" s="25">
        <f t="shared" ref="V44:AA44" si="0">ROUND(V42/1000,1)</f>
        <v>44583.3</v>
      </c>
      <c r="W44" s="25">
        <f t="shared" si="0"/>
        <v>30833.3</v>
      </c>
      <c r="X44" s="25"/>
      <c r="Y44" s="25">
        <f t="shared" si="0"/>
        <v>14166.7</v>
      </c>
      <c r="Z44" s="25">
        <f t="shared" si="0"/>
        <v>46250</v>
      </c>
      <c r="AA44" s="25">
        <f t="shared" si="0"/>
        <v>15000</v>
      </c>
    </row>
    <row r="45" spans="2:27" x14ac:dyDescent="0.4">
      <c r="B45" s="297" t="s">
        <v>133</v>
      </c>
      <c r="C45" s="297"/>
      <c r="D45" s="297"/>
      <c r="E45" s="297"/>
      <c r="F45" s="297"/>
      <c r="G45" s="297"/>
      <c r="H45" s="297"/>
      <c r="I45" s="84"/>
      <c r="J45" s="297"/>
      <c r="K45" s="297"/>
      <c r="L45" s="297"/>
    </row>
    <row r="46" spans="2:27" ht="16.2" x14ac:dyDescent="0.4">
      <c r="B46" s="84"/>
      <c r="C46" s="33" t="s">
        <v>130</v>
      </c>
      <c r="D46" s="33" t="s">
        <v>120</v>
      </c>
      <c r="E46" s="35" t="s">
        <v>95</v>
      </c>
      <c r="F46" s="33" t="s">
        <v>131</v>
      </c>
      <c r="G46" s="33" t="s">
        <v>132</v>
      </c>
      <c r="H46" s="33" t="s">
        <v>393</v>
      </c>
      <c r="I46" s="84"/>
      <c r="J46" s="84"/>
      <c r="K46" s="34" t="s">
        <v>134</v>
      </c>
      <c r="L46" s="34" t="s">
        <v>135</v>
      </c>
    </row>
    <row r="47" spans="2:27" x14ac:dyDescent="0.4">
      <c r="B47" s="84" t="s">
        <v>101</v>
      </c>
      <c r="C47" s="25">
        <f>C48*53.5</f>
        <v>30093750</v>
      </c>
      <c r="D47" s="25">
        <f>D48*74</f>
        <v>20812500</v>
      </c>
      <c r="E47" s="25"/>
      <c r="F47" s="25">
        <f>F48*17</f>
        <v>9371250</v>
      </c>
      <c r="G47" s="25">
        <f>G48*111</f>
        <v>30594375</v>
      </c>
      <c r="H47" s="25">
        <f>H48*18</f>
        <v>9922500</v>
      </c>
      <c r="K47" s="85">
        <f>K48*53.5</f>
        <v>601875.00000000047</v>
      </c>
      <c r="L47" s="85">
        <f>L48*74</f>
        <v>416250.00000000035</v>
      </c>
    </row>
    <row r="48" spans="2:27" x14ac:dyDescent="0.4">
      <c r="B48" s="84" t="s">
        <v>104</v>
      </c>
      <c r="C48" s="25">
        <f>ROUND(H36,1)</f>
        <v>562500</v>
      </c>
      <c r="D48" s="25">
        <f>ROUND(C48/2,1)</f>
        <v>281250</v>
      </c>
      <c r="E48" s="25"/>
      <c r="F48" s="25">
        <f>C48*'3. Inputs &amp; results'!H16</f>
        <v>551250</v>
      </c>
      <c r="G48" s="25">
        <f>ROUND(C48/2*'3. Inputs &amp; results'!H16,1)</f>
        <v>275625</v>
      </c>
      <c r="H48" s="25">
        <f>C48*'3. Inputs &amp; results'!H16</f>
        <v>551250</v>
      </c>
      <c r="K48" s="85">
        <f>C48*(1-'3. Inputs &amp; results'!H16)</f>
        <v>11250.000000000009</v>
      </c>
      <c r="L48" s="85">
        <f>D48*(1-'3. Inputs &amp; results'!H16)</f>
        <v>5625.0000000000045</v>
      </c>
    </row>
    <row r="49" spans="2:28" x14ac:dyDescent="0.4">
      <c r="B49" s="84" t="s">
        <v>106</v>
      </c>
      <c r="C49" s="25">
        <f t="shared" ref="C49:H49" si="1">ROUND(C47/1000,1)</f>
        <v>30093.8</v>
      </c>
      <c r="D49" s="25">
        <f t="shared" si="1"/>
        <v>20812.5</v>
      </c>
      <c r="E49" s="25"/>
      <c r="F49" s="25">
        <f t="shared" si="1"/>
        <v>9371.2999999999993</v>
      </c>
      <c r="G49" s="25">
        <f t="shared" si="1"/>
        <v>30594.400000000001</v>
      </c>
      <c r="H49" s="25">
        <f t="shared" si="1"/>
        <v>9922.5</v>
      </c>
      <c r="K49" s="85">
        <f>ROUND(K47/1000,1)</f>
        <v>601.9</v>
      </c>
      <c r="L49" s="85">
        <f>ROUND(L47/1000,1)</f>
        <v>416.3</v>
      </c>
    </row>
    <row r="52" spans="2:28" x14ac:dyDescent="0.4">
      <c r="B52" s="300" t="s">
        <v>136</v>
      </c>
      <c r="C52" s="300"/>
      <c r="D52" s="300"/>
      <c r="E52" s="300"/>
      <c r="F52" s="300"/>
      <c r="G52" s="300"/>
      <c r="H52" s="300"/>
      <c r="I52" s="300"/>
      <c r="J52" s="300"/>
      <c r="K52" s="300"/>
      <c r="L52" s="300"/>
      <c r="U52" s="300" t="s">
        <v>137</v>
      </c>
      <c r="V52" s="300"/>
      <c r="W52" s="300"/>
      <c r="X52" s="300"/>
      <c r="Y52" s="300"/>
      <c r="Z52" s="300"/>
      <c r="AA52" s="300"/>
      <c r="AB52" s="300"/>
    </row>
    <row r="53" spans="2:28" ht="16.2" x14ac:dyDescent="0.4">
      <c r="B53" s="301" t="s">
        <v>110</v>
      </c>
      <c r="C53" s="301"/>
      <c r="D53" s="301"/>
      <c r="E53" s="301"/>
      <c r="F53" s="301"/>
      <c r="G53" s="301"/>
      <c r="H53" s="301"/>
      <c r="I53" s="301"/>
      <c r="J53" s="20"/>
      <c r="K53" s="297" t="s">
        <v>98</v>
      </c>
      <c r="L53" s="297"/>
      <c r="U53" s="84"/>
      <c r="V53" s="33" t="s">
        <v>394</v>
      </c>
      <c r="W53" s="33" t="s">
        <v>392</v>
      </c>
      <c r="X53" s="35" t="s">
        <v>95</v>
      </c>
      <c r="Y53" s="33" t="s">
        <v>146</v>
      </c>
      <c r="Z53" s="33" t="s">
        <v>395</v>
      </c>
      <c r="AA53" s="33" t="s">
        <v>138</v>
      </c>
      <c r="AB53" s="33" t="s">
        <v>396</v>
      </c>
    </row>
    <row r="54" spans="2:28" ht="16.2" x14ac:dyDescent="0.4">
      <c r="B54" s="84"/>
      <c r="C54" s="33" t="s">
        <v>394</v>
      </c>
      <c r="D54" s="33" t="s">
        <v>392</v>
      </c>
      <c r="E54" s="33" t="s">
        <v>95</v>
      </c>
      <c r="F54" s="33" t="s">
        <v>146</v>
      </c>
      <c r="G54" s="33" t="s">
        <v>395</v>
      </c>
      <c r="H54" s="33" t="s">
        <v>139</v>
      </c>
      <c r="I54" s="33" t="s">
        <v>396</v>
      </c>
      <c r="J54" s="84"/>
      <c r="K54" s="34" t="s">
        <v>140</v>
      </c>
      <c r="L54" s="34" t="s">
        <v>141</v>
      </c>
      <c r="U54" s="84" t="s">
        <v>101</v>
      </c>
      <c r="V54" s="25">
        <f>V55*98</f>
        <v>40833331.700000003</v>
      </c>
      <c r="W54" s="25">
        <f>X37/2</f>
        <v>22083332.450000003</v>
      </c>
      <c r="X54" s="25"/>
      <c r="Y54" s="25">
        <f>Y55*73.88</f>
        <v>15391666.050999999</v>
      </c>
      <c r="Z54" s="25">
        <f>Z55*62</f>
        <v>12916666.15</v>
      </c>
      <c r="AA54" s="25">
        <f>AA55*75</f>
        <v>15624999.375</v>
      </c>
      <c r="AB54" s="25">
        <f>AB55*91</f>
        <v>18958332.574999999</v>
      </c>
    </row>
    <row r="55" spans="2:28" x14ac:dyDescent="0.4">
      <c r="B55" s="84" t="s">
        <v>142</v>
      </c>
      <c r="C55" s="25">
        <f>C56*97.872994</f>
        <v>20645084.671875</v>
      </c>
      <c r="D55" s="25">
        <f>E41/2</f>
        <v>11178468.28125</v>
      </c>
      <c r="E55" s="25"/>
      <c r="F55" s="25">
        <f>F56*73.88</f>
        <v>7012828.125</v>
      </c>
      <c r="G55" s="25">
        <f>G56*62</f>
        <v>5885156.25</v>
      </c>
      <c r="H55" s="25">
        <f>H56*75</f>
        <v>7119140.625</v>
      </c>
      <c r="I55" s="25">
        <f>I56*91</f>
        <v>8637890.625</v>
      </c>
      <c r="K55" s="85">
        <f>K56*98</f>
        <v>2067187.4999999995</v>
      </c>
      <c r="L55" s="85">
        <f>L56*106</f>
        <v>1117968.7499999998</v>
      </c>
      <c r="U55" s="84" t="s">
        <v>104</v>
      </c>
      <c r="V55" s="25">
        <f>W55*2</f>
        <v>416666.65</v>
      </c>
      <c r="W55" s="25">
        <f>X38/2</f>
        <v>208333.32500000001</v>
      </c>
      <c r="X55" s="25"/>
      <c r="Y55" s="25">
        <f>W55</f>
        <v>208333.32500000001</v>
      </c>
      <c r="Z55" s="25">
        <f>Y55</f>
        <v>208333.32500000001</v>
      </c>
      <c r="AA55" s="25">
        <f>Y55</f>
        <v>208333.32500000001</v>
      </c>
      <c r="AB55" s="25">
        <f>Y55</f>
        <v>208333.32500000001</v>
      </c>
    </row>
    <row r="56" spans="2:28" x14ac:dyDescent="0.4">
      <c r="B56" s="84" t="s">
        <v>143</v>
      </c>
      <c r="C56" s="25">
        <f>D56*2</f>
        <v>210937.5</v>
      </c>
      <c r="D56" s="25">
        <f>E42/2</f>
        <v>105468.75</v>
      </c>
      <c r="E56" s="25"/>
      <c r="F56" s="25">
        <f>D56*'3. Inputs &amp; results'!H17</f>
        <v>94921.875</v>
      </c>
      <c r="G56" s="25">
        <f>F56</f>
        <v>94921.875</v>
      </c>
      <c r="H56" s="25">
        <f>F56</f>
        <v>94921.875</v>
      </c>
      <c r="I56" s="25">
        <f>F56</f>
        <v>94921.875</v>
      </c>
      <c r="K56" s="85">
        <f>C56*(1-'3. Inputs &amp; results'!H17)</f>
        <v>21093.749999999996</v>
      </c>
      <c r="L56" s="85">
        <f>D56*(1-'3. Inputs &amp; results'!H17)</f>
        <v>10546.874999999998</v>
      </c>
      <c r="U56" s="84" t="s">
        <v>106</v>
      </c>
      <c r="V56" s="25">
        <f>ROUND(V54/1000,1)</f>
        <v>40833.300000000003</v>
      </c>
      <c r="W56" s="25">
        <f>X39/2</f>
        <v>22083.35</v>
      </c>
      <c r="X56" s="25"/>
      <c r="Y56" s="25">
        <f>ROUND(Y54/1000,1)</f>
        <v>15391.7</v>
      </c>
      <c r="Z56" s="25">
        <f>ROUND(Z54/1000,1)</f>
        <v>12916.7</v>
      </c>
      <c r="AA56" s="25">
        <f>ROUND(AA54/1000,1)</f>
        <v>15625</v>
      </c>
      <c r="AB56" s="25">
        <f>ROUND(AB54/1000,1)</f>
        <v>18958.3</v>
      </c>
    </row>
    <row r="57" spans="2:28" x14ac:dyDescent="0.4">
      <c r="B57" s="84" t="s">
        <v>144</v>
      </c>
      <c r="C57" s="25">
        <f>ROUND(C55/1000,1)</f>
        <v>20645.099999999999</v>
      </c>
      <c r="D57" s="25">
        <f>E43/2</f>
        <v>11178.45</v>
      </c>
      <c r="E57" s="25"/>
      <c r="F57" s="25">
        <f>ROUND(F55/1000,1)</f>
        <v>7012.8</v>
      </c>
      <c r="G57" s="25">
        <f>ROUND(G55/1000,1)</f>
        <v>5885.2</v>
      </c>
      <c r="H57" s="25">
        <f>ROUND(H55/1000,1)</f>
        <v>7119.1</v>
      </c>
      <c r="I57" s="25">
        <f>ROUND(I55/1000,1)</f>
        <v>8637.9</v>
      </c>
      <c r="K57" s="85">
        <f>ROUND(K55/1000,1)</f>
        <v>2067.1999999999998</v>
      </c>
      <c r="L57" s="85">
        <f>ROUND(L55/1000,1)</f>
        <v>1118</v>
      </c>
    </row>
    <row r="58" spans="2:28" ht="16.2" x14ac:dyDescent="0.4">
      <c r="U58" s="84"/>
      <c r="V58" s="33" t="s">
        <v>146</v>
      </c>
      <c r="W58" s="33" t="s">
        <v>94</v>
      </c>
      <c r="X58" s="35" t="s">
        <v>95</v>
      </c>
      <c r="Y58" s="33" t="s">
        <v>397</v>
      </c>
      <c r="Z58" s="33"/>
      <c r="AA58" s="84"/>
      <c r="AB58" s="84"/>
    </row>
    <row r="59" spans="2:28" x14ac:dyDescent="0.4">
      <c r="B59" s="297" t="s">
        <v>116</v>
      </c>
      <c r="C59" s="297"/>
      <c r="D59" s="297"/>
      <c r="E59" s="297"/>
      <c r="F59" s="297"/>
      <c r="G59" s="84"/>
      <c r="H59" s="84"/>
      <c r="I59" s="84"/>
      <c r="J59" s="84"/>
      <c r="K59" s="84"/>
      <c r="L59" s="84"/>
      <c r="U59" s="84" t="s">
        <v>101</v>
      </c>
      <c r="V59" s="25">
        <f>Y54</f>
        <v>15391666.050999999</v>
      </c>
      <c r="W59" s="25">
        <f>W60*18</f>
        <v>3749999.85</v>
      </c>
      <c r="X59" s="25"/>
      <c r="Y59" s="25">
        <f>V59+W59</f>
        <v>19141665.901000001</v>
      </c>
      <c r="Z59" s="90"/>
      <c r="AA59" s="90"/>
      <c r="AB59" s="90"/>
    </row>
    <row r="60" spans="2:28" ht="16.2" x14ac:dyDescent="0.4">
      <c r="B60" s="84"/>
      <c r="C60" s="33" t="s">
        <v>146</v>
      </c>
      <c r="D60" s="33" t="s">
        <v>94</v>
      </c>
      <c r="E60" s="35" t="s">
        <v>95</v>
      </c>
      <c r="F60" s="33" t="s">
        <v>397</v>
      </c>
      <c r="G60" s="84"/>
      <c r="H60" s="84"/>
      <c r="I60" s="84"/>
      <c r="J60" s="84"/>
      <c r="K60" s="34" t="s">
        <v>145</v>
      </c>
      <c r="L60" s="34" t="s">
        <v>100</v>
      </c>
      <c r="U60" s="84" t="s">
        <v>104</v>
      </c>
      <c r="V60" s="25">
        <f>Y55</f>
        <v>208333.32500000001</v>
      </c>
      <c r="W60" s="25">
        <f>V60</f>
        <v>208333.32500000001</v>
      </c>
      <c r="X60" s="25"/>
      <c r="Y60" s="25">
        <f>W60</f>
        <v>208333.32500000001</v>
      </c>
      <c r="Z60" s="90"/>
      <c r="AA60" s="90"/>
      <c r="AB60" s="90"/>
    </row>
    <row r="61" spans="2:28" x14ac:dyDescent="0.4">
      <c r="B61" s="84" t="s">
        <v>142</v>
      </c>
      <c r="C61" s="25">
        <f>F55</f>
        <v>7012828.125</v>
      </c>
      <c r="D61" s="25">
        <f>D62*18</f>
        <v>1708593.75</v>
      </c>
      <c r="E61" s="25"/>
      <c r="F61" s="25">
        <f>(73.88+18)*F62</f>
        <v>6977137.5</v>
      </c>
      <c r="I61" s="90"/>
      <c r="K61" s="25">
        <f>K62*73.88</f>
        <v>1402565.6249999995</v>
      </c>
      <c r="L61" s="25">
        <f>L62*18</f>
        <v>341718.74999999994</v>
      </c>
      <c r="U61" s="84" t="s">
        <v>106</v>
      </c>
      <c r="V61" s="25">
        <f>Y56</f>
        <v>15391.7</v>
      </c>
      <c r="W61" s="25">
        <f>W59/1000</f>
        <v>3749.9998500000002</v>
      </c>
      <c r="X61" s="25"/>
      <c r="Y61" s="25">
        <f>V61+W61</f>
        <v>19141.699850000001</v>
      </c>
      <c r="Z61" s="90"/>
      <c r="AA61" s="90"/>
      <c r="AB61" s="90"/>
    </row>
    <row r="62" spans="2:28" x14ac:dyDescent="0.4">
      <c r="B62" s="84" t="s">
        <v>143</v>
      </c>
      <c r="C62" s="25">
        <f>F56</f>
        <v>94921.875</v>
      </c>
      <c r="D62" s="25">
        <f>C62</f>
        <v>94921.875</v>
      </c>
      <c r="E62" s="25"/>
      <c r="F62" s="25">
        <f>D62*'3. Inputs &amp; results'!H18</f>
        <v>75937.5</v>
      </c>
      <c r="K62" s="25">
        <f>C62*(1-'3. Inputs &amp; results'!H18)</f>
        <v>18984.374999999996</v>
      </c>
      <c r="L62" s="25">
        <f>D62*(1-'3. Inputs &amp; results'!H18)</f>
        <v>18984.374999999996</v>
      </c>
    </row>
    <row r="63" spans="2:28" ht="16.2" x14ac:dyDescent="0.4">
      <c r="B63" s="84" t="s">
        <v>144</v>
      </c>
      <c r="C63" s="25">
        <f>F57</f>
        <v>7012.8</v>
      </c>
      <c r="D63" s="25">
        <f>D61/1000</f>
        <v>1708.59375</v>
      </c>
      <c r="E63" s="25"/>
      <c r="F63" s="25">
        <f>F61/1000</f>
        <v>6977.1374999999998</v>
      </c>
      <c r="K63" s="25">
        <f>K61/1000</f>
        <v>1402.5656249999995</v>
      </c>
      <c r="L63" s="25">
        <f>L61/1000</f>
        <v>341.71874999999994</v>
      </c>
      <c r="U63" s="84"/>
      <c r="V63" s="33" t="s">
        <v>146</v>
      </c>
      <c r="W63" s="33" t="s">
        <v>147</v>
      </c>
      <c r="X63" s="35" t="s">
        <v>95</v>
      </c>
      <c r="Y63" s="33" t="s">
        <v>148</v>
      </c>
      <c r="Z63" s="33" t="s">
        <v>94</v>
      </c>
      <c r="AA63" s="33" t="s">
        <v>111</v>
      </c>
      <c r="AB63" s="84"/>
    </row>
    <row r="64" spans="2:28" x14ac:dyDescent="0.4">
      <c r="U64" s="84" t="s">
        <v>101</v>
      </c>
      <c r="V64" s="25">
        <f>V59</f>
        <v>15391666.050999999</v>
      </c>
      <c r="W64" s="25">
        <f>W65*36.458</f>
        <v>15190832.7257</v>
      </c>
      <c r="X64" s="25"/>
      <c r="Y64" s="25">
        <f>Y65*42.394</f>
        <v>17664165.960099999</v>
      </c>
      <c r="Z64" s="25">
        <f>Z65*18</f>
        <v>3749999.85</v>
      </c>
      <c r="AA64" s="25">
        <f>AA65*44</f>
        <v>9166666.3000000007</v>
      </c>
      <c r="AB64" s="90"/>
    </row>
    <row r="65" spans="2:28" x14ac:dyDescent="0.4">
      <c r="B65" s="297" t="s">
        <v>116</v>
      </c>
      <c r="C65" s="297"/>
      <c r="D65" s="297"/>
      <c r="E65" s="297"/>
      <c r="F65" s="297"/>
      <c r="G65" s="297"/>
      <c r="H65" s="297"/>
      <c r="I65" s="84"/>
      <c r="J65" s="84"/>
      <c r="K65" s="84"/>
      <c r="L65" s="84"/>
      <c r="U65" s="84" t="s">
        <v>104</v>
      </c>
      <c r="V65" s="25">
        <f>V60</f>
        <v>208333.32500000001</v>
      </c>
      <c r="W65" s="25">
        <f>V65*2</f>
        <v>416666.65</v>
      </c>
      <c r="X65" s="25"/>
      <c r="Y65" s="25">
        <f>V65*2</f>
        <v>416666.65</v>
      </c>
      <c r="Z65" s="25">
        <f>V65</f>
        <v>208333.32500000001</v>
      </c>
      <c r="AA65" s="25">
        <f>V65</f>
        <v>208333.32500000001</v>
      </c>
      <c r="AB65" s="90"/>
    </row>
    <row r="66" spans="2:28" ht="16.2" x14ac:dyDescent="0.4">
      <c r="B66" s="84"/>
      <c r="C66" s="33" t="s">
        <v>146</v>
      </c>
      <c r="D66" s="33" t="s">
        <v>147</v>
      </c>
      <c r="E66" s="35" t="s">
        <v>95</v>
      </c>
      <c r="F66" s="33" t="s">
        <v>148</v>
      </c>
      <c r="G66" s="33" t="s">
        <v>94</v>
      </c>
      <c r="H66" s="33" t="s">
        <v>111</v>
      </c>
      <c r="I66" s="84"/>
      <c r="J66" s="84"/>
      <c r="K66" s="34" t="s">
        <v>145</v>
      </c>
      <c r="L66" s="34" t="s">
        <v>147</v>
      </c>
      <c r="U66" s="84" t="s">
        <v>106</v>
      </c>
      <c r="V66" s="25">
        <f>V61</f>
        <v>15391.7</v>
      </c>
      <c r="W66" s="25">
        <f>W64/1000</f>
        <v>15190.8327257</v>
      </c>
      <c r="X66" s="25"/>
      <c r="Y66" s="25">
        <f>Y64/1000</f>
        <v>17664.165960099999</v>
      </c>
      <c r="Z66" s="25">
        <f>Z64/1000</f>
        <v>3749.9998500000002</v>
      </c>
      <c r="AA66" s="25">
        <f>AA64/1000</f>
        <v>9166.6663000000008</v>
      </c>
      <c r="AB66" s="90"/>
    </row>
    <row r="67" spans="2:28" x14ac:dyDescent="0.4">
      <c r="B67" s="84" t="s">
        <v>142</v>
      </c>
      <c r="C67" s="25">
        <f>C68*73.88</f>
        <v>5610262.5</v>
      </c>
      <c r="D67" s="25">
        <f>D68*36.4584</f>
        <v>5537119.5</v>
      </c>
      <c r="E67" s="25"/>
      <c r="F67" s="25">
        <f>F68*42.394</f>
        <v>5150871</v>
      </c>
      <c r="G67" s="25">
        <f>G68*18</f>
        <v>1093500</v>
      </c>
      <c r="H67" s="25">
        <f>H68*44</f>
        <v>2673000</v>
      </c>
      <c r="K67" s="25">
        <f>K68*73.88</f>
        <v>1122052.4999999998</v>
      </c>
      <c r="L67" s="25">
        <f>L68*36.4584</f>
        <v>1107423.8999999997</v>
      </c>
    </row>
    <row r="68" spans="2:28" ht="16.2" x14ac:dyDescent="0.4">
      <c r="B68" s="84" t="s">
        <v>143</v>
      </c>
      <c r="C68" s="25">
        <f>C62*'3. Inputs &amp; results'!H18</f>
        <v>75937.5</v>
      </c>
      <c r="D68" s="25">
        <f>C68*2</f>
        <v>151875</v>
      </c>
      <c r="E68" s="25"/>
      <c r="F68" s="25">
        <f>D68*'3. Inputs &amp; results'!H19</f>
        <v>121500</v>
      </c>
      <c r="G68" s="25">
        <f>C68*'3. Inputs &amp; results'!H19</f>
        <v>60750</v>
      </c>
      <c r="H68" s="25">
        <f>C68*'3. Inputs &amp; results'!H19</f>
        <v>60750</v>
      </c>
      <c r="K68" s="25">
        <f>C68*(1-'3. Inputs &amp; results'!H19)</f>
        <v>15187.499999999996</v>
      </c>
      <c r="L68" s="25">
        <f>D68*(1-'3. Inputs &amp; results'!H19)</f>
        <v>30374.999999999993</v>
      </c>
      <c r="U68" s="84"/>
      <c r="V68" s="33" t="s">
        <v>148</v>
      </c>
      <c r="W68" s="33" t="s">
        <v>392</v>
      </c>
      <c r="X68" s="35" t="s">
        <v>95</v>
      </c>
      <c r="Y68" s="33" t="s">
        <v>146</v>
      </c>
      <c r="Z68" s="33" t="s">
        <v>149</v>
      </c>
      <c r="AA68" s="84"/>
      <c r="AB68" s="84"/>
    </row>
    <row r="69" spans="2:28" x14ac:dyDescent="0.4">
      <c r="B69" s="84" t="s">
        <v>144</v>
      </c>
      <c r="C69" s="25">
        <f>C67/1000</f>
        <v>5610.2624999999998</v>
      </c>
      <c r="D69" s="25">
        <f>D67/1000</f>
        <v>5537.1194999999998</v>
      </c>
      <c r="E69" s="25"/>
      <c r="F69" s="25">
        <f>F67/1000</f>
        <v>5150.8710000000001</v>
      </c>
      <c r="G69" s="25">
        <f>G67/1000</f>
        <v>1093.5</v>
      </c>
      <c r="H69" s="25">
        <f>H67/1000</f>
        <v>2673</v>
      </c>
      <c r="K69" s="25">
        <f>K67/1000</f>
        <v>1122.0524999999998</v>
      </c>
      <c r="L69" s="25">
        <f>L67/1000</f>
        <v>1107.4238999999998</v>
      </c>
      <c r="U69" s="84" t="s">
        <v>101</v>
      </c>
      <c r="V69" s="25">
        <f>Y64</f>
        <v>17664165.960099999</v>
      </c>
      <c r="W69" s="25">
        <f>X37/2</f>
        <v>22083332.450000003</v>
      </c>
      <c r="X69" s="25"/>
      <c r="Y69" s="25">
        <f>Y70*73.88</f>
        <v>15391666.050999999</v>
      </c>
      <c r="Z69" s="25">
        <f>Z70*58.44</f>
        <v>12174999.513</v>
      </c>
      <c r="AA69" s="90"/>
      <c r="AB69" s="90"/>
    </row>
    <row r="70" spans="2:28" x14ac:dyDescent="0.4">
      <c r="U70" s="84" t="s">
        <v>104</v>
      </c>
      <c r="V70" s="25">
        <f>Y65</f>
        <v>416666.65</v>
      </c>
      <c r="W70" s="25">
        <f>X38/2</f>
        <v>208333.32500000001</v>
      </c>
      <c r="X70" s="25"/>
      <c r="Y70" s="25">
        <f>V70/2</f>
        <v>208333.32500000001</v>
      </c>
      <c r="Z70" s="25">
        <f>V70/2</f>
        <v>208333.32500000001</v>
      </c>
      <c r="AA70" s="90"/>
      <c r="AB70" s="90"/>
    </row>
    <row r="71" spans="2:28" x14ac:dyDescent="0.4">
      <c r="B71" s="297" t="s">
        <v>116</v>
      </c>
      <c r="C71" s="297"/>
      <c r="D71" s="297"/>
      <c r="E71" s="297"/>
      <c r="F71" s="297"/>
      <c r="G71" s="297"/>
      <c r="H71" s="84"/>
      <c r="I71" s="84"/>
      <c r="J71" s="84"/>
      <c r="K71" s="84"/>
      <c r="L71" s="84"/>
      <c r="U71" s="84" t="s">
        <v>106</v>
      </c>
      <c r="V71" s="25">
        <f>Y66</f>
        <v>17664.165960099999</v>
      </c>
      <c r="W71" s="25">
        <f>X39/2</f>
        <v>22083.35</v>
      </c>
      <c r="X71" s="25"/>
      <c r="Y71" s="25">
        <f>Y69/1000</f>
        <v>15391.666050999998</v>
      </c>
      <c r="Z71" s="25">
        <f>Z69/1000</f>
        <v>12174.999513000001</v>
      </c>
      <c r="AA71" s="90"/>
      <c r="AB71" s="90"/>
    </row>
    <row r="72" spans="2:28" ht="16.2" x14ac:dyDescent="0.4">
      <c r="B72" s="84"/>
      <c r="C72" s="33" t="s">
        <v>148</v>
      </c>
      <c r="D72" s="33" t="s">
        <v>392</v>
      </c>
      <c r="E72" s="35" t="s">
        <v>95</v>
      </c>
      <c r="F72" s="33" t="s">
        <v>146</v>
      </c>
      <c r="G72" s="33" t="s">
        <v>149</v>
      </c>
      <c r="H72" s="84"/>
      <c r="I72" s="84"/>
      <c r="J72" s="84"/>
      <c r="K72" s="34" t="s">
        <v>148</v>
      </c>
      <c r="L72" s="34" t="s">
        <v>141</v>
      </c>
    </row>
    <row r="73" spans="2:28" x14ac:dyDescent="0.4">
      <c r="B73" s="84" t="s">
        <v>142</v>
      </c>
      <c r="C73" s="25">
        <f>F67</f>
        <v>5150871</v>
      </c>
      <c r="D73" s="25">
        <f>E41/2</f>
        <v>11178468.28125</v>
      </c>
      <c r="E73" s="25"/>
      <c r="F73" s="25">
        <f>F74*73.88</f>
        <v>3590568</v>
      </c>
      <c r="G73" s="25">
        <f>G74*58.44</f>
        <v>2840184</v>
      </c>
      <c r="J73" s="90"/>
      <c r="K73" s="25">
        <f>K74*42.394</f>
        <v>1030174.1999999998</v>
      </c>
      <c r="L73" s="25">
        <f>L74*106</f>
        <v>2235937.4999999995</v>
      </c>
    </row>
    <row r="74" spans="2:28" x14ac:dyDescent="0.4">
      <c r="B74" s="84" t="s">
        <v>143</v>
      </c>
      <c r="C74" s="25">
        <f>F68</f>
        <v>121500</v>
      </c>
      <c r="D74" s="25">
        <f>E42/2</f>
        <v>105468.75</v>
      </c>
      <c r="E74" s="25"/>
      <c r="F74" s="25">
        <f>C74/2*'3. Inputs &amp; results'!H20</f>
        <v>48600</v>
      </c>
      <c r="G74" s="25">
        <f>C74/2*'3. Inputs &amp; results'!H20</f>
        <v>48600</v>
      </c>
      <c r="J74" s="90"/>
      <c r="K74" s="25">
        <f>C74*(1-'3. Inputs &amp; results'!H20)</f>
        <v>24299.999999999996</v>
      </c>
      <c r="L74" s="25">
        <f>D74*(1-'3. Inputs &amp; results'!H20)</f>
        <v>21093.749999999996</v>
      </c>
    </row>
    <row r="75" spans="2:28" x14ac:dyDescent="0.4">
      <c r="B75" s="84" t="s">
        <v>144</v>
      </c>
      <c r="C75" s="25">
        <f>F69</f>
        <v>5150.8710000000001</v>
      </c>
      <c r="D75" s="25">
        <f>E43/2</f>
        <v>11178.45</v>
      </c>
      <c r="E75" s="25"/>
      <c r="F75" s="25">
        <f>F73/1000</f>
        <v>3590.5680000000002</v>
      </c>
      <c r="G75" s="25">
        <f>G73/1000</f>
        <v>2840.1840000000002</v>
      </c>
      <c r="J75" s="90"/>
      <c r="K75" s="25">
        <f>K73/1000</f>
        <v>1030.1741999999999</v>
      </c>
      <c r="L75" s="25">
        <f>L73/1000</f>
        <v>2235.9374999999995</v>
      </c>
    </row>
  </sheetData>
  <mergeCells count="30">
    <mergeCell ref="U52:AB52"/>
    <mergeCell ref="J45:L45"/>
    <mergeCell ref="U4:Z4"/>
    <mergeCell ref="U12:Z12"/>
    <mergeCell ref="B20:L20"/>
    <mergeCell ref="B5:J5"/>
    <mergeCell ref="B4:J4"/>
    <mergeCell ref="I6:J6"/>
    <mergeCell ref="I13:J13"/>
    <mergeCell ref="B12:J12"/>
    <mergeCell ref="B6:G6"/>
    <mergeCell ref="B13:G13"/>
    <mergeCell ref="B21:F21"/>
    <mergeCell ref="U20:AA20"/>
    <mergeCell ref="B71:G71"/>
    <mergeCell ref="N4:R4"/>
    <mergeCell ref="O12:R13"/>
    <mergeCell ref="B52:L52"/>
    <mergeCell ref="K53:L53"/>
    <mergeCell ref="B53:I53"/>
    <mergeCell ref="B59:F59"/>
    <mergeCell ref="B65:H65"/>
    <mergeCell ref="B27:F27"/>
    <mergeCell ref="B33:H33"/>
    <mergeCell ref="B39:G39"/>
    <mergeCell ref="B45:H45"/>
    <mergeCell ref="J21:L21"/>
    <mergeCell ref="J27:L27"/>
    <mergeCell ref="J33:L33"/>
    <mergeCell ref="J39:L39"/>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24283-7F22-4E6F-94A9-08B628D2DA8E}">
  <dimension ref="B2:Y114"/>
  <sheetViews>
    <sheetView zoomScale="70" zoomScaleNormal="70" workbookViewId="0">
      <selection activeCell="B2" sqref="B2"/>
    </sheetView>
  </sheetViews>
  <sheetFormatPr defaultColWidth="8.69921875" defaultRowHeight="13.8" x14ac:dyDescent="0.4"/>
  <cols>
    <col min="1" max="1" width="8.69921875" style="2" customWidth="1"/>
    <col min="2" max="2" width="20.19921875" style="2" customWidth="1"/>
    <col min="3" max="3" width="38.69921875" style="2" bestFit="1" customWidth="1"/>
    <col min="4" max="4" width="14.69921875" style="2" customWidth="1"/>
    <col min="5" max="5" width="10.19921875" style="2" bestFit="1" customWidth="1"/>
    <col min="6" max="6" width="16.09765625" style="2" bestFit="1" customWidth="1"/>
    <col min="7" max="7" width="32.5" style="2" bestFit="1" customWidth="1"/>
    <col min="8" max="8" width="14.5" style="2" bestFit="1" customWidth="1"/>
    <col min="9" max="9" width="10.69921875" style="2" bestFit="1" customWidth="1"/>
    <col min="10" max="10" width="50.19921875" style="2" bestFit="1" customWidth="1"/>
    <col min="11" max="11" width="17.69921875" style="2" bestFit="1" customWidth="1"/>
    <col min="12" max="12" width="18.59765625" style="2" bestFit="1" customWidth="1"/>
    <col min="13" max="13" width="11.69921875" style="2" bestFit="1" customWidth="1"/>
    <col min="14" max="16" width="10.3984375" style="2" bestFit="1" customWidth="1"/>
    <col min="17" max="17" width="8.69921875" style="2"/>
    <col min="18" max="18" width="35.8984375" style="2" customWidth="1"/>
    <col min="19" max="19" width="38.69921875" style="2" bestFit="1" customWidth="1"/>
    <col min="20" max="20" width="12.5" style="2" bestFit="1" customWidth="1"/>
    <col min="21" max="21" width="12.19921875" style="2" bestFit="1" customWidth="1"/>
    <col min="22" max="22" width="14" style="2" bestFit="1" customWidth="1"/>
    <col min="23" max="25" width="12.19921875" style="2" bestFit="1" customWidth="1"/>
    <col min="26" max="16384" width="8.69921875" style="2"/>
  </cols>
  <sheetData>
    <row r="2" spans="2:25" ht="22.8" x14ac:dyDescent="0.4">
      <c r="B2" s="295" t="s">
        <v>443</v>
      </c>
    </row>
    <row r="4" spans="2:25" x14ac:dyDescent="0.4">
      <c r="B4" s="19"/>
      <c r="C4" s="19"/>
      <c r="D4" s="19"/>
      <c r="E4" s="19"/>
      <c r="F4" s="19"/>
      <c r="G4" s="19"/>
      <c r="H4" s="19"/>
      <c r="I4" s="19"/>
      <c r="J4" s="19"/>
      <c r="K4" s="19"/>
      <c r="L4" s="19"/>
      <c r="M4" s="19"/>
      <c r="N4" s="19"/>
      <c r="O4" s="19"/>
      <c r="P4" s="19"/>
      <c r="Q4" s="19"/>
      <c r="R4" s="19"/>
      <c r="S4" s="19"/>
      <c r="T4" s="19"/>
      <c r="U4" s="19"/>
      <c r="V4" s="19"/>
    </row>
    <row r="5" spans="2:25" ht="16.2" x14ac:dyDescent="0.4">
      <c r="B5" s="313" t="s">
        <v>150</v>
      </c>
      <c r="C5" s="92"/>
      <c r="D5" s="98" t="s">
        <v>407</v>
      </c>
      <c r="E5" s="98" t="s">
        <v>408</v>
      </c>
      <c r="F5" s="99" t="s">
        <v>151</v>
      </c>
      <c r="G5" s="19"/>
      <c r="H5" s="19"/>
      <c r="I5" s="19"/>
      <c r="J5" s="118" t="s">
        <v>152</v>
      </c>
      <c r="K5" s="119" t="s">
        <v>153</v>
      </c>
      <c r="L5" s="120" t="s">
        <v>154</v>
      </c>
      <c r="M5" s="19"/>
      <c r="R5" s="121" t="s">
        <v>155</v>
      </c>
      <c r="S5" s="121"/>
      <c r="T5" s="121"/>
      <c r="U5" s="121"/>
      <c r="V5" s="121"/>
      <c r="W5" s="121"/>
      <c r="X5" s="19"/>
      <c r="Y5" s="19"/>
    </row>
    <row r="6" spans="2:25" ht="16.2" x14ac:dyDescent="0.4">
      <c r="B6" s="314"/>
      <c r="C6" s="94" t="s">
        <v>156</v>
      </c>
      <c r="D6" s="122">
        <f>S8/'3. Inputs &amp; results'!H43</f>
        <v>2525.2524242424242</v>
      </c>
      <c r="E6" s="122">
        <f>T8/'3. Inputs &amp; results'!H43</f>
        <v>2525.2524242424242</v>
      </c>
      <c r="F6" s="123">
        <f>D6+E6</f>
        <v>5050.5048484848485</v>
      </c>
      <c r="G6" s="19"/>
      <c r="H6" s="19"/>
      <c r="I6" s="19"/>
      <c r="J6" s="124" t="s">
        <v>150</v>
      </c>
      <c r="K6" s="125">
        <f>0.73*L6/2.94/1.175</f>
        <v>1677579.3284330091</v>
      </c>
      <c r="L6" s="126">
        <f>34000000*(F8/1600)^0.6</f>
        <v>7938627.1096874392</v>
      </c>
      <c r="M6" s="19"/>
      <c r="R6" s="20"/>
      <c r="S6" s="33" t="s">
        <v>407</v>
      </c>
      <c r="T6" s="33" t="s">
        <v>408</v>
      </c>
      <c r="U6" s="20"/>
      <c r="V6" s="20" t="s">
        <v>157</v>
      </c>
      <c r="W6" s="20" t="s">
        <v>433</v>
      </c>
      <c r="X6" s="19"/>
      <c r="Y6" s="19"/>
    </row>
    <row r="7" spans="2:25" x14ac:dyDescent="0.4">
      <c r="B7" s="314"/>
      <c r="C7" s="94" t="s">
        <v>158</v>
      </c>
      <c r="D7" s="122"/>
      <c r="E7" s="122"/>
      <c r="F7" s="123"/>
      <c r="G7" s="19"/>
      <c r="H7" s="19"/>
      <c r="I7" s="19"/>
      <c r="J7" s="124" t="s">
        <v>159</v>
      </c>
      <c r="K7" s="125">
        <f>0.73*L7/2.94/1.175</f>
        <v>1703911.0546103416</v>
      </c>
      <c r="L7" s="126">
        <f>34000000*(F12/1600)^0.6</f>
        <v>8063233.8878786657</v>
      </c>
      <c r="M7" s="19"/>
      <c r="R7" s="20" t="s">
        <v>160</v>
      </c>
      <c r="S7" s="25">
        <f>'4. Material &amp; energy balance'!V7</f>
        <v>13333332.800000001</v>
      </c>
      <c r="T7" s="25">
        <f>ROUND('4. Material &amp; energy balance'!W7,-1)</f>
        <v>15000000</v>
      </c>
      <c r="U7" s="25"/>
      <c r="V7" s="25">
        <f>'4. Material &amp; energy balance'!Y7</f>
        <v>23333332.400000002</v>
      </c>
      <c r="W7" s="25">
        <f>'4. Material &amp; energy balance'!Z7</f>
        <v>5000000</v>
      </c>
      <c r="X7" s="19"/>
      <c r="Y7" s="19"/>
    </row>
    <row r="8" spans="2:25" ht="16.2" x14ac:dyDescent="0.4">
      <c r="B8" s="315"/>
      <c r="C8" s="96" t="s">
        <v>399</v>
      </c>
      <c r="D8" s="127">
        <f>D6*16/0.42/1000</f>
        <v>96.200092352092355</v>
      </c>
      <c r="E8" s="127">
        <f>E6*18/1000</f>
        <v>45.454543636363638</v>
      </c>
      <c r="F8" s="128">
        <f>D8+E8</f>
        <v>141.65463598845599</v>
      </c>
      <c r="G8" s="19"/>
      <c r="H8" s="19"/>
      <c r="I8" s="19"/>
      <c r="J8" s="124" t="s">
        <v>161</v>
      </c>
      <c r="K8" s="125">
        <f>0.73*L8/2.94/1.175</f>
        <v>868729.96201847214</v>
      </c>
      <c r="L8" s="126">
        <f>38000000*(393/16000)^0.6</f>
        <v>4110996.7860175511</v>
      </c>
      <c r="M8" s="19"/>
      <c r="R8" s="20" t="s">
        <v>162</v>
      </c>
      <c r="S8" s="25">
        <f>'4. Material &amp; energy balance'!V8</f>
        <v>833333.3</v>
      </c>
      <c r="T8" s="25">
        <f>'4. Material &amp; energy balance'!W8</f>
        <v>833333.3</v>
      </c>
      <c r="U8" s="25"/>
      <c r="V8" s="25">
        <f>'4. Material &amp; energy balance'!Y8</f>
        <v>833333.3</v>
      </c>
      <c r="W8" s="25">
        <f>W7/2</f>
        <v>2500000</v>
      </c>
      <c r="X8" s="19"/>
      <c r="Y8" s="19"/>
    </row>
    <row r="9" spans="2:25" ht="16.2" x14ac:dyDescent="0.4">
      <c r="B9" s="308" t="s">
        <v>159</v>
      </c>
      <c r="C9" s="92"/>
      <c r="D9" s="98" t="s">
        <v>408</v>
      </c>
      <c r="E9" s="92" t="s">
        <v>157</v>
      </c>
      <c r="F9" s="99" t="s">
        <v>151</v>
      </c>
      <c r="G9" s="19"/>
      <c r="H9" s="19"/>
      <c r="I9" s="19"/>
      <c r="J9" s="129" t="s">
        <v>163</v>
      </c>
      <c r="K9" s="130">
        <v>660000</v>
      </c>
      <c r="L9" s="131"/>
      <c r="M9" s="19"/>
      <c r="R9" s="20" t="s">
        <v>164</v>
      </c>
      <c r="S9" s="25">
        <f>ROUND(S7/1000,1)</f>
        <v>13333.3</v>
      </c>
      <c r="T9" s="25">
        <f>T7/1000</f>
        <v>15000</v>
      </c>
      <c r="U9" s="25"/>
      <c r="V9" s="25">
        <f>ROUND(V7/1000,1)</f>
        <v>23333.3</v>
      </c>
      <c r="W9" s="25">
        <f>W7/1000</f>
        <v>5000</v>
      </c>
      <c r="X9" s="19"/>
      <c r="Y9" s="19"/>
    </row>
    <row r="10" spans="2:25" x14ac:dyDescent="0.4">
      <c r="B10" s="309"/>
      <c r="C10" s="94" t="s">
        <v>156</v>
      </c>
      <c r="D10" s="122">
        <f>S14/'3. Inputs &amp; results'!H43</f>
        <v>2525.2524242424242</v>
      </c>
      <c r="E10" s="122">
        <f>T14/'3. Inputs &amp; results'!H43</f>
        <v>2525.2524242424242</v>
      </c>
      <c r="F10" s="123">
        <f>D10+E10</f>
        <v>5050.5048484848485</v>
      </c>
      <c r="G10" s="19"/>
      <c r="H10" s="19"/>
      <c r="I10" s="19"/>
      <c r="M10" s="19"/>
      <c r="R10" s="19"/>
      <c r="S10" s="19"/>
      <c r="T10" s="19"/>
      <c r="U10" s="19"/>
      <c r="V10" s="19"/>
      <c r="W10" s="19"/>
      <c r="X10" s="19"/>
      <c r="Y10" s="19"/>
    </row>
    <row r="11" spans="2:25" x14ac:dyDescent="0.4">
      <c r="B11" s="309"/>
      <c r="C11" s="94" t="s">
        <v>158</v>
      </c>
      <c r="D11" s="122"/>
      <c r="E11" s="122"/>
      <c r="F11" s="123"/>
      <c r="G11" s="19"/>
      <c r="H11" s="19"/>
      <c r="I11" s="19"/>
      <c r="J11" s="19"/>
      <c r="K11" s="19"/>
      <c r="L11" s="19"/>
      <c r="M11" s="19"/>
      <c r="R11" s="121" t="s">
        <v>165</v>
      </c>
      <c r="S11" s="121"/>
      <c r="T11" s="121"/>
      <c r="U11" s="121"/>
      <c r="V11" s="121"/>
      <c r="W11" s="121"/>
      <c r="X11" s="19"/>
      <c r="Y11" s="19"/>
    </row>
    <row r="12" spans="2:25" ht="16.2" x14ac:dyDescent="0.4">
      <c r="B12" s="310"/>
      <c r="C12" s="96" t="s">
        <v>399</v>
      </c>
      <c r="D12" s="127">
        <f>D10*18/1000</f>
        <v>45.454543636363638</v>
      </c>
      <c r="E12" s="127">
        <f>E10*28/707.6</f>
        <v>99.925194854137743</v>
      </c>
      <c r="F12" s="132">
        <f>D12+E12</f>
        <v>145.37973849050138</v>
      </c>
      <c r="G12" s="19"/>
      <c r="H12" s="19"/>
      <c r="I12" s="19"/>
      <c r="J12" s="19"/>
      <c r="K12" s="19"/>
      <c r="L12" s="19"/>
      <c r="M12" s="19"/>
      <c r="R12" s="20"/>
      <c r="S12" s="20" t="s">
        <v>157</v>
      </c>
      <c r="T12" s="33" t="s">
        <v>408</v>
      </c>
      <c r="U12" s="20"/>
      <c r="V12" s="33" t="s">
        <v>409</v>
      </c>
      <c r="W12" s="20" t="s">
        <v>434</v>
      </c>
      <c r="X12" s="19"/>
      <c r="Y12" s="19"/>
    </row>
    <row r="13" spans="2:25" ht="16.2" x14ac:dyDescent="0.4">
      <c r="B13" s="308" t="s">
        <v>166</v>
      </c>
      <c r="C13" s="92"/>
      <c r="D13" s="98" t="s">
        <v>409</v>
      </c>
      <c r="E13" s="98" t="s">
        <v>410</v>
      </c>
      <c r="F13" s="99" t="s">
        <v>151</v>
      </c>
      <c r="G13" s="19"/>
      <c r="H13" s="285"/>
      <c r="I13" s="19"/>
      <c r="J13" s="133"/>
      <c r="K13" s="19"/>
      <c r="L13" s="19"/>
      <c r="M13" s="19"/>
      <c r="R13" s="20" t="s">
        <v>160</v>
      </c>
      <c r="S13" s="25">
        <f>'5. Equipment price'!V7</f>
        <v>23333332.400000002</v>
      </c>
      <c r="T13" s="25">
        <f>ROUND(T14*18,-1)</f>
        <v>15000000</v>
      </c>
      <c r="U13" s="25"/>
      <c r="V13" s="25">
        <f>V14*44</f>
        <v>36666665.200000003</v>
      </c>
      <c r="W13" s="25">
        <f>W14*2</f>
        <v>1666666.6</v>
      </c>
      <c r="X13" s="19"/>
      <c r="Y13" s="19"/>
    </row>
    <row r="14" spans="2:25" x14ac:dyDescent="0.4">
      <c r="B14" s="309"/>
      <c r="C14" s="94" t="s">
        <v>156</v>
      </c>
      <c r="D14" s="122">
        <f>V14/'3. Inputs &amp; results'!H43</f>
        <v>2525.2524242424242</v>
      </c>
      <c r="E14" s="122">
        <f>(W14+W8)/'3. Inputs &amp; results'!H43</f>
        <v>10101.01</v>
      </c>
      <c r="F14" s="123">
        <f>D14+E14</f>
        <v>12626.262424242424</v>
      </c>
      <c r="G14" s="19"/>
      <c r="H14" s="19"/>
      <c r="I14" s="19"/>
      <c r="J14" s="19"/>
      <c r="K14" s="19"/>
      <c r="L14" s="19"/>
      <c r="M14" s="19"/>
      <c r="R14" s="20" t="s">
        <v>162</v>
      </c>
      <c r="S14" s="25">
        <f>'5. Equipment price'!V8</f>
        <v>833333.3</v>
      </c>
      <c r="T14" s="25">
        <f>$V$8</f>
        <v>833333.3</v>
      </c>
      <c r="U14" s="25"/>
      <c r="V14" s="25">
        <f>ROUND(S14,1)</f>
        <v>833333.3</v>
      </c>
      <c r="W14" s="25">
        <f>ROUND(S14,1)</f>
        <v>833333.3</v>
      </c>
      <c r="X14" s="19"/>
      <c r="Y14" s="19"/>
    </row>
    <row r="15" spans="2:25" x14ac:dyDescent="0.4">
      <c r="B15" s="309"/>
      <c r="C15" s="94" t="s">
        <v>158</v>
      </c>
      <c r="D15" s="122"/>
      <c r="E15" s="122"/>
      <c r="F15" s="123"/>
      <c r="G15" s="19"/>
      <c r="H15" s="19"/>
      <c r="I15" s="19"/>
      <c r="J15" s="19"/>
      <c r="K15" s="19"/>
      <c r="L15" s="19"/>
      <c r="M15" s="19"/>
      <c r="R15" s="20" t="s">
        <v>164</v>
      </c>
      <c r="S15" s="25">
        <f>ROUND(S13/1000,1)</f>
        <v>23333.3</v>
      </c>
      <c r="T15" s="25">
        <f>T13/1000</f>
        <v>15000</v>
      </c>
      <c r="U15" s="25"/>
      <c r="V15" s="25">
        <f>ROUND(V13/1000,1)</f>
        <v>36666.699999999997</v>
      </c>
      <c r="W15" s="25">
        <f>ROUND(W13/1000,1)</f>
        <v>1666.7</v>
      </c>
      <c r="X15" s="19"/>
      <c r="Y15" s="19"/>
    </row>
    <row r="16" spans="2:25" ht="16.2" x14ac:dyDescent="0.4">
      <c r="B16" s="310"/>
      <c r="C16" s="96" t="s">
        <v>399</v>
      </c>
      <c r="D16" s="127">
        <f>D14*44/1.03/1000</f>
        <v>107.87486084142394</v>
      </c>
      <c r="E16" s="127">
        <f>E14*2/70.8</f>
        <v>285.33926553672319</v>
      </c>
      <c r="F16" s="128">
        <f>D16+E16</f>
        <v>393.21412637814711</v>
      </c>
      <c r="G16" s="19"/>
      <c r="H16" s="19"/>
      <c r="I16" s="19"/>
      <c r="J16" s="19"/>
      <c r="K16" s="19"/>
      <c r="L16" s="19"/>
      <c r="M16" s="19"/>
      <c r="R16" s="19"/>
      <c r="S16" s="19"/>
      <c r="T16" s="19"/>
      <c r="U16" s="19"/>
      <c r="V16" s="19"/>
      <c r="W16" s="19"/>
      <c r="X16" s="19"/>
      <c r="Y16" s="19"/>
    </row>
    <row r="17" spans="2:25" x14ac:dyDescent="0.4">
      <c r="B17" s="19"/>
      <c r="C17" s="19"/>
      <c r="D17" s="19"/>
      <c r="E17" s="19"/>
      <c r="F17" s="19"/>
      <c r="G17" s="19"/>
      <c r="H17" s="19"/>
      <c r="I17" s="19"/>
      <c r="J17" s="19"/>
      <c r="K17" s="19"/>
      <c r="L17" s="133"/>
      <c r="M17" s="19"/>
      <c r="R17" s="19"/>
      <c r="S17" s="19"/>
      <c r="T17" s="19"/>
      <c r="U17" s="19"/>
      <c r="V17" s="19"/>
      <c r="W17" s="19"/>
      <c r="X17" s="19"/>
      <c r="Y17" s="19"/>
    </row>
    <row r="18" spans="2:25" x14ac:dyDescent="0.4">
      <c r="B18" s="19"/>
      <c r="C18" s="19"/>
      <c r="D18" s="19"/>
      <c r="E18" s="19"/>
      <c r="F18" s="19"/>
      <c r="G18" s="19"/>
      <c r="H18" s="19"/>
      <c r="I18" s="19"/>
      <c r="J18" s="134" t="s">
        <v>152</v>
      </c>
      <c r="K18" s="119" t="s">
        <v>153</v>
      </c>
      <c r="L18" s="120" t="s">
        <v>154</v>
      </c>
      <c r="M18" s="19"/>
      <c r="R18" s="19"/>
      <c r="S18" s="19"/>
      <c r="T18" s="19"/>
      <c r="U18" s="19"/>
      <c r="V18" s="19"/>
      <c r="W18" s="19"/>
      <c r="X18" s="19"/>
      <c r="Y18" s="19"/>
    </row>
    <row r="19" spans="2:25" ht="16.5" customHeight="1" x14ac:dyDescent="0.4">
      <c r="B19" s="303" t="s">
        <v>167</v>
      </c>
      <c r="C19" s="92"/>
      <c r="D19" s="93" t="s">
        <v>416</v>
      </c>
      <c r="E19" s="19"/>
      <c r="F19" s="19"/>
      <c r="G19" s="19"/>
      <c r="H19" s="19"/>
      <c r="I19" s="19"/>
      <c r="J19" s="135" t="s">
        <v>167</v>
      </c>
      <c r="K19" s="136">
        <f>1.15*10^4*(46.6/1)^0.45</f>
        <v>64784.558413835752</v>
      </c>
      <c r="L19" s="137"/>
      <c r="M19" s="19"/>
      <c r="R19" s="121" t="s">
        <v>168</v>
      </c>
      <c r="S19" s="121"/>
      <c r="T19" s="121"/>
      <c r="U19" s="121"/>
      <c r="V19" s="121"/>
      <c r="W19" s="121"/>
      <c r="X19" s="121"/>
      <c r="Y19" s="19"/>
    </row>
    <row r="20" spans="2:25" ht="16.2" x14ac:dyDescent="0.4">
      <c r="B20" s="304"/>
      <c r="C20" s="94" t="s">
        <v>169</v>
      </c>
      <c r="D20" s="95">
        <f>S21/'3. Inputs &amp; results'!H43</f>
        <v>126262.63636363637</v>
      </c>
      <c r="E20" s="19"/>
      <c r="F20" s="19"/>
      <c r="G20" s="19"/>
      <c r="H20" s="19"/>
      <c r="I20" s="19"/>
      <c r="J20" s="135" t="s">
        <v>170</v>
      </c>
      <c r="K20" s="136">
        <v>190000</v>
      </c>
      <c r="L20" s="137"/>
      <c r="M20" s="19"/>
      <c r="R20" s="20"/>
      <c r="S20" s="33" t="s">
        <v>416</v>
      </c>
      <c r="T20" s="20"/>
      <c r="U20" s="33" t="s">
        <v>409</v>
      </c>
      <c r="V20" s="20" t="s">
        <v>171</v>
      </c>
      <c r="W20" s="20"/>
      <c r="X20" s="20"/>
      <c r="Y20" s="19"/>
    </row>
    <row r="21" spans="2:25" ht="16.2" x14ac:dyDescent="0.4">
      <c r="B21" s="305"/>
      <c r="C21" s="96" t="s">
        <v>398</v>
      </c>
      <c r="D21" s="97">
        <f>D20/2710</f>
        <v>46.591378731969137</v>
      </c>
      <c r="E21" s="19"/>
      <c r="F21" s="19"/>
      <c r="G21" s="19"/>
      <c r="H21" s="19"/>
      <c r="I21" s="19"/>
      <c r="J21" s="311" t="s">
        <v>172</v>
      </c>
      <c r="K21" s="316">
        <f>F23*((90000/(1000*24))/2)^0.6</f>
        <v>136240.84737059442</v>
      </c>
      <c r="L21" s="317"/>
      <c r="M21" s="19"/>
      <c r="R21" s="20" t="s">
        <v>160</v>
      </c>
      <c r="S21" s="25">
        <f>S22*100</f>
        <v>41666670</v>
      </c>
      <c r="T21" s="25"/>
      <c r="U21" s="25">
        <f>U22*44</f>
        <v>18333334.800000001</v>
      </c>
      <c r="V21" s="25">
        <f>U22*56</f>
        <v>23333335.199999999</v>
      </c>
      <c r="W21" s="25"/>
      <c r="X21" s="25"/>
      <c r="Y21" s="19"/>
    </row>
    <row r="22" spans="2:25" ht="33" customHeight="1" x14ac:dyDescent="0.4">
      <c r="B22" s="303" t="s">
        <v>172</v>
      </c>
      <c r="C22" s="92"/>
      <c r="D22" s="92" t="s">
        <v>173</v>
      </c>
      <c r="E22" s="98" t="s">
        <v>408</v>
      </c>
      <c r="F22" s="99" t="s">
        <v>151</v>
      </c>
      <c r="G22" s="19"/>
      <c r="H22" s="19"/>
      <c r="I22" s="19"/>
      <c r="J22" s="312"/>
      <c r="K22" s="316"/>
      <c r="L22" s="317"/>
      <c r="M22" s="19"/>
      <c r="R22" s="20" t="s">
        <v>162</v>
      </c>
      <c r="S22" s="25">
        <f>V22</f>
        <v>416666.7</v>
      </c>
      <c r="T22" s="25"/>
      <c r="U22" s="25">
        <f>V22</f>
        <v>416666.7</v>
      </c>
      <c r="V22" s="25">
        <f>S27</f>
        <v>416666.7</v>
      </c>
      <c r="W22" s="25"/>
      <c r="X22" s="25"/>
      <c r="Y22" s="19"/>
    </row>
    <row r="23" spans="2:25" x14ac:dyDescent="0.4">
      <c r="B23" s="304"/>
      <c r="C23" s="94" t="s">
        <v>174</v>
      </c>
      <c r="D23" s="100">
        <f>S26/'3. Inputs &amp; results'!H43</f>
        <v>70707.076363636355</v>
      </c>
      <c r="E23" s="100">
        <f>T26/'3. Inputs &amp; results'!H43</f>
        <v>22727.274545454547</v>
      </c>
      <c r="F23" s="95">
        <f>SUM(D23:E23)</f>
        <v>93434.350909090906</v>
      </c>
      <c r="G23" s="19"/>
      <c r="H23" s="19"/>
      <c r="I23" s="19"/>
      <c r="J23" s="311" t="s">
        <v>175</v>
      </c>
      <c r="K23" s="316">
        <f>1.15*10^4*(G27)^0.45</f>
        <v>120832.06656809543</v>
      </c>
      <c r="L23" s="317"/>
      <c r="M23" s="19"/>
      <c r="R23" s="20" t="s">
        <v>164</v>
      </c>
      <c r="S23" s="25">
        <f>ROUND(S21/1000,1)</f>
        <v>41666.699999999997</v>
      </c>
      <c r="T23" s="25"/>
      <c r="U23" s="25">
        <f>ROUND(U21/1000,1)</f>
        <v>18333.3</v>
      </c>
      <c r="V23" s="25">
        <f>ROUND(V21/1000,1)</f>
        <v>23333.3</v>
      </c>
      <c r="W23" s="25"/>
      <c r="X23" s="25"/>
      <c r="Y23" s="19"/>
    </row>
    <row r="24" spans="2:25" ht="16.2" x14ac:dyDescent="0.4">
      <c r="B24" s="305"/>
      <c r="C24" s="96" t="s">
        <v>398</v>
      </c>
      <c r="D24" s="101">
        <f>D23/3340</f>
        <v>21.169783342406095</v>
      </c>
      <c r="E24" s="101">
        <f>E23/1000</f>
        <v>22.727274545454549</v>
      </c>
      <c r="F24" s="97">
        <f>SUM(D24:E24)</f>
        <v>43.89705788786064</v>
      </c>
      <c r="G24" s="19"/>
      <c r="H24" s="19"/>
      <c r="I24" s="19"/>
      <c r="J24" s="312"/>
      <c r="K24" s="316"/>
      <c r="L24" s="317"/>
      <c r="M24" s="19"/>
      <c r="R24" s="20"/>
      <c r="S24" s="25"/>
      <c r="T24" s="25"/>
      <c r="U24" s="25"/>
      <c r="V24" s="25"/>
      <c r="W24" s="25"/>
      <c r="X24" s="25"/>
      <c r="Y24" s="19"/>
    </row>
    <row r="25" spans="2:25" ht="66" customHeight="1" x14ac:dyDescent="0.4">
      <c r="B25" s="303" t="s">
        <v>175</v>
      </c>
      <c r="C25" s="98"/>
      <c r="D25" s="92" t="s">
        <v>56</v>
      </c>
      <c r="E25" s="98" t="s">
        <v>411</v>
      </c>
      <c r="F25" s="98" t="s">
        <v>409</v>
      </c>
      <c r="G25" s="99" t="s">
        <v>151</v>
      </c>
      <c r="H25" s="19"/>
      <c r="I25" s="19"/>
      <c r="J25" s="311" t="s">
        <v>176</v>
      </c>
      <c r="K25" s="316">
        <f>100000*(D29/(3000*24))^0.6</f>
        <v>191227.77073897255</v>
      </c>
      <c r="L25" s="317"/>
      <c r="M25" s="19"/>
      <c r="R25" s="20"/>
      <c r="S25" s="138" t="s">
        <v>171</v>
      </c>
      <c r="T25" s="33" t="s">
        <v>408</v>
      </c>
      <c r="U25" s="138"/>
      <c r="V25" s="139" t="s">
        <v>414</v>
      </c>
      <c r="W25" s="138"/>
      <c r="X25" s="138"/>
      <c r="Y25" s="19"/>
    </row>
    <row r="26" spans="2:25" x14ac:dyDescent="0.4">
      <c r="B26" s="304"/>
      <c r="C26" s="94" t="s">
        <v>174</v>
      </c>
      <c r="D26" s="100">
        <f>S31/'3. Inputs &amp; results'!H43</f>
        <v>147474.72727272726</v>
      </c>
      <c r="E26" s="100">
        <f>T31/'3. Inputs &amp; results'!H43</f>
        <v>88383.834848484854</v>
      </c>
      <c r="F26" s="100">
        <f>U31/'3. Inputs &amp; results'!H43</f>
        <v>111111.10666666667</v>
      </c>
      <c r="G26" s="95">
        <f>SUM(D26:F26)</f>
        <v>346969.66878787882</v>
      </c>
      <c r="H26" s="19"/>
      <c r="I26" s="19"/>
      <c r="J26" s="312"/>
      <c r="K26" s="316"/>
      <c r="L26" s="317"/>
      <c r="M26" s="19"/>
      <c r="R26" s="20" t="s">
        <v>160</v>
      </c>
      <c r="S26" s="25">
        <f>S27*56</f>
        <v>23333335.199999999</v>
      </c>
      <c r="T26" s="25">
        <f>T27*18</f>
        <v>7500000.6000000006</v>
      </c>
      <c r="U26" s="25"/>
      <c r="V26" s="25">
        <f>V27*74</f>
        <v>30833335.800000001</v>
      </c>
      <c r="W26" s="25"/>
      <c r="X26" s="25"/>
      <c r="Y26" s="19"/>
    </row>
    <row r="27" spans="2:25" ht="16.2" x14ac:dyDescent="0.4">
      <c r="B27" s="305"/>
      <c r="C27" s="96" t="s">
        <v>398</v>
      </c>
      <c r="D27" s="101">
        <f>D26/2160</f>
        <v>68.275336700336695</v>
      </c>
      <c r="E27" s="101">
        <f>E26/8800</f>
        <v>10.043617596418734</v>
      </c>
      <c r="F27" s="101">
        <f>F26/1030</f>
        <v>107.87486084142395</v>
      </c>
      <c r="G27" s="97">
        <f>SUM(D27:F27)</f>
        <v>186.19381513817939</v>
      </c>
      <c r="H27" s="19"/>
      <c r="I27" s="19"/>
      <c r="J27" s="311" t="s">
        <v>177</v>
      </c>
      <c r="K27" s="316">
        <f>1.15*10^4*(F33)^0.45</f>
        <v>102994.13620958828</v>
      </c>
      <c r="L27" s="317"/>
      <c r="M27" s="19"/>
      <c r="R27" s="20" t="s">
        <v>162</v>
      </c>
      <c r="S27" s="25">
        <f>V27</f>
        <v>416666.7</v>
      </c>
      <c r="T27" s="25">
        <f>V27</f>
        <v>416666.7</v>
      </c>
      <c r="U27" s="25"/>
      <c r="V27" s="25">
        <f>ROUND(T42,1)</f>
        <v>416666.7</v>
      </c>
      <c r="W27" s="25"/>
      <c r="X27" s="25"/>
      <c r="Y27" s="19"/>
    </row>
    <row r="28" spans="2:25" ht="33" customHeight="1" x14ac:dyDescent="0.4">
      <c r="B28" s="303" t="s">
        <v>176</v>
      </c>
      <c r="C28" s="98"/>
      <c r="D28" s="93" t="s">
        <v>412</v>
      </c>
      <c r="E28" s="19"/>
      <c r="F28" s="19"/>
      <c r="G28" s="19"/>
      <c r="H28" s="19"/>
      <c r="I28" s="19"/>
      <c r="J28" s="312"/>
      <c r="K28" s="316"/>
      <c r="L28" s="317"/>
      <c r="M28" s="19"/>
      <c r="R28" s="20" t="s">
        <v>164</v>
      </c>
      <c r="S28" s="25">
        <f>ROUND(S26/1000,1)</f>
        <v>23333.3</v>
      </c>
      <c r="T28" s="25">
        <f>ROUND(T26/1000,1)</f>
        <v>7500</v>
      </c>
      <c r="U28" s="25"/>
      <c r="V28" s="25">
        <f>ROUND(V26/1000,1)</f>
        <v>30833.3</v>
      </c>
      <c r="W28" s="25"/>
      <c r="X28" s="25"/>
      <c r="Y28" s="19"/>
    </row>
    <row r="29" spans="2:25" x14ac:dyDescent="0.4">
      <c r="B29" s="304"/>
      <c r="C29" s="94" t="s">
        <v>174</v>
      </c>
      <c r="D29" s="95">
        <f>W31/'3. Inputs &amp; results'!H43</f>
        <v>212121.21212121213</v>
      </c>
      <c r="E29" s="19"/>
      <c r="F29" s="19"/>
      <c r="G29" s="19"/>
      <c r="H29" s="19"/>
      <c r="I29" s="19"/>
      <c r="J29" s="135" t="s">
        <v>178</v>
      </c>
      <c r="K29" s="136">
        <f>1.15*10^4*F36^0.45</f>
        <v>94702.738094895962</v>
      </c>
      <c r="L29" s="137"/>
      <c r="M29" s="19"/>
      <c r="R29" s="20"/>
      <c r="S29" s="25"/>
      <c r="T29" s="25"/>
      <c r="U29" s="25"/>
      <c r="V29" s="25"/>
      <c r="W29" s="25"/>
      <c r="X29" s="25"/>
      <c r="Y29" s="19"/>
    </row>
    <row r="30" spans="2:25" ht="16.2" x14ac:dyDescent="0.4">
      <c r="B30" s="305"/>
      <c r="C30" s="102" t="s">
        <v>398</v>
      </c>
      <c r="D30" s="97">
        <f>D29/2200</f>
        <v>96.418732782369148</v>
      </c>
      <c r="E30" s="19"/>
      <c r="F30" s="19"/>
      <c r="G30" s="19"/>
      <c r="H30" s="19"/>
      <c r="I30" s="19"/>
      <c r="J30" s="140" t="s">
        <v>426</v>
      </c>
      <c r="K30" s="125">
        <f t="shared" ref="K30:K37" si="0">0.73*L30/2.94/1.175</f>
        <v>321853.53494662169</v>
      </c>
      <c r="L30" s="126">
        <f>38000000*(F39/16000)^0.6</f>
        <v>1523072.6527028834</v>
      </c>
      <c r="M30" s="19"/>
      <c r="R30" s="20"/>
      <c r="S30" s="138" t="s">
        <v>179</v>
      </c>
      <c r="T30" s="139" t="s">
        <v>411</v>
      </c>
      <c r="U30" s="33" t="s">
        <v>409</v>
      </c>
      <c r="V30" s="138"/>
      <c r="W30" s="139" t="s">
        <v>417</v>
      </c>
      <c r="X30" s="139" t="s">
        <v>418</v>
      </c>
      <c r="Y30" s="19"/>
    </row>
    <row r="31" spans="2:25" ht="33" customHeight="1" x14ac:dyDescent="0.4">
      <c r="B31" s="303" t="s">
        <v>180</v>
      </c>
      <c r="C31" s="103"/>
      <c r="D31" s="98" t="s">
        <v>413</v>
      </c>
      <c r="E31" s="98" t="s">
        <v>414</v>
      </c>
      <c r="F31" s="99" t="s">
        <v>151</v>
      </c>
      <c r="H31" s="19"/>
      <c r="I31" s="19"/>
      <c r="J31" s="140" t="s">
        <v>405</v>
      </c>
      <c r="K31" s="125">
        <f t="shared" si="0"/>
        <v>150549.43089343584</v>
      </c>
      <c r="L31" s="126">
        <f>38000000*(D42/16000)^0.6</f>
        <v>712428.77948133438</v>
      </c>
      <c r="M31" s="19"/>
      <c r="R31" s="20" t="s">
        <v>160</v>
      </c>
      <c r="S31" s="25">
        <f>ROUND(S32*58.4,-1)</f>
        <v>48666660</v>
      </c>
      <c r="T31" s="25">
        <f>T32*35</f>
        <v>29166665.5</v>
      </c>
      <c r="U31" s="25">
        <f>V13</f>
        <v>36666665.200000003</v>
      </c>
      <c r="V31" s="25"/>
      <c r="W31" s="25">
        <f>ROUND(W32*84,-1)</f>
        <v>70000000</v>
      </c>
      <c r="X31" s="25">
        <f>X32*53.5</f>
        <v>44583331.550000004</v>
      </c>
      <c r="Y31" s="19"/>
    </row>
    <row r="32" spans="2:25" ht="16.2" x14ac:dyDescent="0.4">
      <c r="B32" s="304"/>
      <c r="C32" s="104" t="s">
        <v>181</v>
      </c>
      <c r="D32" s="105">
        <f>S43/'3. Inputs &amp; results'!H43</f>
        <v>135.10090909090911</v>
      </c>
      <c r="E32" s="105">
        <f>T43/'3. Inputs &amp; results'!H43</f>
        <v>93.434242424242427</v>
      </c>
      <c r="F32" s="106">
        <f>SUM(D32:E32)</f>
        <v>228.53515151515154</v>
      </c>
      <c r="H32" s="19"/>
      <c r="I32" s="19"/>
      <c r="J32" s="140" t="s">
        <v>427</v>
      </c>
      <c r="K32" s="125">
        <f t="shared" si="0"/>
        <v>383162.82930620247</v>
      </c>
      <c r="L32" s="126">
        <f>38000000*(D45/16000)^0.6</f>
        <v>1813199.9915592829</v>
      </c>
      <c r="M32" s="19"/>
      <c r="R32" s="20" t="s">
        <v>162</v>
      </c>
      <c r="S32" s="25">
        <f>U32</f>
        <v>833333.3</v>
      </c>
      <c r="T32" s="25">
        <f>U32</f>
        <v>833333.3</v>
      </c>
      <c r="U32" s="25">
        <f>V14</f>
        <v>833333.3</v>
      </c>
      <c r="V32" s="25"/>
      <c r="W32" s="25">
        <f>U32</f>
        <v>833333.3</v>
      </c>
      <c r="X32" s="25">
        <f>U32</f>
        <v>833333.3</v>
      </c>
      <c r="Y32" s="19"/>
    </row>
    <row r="33" spans="2:25" ht="16.2" x14ac:dyDescent="0.4">
      <c r="B33" s="305"/>
      <c r="C33" s="102" t="s">
        <v>398</v>
      </c>
      <c r="D33" s="107">
        <f>(D32*1000)/1530</f>
        <v>88.301247771836017</v>
      </c>
      <c r="E33" s="107">
        <f>(E32*1000)/2211</f>
        <v>42.258816112276087</v>
      </c>
      <c r="F33" s="108">
        <f>SUM(D33:E33)</f>
        <v>130.56006388411211</v>
      </c>
      <c r="H33" s="19"/>
      <c r="I33" s="19"/>
      <c r="J33" s="140" t="s">
        <v>428</v>
      </c>
      <c r="K33" s="125">
        <f t="shared" si="0"/>
        <v>227929.20111036379</v>
      </c>
      <c r="L33" s="126">
        <f>38000000*(D48/16000)^0.6</f>
        <v>1078604.6921037694</v>
      </c>
      <c r="M33" s="19"/>
      <c r="R33" s="20" t="s">
        <v>164</v>
      </c>
      <c r="S33" s="25">
        <f>ROUND(S31/1000,1)</f>
        <v>48666.7</v>
      </c>
      <c r="T33" s="25">
        <f>ROUND(T31/1000,1)</f>
        <v>29166.7</v>
      </c>
      <c r="U33" s="25">
        <f>ROUND(U31/1000,1)</f>
        <v>36666.699999999997</v>
      </c>
      <c r="V33" s="25"/>
      <c r="W33" s="25">
        <f>ROUND(W31/1000,1)</f>
        <v>70000</v>
      </c>
      <c r="X33" s="25">
        <f>ROUND(X31/1000,1)</f>
        <v>44583.3</v>
      </c>
      <c r="Y33" s="19"/>
    </row>
    <row r="34" spans="2:25" ht="16.2" x14ac:dyDescent="0.4">
      <c r="B34" s="308" t="s">
        <v>182</v>
      </c>
      <c r="C34" s="103"/>
      <c r="D34" s="98" t="s">
        <v>415</v>
      </c>
      <c r="E34" s="98" t="s">
        <v>408</v>
      </c>
      <c r="F34" s="99" t="s">
        <v>151</v>
      </c>
      <c r="H34" s="19"/>
      <c r="I34" s="19"/>
      <c r="J34" s="140" t="s">
        <v>429</v>
      </c>
      <c r="K34" s="125">
        <f t="shared" si="0"/>
        <v>552277.9159466963</v>
      </c>
      <c r="L34" s="126">
        <f>38000000*(F51/16000)^0.6</f>
        <v>2613485.0145724141</v>
      </c>
      <c r="M34" s="19"/>
      <c r="R34" s="20"/>
      <c r="S34" s="25"/>
      <c r="T34" s="25"/>
      <c r="U34" s="25"/>
      <c r="V34" s="25"/>
      <c r="W34" s="25"/>
      <c r="X34" s="25"/>
      <c r="Y34" s="19"/>
    </row>
    <row r="35" spans="2:25" ht="16.2" x14ac:dyDescent="0.4">
      <c r="B35" s="309"/>
      <c r="C35" s="104" t="s">
        <v>183</v>
      </c>
      <c r="D35" s="109">
        <f>S47/'3. Inputs &amp; results'!H43</f>
        <v>2525.2524242424242</v>
      </c>
      <c r="E35" s="110">
        <f>T47/'3. Inputs &amp; results'!H43</f>
        <v>2525.2524242424242</v>
      </c>
      <c r="F35" s="111">
        <f>SUM(D35:E35)</f>
        <v>5050.5048484848485</v>
      </c>
      <c r="H35" s="19"/>
      <c r="I35" s="19"/>
      <c r="J35" s="140" t="s">
        <v>430</v>
      </c>
      <c r="K35" s="125">
        <f t="shared" si="0"/>
        <v>552277.9159466963</v>
      </c>
      <c r="L35" s="126">
        <f>38000000*(F51/16000)^0.6</f>
        <v>2613485.0145724141</v>
      </c>
      <c r="M35" s="19"/>
      <c r="R35" s="20"/>
      <c r="S35" s="139" t="s">
        <v>412</v>
      </c>
      <c r="T35" s="138"/>
      <c r="U35" s="139" t="s">
        <v>419</v>
      </c>
      <c r="V35" s="33" t="s">
        <v>408</v>
      </c>
      <c r="W35" s="33" t="s">
        <v>409</v>
      </c>
      <c r="X35" s="138"/>
      <c r="Y35" s="19"/>
    </row>
    <row r="36" spans="2:25" ht="16.2" x14ac:dyDescent="0.4">
      <c r="B36" s="310"/>
      <c r="C36" s="102" t="s">
        <v>398</v>
      </c>
      <c r="D36" s="112">
        <f>D35/682.6*17</f>
        <v>62.890845608147103</v>
      </c>
      <c r="E36" s="112">
        <f>E35*18/1000</f>
        <v>45.454543636363638</v>
      </c>
      <c r="F36" s="108">
        <f>SUM(D36:E36)</f>
        <v>108.34538924451074</v>
      </c>
      <c r="H36" s="19"/>
      <c r="I36" s="19"/>
      <c r="J36" s="140" t="s">
        <v>431</v>
      </c>
      <c r="K36" s="125">
        <f t="shared" si="0"/>
        <v>445988.01208740275</v>
      </c>
      <c r="L36" s="126">
        <f>38000000*(G54/16000)^0.6</f>
        <v>2110500.8051451137</v>
      </c>
      <c r="M36" s="19"/>
      <c r="R36" s="20" t="s">
        <v>160</v>
      </c>
      <c r="S36" s="25">
        <f>ROUND(S37*84,-1)</f>
        <v>70000000</v>
      </c>
      <c r="T36" s="25"/>
      <c r="U36" s="25">
        <f>U37*106</f>
        <v>44166664.900000006</v>
      </c>
      <c r="V36" s="25">
        <f>V37*18</f>
        <v>7499999.7000000002</v>
      </c>
      <c r="W36" s="25">
        <f>W37*44</f>
        <v>18333332.600000001</v>
      </c>
      <c r="X36" s="25"/>
      <c r="Y36" s="19"/>
    </row>
    <row r="37" spans="2:25" ht="16.2" x14ac:dyDescent="0.4">
      <c r="B37" s="308" t="s">
        <v>184</v>
      </c>
      <c r="C37" s="103"/>
      <c r="D37" s="98" t="s">
        <v>409</v>
      </c>
      <c r="E37" s="92" t="s">
        <v>171</v>
      </c>
      <c r="F37" s="99" t="s">
        <v>151</v>
      </c>
      <c r="H37" s="19"/>
      <c r="I37" s="19"/>
      <c r="J37" s="141" t="s">
        <v>432</v>
      </c>
      <c r="K37" s="130">
        <f t="shared" si="0"/>
        <v>531957.86239737261</v>
      </c>
      <c r="L37" s="131">
        <f>38000000*(G57/16000)^0.6</f>
        <v>2517326.6241804431</v>
      </c>
      <c r="M37" s="19"/>
      <c r="R37" s="20" t="s">
        <v>162</v>
      </c>
      <c r="S37" s="25">
        <f>ROUND($W$32,1)</f>
        <v>833333.3</v>
      </c>
      <c r="T37" s="25"/>
      <c r="U37" s="25">
        <f>S37/2</f>
        <v>416666.65</v>
      </c>
      <c r="V37" s="25">
        <f>S37/2</f>
        <v>416666.65</v>
      </c>
      <c r="W37" s="25">
        <f>S37/2</f>
        <v>416666.65</v>
      </c>
      <c r="X37" s="25"/>
      <c r="Y37" s="19"/>
    </row>
    <row r="38" spans="2:25" x14ac:dyDescent="0.4">
      <c r="B38" s="309"/>
      <c r="C38" s="104" t="s">
        <v>183</v>
      </c>
      <c r="D38" s="109">
        <f>U22/'3. Inputs &amp; results'!H43</f>
        <v>1262.6263636363637</v>
      </c>
      <c r="E38" s="110">
        <f>V22/'3. Inputs &amp; results'!H43</f>
        <v>1262.6263636363637</v>
      </c>
      <c r="F38" s="111">
        <f>SUM(D38:E38)</f>
        <v>2525.2527272727275</v>
      </c>
      <c r="H38" s="19"/>
      <c r="I38" s="19"/>
      <c r="J38" s="19"/>
      <c r="K38" s="19"/>
      <c r="L38" s="19"/>
      <c r="M38" s="19"/>
      <c r="R38" s="20" t="s">
        <v>164</v>
      </c>
      <c r="S38" s="25">
        <f>ROUND(S36/1000,1)</f>
        <v>70000</v>
      </c>
      <c r="T38" s="25"/>
      <c r="U38" s="25">
        <f>ROUND(U36/1000,1)</f>
        <v>44166.7</v>
      </c>
      <c r="V38" s="25">
        <f>ROUND(V36/1000,1)</f>
        <v>7500</v>
      </c>
      <c r="W38" s="25">
        <f>ROUND(W36/1000,1)</f>
        <v>18333.3</v>
      </c>
      <c r="X38" s="25"/>
      <c r="Y38" s="19"/>
    </row>
    <row r="39" spans="2:25" ht="16.2" x14ac:dyDescent="0.4">
      <c r="B39" s="310"/>
      <c r="C39" s="102" t="s">
        <v>398</v>
      </c>
      <c r="D39" s="113">
        <f>D38*44/1.03/1000</f>
        <v>53.937436893203888</v>
      </c>
      <c r="E39" s="293">
        <f>E38/3.34/1000000*1000*56</f>
        <v>21.169783342406099</v>
      </c>
      <c r="F39" s="294">
        <f>SUM(D39:E39)</f>
        <v>75.107220235609987</v>
      </c>
      <c r="H39" s="19"/>
      <c r="I39" s="19"/>
      <c r="J39" s="19"/>
      <c r="K39" s="19"/>
      <c r="L39" s="19"/>
      <c r="M39" s="19"/>
      <c r="R39" s="20"/>
      <c r="S39" s="25"/>
      <c r="T39" s="25"/>
      <c r="U39" s="25"/>
      <c r="V39" s="25"/>
      <c r="W39" s="25"/>
      <c r="X39" s="25"/>
      <c r="Y39" s="19"/>
    </row>
    <row r="40" spans="2:25" ht="16.2" x14ac:dyDescent="0.4">
      <c r="B40" s="308" t="s">
        <v>185</v>
      </c>
      <c r="C40" s="103"/>
      <c r="D40" s="92" t="s">
        <v>171</v>
      </c>
      <c r="E40" s="98" t="s">
        <v>416</v>
      </c>
      <c r="F40" s="99" t="s">
        <v>151</v>
      </c>
      <c r="H40" s="19"/>
      <c r="I40" s="19"/>
      <c r="J40" s="19"/>
      <c r="K40" s="19"/>
      <c r="L40" s="19"/>
      <c r="M40" s="19"/>
      <c r="R40" s="20"/>
      <c r="S40" s="139" t="s">
        <v>418</v>
      </c>
      <c r="T40" s="139" t="s">
        <v>414</v>
      </c>
      <c r="U40" s="138"/>
      <c r="V40" s="139" t="s">
        <v>435</v>
      </c>
      <c r="W40" s="139" t="s">
        <v>420</v>
      </c>
      <c r="X40" s="139" t="s">
        <v>436</v>
      </c>
      <c r="Y40" s="19"/>
    </row>
    <row r="41" spans="2:25" x14ac:dyDescent="0.4">
      <c r="B41" s="309"/>
      <c r="C41" s="104" t="s">
        <v>174</v>
      </c>
      <c r="D41" s="114">
        <f>S26/'3. Inputs &amp; results'!H43</f>
        <v>70707.076363636355</v>
      </c>
      <c r="E41" s="110" t="s">
        <v>186</v>
      </c>
      <c r="F41" s="115"/>
      <c r="H41" s="19"/>
      <c r="I41" s="19"/>
      <c r="J41" s="19"/>
      <c r="K41" s="19"/>
      <c r="L41" s="19"/>
      <c r="M41" s="19"/>
      <c r="R41" s="20" t="s">
        <v>160</v>
      </c>
      <c r="S41" s="25">
        <f>S42*53.5</f>
        <v>44583331.550000004</v>
      </c>
      <c r="T41" s="25">
        <f>T42*74</f>
        <v>30833335.800000001</v>
      </c>
      <c r="U41" s="25"/>
      <c r="V41" s="25">
        <f>V42*17</f>
        <v>14166666.100000001</v>
      </c>
      <c r="W41" s="25">
        <f>W42*111</f>
        <v>46250003.700000003</v>
      </c>
      <c r="X41" s="25">
        <f>X42*18</f>
        <v>14999999.4</v>
      </c>
      <c r="Y41" s="19"/>
    </row>
    <row r="42" spans="2:25" ht="16.2" x14ac:dyDescent="0.4">
      <c r="B42" s="310"/>
      <c r="C42" s="102" t="s">
        <v>398</v>
      </c>
      <c r="D42" s="107">
        <f>D41/3340</f>
        <v>21.169783342406095</v>
      </c>
      <c r="E42" s="112" t="s">
        <v>186</v>
      </c>
      <c r="F42" s="108"/>
      <c r="H42" s="19"/>
      <c r="I42" s="19"/>
      <c r="J42" s="142"/>
      <c r="K42" s="19"/>
      <c r="L42" s="19"/>
      <c r="M42" s="19"/>
      <c r="R42" s="20" t="s">
        <v>162</v>
      </c>
      <c r="S42" s="25">
        <f>ROUND(X32,1)</f>
        <v>833333.3</v>
      </c>
      <c r="T42" s="25">
        <f>ROUND(S42/2,1)</f>
        <v>416666.7</v>
      </c>
      <c r="U42" s="25"/>
      <c r="V42" s="25">
        <f>S42</f>
        <v>833333.3</v>
      </c>
      <c r="W42" s="25">
        <f>ROUND(S42/2,1)</f>
        <v>416666.7</v>
      </c>
      <c r="X42" s="25">
        <f>S42</f>
        <v>833333.3</v>
      </c>
      <c r="Y42" s="19"/>
    </row>
    <row r="43" spans="2:25" ht="16.2" x14ac:dyDescent="0.4">
      <c r="B43" s="308" t="s">
        <v>187</v>
      </c>
      <c r="C43" s="103"/>
      <c r="D43" s="98" t="s">
        <v>411</v>
      </c>
      <c r="E43" s="99" t="s">
        <v>151</v>
      </c>
      <c r="H43" s="19"/>
      <c r="I43" s="19"/>
      <c r="J43" s="19"/>
      <c r="K43" s="19"/>
      <c r="L43" s="19"/>
      <c r="M43" s="19"/>
      <c r="R43" s="20" t="s">
        <v>164</v>
      </c>
      <c r="S43" s="25">
        <f>ROUND(S41/1000,1)</f>
        <v>44583.3</v>
      </c>
      <c r="T43" s="25">
        <f>ROUND(T41/1000,1)</f>
        <v>30833.3</v>
      </c>
      <c r="U43" s="25"/>
      <c r="V43" s="25">
        <f>ROUND(V41/1000,1)</f>
        <v>14166.7</v>
      </c>
      <c r="W43" s="25">
        <f>ROUND(W41/1000,1)</f>
        <v>46250</v>
      </c>
      <c r="X43" s="25">
        <f>ROUND(X41/1000,1)</f>
        <v>15000</v>
      </c>
      <c r="Y43" s="19"/>
    </row>
    <row r="44" spans="2:25" x14ac:dyDescent="0.4">
      <c r="B44" s="309"/>
      <c r="C44" s="104" t="s">
        <v>183</v>
      </c>
      <c r="D44" s="109">
        <f>W47/'3. Inputs &amp; results'!H43</f>
        <v>2525.2524242424242</v>
      </c>
      <c r="E44" s="115">
        <f ca="1">SUM(D44:E44)</f>
        <v>0</v>
      </c>
      <c r="H44" s="19"/>
      <c r="I44" s="19"/>
      <c r="J44" s="19"/>
      <c r="K44" s="19"/>
      <c r="L44" s="19"/>
      <c r="M44" s="19"/>
      <c r="R44" s="20"/>
      <c r="S44" s="19"/>
      <c r="T44" s="19"/>
      <c r="U44" s="19"/>
      <c r="V44" s="19"/>
      <c r="W44" s="19"/>
      <c r="X44" s="19"/>
      <c r="Y44" s="19"/>
    </row>
    <row r="45" spans="2:25" ht="16.2" x14ac:dyDescent="0.4">
      <c r="B45" s="310"/>
      <c r="C45" s="102" t="s">
        <v>398</v>
      </c>
      <c r="D45" s="112">
        <f>D44*35/880</f>
        <v>100.43617596418733</v>
      </c>
      <c r="E45" s="108">
        <f ca="1">SUM(D45:E45)</f>
        <v>0</v>
      </c>
      <c r="H45" s="19"/>
      <c r="I45" s="19"/>
      <c r="J45" s="19"/>
      <c r="K45" s="19"/>
      <c r="L45" s="19"/>
      <c r="M45" s="19"/>
      <c r="R45" s="143"/>
      <c r="S45" s="139" t="s">
        <v>415</v>
      </c>
      <c r="T45" s="33" t="s">
        <v>408</v>
      </c>
      <c r="U45" s="143" t="s">
        <v>179</v>
      </c>
      <c r="V45" s="20"/>
      <c r="W45" s="144" t="s">
        <v>411</v>
      </c>
      <c r="X45" s="143" t="s">
        <v>179</v>
      </c>
      <c r="Y45" s="19"/>
    </row>
    <row r="46" spans="2:25" ht="16.2" x14ac:dyDescent="0.4">
      <c r="B46" s="308" t="s">
        <v>188</v>
      </c>
      <c r="C46" s="103"/>
      <c r="D46" s="98" t="s">
        <v>414</v>
      </c>
      <c r="E46" s="99" t="s">
        <v>151</v>
      </c>
      <c r="H46" s="19"/>
      <c r="I46" s="19"/>
      <c r="J46" s="19"/>
      <c r="K46" s="19"/>
      <c r="L46" s="19"/>
      <c r="M46" s="19"/>
      <c r="R46" s="143" t="s">
        <v>160</v>
      </c>
      <c r="S46" s="145">
        <f>S47*44</f>
        <v>36666665.200000003</v>
      </c>
      <c r="T46" s="145">
        <f>ROUND(T47*18,-1)</f>
        <v>15000000</v>
      </c>
      <c r="U46" s="145" t="s">
        <v>186</v>
      </c>
      <c r="V46" s="19"/>
      <c r="W46" s="145">
        <f>W47*35</f>
        <v>29166665.5</v>
      </c>
      <c r="X46" s="145" t="s">
        <v>186</v>
      </c>
      <c r="Y46" s="19"/>
    </row>
    <row r="47" spans="2:25" x14ac:dyDescent="0.4">
      <c r="B47" s="309"/>
      <c r="C47" s="104" t="s">
        <v>183</v>
      </c>
      <c r="D47" s="109">
        <f>V27/'3. Inputs &amp; results'!H43</f>
        <v>1262.6263636363637</v>
      </c>
      <c r="E47" s="115">
        <f ca="1">SUM(D47:E47)</f>
        <v>0</v>
      </c>
      <c r="H47" s="19"/>
      <c r="I47" s="19"/>
      <c r="J47" s="19"/>
      <c r="K47" s="19"/>
      <c r="L47" s="19"/>
      <c r="M47" s="19"/>
      <c r="R47" s="143" t="s">
        <v>162</v>
      </c>
      <c r="S47" s="145">
        <f>S37</f>
        <v>833333.3</v>
      </c>
      <c r="T47" s="145">
        <f>S47</f>
        <v>833333.3</v>
      </c>
      <c r="U47" s="145" t="s">
        <v>186</v>
      </c>
      <c r="V47" s="19"/>
      <c r="W47" s="145">
        <f>S47</f>
        <v>833333.3</v>
      </c>
      <c r="X47" s="145" t="s">
        <v>186</v>
      </c>
      <c r="Y47" s="19"/>
    </row>
    <row r="48" spans="2:25" ht="16.2" x14ac:dyDescent="0.4">
      <c r="B48" s="310"/>
      <c r="C48" s="102" t="s">
        <v>398</v>
      </c>
      <c r="D48" s="293">
        <f>D47/2.211/1000000*1000*74</f>
        <v>42.258865178241038</v>
      </c>
      <c r="E48" s="294">
        <f ca="1">SUM(D48:E48)</f>
        <v>0</v>
      </c>
      <c r="H48" s="19"/>
      <c r="I48" s="19"/>
      <c r="J48" s="19"/>
      <c r="K48" s="19"/>
      <c r="L48" s="19"/>
      <c r="M48" s="19"/>
      <c r="R48" s="143" t="s">
        <v>164</v>
      </c>
      <c r="S48" s="145">
        <f>S46/1000</f>
        <v>36666.665200000003</v>
      </c>
      <c r="T48" s="145">
        <f>T46/1000</f>
        <v>15000</v>
      </c>
      <c r="U48" s="145" t="s">
        <v>186</v>
      </c>
      <c r="V48" s="19"/>
      <c r="W48" s="145">
        <f>W46/1000</f>
        <v>29166.665499999999</v>
      </c>
      <c r="X48" s="145" t="s">
        <v>186</v>
      </c>
      <c r="Y48" s="19"/>
    </row>
    <row r="49" spans="2:25" ht="16.2" x14ac:dyDescent="0.4">
      <c r="B49" s="308" t="s">
        <v>189</v>
      </c>
      <c r="C49" s="103"/>
      <c r="D49" s="98" t="s">
        <v>417</v>
      </c>
      <c r="E49" s="98" t="s">
        <v>418</v>
      </c>
      <c r="F49" s="99" t="s">
        <v>151</v>
      </c>
      <c r="H49" s="19"/>
      <c r="I49" s="19"/>
      <c r="J49" s="19"/>
      <c r="K49" s="19"/>
      <c r="L49" s="19"/>
      <c r="M49" s="19"/>
      <c r="R49" s="19"/>
      <c r="S49" s="19"/>
      <c r="T49" s="19"/>
      <c r="U49" s="19"/>
      <c r="V49" s="19"/>
      <c r="W49" s="19"/>
      <c r="X49" s="19"/>
      <c r="Y49" s="19"/>
    </row>
    <row r="50" spans="2:25" x14ac:dyDescent="0.4">
      <c r="B50" s="309"/>
      <c r="C50" s="94" t="s">
        <v>183</v>
      </c>
      <c r="D50" s="109">
        <f>W32/'3. Inputs &amp; results'!H43</f>
        <v>2525.2524242424242</v>
      </c>
      <c r="E50" s="109">
        <f>X32/'3. Inputs &amp; results'!H43</f>
        <v>2525.2524242424242</v>
      </c>
      <c r="F50" s="116">
        <f>SUM(D50:E50)</f>
        <v>5050.5048484848485</v>
      </c>
      <c r="H50" s="19"/>
      <c r="I50" s="19"/>
      <c r="J50" s="19"/>
      <c r="K50" s="19"/>
      <c r="L50" s="19"/>
      <c r="M50" s="19"/>
      <c r="R50" s="19"/>
      <c r="S50" s="19"/>
      <c r="T50" s="19"/>
      <c r="U50" s="19"/>
      <c r="V50" s="19"/>
      <c r="W50" s="19"/>
      <c r="X50" s="19"/>
      <c r="Y50" s="19"/>
    </row>
    <row r="51" spans="2:25" ht="16.2" x14ac:dyDescent="0.4">
      <c r="B51" s="310"/>
      <c r="C51" s="96" t="s">
        <v>398</v>
      </c>
      <c r="D51" s="113">
        <f>D50/2200*84</f>
        <v>96.418728925619831</v>
      </c>
      <c r="E51" s="112">
        <f>E50/1530*53.5</f>
        <v>88.301310259457324</v>
      </c>
      <c r="F51" s="117">
        <f>SUM(D51:E51)</f>
        <v>184.72003918507716</v>
      </c>
      <c r="H51" s="19"/>
      <c r="I51" s="19"/>
      <c r="J51" s="19"/>
      <c r="K51" s="19"/>
      <c r="L51" s="19"/>
      <c r="M51" s="19"/>
      <c r="R51" s="19"/>
      <c r="S51" s="19"/>
      <c r="T51" s="19"/>
      <c r="U51" s="19"/>
      <c r="V51" s="19"/>
      <c r="W51" s="19"/>
      <c r="X51" s="19"/>
      <c r="Y51" s="19"/>
    </row>
    <row r="52" spans="2:25" ht="16.2" x14ac:dyDescent="0.4">
      <c r="B52" s="308" t="s">
        <v>190</v>
      </c>
      <c r="C52" s="98"/>
      <c r="D52" s="98" t="s">
        <v>419</v>
      </c>
      <c r="E52" s="98" t="s">
        <v>408</v>
      </c>
      <c r="F52" s="98" t="s">
        <v>409</v>
      </c>
      <c r="G52" s="99" t="s">
        <v>151</v>
      </c>
      <c r="H52" s="19"/>
      <c r="I52" s="19"/>
      <c r="J52" s="19"/>
      <c r="K52" s="19"/>
      <c r="L52" s="19"/>
      <c r="M52" s="19"/>
      <c r="R52" s="19"/>
      <c r="S52" s="19"/>
      <c r="T52" s="19"/>
      <c r="U52" s="19"/>
      <c r="V52" s="19"/>
      <c r="W52" s="19"/>
      <c r="X52" s="19"/>
      <c r="Y52" s="19"/>
    </row>
    <row r="53" spans="2:25" x14ac:dyDescent="0.4">
      <c r="B53" s="309"/>
      <c r="C53" s="94" t="s">
        <v>174</v>
      </c>
      <c r="D53" s="114">
        <f>U36/'3. Inputs &amp; results'!H43</f>
        <v>133838.37848484851</v>
      </c>
      <c r="E53" s="114">
        <f>V36/'3. Inputs &amp; results'!H43</f>
        <v>22727.27181818182</v>
      </c>
      <c r="F53" s="114">
        <f>W36/'3. Inputs &amp; results'!H43</f>
        <v>55555.553333333337</v>
      </c>
      <c r="G53" s="115"/>
      <c r="H53" s="19"/>
      <c r="I53" s="19"/>
      <c r="J53" s="19"/>
      <c r="K53" s="19"/>
      <c r="L53" s="19"/>
      <c r="M53" s="19"/>
      <c r="R53" s="19"/>
      <c r="S53" s="19"/>
      <c r="T53" s="19"/>
      <c r="U53" s="19"/>
      <c r="V53" s="19"/>
      <c r="W53" s="19"/>
      <c r="X53" s="19"/>
      <c r="Y53" s="19"/>
    </row>
    <row r="54" spans="2:25" ht="16.2" x14ac:dyDescent="0.4">
      <c r="B54" s="310"/>
      <c r="C54" s="96" t="s">
        <v>398</v>
      </c>
      <c r="D54" s="107">
        <f>D53/2540</f>
        <v>52.692274994034847</v>
      </c>
      <c r="E54" s="107">
        <f>E53/1000</f>
        <v>22.727271818181819</v>
      </c>
      <c r="F54" s="107">
        <f>F53/1030</f>
        <v>53.937430420711976</v>
      </c>
      <c r="G54" s="108">
        <f>SUM(D54:F54)</f>
        <v>129.35697723292864</v>
      </c>
      <c r="H54" s="19"/>
      <c r="I54" s="19"/>
      <c r="J54" s="19"/>
      <c r="K54" s="19"/>
      <c r="L54" s="19"/>
      <c r="M54" s="19"/>
      <c r="R54" s="19"/>
      <c r="S54" s="19"/>
      <c r="T54" s="19"/>
      <c r="U54" s="19"/>
      <c r="V54" s="19"/>
      <c r="W54" s="19"/>
      <c r="X54" s="19"/>
      <c r="Y54" s="19"/>
    </row>
    <row r="55" spans="2:25" ht="16.2" x14ac:dyDescent="0.4">
      <c r="B55" s="308" t="s">
        <v>191</v>
      </c>
      <c r="C55" s="98"/>
      <c r="D55" s="98" t="s">
        <v>415</v>
      </c>
      <c r="E55" s="98" t="s">
        <v>420</v>
      </c>
      <c r="F55" s="98" t="s">
        <v>408</v>
      </c>
      <c r="G55" s="99" t="s">
        <v>151</v>
      </c>
      <c r="H55" s="19"/>
      <c r="I55" s="19"/>
      <c r="J55" s="19"/>
      <c r="K55" s="19"/>
      <c r="L55" s="19"/>
      <c r="M55" s="19"/>
      <c r="R55" s="19"/>
      <c r="S55" s="19"/>
      <c r="T55" s="19"/>
      <c r="U55" s="19"/>
      <c r="V55" s="19"/>
      <c r="W55" s="19"/>
      <c r="X55" s="19"/>
      <c r="Y55" s="19"/>
    </row>
    <row r="56" spans="2:25" x14ac:dyDescent="0.4">
      <c r="B56" s="309"/>
      <c r="C56" s="94" t="s">
        <v>174</v>
      </c>
      <c r="D56" s="114">
        <f>V41/'3. Inputs &amp; results'!H43</f>
        <v>42929.291212121214</v>
      </c>
      <c r="E56" s="114">
        <f>W41/'3. Inputs &amp; results'!H43</f>
        <v>140151.52636363637</v>
      </c>
      <c r="F56" s="114">
        <f>X41/'3. Inputs &amp; results'!H43</f>
        <v>45454.54363636364</v>
      </c>
      <c r="G56" s="115"/>
      <c r="H56" s="19"/>
      <c r="I56" s="19"/>
      <c r="J56" s="19"/>
      <c r="K56" s="19"/>
      <c r="L56" s="19"/>
      <c r="M56" s="19"/>
      <c r="R56" s="19"/>
      <c r="S56" s="19"/>
      <c r="T56" s="19"/>
      <c r="U56" s="19"/>
      <c r="V56" s="19"/>
      <c r="W56" s="19"/>
      <c r="X56" s="19"/>
      <c r="Y56" s="19"/>
    </row>
    <row r="57" spans="2:25" ht="16.2" x14ac:dyDescent="0.4">
      <c r="B57" s="310"/>
      <c r="C57" s="96" t="s">
        <v>398</v>
      </c>
      <c r="D57" s="107">
        <f>D56/682.6</f>
        <v>62.890845608147103</v>
      </c>
      <c r="E57" s="107">
        <f>E56/2150</f>
        <v>65.186756448202956</v>
      </c>
      <c r="F57" s="107">
        <f>F56/1000</f>
        <v>45.454543636363638</v>
      </c>
      <c r="G57" s="108">
        <f>SUM(D57:F57)</f>
        <v>173.5321456927137</v>
      </c>
      <c r="H57" s="19"/>
      <c r="I57" s="19"/>
      <c r="J57" s="19"/>
      <c r="K57" s="19"/>
      <c r="L57" s="19"/>
      <c r="M57" s="19"/>
      <c r="R57" s="19"/>
      <c r="S57" s="19"/>
      <c r="T57" s="19"/>
      <c r="U57" s="19"/>
      <c r="V57" s="19"/>
      <c r="W57" s="19"/>
      <c r="X57" s="19"/>
      <c r="Y57" s="19"/>
    </row>
    <row r="58" spans="2:25" x14ac:dyDescent="0.4">
      <c r="B58" s="19"/>
      <c r="C58" s="19"/>
      <c r="D58" s="19"/>
      <c r="E58" s="19"/>
      <c r="F58" s="19"/>
      <c r="G58" s="19"/>
      <c r="H58" s="19"/>
      <c r="I58" s="19"/>
      <c r="J58" s="19"/>
      <c r="K58" s="19"/>
      <c r="L58" s="19"/>
      <c r="M58" s="19"/>
      <c r="R58" s="19"/>
      <c r="S58" s="19"/>
      <c r="T58" s="19"/>
      <c r="U58" s="19"/>
      <c r="V58" s="19"/>
      <c r="W58" s="19"/>
      <c r="X58" s="19"/>
      <c r="Y58" s="19"/>
    </row>
    <row r="59" spans="2:25" x14ac:dyDescent="0.4">
      <c r="B59" s="19"/>
      <c r="C59" s="19"/>
      <c r="D59" s="19"/>
      <c r="E59" s="19"/>
      <c r="F59" s="19"/>
      <c r="G59" s="19"/>
      <c r="H59" s="19"/>
      <c r="I59" s="19"/>
      <c r="L59" s="19"/>
      <c r="M59" s="19"/>
      <c r="R59" s="19"/>
      <c r="S59" s="19"/>
      <c r="T59" s="19"/>
      <c r="U59" s="19"/>
      <c r="V59" s="19"/>
      <c r="W59" s="19"/>
      <c r="X59" s="19"/>
      <c r="Y59" s="19"/>
    </row>
    <row r="60" spans="2:25" x14ac:dyDescent="0.4">
      <c r="G60" s="19"/>
      <c r="H60" s="19"/>
      <c r="I60" s="19"/>
      <c r="L60" s="19"/>
      <c r="M60" s="19"/>
      <c r="R60" s="121" t="s">
        <v>136</v>
      </c>
      <c r="S60" s="121"/>
      <c r="T60" s="121"/>
      <c r="U60" s="121"/>
      <c r="V60" s="121"/>
      <c r="W60" s="121"/>
      <c r="X60" s="121"/>
      <c r="Y60" s="121"/>
    </row>
    <row r="61" spans="2:25" ht="16.5" customHeight="1" x14ac:dyDescent="0.4">
      <c r="B61" s="303" t="s">
        <v>192</v>
      </c>
      <c r="C61" s="92"/>
      <c r="D61" s="98" t="s">
        <v>421</v>
      </c>
      <c r="E61" s="98" t="s">
        <v>419</v>
      </c>
      <c r="F61" s="92" t="s">
        <v>151</v>
      </c>
      <c r="G61" s="146"/>
      <c r="H61" s="147"/>
      <c r="I61" s="19"/>
      <c r="J61" s="118" t="s">
        <v>152</v>
      </c>
      <c r="K61" s="134" t="s">
        <v>153</v>
      </c>
      <c r="L61" s="19"/>
      <c r="M61" s="19"/>
      <c r="Q61" s="148"/>
      <c r="R61" s="20"/>
      <c r="S61" s="33" t="s">
        <v>421</v>
      </c>
      <c r="T61" s="139" t="s">
        <v>419</v>
      </c>
      <c r="U61" s="20"/>
      <c r="V61" s="33" t="s">
        <v>437</v>
      </c>
      <c r="W61" s="33" t="s">
        <v>422</v>
      </c>
      <c r="X61" s="20" t="s">
        <v>193</v>
      </c>
      <c r="Y61" s="33" t="s">
        <v>424</v>
      </c>
    </row>
    <row r="62" spans="2:25" x14ac:dyDescent="0.4">
      <c r="B62" s="304"/>
      <c r="C62" s="19" t="s">
        <v>181</v>
      </c>
      <c r="D62" s="149">
        <f>S62/('3. Inputs &amp; results'!H43*1000)</f>
        <v>123.73735393939393</v>
      </c>
      <c r="E62" s="149">
        <f>T62/('3. Inputs &amp; results'!H43*1000)</f>
        <v>66.919181212121202</v>
      </c>
      <c r="F62" s="149">
        <f>SUM(D62:E62)</f>
        <v>190.65653515151513</v>
      </c>
      <c r="G62" s="19"/>
      <c r="H62" s="150"/>
      <c r="I62" s="19"/>
      <c r="J62" s="306" t="s">
        <v>192</v>
      </c>
      <c r="K62" s="151"/>
      <c r="L62" s="19"/>
      <c r="M62" s="19"/>
      <c r="Q62" s="19"/>
      <c r="R62" s="20" t="s">
        <v>160</v>
      </c>
      <c r="S62" s="145">
        <f>S63*98</f>
        <v>40833326.799999997</v>
      </c>
      <c r="T62" s="145">
        <f>T63*106</f>
        <v>22083329.799999997</v>
      </c>
      <c r="U62" s="145"/>
      <c r="V62" s="145">
        <f>V63*73.88</f>
        <v>15391664.203999998</v>
      </c>
      <c r="W62" s="145">
        <f>W63*62</f>
        <v>12916664.6</v>
      </c>
      <c r="X62" s="145">
        <f>X63*75</f>
        <v>15624997.5</v>
      </c>
      <c r="Y62" s="145">
        <f>Y63*91</f>
        <v>18958330.300000001</v>
      </c>
    </row>
    <row r="63" spans="2:25" ht="16.2" x14ac:dyDescent="0.4">
      <c r="B63" s="305"/>
      <c r="C63" s="152" t="s">
        <v>398</v>
      </c>
      <c r="D63" s="101">
        <f>D62*1000/5100</f>
        <v>24.26222626262626</v>
      </c>
      <c r="E63" s="101">
        <f>E62*1000/2540</f>
        <v>26.346134335480787</v>
      </c>
      <c r="F63" s="153">
        <f>SUM(D63:E63)</f>
        <v>50.608360598107048</v>
      </c>
      <c r="G63" s="19"/>
      <c r="H63" s="150"/>
      <c r="I63" s="19"/>
      <c r="J63" s="307"/>
      <c r="K63" s="154">
        <v>750000</v>
      </c>
      <c r="L63" s="19"/>
      <c r="M63" s="19"/>
      <c r="Q63" s="19"/>
      <c r="R63" s="20" t="s">
        <v>162</v>
      </c>
      <c r="S63" s="145">
        <f>T63*2</f>
        <v>416666.6</v>
      </c>
      <c r="T63" s="145">
        <f>ROUND(U37/2,1)</f>
        <v>208333.3</v>
      </c>
      <c r="U63" s="145"/>
      <c r="V63" s="145">
        <f>T63</f>
        <v>208333.3</v>
      </c>
      <c r="W63" s="145">
        <f>V63</f>
        <v>208333.3</v>
      </c>
      <c r="X63" s="145">
        <f>V63</f>
        <v>208333.3</v>
      </c>
      <c r="Y63" s="145">
        <f>V63</f>
        <v>208333.3</v>
      </c>
    </row>
    <row r="64" spans="2:25" ht="33" customHeight="1" x14ac:dyDescent="0.4">
      <c r="B64" s="303" t="s">
        <v>194</v>
      </c>
      <c r="C64" s="92"/>
      <c r="D64" s="98" t="s">
        <v>419</v>
      </c>
      <c r="E64" s="155" t="s">
        <v>422</v>
      </c>
      <c r="F64" s="94" t="s">
        <v>423</v>
      </c>
      <c r="G64" s="156" t="s">
        <v>424</v>
      </c>
      <c r="H64" s="147" t="s">
        <v>151</v>
      </c>
      <c r="I64" s="19"/>
      <c r="J64" s="124" t="s">
        <v>152</v>
      </c>
      <c r="K64" s="134" t="s">
        <v>153</v>
      </c>
      <c r="L64" s="19"/>
      <c r="M64" s="19"/>
      <c r="Q64" s="19"/>
      <c r="R64" s="20" t="s">
        <v>164</v>
      </c>
      <c r="S64" s="145">
        <f>ROUND(S62/1000,1)</f>
        <v>40833.300000000003</v>
      </c>
      <c r="T64" s="145">
        <f>T62/1000</f>
        <v>22083.329799999996</v>
      </c>
      <c r="U64" s="145"/>
      <c r="V64" s="145">
        <f>ROUND(V62/1000,1)</f>
        <v>15391.7</v>
      </c>
      <c r="W64" s="145">
        <f>ROUND(W62/1000,1)</f>
        <v>12916.7</v>
      </c>
      <c r="X64" s="145">
        <f>ROUND(X62/1000,1)</f>
        <v>15625</v>
      </c>
      <c r="Y64" s="145">
        <f>ROUND(Y62/1000,1)</f>
        <v>18958.3</v>
      </c>
    </row>
    <row r="65" spans="2:25" x14ac:dyDescent="0.4">
      <c r="B65" s="304"/>
      <c r="C65" s="19" t="s">
        <v>181</v>
      </c>
      <c r="D65" s="149">
        <f>V64/'3. Inputs &amp; results'!H43</f>
        <v>46.641515151515151</v>
      </c>
      <c r="E65" s="149">
        <f>W64/'3. Inputs &amp; results'!H43</f>
        <v>39.141515151515151</v>
      </c>
      <c r="F65" s="149">
        <f>X64/'3. Inputs &amp; results'!H43</f>
        <v>47.348484848484851</v>
      </c>
      <c r="G65" s="149">
        <f>Y64/'3. Inputs &amp; results'!H43</f>
        <v>57.449393939393936</v>
      </c>
      <c r="H65" s="157">
        <f>SUM(D65:G65)</f>
        <v>190.58090909090907</v>
      </c>
      <c r="I65" s="19"/>
      <c r="J65" s="306" t="s">
        <v>194</v>
      </c>
      <c r="K65" s="151">
        <v>7200</v>
      </c>
      <c r="L65" s="19"/>
      <c r="M65" s="19"/>
      <c r="Q65" s="19"/>
      <c r="R65" s="20"/>
      <c r="S65" s="145"/>
      <c r="T65" s="145"/>
      <c r="U65" s="145"/>
      <c r="V65" s="145"/>
      <c r="W65" s="145"/>
      <c r="X65" s="145"/>
      <c r="Y65" s="145"/>
    </row>
    <row r="66" spans="2:25" ht="16.5" customHeight="1" x14ac:dyDescent="0.4">
      <c r="B66" s="305"/>
      <c r="C66" s="152" t="s">
        <v>398</v>
      </c>
      <c r="D66" s="101">
        <f>D65*1000/2110</f>
        <v>22.104983484130404</v>
      </c>
      <c r="E66" s="101">
        <f>E65*1000/2270</f>
        <v>17.2429582165265</v>
      </c>
      <c r="F66" s="158">
        <f>F65*1000/6440</f>
        <v>7.3522492000752866</v>
      </c>
      <c r="G66" s="158">
        <f>G65*1000/5160</f>
        <v>11.133603476626732</v>
      </c>
      <c r="H66" s="157">
        <f>SUM(D66:G66)</f>
        <v>57.83379437735892</v>
      </c>
      <c r="I66" s="19"/>
      <c r="J66" s="307"/>
      <c r="K66" s="154">
        <f>K65*(H65/600)^0.6</f>
        <v>3618.1734523112032</v>
      </c>
      <c r="L66" s="19"/>
      <c r="M66" s="19"/>
      <c r="Q66" s="148"/>
      <c r="R66" s="20"/>
      <c r="S66" s="144" t="s">
        <v>425</v>
      </c>
      <c r="T66" s="144" t="s">
        <v>408</v>
      </c>
      <c r="U66" s="143"/>
      <c r="V66" s="144" t="s">
        <v>438</v>
      </c>
      <c r="W66" s="143"/>
      <c r="X66" s="143"/>
      <c r="Y66" s="143"/>
    </row>
    <row r="67" spans="2:25" ht="16.2" x14ac:dyDescent="0.4">
      <c r="B67" s="303" t="s">
        <v>195</v>
      </c>
      <c r="C67" s="92"/>
      <c r="D67" s="155" t="s">
        <v>425</v>
      </c>
      <c r="E67" s="159" t="s">
        <v>442</v>
      </c>
      <c r="F67" s="92" t="s">
        <v>151</v>
      </c>
      <c r="G67" s="146"/>
      <c r="H67" s="147"/>
      <c r="I67" s="19"/>
      <c r="J67" s="124" t="s">
        <v>152</v>
      </c>
      <c r="K67" s="134" t="s">
        <v>153</v>
      </c>
      <c r="L67" s="19"/>
      <c r="M67" s="19"/>
      <c r="Q67" s="19"/>
      <c r="R67" s="20" t="s">
        <v>160</v>
      </c>
      <c r="S67" s="145">
        <f>V62</f>
        <v>15391664.203999998</v>
      </c>
      <c r="T67" s="145">
        <f>T68*18</f>
        <v>3749999.4</v>
      </c>
      <c r="U67" s="145"/>
      <c r="V67" s="145">
        <f>S67+T67</f>
        <v>19141663.603999998</v>
      </c>
      <c r="W67" s="145"/>
      <c r="X67" s="145"/>
      <c r="Y67" s="145"/>
    </row>
    <row r="68" spans="2:25" x14ac:dyDescent="0.4">
      <c r="B68" s="304"/>
      <c r="C68" s="19" t="s">
        <v>181</v>
      </c>
      <c r="D68" s="149">
        <f>S69/'3. Inputs &amp; results'!H43</f>
        <v>46.641515151515151</v>
      </c>
      <c r="E68" s="149">
        <f>T69/'3. Inputs &amp; results'!H43</f>
        <v>11.363634545454545</v>
      </c>
      <c r="F68" s="158">
        <f>SUM(D68:E68)</f>
        <v>58.005149696969696</v>
      </c>
      <c r="G68" s="19"/>
      <c r="H68" s="150"/>
      <c r="I68" s="19"/>
      <c r="J68" s="306" t="s">
        <v>195</v>
      </c>
      <c r="K68" s="160">
        <f>1.15 * 10^4</f>
        <v>11500</v>
      </c>
      <c r="L68" s="19"/>
      <c r="M68" s="19"/>
      <c r="Q68" s="19"/>
      <c r="R68" s="20" t="s">
        <v>162</v>
      </c>
      <c r="S68" s="145">
        <f>V63</f>
        <v>208333.3</v>
      </c>
      <c r="T68" s="145">
        <f>S68</f>
        <v>208333.3</v>
      </c>
      <c r="U68" s="145"/>
      <c r="V68" s="145">
        <f>T68</f>
        <v>208333.3</v>
      </c>
      <c r="W68" s="145"/>
      <c r="X68" s="145"/>
      <c r="Y68" s="145"/>
    </row>
    <row r="69" spans="2:25" ht="16.2" x14ac:dyDescent="0.4">
      <c r="B69" s="305"/>
      <c r="C69" s="152" t="s">
        <v>398</v>
      </c>
      <c r="D69" s="101">
        <f>D68*1000/2110</f>
        <v>22.104983484130404</v>
      </c>
      <c r="E69" s="101">
        <f>E68/1</f>
        <v>11.363634545454545</v>
      </c>
      <c r="F69" s="158">
        <f>SUM(D69:E69)</f>
        <v>33.468618029584945</v>
      </c>
      <c r="G69" s="19"/>
      <c r="H69" s="150"/>
      <c r="I69" s="19"/>
      <c r="J69" s="307"/>
      <c r="K69" s="161">
        <f>K68*(F69/1)^0.45</f>
        <v>55819.358537382774</v>
      </c>
      <c r="L69" s="19"/>
      <c r="M69" s="19"/>
      <c r="Q69" s="19"/>
      <c r="R69" s="20" t="s">
        <v>164</v>
      </c>
      <c r="S69" s="145">
        <f>V64</f>
        <v>15391.7</v>
      </c>
      <c r="T69" s="145">
        <f>T67/1000</f>
        <v>3749.9993999999997</v>
      </c>
      <c r="U69" s="145"/>
      <c r="V69" s="145">
        <f>S69+T69</f>
        <v>19141.699400000001</v>
      </c>
      <c r="W69" s="145"/>
      <c r="X69" s="145"/>
      <c r="Y69" s="145"/>
    </row>
    <row r="70" spans="2:25" ht="16.5" customHeight="1" x14ac:dyDescent="0.4">
      <c r="B70" s="303" t="s">
        <v>196</v>
      </c>
      <c r="C70" s="92"/>
      <c r="D70" s="162" t="s">
        <v>148</v>
      </c>
      <c r="E70" s="98" t="s">
        <v>408</v>
      </c>
      <c r="F70" s="92" t="s">
        <v>151</v>
      </c>
      <c r="G70" s="146"/>
      <c r="H70" s="147"/>
      <c r="I70" s="19"/>
      <c r="J70" s="124" t="s">
        <v>152</v>
      </c>
      <c r="K70" s="134" t="s">
        <v>153</v>
      </c>
      <c r="L70" s="19"/>
      <c r="M70" s="19"/>
      <c r="Q70" s="19"/>
      <c r="R70" s="20"/>
      <c r="S70" s="145"/>
      <c r="T70" s="145"/>
      <c r="U70" s="145"/>
      <c r="V70" s="145"/>
      <c r="W70" s="145"/>
      <c r="X70" s="145"/>
      <c r="Y70" s="145"/>
    </row>
    <row r="71" spans="2:25" ht="16.2" x14ac:dyDescent="0.4">
      <c r="B71" s="304"/>
      <c r="C71" s="19" t="s">
        <v>181</v>
      </c>
      <c r="D71" s="149">
        <f>S74/'3. Inputs &amp; results'!H43</f>
        <v>46.641515151515151</v>
      </c>
      <c r="E71" s="149">
        <f>T74/'3. Inputs &amp; results'!H43</f>
        <v>46.032820917575755</v>
      </c>
      <c r="F71" s="158">
        <f>SUM(D71:E71)</f>
        <v>92.674336069090913</v>
      </c>
      <c r="G71" s="19"/>
      <c r="H71" s="150"/>
      <c r="I71" s="19"/>
      <c r="J71" s="306" t="s">
        <v>196</v>
      </c>
      <c r="K71" s="160">
        <f>1.15 * 10^4</f>
        <v>11500</v>
      </c>
      <c r="L71" s="19"/>
      <c r="M71" s="19"/>
      <c r="Q71" s="19"/>
      <c r="R71" s="20"/>
      <c r="S71" s="144" t="s">
        <v>439</v>
      </c>
      <c r="T71" s="143" t="s">
        <v>147</v>
      </c>
      <c r="U71" s="143"/>
      <c r="V71" s="143" t="s">
        <v>148</v>
      </c>
      <c r="W71" s="33" t="s">
        <v>408</v>
      </c>
      <c r="X71" s="33" t="s">
        <v>409</v>
      </c>
      <c r="Y71" s="143"/>
    </row>
    <row r="72" spans="2:25" ht="16.2" x14ac:dyDescent="0.4">
      <c r="B72" s="305"/>
      <c r="C72" s="152" t="s">
        <v>398</v>
      </c>
      <c r="D72" s="101">
        <f>D71*1000/2070</f>
        <v>22.53213292343727</v>
      </c>
      <c r="E72" s="101">
        <f>E71*1000/1000</f>
        <v>46.032820917575755</v>
      </c>
      <c r="F72" s="158">
        <f>SUM(D72:E72)</f>
        <v>68.564953841013022</v>
      </c>
      <c r="G72" s="19"/>
      <c r="H72" s="150"/>
      <c r="I72" s="19"/>
      <c r="J72" s="307"/>
      <c r="K72" s="161">
        <f>K71*(F72/1)^0.45</f>
        <v>77080.37608036543</v>
      </c>
      <c r="L72" s="19"/>
      <c r="M72" s="19"/>
      <c r="Q72" s="19"/>
      <c r="R72" s="20" t="s">
        <v>160</v>
      </c>
      <c r="S72" s="145">
        <f>S67</f>
        <v>15391664.203999998</v>
      </c>
      <c r="T72" s="145">
        <f>T73*36.458</f>
        <v>15190830.902799999</v>
      </c>
      <c r="U72" s="145"/>
      <c r="V72" s="145">
        <f>V73*42.394</f>
        <v>17664163.840399999</v>
      </c>
      <c r="W72" s="145">
        <f>W73*18</f>
        <v>3749999.4</v>
      </c>
      <c r="X72" s="145">
        <f>X73*44</f>
        <v>9166665.1999999993</v>
      </c>
      <c r="Y72" s="145"/>
    </row>
    <row r="73" spans="2:25" ht="16.5" customHeight="1" x14ac:dyDescent="0.4">
      <c r="B73" s="303" t="s">
        <v>197</v>
      </c>
      <c r="C73" s="92"/>
      <c r="D73" s="162" t="s">
        <v>148</v>
      </c>
      <c r="E73" s="98" t="s">
        <v>419</v>
      </c>
      <c r="F73" s="92" t="s">
        <v>151</v>
      </c>
      <c r="G73" s="146"/>
      <c r="H73" s="147"/>
      <c r="I73" s="19"/>
      <c r="J73" s="124" t="s">
        <v>152</v>
      </c>
      <c r="K73" s="134" t="s">
        <v>153</v>
      </c>
      <c r="L73" s="19"/>
      <c r="M73" s="19"/>
      <c r="Q73" s="19"/>
      <c r="R73" s="20" t="s">
        <v>162</v>
      </c>
      <c r="S73" s="145">
        <f>S68</f>
        <v>208333.3</v>
      </c>
      <c r="T73" s="145">
        <f>S73*2</f>
        <v>416666.6</v>
      </c>
      <c r="U73" s="145"/>
      <c r="V73" s="145">
        <f>S73*2</f>
        <v>416666.6</v>
      </c>
      <c r="W73" s="145">
        <f>S73</f>
        <v>208333.3</v>
      </c>
      <c r="X73" s="145">
        <f>S73</f>
        <v>208333.3</v>
      </c>
      <c r="Y73" s="145"/>
    </row>
    <row r="74" spans="2:25" x14ac:dyDescent="0.4">
      <c r="B74" s="304"/>
      <c r="C74" s="19" t="s">
        <v>181</v>
      </c>
      <c r="D74" s="149">
        <f>S79/'3. Inputs &amp; results'!H43</f>
        <v>53.527769213333336</v>
      </c>
      <c r="E74" s="149">
        <f>T79/'3. Inputs &amp; results'!H43</f>
        <v>66.919189242424252</v>
      </c>
      <c r="F74" s="158">
        <f>SUM(D74:E74)</f>
        <v>120.4469584557576</v>
      </c>
      <c r="G74" s="19"/>
      <c r="H74" s="150"/>
      <c r="I74" s="19"/>
      <c r="J74" s="306" t="s">
        <v>197</v>
      </c>
      <c r="K74" s="160">
        <f>1.15 * 10^4</f>
        <v>11500</v>
      </c>
      <c r="L74" s="19"/>
      <c r="M74" s="19"/>
      <c r="Q74" s="19"/>
      <c r="R74" s="20" t="s">
        <v>164</v>
      </c>
      <c r="S74" s="145">
        <f>S69</f>
        <v>15391.7</v>
      </c>
      <c r="T74" s="145">
        <f>T72/1000</f>
        <v>15190.830902799999</v>
      </c>
      <c r="U74" s="145"/>
      <c r="V74" s="145">
        <f>V72/1000</f>
        <v>17664.1638404</v>
      </c>
      <c r="W74" s="145">
        <f>W72/1000</f>
        <v>3749.9993999999997</v>
      </c>
      <c r="X74" s="145">
        <f>X72/1000</f>
        <v>9166.6651999999995</v>
      </c>
      <c r="Y74" s="145"/>
    </row>
    <row r="75" spans="2:25" ht="16.2" x14ac:dyDescent="0.4">
      <c r="B75" s="305"/>
      <c r="C75" s="152" t="s">
        <v>398</v>
      </c>
      <c r="D75" s="101">
        <f>D74*1000/2070</f>
        <v>25.858825706924314</v>
      </c>
      <c r="E75" s="101">
        <f>E74*1000/2540</f>
        <v>26.346137497017423</v>
      </c>
      <c r="F75" s="158">
        <f>SUM(D75:E75)</f>
        <v>52.204963203941738</v>
      </c>
      <c r="G75" s="163"/>
      <c r="H75" s="164"/>
      <c r="I75" s="19"/>
      <c r="J75" s="307"/>
      <c r="K75" s="161">
        <f>K74*(F75/1)^0.45</f>
        <v>68181.750582580484</v>
      </c>
      <c r="L75" s="19"/>
      <c r="M75" s="19"/>
      <c r="Q75" s="19"/>
      <c r="R75" s="20"/>
      <c r="S75" s="145"/>
      <c r="T75" s="145"/>
      <c r="U75" s="145"/>
      <c r="V75" s="145"/>
      <c r="W75" s="145"/>
      <c r="X75" s="145"/>
      <c r="Y75" s="145"/>
    </row>
    <row r="76" spans="2:25" ht="16.2" x14ac:dyDescent="0.4">
      <c r="B76" s="19"/>
      <c r="C76" s="19"/>
      <c r="D76" s="19"/>
      <c r="E76" s="19"/>
      <c r="F76" s="165"/>
      <c r="G76" s="19"/>
      <c r="H76" s="19"/>
      <c r="I76" s="19"/>
      <c r="L76" s="19"/>
      <c r="M76" s="19"/>
      <c r="Q76" s="19"/>
      <c r="R76" s="20"/>
      <c r="S76" s="143" t="s">
        <v>148</v>
      </c>
      <c r="T76" s="139" t="s">
        <v>419</v>
      </c>
      <c r="U76" s="143"/>
      <c r="V76" s="144" t="s">
        <v>425</v>
      </c>
      <c r="W76" s="143" t="s">
        <v>149</v>
      </c>
      <c r="X76" s="143"/>
      <c r="Y76" s="143"/>
    </row>
    <row r="77" spans="2:25" x14ac:dyDescent="0.4">
      <c r="B77" s="19"/>
      <c r="C77" s="19"/>
      <c r="D77" s="19"/>
      <c r="E77" s="19"/>
      <c r="F77" s="19"/>
      <c r="G77" s="19"/>
      <c r="H77" s="19"/>
      <c r="I77" s="19"/>
      <c r="L77" s="19"/>
      <c r="M77" s="19"/>
      <c r="Q77" s="19"/>
      <c r="R77" s="20" t="s">
        <v>160</v>
      </c>
      <c r="S77" s="145">
        <f>V72</f>
        <v>17664163.840399999</v>
      </c>
      <c r="T77" s="145">
        <f>T78*106</f>
        <v>22083332.450000003</v>
      </c>
      <c r="U77" s="145"/>
      <c r="V77" s="145">
        <f>V78*73.88</f>
        <v>15391664.203999998</v>
      </c>
      <c r="W77" s="145">
        <f>W78*58.44</f>
        <v>12174998.051999999</v>
      </c>
      <c r="X77" s="145"/>
      <c r="Y77" s="145"/>
    </row>
    <row r="78" spans="2:25" x14ac:dyDescent="0.4">
      <c r="B78" s="19"/>
      <c r="C78" s="19"/>
      <c r="D78" s="19"/>
      <c r="E78" s="19"/>
      <c r="F78" s="19"/>
      <c r="G78" s="19"/>
      <c r="H78" s="19"/>
      <c r="I78" s="19"/>
      <c r="L78" s="19"/>
      <c r="M78" s="19"/>
      <c r="Q78" s="19"/>
      <c r="R78" s="20" t="s">
        <v>162</v>
      </c>
      <c r="S78" s="145">
        <f>V73</f>
        <v>416666.6</v>
      </c>
      <c r="T78" s="145">
        <f>U37/2</f>
        <v>208333.32500000001</v>
      </c>
      <c r="U78" s="145"/>
      <c r="V78" s="145">
        <f>S78/2</f>
        <v>208333.3</v>
      </c>
      <c r="W78" s="145">
        <f>S78/2</f>
        <v>208333.3</v>
      </c>
      <c r="X78" s="145"/>
      <c r="Y78" s="145"/>
    </row>
    <row r="79" spans="2:25" x14ac:dyDescent="0.4">
      <c r="B79" s="19"/>
      <c r="C79" s="19"/>
      <c r="D79" s="19"/>
      <c r="E79" s="19"/>
      <c r="F79" s="19"/>
      <c r="G79" s="19"/>
      <c r="H79" s="19"/>
      <c r="I79" s="19"/>
      <c r="J79" s="19"/>
      <c r="K79" s="19"/>
      <c r="L79" s="19"/>
      <c r="M79" s="19"/>
      <c r="Q79" s="19"/>
      <c r="R79" s="20" t="s">
        <v>164</v>
      </c>
      <c r="S79" s="145">
        <f>V74</f>
        <v>17664.1638404</v>
      </c>
      <c r="T79" s="145">
        <f>T77/1000</f>
        <v>22083.332450000002</v>
      </c>
      <c r="U79" s="145"/>
      <c r="V79" s="145">
        <f>V77/1000</f>
        <v>15391.664203999999</v>
      </c>
      <c r="W79" s="145">
        <f>W77/1000</f>
        <v>12174.998051999999</v>
      </c>
      <c r="X79" s="145"/>
      <c r="Y79" s="145"/>
    </row>
    <row r="80" spans="2:25" x14ac:dyDescent="0.4">
      <c r="B80" s="19"/>
      <c r="C80" s="19"/>
      <c r="D80" s="19"/>
      <c r="E80" s="19"/>
      <c r="F80" s="19"/>
      <c r="G80" s="19"/>
      <c r="H80" s="19"/>
      <c r="I80" s="19"/>
      <c r="J80" s="19"/>
      <c r="K80" s="19"/>
      <c r="L80" s="19"/>
      <c r="M80" s="19"/>
    </row>
    <row r="81" spans="2:22" x14ac:dyDescent="0.4">
      <c r="B81" s="19"/>
      <c r="C81" s="19"/>
      <c r="D81" s="19"/>
      <c r="E81" s="19"/>
      <c r="F81" s="19"/>
      <c r="G81" s="19"/>
      <c r="H81" s="19"/>
      <c r="I81" s="19"/>
      <c r="J81" s="19"/>
      <c r="K81" s="19"/>
      <c r="L81" s="19"/>
      <c r="M81" s="19"/>
    </row>
    <row r="82" spans="2:22" x14ac:dyDescent="0.4">
      <c r="B82" s="19"/>
      <c r="C82" s="19"/>
      <c r="D82" s="19"/>
      <c r="E82" s="19"/>
      <c r="F82" s="19"/>
      <c r="G82" s="19"/>
      <c r="H82" s="19"/>
      <c r="I82" s="19"/>
      <c r="J82" s="19"/>
      <c r="K82" s="19"/>
      <c r="L82" s="19"/>
      <c r="M82" s="19"/>
    </row>
    <row r="83" spans="2:22" x14ac:dyDescent="0.4">
      <c r="B83" s="19"/>
      <c r="C83" s="166" t="s">
        <v>198</v>
      </c>
      <c r="D83" s="167">
        <f>'6-2. Economic evaluation'!E24</f>
        <v>39122605.862932436</v>
      </c>
      <c r="E83" s="19"/>
      <c r="F83" s="19"/>
      <c r="G83" s="19"/>
      <c r="H83" s="19"/>
      <c r="I83" s="19"/>
      <c r="J83" s="19"/>
      <c r="K83" s="19"/>
      <c r="L83" s="19"/>
      <c r="M83" s="19"/>
    </row>
    <row r="84" spans="2:22" x14ac:dyDescent="0.4">
      <c r="B84" s="19"/>
      <c r="C84" s="166" t="s">
        <v>199</v>
      </c>
      <c r="D84" s="167">
        <f>'6-2. Economic evaluation'!E30</f>
        <v>280289920.59200001</v>
      </c>
      <c r="E84" s="19"/>
      <c r="F84" s="19"/>
      <c r="G84" s="19"/>
      <c r="H84" s="19"/>
      <c r="I84" s="19"/>
      <c r="J84" s="19"/>
      <c r="K84" s="19"/>
      <c r="L84" s="19"/>
      <c r="M84" s="19"/>
    </row>
    <row r="85" spans="2:22" x14ac:dyDescent="0.4">
      <c r="B85" s="19"/>
      <c r="C85" s="166" t="s">
        <v>200</v>
      </c>
      <c r="D85" s="167">
        <f>'6-2. Economic evaluation'!E35</f>
        <v>9021371.7758417632</v>
      </c>
      <c r="E85" s="19"/>
      <c r="F85" s="19"/>
      <c r="G85" s="19"/>
      <c r="H85" s="19"/>
      <c r="I85" s="19"/>
      <c r="J85" s="19"/>
      <c r="K85" s="19"/>
      <c r="L85" s="19"/>
      <c r="M85" s="19"/>
    </row>
    <row r="86" spans="2:22" x14ac:dyDescent="0.4">
      <c r="B86" s="19"/>
      <c r="C86" s="19"/>
      <c r="D86" s="19"/>
      <c r="E86" s="19"/>
      <c r="F86" s="19"/>
      <c r="G86" s="19"/>
      <c r="H86" s="19"/>
      <c r="I86" s="19"/>
      <c r="J86" s="19"/>
      <c r="K86" s="19"/>
      <c r="L86" s="19"/>
      <c r="M86" s="19"/>
    </row>
    <row r="87" spans="2:22" x14ac:dyDescent="0.4">
      <c r="B87" s="19"/>
      <c r="E87" s="19"/>
      <c r="F87" s="19"/>
      <c r="G87" s="19"/>
      <c r="H87" s="19"/>
      <c r="I87" s="19"/>
      <c r="J87" s="19"/>
      <c r="K87" s="19"/>
      <c r="L87" s="19"/>
      <c r="M87" s="19"/>
    </row>
    <row r="88" spans="2:22" x14ac:dyDescent="0.4">
      <c r="B88" s="19"/>
      <c r="E88" s="19"/>
      <c r="F88" s="19"/>
      <c r="G88" s="19"/>
      <c r="H88" s="19"/>
      <c r="I88" s="19"/>
      <c r="J88" s="19"/>
      <c r="K88" s="19"/>
      <c r="L88" s="19"/>
      <c r="M88" s="19"/>
    </row>
    <row r="89" spans="2:22" x14ac:dyDescent="0.4">
      <c r="B89" s="19"/>
      <c r="E89" s="19"/>
      <c r="F89" s="19"/>
      <c r="G89" s="19"/>
      <c r="H89" s="19"/>
      <c r="I89" s="19"/>
      <c r="J89" s="19"/>
      <c r="K89" s="19"/>
      <c r="L89" s="19"/>
      <c r="M89" s="19"/>
    </row>
    <row r="90" spans="2:22" x14ac:dyDescent="0.4">
      <c r="B90" s="19"/>
      <c r="C90" s="19"/>
      <c r="D90" s="19"/>
      <c r="E90" s="19"/>
      <c r="F90" s="19"/>
      <c r="G90" s="19"/>
      <c r="H90" s="19"/>
      <c r="I90" s="19"/>
      <c r="J90" s="19"/>
      <c r="K90" s="19"/>
      <c r="L90" s="19"/>
      <c r="M90" s="19"/>
    </row>
    <row r="91" spans="2:22" x14ac:dyDescent="0.4">
      <c r="E91" s="19"/>
      <c r="I91" s="19"/>
      <c r="J91" s="19"/>
      <c r="K91" s="19"/>
      <c r="L91" s="19"/>
      <c r="M91" s="19"/>
      <c r="N91" s="19"/>
      <c r="O91" s="19"/>
      <c r="P91" s="19"/>
      <c r="Q91" s="19"/>
      <c r="R91" s="19"/>
      <c r="S91" s="19"/>
      <c r="T91" s="19"/>
      <c r="U91" s="19"/>
      <c r="V91" s="19"/>
    </row>
    <row r="92" spans="2:22" x14ac:dyDescent="0.4">
      <c r="E92" s="19"/>
      <c r="I92" s="19"/>
      <c r="J92" s="19"/>
      <c r="K92" s="19"/>
      <c r="L92" s="19"/>
      <c r="M92" s="19"/>
      <c r="N92" s="19"/>
      <c r="O92" s="19"/>
      <c r="P92" s="19"/>
      <c r="Q92" s="19"/>
      <c r="R92" s="19"/>
      <c r="S92" s="19"/>
      <c r="T92" s="19"/>
      <c r="U92" s="19"/>
      <c r="V92" s="19"/>
    </row>
    <row r="93" spans="2:22" x14ac:dyDescent="0.4">
      <c r="E93" s="19"/>
      <c r="I93" s="19"/>
      <c r="J93" s="19"/>
      <c r="K93" s="19"/>
      <c r="L93" s="19"/>
      <c r="M93" s="19"/>
      <c r="N93" s="19"/>
      <c r="O93" s="19"/>
      <c r="P93" s="19"/>
      <c r="Q93" s="19"/>
      <c r="R93" s="19"/>
      <c r="S93" s="19"/>
      <c r="T93" s="19"/>
      <c r="U93" s="19"/>
      <c r="V93" s="19"/>
    </row>
    <row r="94" spans="2:22" x14ac:dyDescent="0.4">
      <c r="E94" s="19"/>
      <c r="I94" s="19"/>
      <c r="J94" s="19"/>
      <c r="K94" s="19"/>
      <c r="L94" s="19"/>
      <c r="M94" s="19"/>
      <c r="N94" s="19"/>
      <c r="O94" s="19"/>
      <c r="P94" s="19"/>
      <c r="Q94" s="19"/>
      <c r="R94" s="19"/>
      <c r="S94" s="19"/>
      <c r="T94" s="19"/>
      <c r="U94" s="19"/>
      <c r="V94" s="19"/>
    </row>
    <row r="95" spans="2:22" x14ac:dyDescent="0.4">
      <c r="E95" s="19"/>
      <c r="I95" s="19"/>
      <c r="J95" s="19"/>
      <c r="K95" s="19"/>
      <c r="L95" s="19"/>
      <c r="M95" s="19"/>
      <c r="N95" s="19"/>
      <c r="O95" s="19"/>
      <c r="P95" s="19"/>
      <c r="Q95" s="19"/>
      <c r="R95" s="19"/>
      <c r="S95" s="19"/>
      <c r="T95" s="19"/>
      <c r="U95" s="19"/>
      <c r="V95" s="19"/>
    </row>
    <row r="96" spans="2:22" x14ac:dyDescent="0.4">
      <c r="E96" s="19"/>
      <c r="I96" s="19"/>
      <c r="J96" s="19"/>
      <c r="K96" s="19"/>
      <c r="L96" s="19"/>
      <c r="M96" s="19"/>
      <c r="N96" s="19"/>
      <c r="O96" s="19"/>
      <c r="P96" s="19"/>
      <c r="Q96" s="19"/>
      <c r="R96" s="19"/>
      <c r="S96" s="19"/>
      <c r="T96" s="19"/>
      <c r="U96" s="19"/>
      <c r="V96" s="19"/>
    </row>
    <row r="97" spans="2:22" x14ac:dyDescent="0.4">
      <c r="E97" s="19"/>
      <c r="J97" s="19"/>
      <c r="K97" s="19"/>
      <c r="L97" s="19"/>
      <c r="M97" s="19"/>
      <c r="N97" s="19"/>
      <c r="O97" s="19"/>
      <c r="P97" s="19"/>
      <c r="Q97" s="19"/>
      <c r="R97" s="19"/>
      <c r="S97" s="19"/>
      <c r="T97" s="19"/>
      <c r="U97" s="19"/>
      <c r="V97" s="19"/>
    </row>
    <row r="98" spans="2:22" x14ac:dyDescent="0.4">
      <c r="E98" s="19"/>
      <c r="I98" s="19"/>
      <c r="J98" s="19"/>
      <c r="K98" s="19"/>
      <c r="L98" s="19"/>
      <c r="M98" s="19"/>
      <c r="N98" s="19"/>
      <c r="O98" s="19"/>
      <c r="P98" s="19"/>
      <c r="Q98" s="19"/>
      <c r="R98" s="19"/>
      <c r="S98" s="19"/>
      <c r="T98" s="19"/>
      <c r="U98" s="19"/>
      <c r="V98" s="19"/>
    </row>
    <row r="99" spans="2:22" x14ac:dyDescent="0.4">
      <c r="E99" s="19"/>
      <c r="I99" s="19"/>
      <c r="J99" s="19"/>
      <c r="K99" s="19"/>
      <c r="L99" s="19"/>
      <c r="M99" s="19"/>
      <c r="N99" s="19"/>
      <c r="O99" s="19"/>
      <c r="P99" s="19"/>
      <c r="Q99" s="19"/>
      <c r="R99" s="19"/>
      <c r="S99" s="19"/>
      <c r="T99" s="19"/>
      <c r="U99" s="19"/>
      <c r="V99" s="19"/>
    </row>
    <row r="100" spans="2:22" x14ac:dyDescent="0.4">
      <c r="E100" s="19"/>
      <c r="I100" s="19"/>
      <c r="J100" s="19"/>
      <c r="K100" s="19"/>
      <c r="L100" s="19"/>
      <c r="M100" s="19"/>
      <c r="N100" s="19"/>
      <c r="O100" s="19"/>
      <c r="P100" s="19"/>
      <c r="Q100" s="19"/>
      <c r="R100" s="19"/>
      <c r="S100" s="19"/>
      <c r="T100" s="19"/>
      <c r="U100" s="19"/>
      <c r="V100" s="19"/>
    </row>
    <row r="101" spans="2:22" x14ac:dyDescent="0.4">
      <c r="E101" s="19"/>
      <c r="I101" s="19"/>
      <c r="J101" s="19"/>
      <c r="K101" s="19"/>
      <c r="L101" s="19"/>
      <c r="M101" s="19"/>
      <c r="N101" s="19"/>
      <c r="O101" s="19"/>
      <c r="P101" s="19"/>
      <c r="Q101" s="19"/>
      <c r="R101" s="19"/>
      <c r="S101" s="19"/>
      <c r="T101" s="19"/>
      <c r="U101" s="19"/>
      <c r="V101" s="19"/>
    </row>
    <row r="102" spans="2:22" x14ac:dyDescent="0.4">
      <c r="E102" s="19"/>
      <c r="I102" s="19"/>
      <c r="J102" s="19"/>
      <c r="K102" s="19"/>
      <c r="L102" s="19"/>
      <c r="M102" s="19"/>
      <c r="N102" s="19"/>
      <c r="O102" s="19"/>
      <c r="P102" s="19"/>
      <c r="Q102" s="19"/>
      <c r="R102" s="19"/>
      <c r="S102" s="19"/>
      <c r="T102" s="19"/>
      <c r="U102" s="19"/>
      <c r="V102" s="19"/>
    </row>
    <row r="103" spans="2:22" x14ac:dyDescent="0.4">
      <c r="E103" s="19"/>
      <c r="I103" s="19"/>
      <c r="J103" s="19"/>
      <c r="K103" s="19"/>
      <c r="L103" s="19"/>
      <c r="M103" s="19"/>
      <c r="N103" s="19"/>
      <c r="O103" s="19"/>
      <c r="P103" s="19"/>
      <c r="Q103" s="19"/>
      <c r="R103" s="19"/>
      <c r="S103" s="19"/>
      <c r="T103" s="19"/>
      <c r="U103" s="19"/>
      <c r="V103" s="19"/>
    </row>
    <row r="104" spans="2:22" x14ac:dyDescent="0.4">
      <c r="B104" s="19"/>
      <c r="C104" s="19"/>
      <c r="D104" s="19"/>
      <c r="E104" s="19"/>
      <c r="H104" s="19"/>
      <c r="K104" s="19"/>
      <c r="L104" s="19"/>
      <c r="M104" s="19"/>
      <c r="N104" s="19"/>
      <c r="O104" s="19"/>
      <c r="P104" s="19"/>
      <c r="Q104" s="19"/>
      <c r="R104" s="19"/>
      <c r="S104" s="19"/>
      <c r="T104" s="19"/>
      <c r="U104" s="19"/>
      <c r="V104" s="19"/>
    </row>
    <row r="105" spans="2:22" x14ac:dyDescent="0.4">
      <c r="B105" s="19"/>
      <c r="C105" s="19"/>
      <c r="D105" s="19"/>
      <c r="E105" s="19"/>
      <c r="G105" s="19"/>
      <c r="H105" s="19"/>
      <c r="K105" s="19"/>
      <c r="L105" s="19"/>
      <c r="M105" s="19"/>
      <c r="N105" s="19"/>
      <c r="O105" s="19"/>
      <c r="P105" s="19"/>
      <c r="Q105" s="19"/>
      <c r="R105" s="19"/>
      <c r="S105" s="19"/>
      <c r="T105" s="19"/>
      <c r="U105" s="19"/>
      <c r="V105" s="19"/>
    </row>
    <row r="106" spans="2:22" x14ac:dyDescent="0.4">
      <c r="B106" s="19"/>
      <c r="C106" s="19"/>
      <c r="D106" s="19"/>
      <c r="E106" s="19"/>
      <c r="G106" s="19"/>
      <c r="H106" s="19"/>
      <c r="K106" s="19"/>
      <c r="L106" s="19"/>
      <c r="M106" s="19"/>
      <c r="N106" s="19"/>
      <c r="O106" s="19"/>
      <c r="P106" s="19"/>
      <c r="Q106" s="19"/>
      <c r="R106" s="19"/>
      <c r="S106" s="19"/>
      <c r="T106" s="19"/>
      <c r="U106" s="19"/>
      <c r="V106" s="19"/>
    </row>
    <row r="107" spans="2:22" x14ac:dyDescent="0.4">
      <c r="B107" s="19"/>
      <c r="C107" s="19"/>
      <c r="D107" s="19"/>
      <c r="E107" s="19"/>
      <c r="G107" s="19"/>
      <c r="H107" s="19"/>
      <c r="K107" s="19"/>
      <c r="L107" s="19"/>
      <c r="M107" s="19"/>
      <c r="N107" s="19"/>
      <c r="O107" s="19"/>
      <c r="P107" s="19"/>
      <c r="Q107" s="19"/>
      <c r="R107" s="19"/>
      <c r="S107" s="19"/>
      <c r="T107" s="19"/>
      <c r="U107" s="19"/>
      <c r="V107" s="19"/>
    </row>
    <row r="108" spans="2:22" x14ac:dyDescent="0.4">
      <c r="B108" s="19"/>
      <c r="C108" s="19"/>
      <c r="D108" s="19"/>
      <c r="E108" s="19"/>
      <c r="G108" s="19"/>
      <c r="H108" s="19"/>
      <c r="I108" s="19"/>
      <c r="J108" s="19"/>
      <c r="K108" s="19"/>
      <c r="L108" s="19"/>
      <c r="M108" s="19"/>
      <c r="N108" s="19"/>
      <c r="O108" s="19"/>
      <c r="P108" s="19"/>
      <c r="Q108" s="19"/>
      <c r="R108" s="19"/>
      <c r="S108" s="19"/>
      <c r="T108" s="19"/>
      <c r="U108" s="19"/>
      <c r="V108" s="19"/>
    </row>
    <row r="109" spans="2:22" x14ac:dyDescent="0.4">
      <c r="B109" s="19"/>
      <c r="C109" s="19"/>
      <c r="D109" s="19"/>
      <c r="E109" s="19"/>
      <c r="G109" s="19"/>
      <c r="K109" s="19"/>
      <c r="L109" s="19"/>
      <c r="M109" s="19"/>
      <c r="N109" s="19"/>
      <c r="O109" s="19"/>
      <c r="P109" s="19"/>
      <c r="Q109" s="19"/>
      <c r="R109" s="19"/>
      <c r="S109" s="19"/>
      <c r="T109" s="19"/>
      <c r="U109" s="19"/>
      <c r="V109" s="19"/>
    </row>
    <row r="110" spans="2:22" x14ac:dyDescent="0.4">
      <c r="B110" s="19"/>
      <c r="C110" s="19"/>
      <c r="D110" s="19"/>
      <c r="E110" s="19"/>
      <c r="K110" s="19"/>
      <c r="L110" s="19"/>
      <c r="M110" s="19"/>
      <c r="N110" s="19"/>
      <c r="O110" s="19"/>
      <c r="P110" s="19"/>
      <c r="Q110" s="19"/>
      <c r="R110" s="19"/>
      <c r="S110" s="19"/>
      <c r="T110" s="19"/>
      <c r="U110" s="19"/>
      <c r="V110" s="19"/>
    </row>
    <row r="111" spans="2:22" x14ac:dyDescent="0.4">
      <c r="B111" s="19"/>
      <c r="C111" s="19"/>
      <c r="D111" s="19"/>
      <c r="E111" s="19"/>
      <c r="K111" s="19"/>
      <c r="L111" s="19"/>
      <c r="M111" s="19"/>
      <c r="N111" s="19"/>
      <c r="O111" s="19"/>
      <c r="P111" s="19"/>
      <c r="Q111" s="19"/>
      <c r="R111" s="19"/>
      <c r="S111" s="19"/>
      <c r="T111" s="19"/>
      <c r="U111" s="19"/>
      <c r="V111" s="19"/>
    </row>
    <row r="112" spans="2:22" x14ac:dyDescent="0.4">
      <c r="B112" s="19"/>
      <c r="C112" s="19"/>
      <c r="D112" s="19"/>
      <c r="E112" s="19"/>
      <c r="I112" s="19"/>
      <c r="J112" s="19"/>
      <c r="K112" s="19"/>
      <c r="L112" s="19"/>
      <c r="M112" s="19"/>
      <c r="N112" s="19"/>
      <c r="O112" s="19"/>
      <c r="P112" s="19"/>
      <c r="Q112" s="19"/>
      <c r="R112" s="19"/>
      <c r="S112" s="19"/>
      <c r="T112" s="19"/>
      <c r="U112" s="19"/>
      <c r="V112" s="19"/>
    </row>
    <row r="113" spans="2:22" x14ac:dyDescent="0.4">
      <c r="B113" s="19"/>
      <c r="C113" s="19"/>
      <c r="D113" s="19"/>
      <c r="E113" s="19"/>
      <c r="I113" s="19"/>
      <c r="J113" s="19"/>
      <c r="K113" s="19"/>
      <c r="L113" s="19"/>
      <c r="M113" s="19"/>
      <c r="N113" s="19"/>
      <c r="O113" s="19"/>
      <c r="P113" s="19"/>
      <c r="Q113" s="19"/>
      <c r="R113" s="19"/>
      <c r="S113" s="19"/>
      <c r="T113" s="19"/>
      <c r="U113" s="19"/>
      <c r="V113" s="19"/>
    </row>
    <row r="114" spans="2:22" x14ac:dyDescent="0.4">
      <c r="B114" s="19"/>
      <c r="C114" s="19"/>
      <c r="D114" s="19"/>
      <c r="E114" s="19"/>
      <c r="F114" s="19"/>
      <c r="G114" s="19"/>
      <c r="H114" s="19"/>
      <c r="I114" s="19"/>
      <c r="J114" s="19"/>
      <c r="K114" s="19"/>
      <c r="L114" s="19"/>
      <c r="M114" s="19"/>
      <c r="N114" s="19"/>
      <c r="O114" s="19"/>
      <c r="P114" s="19"/>
      <c r="Q114" s="19"/>
      <c r="R114" s="19"/>
      <c r="S114" s="19"/>
      <c r="T114" s="19"/>
      <c r="U114" s="19"/>
      <c r="V114" s="19"/>
    </row>
  </sheetData>
  <mergeCells count="38">
    <mergeCell ref="K25:K26"/>
    <mergeCell ref="L25:L26"/>
    <mergeCell ref="L21:L22"/>
    <mergeCell ref="K27:K28"/>
    <mergeCell ref="L27:L28"/>
    <mergeCell ref="K23:K24"/>
    <mergeCell ref="L23:L24"/>
    <mergeCell ref="K21:K22"/>
    <mergeCell ref="J21:J22"/>
    <mergeCell ref="J23:J24"/>
    <mergeCell ref="J25:J26"/>
    <mergeCell ref="J27:J28"/>
    <mergeCell ref="B5:B8"/>
    <mergeCell ref="B9:B12"/>
    <mergeCell ref="B13:B16"/>
    <mergeCell ref="B19:B21"/>
    <mergeCell ref="B22:B24"/>
    <mergeCell ref="B25:B27"/>
    <mergeCell ref="B28:B30"/>
    <mergeCell ref="B31:B33"/>
    <mergeCell ref="B34:B36"/>
    <mergeCell ref="B37:B39"/>
    <mergeCell ref="B40:B42"/>
    <mergeCell ref="B43:B45"/>
    <mergeCell ref="B46:B48"/>
    <mergeCell ref="B49:B51"/>
    <mergeCell ref="B52:B54"/>
    <mergeCell ref="B55:B57"/>
    <mergeCell ref="B61:B63"/>
    <mergeCell ref="B64:B66"/>
    <mergeCell ref="B67:B69"/>
    <mergeCell ref="B70:B72"/>
    <mergeCell ref="B73:B75"/>
    <mergeCell ref="J62:J63"/>
    <mergeCell ref="J65:J66"/>
    <mergeCell ref="J68:J69"/>
    <mergeCell ref="J71:J72"/>
    <mergeCell ref="J74:J75"/>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C3D36-7931-44B5-A980-6D3494C65217}">
  <dimension ref="B2:X216"/>
  <sheetViews>
    <sheetView zoomScale="40" zoomScaleNormal="40" workbookViewId="0">
      <selection activeCell="B2" sqref="B2"/>
    </sheetView>
  </sheetViews>
  <sheetFormatPr defaultColWidth="8.69921875" defaultRowHeight="13.8" x14ac:dyDescent="0.4"/>
  <cols>
    <col min="1" max="1" width="8.69921875" style="2"/>
    <col min="2" max="2" width="12.59765625" style="2" customWidth="1"/>
    <col min="3" max="3" width="42.8984375" style="2" customWidth="1"/>
    <col min="4" max="4" width="6.8984375" style="2" bestFit="1" customWidth="1"/>
    <col min="5" max="5" width="29.19921875" style="2" customWidth="1"/>
    <col min="6" max="6" width="15.3984375" style="2" bestFit="1" customWidth="1"/>
    <col min="7" max="7" width="1.69921875" style="2" bestFit="1" customWidth="1"/>
    <col min="8" max="9" width="8.69921875" style="2" customWidth="1"/>
    <col min="10" max="10" width="12.59765625" style="2" customWidth="1"/>
    <col min="11" max="11" width="33.19921875" style="2" customWidth="1"/>
    <col min="12" max="12" width="7" style="2" bestFit="1" customWidth="1"/>
    <col min="13" max="13" width="27.69921875" style="2" customWidth="1"/>
    <col min="14" max="14" width="15.8984375" style="2" bestFit="1" customWidth="1"/>
    <col min="15" max="16" width="8.69921875" style="2" customWidth="1"/>
    <col min="17" max="19" width="8.69921875" style="2"/>
    <col min="20" max="20" width="22.59765625" style="2" bestFit="1" customWidth="1"/>
    <col min="21" max="21" width="16.8984375" style="2" bestFit="1" customWidth="1"/>
    <col min="22" max="22" width="22.59765625" style="2" bestFit="1" customWidth="1"/>
    <col min="23" max="23" width="17.3984375" style="2" bestFit="1" customWidth="1"/>
    <col min="24" max="16384" width="8.69921875" style="2"/>
  </cols>
  <sheetData>
    <row r="2" spans="2:24" ht="22.8" x14ac:dyDescent="0.4">
      <c r="B2" s="295" t="s">
        <v>443</v>
      </c>
    </row>
    <row r="5" spans="2:24" ht="14.4" thickBot="1" x14ac:dyDescent="0.45"/>
    <row r="6" spans="2:24" ht="21" thickBot="1" x14ac:dyDescent="0.45">
      <c r="B6" s="46" t="s">
        <v>202</v>
      </c>
      <c r="C6" s="47"/>
      <c r="D6" s="47"/>
      <c r="E6" s="48"/>
      <c r="F6" s="169" t="s">
        <v>400</v>
      </c>
      <c r="G6" s="169" t="s">
        <v>400</v>
      </c>
      <c r="H6" s="169" t="s">
        <v>400</v>
      </c>
      <c r="I6" s="169" t="s">
        <v>400</v>
      </c>
      <c r="J6" s="46" t="s">
        <v>404</v>
      </c>
      <c r="K6" s="47"/>
      <c r="L6" s="47"/>
      <c r="M6" s="48"/>
      <c r="N6" s="169" t="s">
        <v>400</v>
      </c>
      <c r="O6" s="169" t="s">
        <v>400</v>
      </c>
      <c r="P6" s="169" t="s">
        <v>400</v>
      </c>
      <c r="R6" s="46" t="s">
        <v>344</v>
      </c>
      <c r="S6" s="47"/>
      <c r="T6" s="47"/>
      <c r="U6" s="48"/>
      <c r="V6" s="169"/>
      <c r="W6" s="169"/>
      <c r="X6" s="169"/>
    </row>
    <row r="7" spans="2:24" ht="19.2" x14ac:dyDescent="0.4">
      <c r="B7" s="171" t="s">
        <v>400</v>
      </c>
      <c r="C7" s="172" t="s">
        <v>400</v>
      </c>
      <c r="D7" s="172" t="s">
        <v>400</v>
      </c>
      <c r="E7" s="172" t="s">
        <v>400</v>
      </c>
      <c r="F7" s="172" t="s">
        <v>400</v>
      </c>
      <c r="G7" s="172" t="s">
        <v>400</v>
      </c>
      <c r="H7" s="173" t="s">
        <v>400</v>
      </c>
      <c r="I7" s="169" t="s">
        <v>400</v>
      </c>
      <c r="J7" s="171" t="s">
        <v>400</v>
      </c>
      <c r="K7" s="172" t="s">
        <v>400</v>
      </c>
      <c r="L7" s="172" t="s">
        <v>400</v>
      </c>
      <c r="M7" s="172" t="s">
        <v>400</v>
      </c>
      <c r="N7" s="172" t="s">
        <v>400</v>
      </c>
      <c r="O7" s="172" t="s">
        <v>400</v>
      </c>
      <c r="P7" s="173" t="s">
        <v>400</v>
      </c>
      <c r="R7" s="174"/>
      <c r="S7" s="175"/>
      <c r="T7" s="175"/>
      <c r="U7" s="175"/>
      <c r="V7" s="175"/>
      <c r="W7" s="175"/>
      <c r="X7" s="176"/>
    </row>
    <row r="8" spans="2:24" ht="19.2" x14ac:dyDescent="0.4">
      <c r="B8" s="178" t="s">
        <v>400</v>
      </c>
      <c r="C8" s="179" t="s">
        <v>204</v>
      </c>
      <c r="D8" s="180" t="s">
        <v>31</v>
      </c>
      <c r="E8" s="179" t="s">
        <v>32</v>
      </c>
      <c r="F8" s="179" t="s">
        <v>205</v>
      </c>
      <c r="G8" s="179"/>
      <c r="H8" s="181"/>
      <c r="I8" s="169" t="s">
        <v>400</v>
      </c>
      <c r="J8" s="178" t="s">
        <v>400</v>
      </c>
      <c r="K8" s="179" t="s">
        <v>204</v>
      </c>
      <c r="L8" s="180" t="s">
        <v>31</v>
      </c>
      <c r="M8" s="179" t="s">
        <v>32</v>
      </c>
      <c r="N8" s="179" t="s">
        <v>205</v>
      </c>
      <c r="O8" s="179" t="s">
        <v>401</v>
      </c>
      <c r="P8" s="181" t="s">
        <v>401</v>
      </c>
      <c r="R8" s="182"/>
      <c r="S8" s="183" t="s">
        <v>204</v>
      </c>
      <c r="T8" s="183" t="s">
        <v>345</v>
      </c>
      <c r="U8" s="183" t="s">
        <v>346</v>
      </c>
      <c r="V8" s="183" t="s">
        <v>347</v>
      </c>
      <c r="W8" s="185"/>
      <c r="X8" s="186"/>
    </row>
    <row r="9" spans="2:24" ht="19.2" x14ac:dyDescent="0.4">
      <c r="B9" s="178" t="s">
        <v>400</v>
      </c>
      <c r="C9" s="187" t="s">
        <v>400</v>
      </c>
      <c r="D9" s="187" t="s">
        <v>400</v>
      </c>
      <c r="E9" s="187" t="s">
        <v>400</v>
      </c>
      <c r="F9" s="187" t="s">
        <v>400</v>
      </c>
      <c r="G9" s="187" t="s">
        <v>400</v>
      </c>
      <c r="H9" s="188" t="s">
        <v>400</v>
      </c>
      <c r="I9" s="169" t="s">
        <v>400</v>
      </c>
      <c r="J9" s="178" t="s">
        <v>400</v>
      </c>
      <c r="K9" s="187" t="s">
        <v>400</v>
      </c>
      <c r="L9" s="187" t="s">
        <v>400</v>
      </c>
      <c r="M9" s="187" t="s">
        <v>400</v>
      </c>
      <c r="N9" s="187" t="s">
        <v>400</v>
      </c>
      <c r="O9" s="187" t="s">
        <v>400</v>
      </c>
      <c r="P9" s="188" t="s">
        <v>400</v>
      </c>
      <c r="R9" s="182"/>
      <c r="S9" s="189"/>
      <c r="T9" s="189"/>
      <c r="U9" s="189"/>
      <c r="V9" s="189"/>
      <c r="W9" s="189"/>
      <c r="X9" s="190"/>
    </row>
    <row r="10" spans="2:24" ht="19.2" x14ac:dyDescent="0.4">
      <c r="B10" s="178" t="s">
        <v>400</v>
      </c>
      <c r="C10" s="179" t="s">
        <v>206</v>
      </c>
      <c r="D10" s="187" t="s">
        <v>400</v>
      </c>
      <c r="E10" s="187" t="s">
        <v>400</v>
      </c>
      <c r="F10" s="187" t="s">
        <v>400</v>
      </c>
      <c r="G10" s="187" t="s">
        <v>400</v>
      </c>
      <c r="H10" s="188" t="s">
        <v>400</v>
      </c>
      <c r="I10" s="169" t="s">
        <v>400</v>
      </c>
      <c r="J10" s="178" t="s">
        <v>400</v>
      </c>
      <c r="K10" s="179" t="s">
        <v>261</v>
      </c>
      <c r="L10" s="187" t="s">
        <v>400</v>
      </c>
      <c r="M10" s="187" t="s">
        <v>400</v>
      </c>
      <c r="N10" s="187" t="s">
        <v>400</v>
      </c>
      <c r="O10" s="187" t="s">
        <v>400</v>
      </c>
      <c r="P10" s="188" t="s">
        <v>400</v>
      </c>
      <c r="R10" s="182"/>
      <c r="S10" s="183" t="s">
        <v>348</v>
      </c>
      <c r="T10" s="189"/>
      <c r="U10" s="189"/>
      <c r="V10" s="189"/>
      <c r="W10" s="189"/>
      <c r="X10" s="190"/>
    </row>
    <row r="11" spans="2:24" ht="19.2" x14ac:dyDescent="0.4">
      <c r="B11" s="178" t="s">
        <v>400</v>
      </c>
      <c r="C11" s="187" t="s">
        <v>207</v>
      </c>
      <c r="D11" s="192">
        <v>100</v>
      </c>
      <c r="E11" s="192" t="s">
        <v>208</v>
      </c>
      <c r="F11" s="318">
        <f>SUM('5. Equipment price'!$K$9,'5. Equipment price'!$K$19:$K$20,'5. Equipment price'!$K$21,'5. Equipment price'!$K$23,'5. Equipment price'!$K$25,'5. Equipment price'!$K$27,'5. Equipment price'!$K$29,'5. Equipment price'!$K$66,'5. Equipment price'!$K$69,'5. Equipment price'!$K$72,'5. Equipment price'!$K$75,'5. Equipment price'!$K$63)</f>
        <v>2515481.7760486221</v>
      </c>
      <c r="G11" s="319"/>
      <c r="H11" s="193"/>
      <c r="I11" s="169" t="s">
        <v>400</v>
      </c>
      <c r="J11" s="178" t="s">
        <v>400</v>
      </c>
      <c r="K11" s="222" t="s">
        <v>262</v>
      </c>
      <c r="L11" s="246"/>
      <c r="M11" s="246"/>
      <c r="N11" s="327">
        <f>'5. Equipment price'!$D$83</f>
        <v>39122605.862932436</v>
      </c>
      <c r="O11" s="327"/>
      <c r="P11" s="193"/>
      <c r="R11" s="182"/>
      <c r="S11" s="185" t="s">
        <v>363</v>
      </c>
      <c r="T11" s="194">
        <f>'4. Material &amp; energy balance'!C8</f>
        <v>18018018</v>
      </c>
      <c r="U11" s="291">
        <f>'3. Inputs &amp; results'!H25</f>
        <v>0.78</v>
      </c>
      <c r="V11" s="292">
        <f t="shared" ref="V11:V16" si="0">T11*U11</f>
        <v>14054054.040000001</v>
      </c>
      <c r="W11" s="185"/>
      <c r="X11" s="196"/>
    </row>
    <row r="12" spans="2:24" ht="19.2" x14ac:dyDescent="0.4">
      <c r="B12" s="178" t="s">
        <v>400</v>
      </c>
      <c r="C12" s="187" t="s">
        <v>210</v>
      </c>
      <c r="D12" s="198">
        <v>40</v>
      </c>
      <c r="E12" s="192" t="s">
        <v>208</v>
      </c>
      <c r="F12" s="318">
        <f>0.4*F11</f>
        <v>1006192.7104194489</v>
      </c>
      <c r="G12" s="319"/>
      <c r="H12" s="193"/>
      <c r="I12" s="169" t="s">
        <v>400</v>
      </c>
      <c r="J12" s="178" t="s">
        <v>400</v>
      </c>
      <c r="K12" s="222" t="s">
        <v>264</v>
      </c>
      <c r="L12" s="247">
        <v>15</v>
      </c>
      <c r="M12" s="248" t="s">
        <v>265</v>
      </c>
      <c r="N12" s="338">
        <f>N48*0.15</f>
        <v>19327234.506942749</v>
      </c>
      <c r="O12" s="327"/>
      <c r="P12" s="193"/>
      <c r="R12" s="182"/>
      <c r="S12" s="185" t="s">
        <v>364</v>
      </c>
      <c r="T12" s="194">
        <f>'4. Material &amp; energy balance'!D8+'4. Material &amp; energy balance'!D15+'4. Material &amp; energy balance'!D29+'4. Material &amp; energy balance'!H47</f>
        <v>50817770.270270273</v>
      </c>
      <c r="U12" s="291">
        <f>'3. Inputs &amp; results'!H26</f>
        <v>0.12</v>
      </c>
      <c r="V12" s="292">
        <f t="shared" si="0"/>
        <v>6098132.4324324327</v>
      </c>
      <c r="W12" s="185"/>
      <c r="X12" s="196"/>
    </row>
    <row r="13" spans="2:24" ht="19.2" x14ac:dyDescent="0.4">
      <c r="B13" s="178" t="s">
        <v>400</v>
      </c>
      <c r="C13" s="187" t="s">
        <v>211</v>
      </c>
      <c r="D13" s="200">
        <v>29</v>
      </c>
      <c r="E13" s="192" t="s">
        <v>208</v>
      </c>
      <c r="F13" s="318">
        <f>F11*0.29</f>
        <v>729489.71505410038</v>
      </c>
      <c r="G13" s="319"/>
      <c r="H13" s="193"/>
      <c r="I13" s="169" t="s">
        <v>400</v>
      </c>
      <c r="J13" s="178" t="s">
        <v>400</v>
      </c>
      <c r="K13" s="222" t="s">
        <v>266</v>
      </c>
      <c r="L13" s="249">
        <v>15</v>
      </c>
      <c r="M13" s="248" t="s">
        <v>267</v>
      </c>
      <c r="N13" s="339">
        <f>0.0225*N48</f>
        <v>2899085.1760414122</v>
      </c>
      <c r="O13" s="340"/>
      <c r="P13" s="193"/>
      <c r="R13" s="182"/>
      <c r="S13" s="185" t="s">
        <v>362</v>
      </c>
      <c r="T13" s="194">
        <f>'4. Material &amp; energy balance'!C23</f>
        <v>39062500</v>
      </c>
      <c r="U13" s="291">
        <f>'3. Inputs &amp; results'!H24</f>
        <v>0.14000000000000001</v>
      </c>
      <c r="V13" s="292">
        <f t="shared" si="0"/>
        <v>5468750.0000000009</v>
      </c>
      <c r="W13" s="185"/>
      <c r="X13" s="196"/>
    </row>
    <row r="14" spans="2:24" ht="19.2" x14ac:dyDescent="0.4">
      <c r="B14" s="178" t="s">
        <v>400</v>
      </c>
      <c r="C14" s="187" t="s">
        <v>212</v>
      </c>
      <c r="D14" s="200">
        <v>45</v>
      </c>
      <c r="E14" s="192" t="s">
        <v>208</v>
      </c>
      <c r="F14" s="318">
        <f>F11*0.45</f>
        <v>1131966.79922188</v>
      </c>
      <c r="G14" s="319"/>
      <c r="H14" s="193"/>
      <c r="I14" s="169" t="s">
        <v>400</v>
      </c>
      <c r="J14" s="178" t="s">
        <v>400</v>
      </c>
      <c r="K14" s="222" t="s">
        <v>268</v>
      </c>
      <c r="L14" s="250"/>
      <c r="M14" s="246"/>
      <c r="N14" s="340">
        <f>'5. Equipment price'!$D$85</f>
        <v>9021371.7758417632</v>
      </c>
      <c r="O14" s="340"/>
      <c r="P14" s="193"/>
      <c r="R14" s="182"/>
      <c r="S14" s="185" t="s">
        <v>56</v>
      </c>
      <c r="T14" s="194">
        <f>'4. Material &amp; energy balance'!C35</f>
        <v>43800000</v>
      </c>
      <c r="U14" s="291">
        <f>'3. Inputs &amp; results'!H28</f>
        <v>0.23</v>
      </c>
      <c r="V14" s="292">
        <f t="shared" si="0"/>
        <v>10074000</v>
      </c>
      <c r="W14" s="185"/>
      <c r="X14" s="196"/>
    </row>
    <row r="15" spans="2:24" ht="19.2" x14ac:dyDescent="0.4">
      <c r="B15" s="178" t="s">
        <v>400</v>
      </c>
      <c r="C15" s="187" t="s">
        <v>213</v>
      </c>
      <c r="D15" s="200">
        <v>25</v>
      </c>
      <c r="E15" s="192" t="s">
        <v>208</v>
      </c>
      <c r="F15" s="318">
        <f>'6-2. Economic evaluation'!I17*0.25</f>
        <v>628870.44401215552</v>
      </c>
      <c r="G15" s="319"/>
      <c r="H15" s="193"/>
      <c r="I15" s="169" t="s">
        <v>400</v>
      </c>
      <c r="J15" s="178" t="s">
        <v>400</v>
      </c>
      <c r="K15" s="222" t="s">
        <v>269</v>
      </c>
      <c r="L15" s="249">
        <v>6</v>
      </c>
      <c r="M15" s="192" t="s">
        <v>234</v>
      </c>
      <c r="N15" s="327">
        <f>0.06*'6-2. Economic evaluation'!I32</f>
        <v>3751790.0168203777</v>
      </c>
      <c r="O15" s="327"/>
      <c r="P15" s="193"/>
      <c r="R15" s="182"/>
      <c r="S15" s="185" t="s">
        <v>365</v>
      </c>
      <c r="T15" s="194">
        <f>'4. Material &amp; energy balance'!F47</f>
        <v>9371250</v>
      </c>
      <c r="U15" s="291">
        <f>'3. Inputs &amp; results'!H29</f>
        <v>0.26</v>
      </c>
      <c r="V15" s="292">
        <f t="shared" si="0"/>
        <v>2436525</v>
      </c>
      <c r="W15" s="185"/>
      <c r="X15" s="196"/>
    </row>
    <row r="16" spans="2:24" ht="19.2" x14ac:dyDescent="0.4">
      <c r="B16" s="178" t="s">
        <v>400</v>
      </c>
      <c r="C16" s="187" t="s">
        <v>214</v>
      </c>
      <c r="D16" s="200">
        <v>40</v>
      </c>
      <c r="E16" s="192" t="s">
        <v>208</v>
      </c>
      <c r="F16" s="318">
        <f>F11*0.4</f>
        <v>1006192.7104194489</v>
      </c>
      <c r="G16" s="319"/>
      <c r="H16" s="193"/>
      <c r="I16" s="169" t="s">
        <v>400</v>
      </c>
      <c r="J16" s="178" t="s">
        <v>400</v>
      </c>
      <c r="K16" s="222" t="s">
        <v>270</v>
      </c>
      <c r="L16" s="200">
        <v>15</v>
      </c>
      <c r="M16" s="251" t="s">
        <v>271</v>
      </c>
      <c r="N16" s="326">
        <f>0.15*N15</f>
        <v>562768.50252305658</v>
      </c>
      <c r="O16" s="326"/>
      <c r="P16" s="193"/>
      <c r="R16" s="182"/>
      <c r="S16" s="201" t="s">
        <v>55</v>
      </c>
      <c r="T16" s="194">
        <f>'4. Material &amp; energy balance'!D67</f>
        <v>5537119.5</v>
      </c>
      <c r="U16" s="291">
        <f>'3. Inputs &amp; results'!H27</f>
        <v>0.17899999999999999</v>
      </c>
      <c r="V16" s="292">
        <f t="shared" si="0"/>
        <v>991144.39049999998</v>
      </c>
      <c r="W16" s="185"/>
      <c r="X16" s="196"/>
    </row>
    <row r="17" spans="2:24" ht="19.2" x14ac:dyDescent="0.4">
      <c r="B17" s="178" t="s">
        <v>400</v>
      </c>
      <c r="C17" s="187" t="s">
        <v>216</v>
      </c>
      <c r="D17" s="200">
        <v>70</v>
      </c>
      <c r="E17" s="192" t="s">
        <v>208</v>
      </c>
      <c r="F17" s="318">
        <f>F11*0.7</f>
        <v>1760837.2432340353</v>
      </c>
      <c r="G17" s="319"/>
      <c r="H17" s="193"/>
      <c r="I17" s="169" t="s">
        <v>400</v>
      </c>
      <c r="J17" s="178" t="s">
        <v>400</v>
      </c>
      <c r="K17" s="222" t="s">
        <v>272</v>
      </c>
      <c r="L17" s="252">
        <v>15</v>
      </c>
      <c r="M17" s="192" t="s">
        <v>267</v>
      </c>
      <c r="N17" s="327">
        <f>0.0225*N48</f>
        <v>2899085.1760414122</v>
      </c>
      <c r="O17" s="327"/>
      <c r="P17" s="193"/>
      <c r="R17" s="182"/>
      <c r="S17" s="184" t="s">
        <v>349</v>
      </c>
      <c r="T17" s="189"/>
      <c r="U17" s="185"/>
      <c r="V17" s="292">
        <f>SUM(V11:V16)</f>
        <v>39122605.862932436</v>
      </c>
      <c r="W17" s="185"/>
      <c r="X17" s="196"/>
    </row>
    <row r="18" spans="2:24" ht="19.2" x14ac:dyDescent="0.4">
      <c r="B18" s="178" t="s">
        <v>400</v>
      </c>
      <c r="C18" s="187" t="s">
        <v>222</v>
      </c>
      <c r="D18" s="200">
        <v>8</v>
      </c>
      <c r="E18" s="192" t="s">
        <v>208</v>
      </c>
      <c r="F18" s="318">
        <f>F11*0.08</f>
        <v>201238.54208388977</v>
      </c>
      <c r="G18" s="319"/>
      <c r="H18" s="193"/>
      <c r="I18" s="169" t="s">
        <v>400</v>
      </c>
      <c r="J18" s="178" t="s">
        <v>400</v>
      </c>
      <c r="K18" s="253" t="s">
        <v>273</v>
      </c>
      <c r="L18" s="254">
        <v>3</v>
      </c>
      <c r="M18" s="192" t="s">
        <v>265</v>
      </c>
      <c r="N18" s="327">
        <f>0.03*N48</f>
        <v>3865446.9013885497</v>
      </c>
      <c r="O18" s="327"/>
      <c r="P18" s="193"/>
      <c r="R18" s="182"/>
      <c r="S18" s="189"/>
      <c r="T18" s="189"/>
      <c r="U18" s="202"/>
      <c r="V18" s="185"/>
      <c r="W18" s="185"/>
      <c r="X18" s="196"/>
    </row>
    <row r="19" spans="2:24" ht="19.2" x14ac:dyDescent="0.4">
      <c r="B19" s="178" t="s">
        <v>400</v>
      </c>
      <c r="C19" s="203" t="s">
        <v>223</v>
      </c>
      <c r="D19" s="179">
        <f>SUM(D11:D18)</f>
        <v>357</v>
      </c>
      <c r="E19" s="204" t="s">
        <v>208</v>
      </c>
      <c r="F19" s="320">
        <f>SUM(F11:F18)</f>
        <v>8980269.94049358</v>
      </c>
      <c r="G19" s="321"/>
      <c r="H19" s="193"/>
      <c r="I19" s="169" t="s">
        <v>400</v>
      </c>
      <c r="J19" s="178" t="s">
        <v>400</v>
      </c>
      <c r="K19" s="255" t="s">
        <v>274</v>
      </c>
      <c r="L19" s="203"/>
      <c r="M19" s="204"/>
      <c r="N19" s="336">
        <f>SUM(N11:N18)</f>
        <v>81449387.918531746</v>
      </c>
      <c r="O19" s="336"/>
      <c r="P19" s="193"/>
      <c r="R19" s="182"/>
      <c r="S19" s="183"/>
      <c r="T19" s="183"/>
      <c r="U19" s="205"/>
      <c r="V19" s="184"/>
      <c r="W19" s="184"/>
      <c r="X19" s="196"/>
    </row>
    <row r="20" spans="2:24" ht="19.2" x14ac:dyDescent="0.4">
      <c r="B20" s="178" t="s">
        <v>400</v>
      </c>
      <c r="C20" s="187"/>
      <c r="D20" s="208"/>
      <c r="E20" s="209"/>
      <c r="F20" s="187" t="s">
        <v>225</v>
      </c>
      <c r="G20" s="187" t="s">
        <v>400</v>
      </c>
      <c r="H20" s="210" t="s">
        <v>400</v>
      </c>
      <c r="I20" s="169" t="s">
        <v>400</v>
      </c>
      <c r="J20" s="178" t="s">
        <v>400</v>
      </c>
      <c r="K20" s="187"/>
      <c r="L20" s="208"/>
      <c r="M20" s="209"/>
      <c r="N20" s="187" t="s">
        <v>225</v>
      </c>
      <c r="O20" s="187" t="s">
        <v>400</v>
      </c>
      <c r="P20" s="210" t="s">
        <v>400</v>
      </c>
      <c r="R20" s="182"/>
      <c r="S20" s="189"/>
      <c r="T20" s="211"/>
      <c r="U20" s="202"/>
      <c r="V20" s="189"/>
      <c r="W20" s="189"/>
      <c r="X20" s="190"/>
    </row>
    <row r="21" spans="2:24" ht="19.2" x14ac:dyDescent="0.4">
      <c r="B21" s="178" t="s">
        <v>400</v>
      </c>
      <c r="C21" s="212"/>
      <c r="D21" s="212"/>
      <c r="E21" s="212"/>
      <c r="F21" s="179" t="s">
        <v>225</v>
      </c>
      <c r="G21" s="179" t="s">
        <v>401</v>
      </c>
      <c r="H21" s="213" t="s">
        <v>401</v>
      </c>
      <c r="I21" s="169" t="s">
        <v>400</v>
      </c>
      <c r="J21" s="178" t="s">
        <v>400</v>
      </c>
      <c r="K21" s="212"/>
      <c r="L21" s="212"/>
      <c r="M21" s="212"/>
      <c r="N21" s="179" t="s">
        <v>225</v>
      </c>
      <c r="O21" s="179" t="s">
        <v>401</v>
      </c>
      <c r="P21" s="213" t="s">
        <v>401</v>
      </c>
      <c r="R21" s="182"/>
      <c r="S21" s="183" t="s">
        <v>236</v>
      </c>
      <c r="T21" s="185"/>
      <c r="U21" s="185"/>
      <c r="V21" s="183"/>
      <c r="W21" s="183"/>
      <c r="X21" s="186"/>
    </row>
    <row r="22" spans="2:24" ht="19.2" x14ac:dyDescent="0.4">
      <c r="B22" s="178" t="s">
        <v>400</v>
      </c>
      <c r="C22" s="187" t="s">
        <v>400</v>
      </c>
      <c r="D22" s="187" t="s">
        <v>400</v>
      </c>
      <c r="E22" s="187" t="s">
        <v>400</v>
      </c>
      <c r="F22" s="187" t="s">
        <v>400</v>
      </c>
      <c r="G22" s="187" t="s">
        <v>400</v>
      </c>
      <c r="H22" s="210" t="s">
        <v>400</v>
      </c>
      <c r="I22" s="169" t="s">
        <v>400</v>
      </c>
      <c r="J22" s="178" t="s">
        <v>400</v>
      </c>
      <c r="K22" s="187" t="s">
        <v>400</v>
      </c>
      <c r="L22" s="187" t="s">
        <v>400</v>
      </c>
      <c r="M22" s="187" t="s">
        <v>400</v>
      </c>
      <c r="N22" s="187" t="s">
        <v>400</v>
      </c>
      <c r="O22" s="187" t="s">
        <v>400</v>
      </c>
      <c r="P22" s="210" t="s">
        <v>400</v>
      </c>
      <c r="R22" s="182"/>
      <c r="S22" s="185" t="s">
        <v>367</v>
      </c>
      <c r="T22" s="214">
        <f>'4. Material &amp; energy balance'!F73</f>
        <v>3590568</v>
      </c>
      <c r="U22" s="291">
        <f>'3. Inputs &amp; results'!H34</f>
        <v>72.994</v>
      </c>
      <c r="V22" s="292">
        <f>T22*U22</f>
        <v>262089920.59200001</v>
      </c>
      <c r="W22" s="189"/>
      <c r="X22" s="190"/>
    </row>
    <row r="23" spans="2:24" ht="19.2" x14ac:dyDescent="0.4">
      <c r="B23" s="178" t="s">
        <v>400</v>
      </c>
      <c r="C23" s="179" t="s">
        <v>228</v>
      </c>
      <c r="D23" s="187" t="s">
        <v>400</v>
      </c>
      <c r="E23" s="187" t="s">
        <v>400</v>
      </c>
      <c r="F23" s="215" t="s">
        <v>400</v>
      </c>
      <c r="G23" s="187" t="s">
        <v>400</v>
      </c>
      <c r="H23" s="210" t="s">
        <v>400</v>
      </c>
      <c r="I23" s="169" t="s">
        <v>400</v>
      </c>
      <c r="J23" s="178" t="s">
        <v>400</v>
      </c>
      <c r="K23" s="179" t="s">
        <v>275</v>
      </c>
      <c r="L23" s="187" t="s">
        <v>400</v>
      </c>
      <c r="M23" s="187" t="s">
        <v>400</v>
      </c>
      <c r="N23" s="187" t="s">
        <v>400</v>
      </c>
      <c r="O23" s="187" t="s">
        <v>400</v>
      </c>
      <c r="P23" s="210" t="s">
        <v>400</v>
      </c>
      <c r="R23" s="182"/>
      <c r="S23" s="201" t="s">
        <v>366</v>
      </c>
      <c r="T23" s="214">
        <f>'4. Material &amp; energy balance'!G8+'4. Material &amp; energy balance'!G15</f>
        <v>6500000</v>
      </c>
      <c r="U23" s="291">
        <f>'3. Inputs &amp; results'!H33</f>
        <v>2.8</v>
      </c>
      <c r="V23" s="292">
        <f>T23*U23</f>
        <v>18200000</v>
      </c>
      <c r="W23" s="189"/>
      <c r="X23" s="190"/>
    </row>
    <row r="24" spans="2:24" ht="19.2" x14ac:dyDescent="0.4">
      <c r="B24" s="178" t="s">
        <v>400</v>
      </c>
      <c r="C24" s="187" t="s">
        <v>230</v>
      </c>
      <c r="D24" s="216">
        <v>17.5</v>
      </c>
      <c r="E24" s="192" t="s">
        <v>231</v>
      </c>
      <c r="F24" s="324">
        <v>1570281.7179092616</v>
      </c>
      <c r="G24" s="325"/>
      <c r="H24" s="217"/>
      <c r="I24" s="169" t="s">
        <v>400</v>
      </c>
      <c r="J24" s="178" t="s">
        <v>400</v>
      </c>
      <c r="K24" s="222" t="s">
        <v>276</v>
      </c>
      <c r="L24" s="250"/>
      <c r="M24" s="246"/>
      <c r="N24" s="337">
        <f>'6-2. Economic evaluation'!I34/'3. Inputs &amp; results'!$H$42</f>
        <v>7356451.0133732902</v>
      </c>
      <c r="O24" s="337"/>
      <c r="P24" s="217"/>
      <c r="R24" s="182"/>
      <c r="S24" s="183" t="s">
        <v>243</v>
      </c>
      <c r="T24" s="189"/>
      <c r="U24" s="202"/>
      <c r="V24" s="292">
        <f>SUM(V22:V23)</f>
        <v>280289920.59200001</v>
      </c>
      <c r="W24" s="189"/>
      <c r="X24" s="190"/>
    </row>
    <row r="25" spans="2:24" ht="19.2" x14ac:dyDescent="0.4">
      <c r="B25" s="178" t="s">
        <v>400</v>
      </c>
      <c r="C25" s="187" t="s">
        <v>233</v>
      </c>
      <c r="D25" s="218">
        <v>2</v>
      </c>
      <c r="E25" s="192" t="s">
        <v>234</v>
      </c>
      <c r="F25" s="324">
        <v>1250363.8757222877</v>
      </c>
      <c r="G25" s="325"/>
      <c r="H25" s="217"/>
      <c r="I25" s="169" t="s">
        <v>400</v>
      </c>
      <c r="J25" s="178" t="s">
        <v>400</v>
      </c>
      <c r="K25" s="222" t="s">
        <v>277</v>
      </c>
      <c r="L25" s="258">
        <v>2.5</v>
      </c>
      <c r="M25" s="259" t="s">
        <v>234</v>
      </c>
      <c r="N25" s="337">
        <f>0.025*$F$33</f>
        <v>1563202.5005583614</v>
      </c>
      <c r="O25" s="337"/>
      <c r="P25" s="217"/>
      <c r="R25" s="182"/>
      <c r="S25" s="189"/>
      <c r="T25" s="189"/>
      <c r="U25" s="202"/>
      <c r="V25" s="189"/>
      <c r="W25" s="189"/>
      <c r="X25" s="190"/>
    </row>
    <row r="26" spans="2:24" ht="19.2" x14ac:dyDescent="0.4">
      <c r="B26" s="178" t="s">
        <v>400</v>
      </c>
      <c r="C26" s="187" t="s">
        <v>235</v>
      </c>
      <c r="D26" s="218">
        <v>15</v>
      </c>
      <c r="E26" s="192" t="s">
        <v>234</v>
      </c>
      <c r="F26" s="324">
        <v>9377729.067917157</v>
      </c>
      <c r="G26" s="325"/>
      <c r="H26" s="217"/>
      <c r="I26" s="169" t="s">
        <v>400</v>
      </c>
      <c r="J26" s="178" t="s">
        <v>400</v>
      </c>
      <c r="K26" s="222" t="s">
        <v>278</v>
      </c>
      <c r="L26" s="249">
        <v>0.75</v>
      </c>
      <c r="M26" s="192" t="s">
        <v>234</v>
      </c>
      <c r="N26" s="337">
        <f>0.0075*$F$33</f>
        <v>468960.75016750843</v>
      </c>
      <c r="O26" s="337"/>
      <c r="P26" s="217"/>
      <c r="R26" s="182"/>
      <c r="S26" s="189"/>
      <c r="T26" s="189"/>
      <c r="U26" s="202"/>
      <c r="V26" s="189"/>
      <c r="W26" s="189"/>
      <c r="X26" s="190"/>
    </row>
    <row r="27" spans="2:24" ht="19.2" x14ac:dyDescent="0.4">
      <c r="B27" s="178" t="s">
        <v>400</v>
      </c>
      <c r="C27" s="219" t="s">
        <v>238</v>
      </c>
      <c r="D27" s="218">
        <v>10</v>
      </c>
      <c r="E27" s="192" t="s">
        <v>234</v>
      </c>
      <c r="F27" s="324">
        <v>6251819.3786114389</v>
      </c>
      <c r="G27" s="325"/>
      <c r="H27" s="217"/>
      <c r="I27" s="169" t="s">
        <v>400</v>
      </c>
      <c r="J27" s="178" t="s">
        <v>400</v>
      </c>
      <c r="K27" s="222" t="s">
        <v>279</v>
      </c>
      <c r="L27" s="250"/>
      <c r="M27" s="246"/>
      <c r="N27" s="332" t="s">
        <v>186</v>
      </c>
      <c r="O27" s="333"/>
      <c r="P27" s="217"/>
      <c r="R27" s="182"/>
      <c r="S27" s="189"/>
      <c r="T27" s="189"/>
      <c r="U27" s="202"/>
      <c r="V27" s="189"/>
      <c r="W27" s="189"/>
      <c r="X27" s="190"/>
    </row>
    <row r="28" spans="2:24" ht="19.2" x14ac:dyDescent="0.4">
      <c r="B28" s="178" t="s">
        <v>400</v>
      </c>
      <c r="C28" s="179" t="s">
        <v>242</v>
      </c>
      <c r="D28" s="179"/>
      <c r="E28" s="209"/>
      <c r="F28" s="320">
        <v>18450194.040160146</v>
      </c>
      <c r="G28" s="321"/>
      <c r="H28" s="220"/>
      <c r="I28" s="169" t="s">
        <v>400</v>
      </c>
      <c r="J28" s="178" t="s">
        <v>400</v>
      </c>
      <c r="K28" s="253" t="s">
        <v>280</v>
      </c>
      <c r="L28" s="260"/>
      <c r="M28" s="261"/>
      <c r="N28" s="332" t="s">
        <v>186</v>
      </c>
      <c r="O28" s="333"/>
      <c r="P28" s="220"/>
      <c r="R28" s="182"/>
      <c r="S28" s="185"/>
      <c r="T28" s="185"/>
      <c r="U28" s="185"/>
      <c r="V28" s="185"/>
      <c r="W28" s="184"/>
      <c r="X28" s="186"/>
    </row>
    <row r="29" spans="2:24" ht="19.2" x14ac:dyDescent="0.4">
      <c r="B29" s="178" t="s">
        <v>400</v>
      </c>
      <c r="C29" s="212"/>
      <c r="D29" s="212"/>
      <c r="E29" s="212"/>
      <c r="F29" s="212"/>
      <c r="G29" s="179" t="s">
        <v>401</v>
      </c>
      <c r="H29" s="213" t="s">
        <v>401</v>
      </c>
      <c r="I29" s="169" t="s">
        <v>400</v>
      </c>
      <c r="J29" s="178" t="s">
        <v>400</v>
      </c>
      <c r="K29" s="255" t="s">
        <v>281</v>
      </c>
      <c r="L29" s="212"/>
      <c r="M29" s="212"/>
      <c r="N29" s="334">
        <f>SUM(N24:O28)</f>
        <v>9388614.2640991583</v>
      </c>
      <c r="O29" s="335"/>
      <c r="P29" s="213"/>
      <c r="R29" s="182"/>
      <c r="S29" s="185"/>
      <c r="T29" s="185"/>
      <c r="U29" s="185"/>
      <c r="V29" s="185"/>
      <c r="W29" s="183"/>
      <c r="X29" s="186"/>
    </row>
    <row r="30" spans="2:24" ht="19.2" x14ac:dyDescent="0.4">
      <c r="B30" s="178" t="s">
        <v>400</v>
      </c>
      <c r="C30" s="212"/>
      <c r="D30" s="212"/>
      <c r="E30" s="212"/>
      <c r="F30" s="212"/>
      <c r="G30" s="212"/>
      <c r="H30" s="221"/>
      <c r="I30" s="169" t="s">
        <v>400</v>
      </c>
      <c r="J30" s="262"/>
      <c r="K30" s="263"/>
      <c r="L30" s="263"/>
      <c r="M30" s="250"/>
      <c r="N30" s="344"/>
      <c r="O30" s="344"/>
      <c r="P30" s="345"/>
      <c r="R30" s="182"/>
      <c r="S30" s="184" t="s">
        <v>59</v>
      </c>
      <c r="T30" s="185"/>
      <c r="U30" s="185"/>
      <c r="V30" s="185"/>
      <c r="W30" s="185"/>
      <c r="X30" s="196"/>
    </row>
    <row r="31" spans="2:24" ht="19.2" x14ac:dyDescent="0.4">
      <c r="B31" s="178" t="s">
        <v>400</v>
      </c>
      <c r="C31" s="212"/>
      <c r="D31" s="212"/>
      <c r="E31" s="212"/>
      <c r="F31" s="212"/>
      <c r="G31" s="212"/>
      <c r="H31" s="221"/>
      <c r="I31" s="169" t="s">
        <v>400</v>
      </c>
      <c r="J31" s="262"/>
      <c r="K31" s="264"/>
      <c r="L31" s="264"/>
      <c r="M31" s="264"/>
      <c r="N31" s="344"/>
      <c r="O31" s="344"/>
      <c r="P31" s="345"/>
      <c r="R31" s="182"/>
      <c r="S31" s="184" t="s">
        <v>350</v>
      </c>
      <c r="T31" s="184" t="s">
        <v>351</v>
      </c>
      <c r="U31" s="184" t="s">
        <v>352</v>
      </c>
      <c r="V31" s="184" t="s">
        <v>353</v>
      </c>
      <c r="W31" s="184"/>
      <c r="X31" s="196"/>
    </row>
    <row r="32" spans="2:24" ht="19.2" x14ac:dyDescent="0.4">
      <c r="B32" s="178" t="s">
        <v>400</v>
      </c>
      <c r="C32" s="222" t="s">
        <v>245</v>
      </c>
      <c r="D32" s="222"/>
      <c r="E32" s="187" t="s">
        <v>400</v>
      </c>
      <c r="F32" s="328">
        <f>SUM('5. Equipment price'!$L$6:$L$8,'5. Equipment price'!$L$30:$L$37)</f>
        <v>35094961.357901312</v>
      </c>
      <c r="G32" s="329"/>
      <c r="H32" s="193"/>
      <c r="I32" s="169" t="s">
        <v>400</v>
      </c>
      <c r="J32" s="262"/>
      <c r="K32" s="212"/>
      <c r="L32" s="212"/>
      <c r="M32" s="212"/>
      <c r="N32" s="212"/>
      <c r="O32" s="212"/>
      <c r="P32" s="193"/>
      <c r="R32" s="182"/>
      <c r="S32" s="195">
        <f>'4. Material &amp; energy balance'!O17</f>
        <v>16109.592456860291</v>
      </c>
      <c r="T32" s="223">
        <f>'3. Inputs &amp; results'!H38</f>
        <v>7.0000000000000007E-2</v>
      </c>
      <c r="U32" s="195">
        <v>128876740</v>
      </c>
      <c r="V32" s="195">
        <f>T32*U32</f>
        <v>9021371.8000000007</v>
      </c>
      <c r="W32" s="185"/>
      <c r="X32" s="196"/>
    </row>
    <row r="33" spans="2:24" ht="19.2" x14ac:dyDescent="0.4">
      <c r="B33" s="178" t="s">
        <v>400</v>
      </c>
      <c r="C33" s="179" t="s">
        <v>248</v>
      </c>
      <c r="D33" s="179"/>
      <c r="E33" s="179"/>
      <c r="F33" s="328">
        <f>SUM(F32,F19,F24)/0.73</f>
        <v>62528100.022334456</v>
      </c>
      <c r="G33" s="329"/>
      <c r="H33" s="224"/>
      <c r="I33" s="169" t="s">
        <v>400</v>
      </c>
      <c r="J33" s="262"/>
      <c r="K33" s="265" t="s">
        <v>244</v>
      </c>
      <c r="L33" s="249">
        <v>10</v>
      </c>
      <c r="M33" s="248" t="s">
        <v>265</v>
      </c>
      <c r="N33" s="336">
        <f>N48*0.1</f>
        <v>12884823.0046285</v>
      </c>
      <c r="O33" s="336"/>
      <c r="P33" s="266"/>
      <c r="R33" s="182"/>
      <c r="S33" s="185"/>
      <c r="T33" s="183"/>
      <c r="U33" s="183"/>
      <c r="V33" s="185"/>
      <c r="W33" s="185"/>
      <c r="X33" s="225"/>
    </row>
    <row r="34" spans="2:24" ht="19.2" x14ac:dyDescent="0.4">
      <c r="B34" s="178" t="s">
        <v>400</v>
      </c>
      <c r="C34" s="226" t="s">
        <v>253</v>
      </c>
      <c r="D34" s="227">
        <v>15</v>
      </c>
      <c r="E34" s="192" t="s">
        <v>254</v>
      </c>
      <c r="F34" s="330">
        <f>F35*0.15</f>
        <v>11034370.59217667</v>
      </c>
      <c r="G34" s="331"/>
      <c r="H34" s="188" t="s">
        <v>400</v>
      </c>
      <c r="I34" s="169" t="s">
        <v>400</v>
      </c>
      <c r="J34" s="262"/>
      <c r="K34" s="250"/>
      <c r="L34" s="250"/>
      <c r="M34" s="250"/>
      <c r="N34" s="250"/>
      <c r="O34" s="250"/>
      <c r="P34" s="210"/>
      <c r="R34" s="182"/>
      <c r="S34" s="183"/>
      <c r="T34" s="189"/>
      <c r="U34" s="202"/>
      <c r="V34" s="185"/>
      <c r="W34" s="185"/>
      <c r="X34" s="190"/>
    </row>
    <row r="35" spans="2:24" ht="15.6" x14ac:dyDescent="0.4">
      <c r="B35" s="229"/>
      <c r="C35" s="179" t="s">
        <v>257</v>
      </c>
      <c r="D35" s="203"/>
      <c r="E35" s="179"/>
      <c r="F35" s="322">
        <f>F33/0.85</f>
        <v>73562470.614511132</v>
      </c>
      <c r="G35" s="323"/>
      <c r="H35" s="230"/>
      <c r="J35" s="262"/>
      <c r="K35" s="250"/>
      <c r="L35" s="267"/>
      <c r="M35" s="250"/>
      <c r="N35" s="250"/>
      <c r="O35" s="250"/>
      <c r="P35" s="210"/>
      <c r="R35" s="231"/>
      <c r="S35" s="183"/>
      <c r="T35" s="183"/>
      <c r="U35" s="183"/>
      <c r="V35" s="183"/>
      <c r="W35" s="183"/>
      <c r="X35" s="196"/>
    </row>
    <row r="36" spans="2:24" ht="15.6" thickBot="1" x14ac:dyDescent="0.45">
      <c r="B36" s="233"/>
      <c r="C36" s="234"/>
      <c r="D36" s="234"/>
      <c r="E36" s="234"/>
      <c r="F36" s="234"/>
      <c r="G36" s="234"/>
      <c r="H36" s="235"/>
      <c r="J36" s="262"/>
      <c r="K36" s="212"/>
      <c r="L36" s="212"/>
      <c r="M36" s="250"/>
      <c r="N36" s="250"/>
      <c r="O36" s="250"/>
      <c r="P36" s="210"/>
      <c r="R36" s="236"/>
      <c r="S36" s="237"/>
      <c r="T36" s="237"/>
      <c r="U36" s="237"/>
      <c r="V36" s="237"/>
      <c r="W36" s="237"/>
      <c r="X36" s="238"/>
    </row>
    <row r="37" spans="2:24" ht="15.6" x14ac:dyDescent="0.4">
      <c r="J37" s="262"/>
      <c r="K37" s="264" t="s">
        <v>286</v>
      </c>
      <c r="L37" s="267"/>
      <c r="M37" s="250"/>
      <c r="N37" s="250"/>
      <c r="O37" s="250"/>
      <c r="P37" s="210"/>
    </row>
    <row r="38" spans="2:24" ht="15" x14ac:dyDescent="0.4">
      <c r="J38" s="262"/>
      <c r="K38" s="222" t="s">
        <v>286</v>
      </c>
      <c r="L38" s="249">
        <v>3.5</v>
      </c>
      <c r="M38" s="192" t="s">
        <v>265</v>
      </c>
      <c r="N38" s="327">
        <f>0.035*N48</f>
        <v>4509688.0516199749</v>
      </c>
      <c r="O38" s="327"/>
      <c r="P38" s="210"/>
    </row>
    <row r="39" spans="2:24" ht="15" x14ac:dyDescent="0.4">
      <c r="J39" s="262"/>
      <c r="K39" s="222" t="s">
        <v>258</v>
      </c>
      <c r="L39" s="249">
        <v>11</v>
      </c>
      <c r="M39" s="192" t="s">
        <v>265</v>
      </c>
      <c r="N39" s="327">
        <f>0.11*N48</f>
        <v>14173305.305091349</v>
      </c>
      <c r="O39" s="327"/>
      <c r="P39" s="210"/>
    </row>
    <row r="40" spans="2:24" ht="19.2" x14ac:dyDescent="0.4">
      <c r="I40" s="169" t="s">
        <v>400</v>
      </c>
      <c r="J40" s="262"/>
      <c r="K40" s="253" t="s">
        <v>260</v>
      </c>
      <c r="L40" s="249">
        <v>5</v>
      </c>
      <c r="M40" s="192" t="s">
        <v>265</v>
      </c>
      <c r="N40" s="327">
        <f>0.05*N48</f>
        <v>6442411.50231425</v>
      </c>
      <c r="O40" s="327"/>
      <c r="P40" s="210"/>
    </row>
    <row r="41" spans="2:24" ht="19.2" x14ac:dyDescent="0.4">
      <c r="I41" s="169" t="s">
        <v>400</v>
      </c>
      <c r="J41" s="262"/>
      <c r="K41" s="255" t="s">
        <v>284</v>
      </c>
      <c r="L41" s="270"/>
      <c r="M41" s="250"/>
      <c r="N41" s="350">
        <f>SUM(N38:N40)</f>
        <v>25125404.859025575</v>
      </c>
      <c r="O41" s="351"/>
      <c r="P41" s="210"/>
    </row>
    <row r="42" spans="2:24" ht="19.2" x14ac:dyDescent="0.4">
      <c r="I42" s="169" t="s">
        <v>400</v>
      </c>
      <c r="J42" s="262"/>
      <c r="K42" s="271"/>
      <c r="L42" s="250"/>
      <c r="M42" s="250"/>
      <c r="N42" s="250"/>
      <c r="O42" s="250"/>
      <c r="P42" s="210"/>
    </row>
    <row r="43" spans="2:24" ht="19.2" x14ac:dyDescent="0.4">
      <c r="I43" s="169" t="s">
        <v>400</v>
      </c>
      <c r="J43" s="262"/>
      <c r="K43" s="264"/>
      <c r="L43" s="264"/>
      <c r="M43" s="250"/>
      <c r="N43" s="250"/>
      <c r="O43" s="250"/>
      <c r="P43" s="210"/>
    </row>
    <row r="44" spans="2:24" ht="19.2" x14ac:dyDescent="0.4">
      <c r="I44" s="169" t="s">
        <v>400</v>
      </c>
      <c r="J44" s="262"/>
      <c r="K44" s="250"/>
      <c r="L44" s="250"/>
      <c r="M44" s="250"/>
      <c r="N44" s="272"/>
      <c r="O44" s="250"/>
      <c r="P44" s="210"/>
      <c r="W44" s="82"/>
    </row>
    <row r="45" spans="2:24" ht="19.2" x14ac:dyDescent="0.4">
      <c r="I45" s="169" t="s">
        <v>400</v>
      </c>
      <c r="J45" s="178" t="s">
        <v>400</v>
      </c>
      <c r="K45" s="341"/>
      <c r="L45" s="341"/>
      <c r="M45" s="187" t="s">
        <v>400</v>
      </c>
      <c r="N45" s="342"/>
      <c r="O45" s="342"/>
      <c r="P45" s="343"/>
      <c r="W45" s="177"/>
    </row>
    <row r="46" spans="2:24" ht="19.2" x14ac:dyDescent="0.4">
      <c r="I46" s="169" t="s">
        <v>400</v>
      </c>
      <c r="J46" s="178" t="s">
        <v>400</v>
      </c>
      <c r="K46" s="255" t="s">
        <v>287</v>
      </c>
      <c r="L46" s="179"/>
      <c r="M46" s="179"/>
      <c r="N46" s="346">
        <f>SUM(N19,N29,N33)</f>
        <v>103722825.18725939</v>
      </c>
      <c r="O46" s="347"/>
      <c r="P46" s="273"/>
      <c r="W46" s="177"/>
    </row>
    <row r="47" spans="2:24" ht="19.2" x14ac:dyDescent="0.4">
      <c r="I47" s="169" t="s">
        <v>400</v>
      </c>
      <c r="J47" s="178" t="s">
        <v>400</v>
      </c>
      <c r="K47" s="255" t="s">
        <v>284</v>
      </c>
      <c r="L47" s="250"/>
      <c r="M47" s="246"/>
      <c r="N47" s="348">
        <f>N41</f>
        <v>25125404.859025575</v>
      </c>
      <c r="O47" s="349"/>
      <c r="P47" s="274"/>
      <c r="W47" s="177"/>
    </row>
    <row r="48" spans="2:24" ht="19.2" x14ac:dyDescent="0.4">
      <c r="I48" s="169" t="s">
        <v>400</v>
      </c>
      <c r="J48" s="178" t="s">
        <v>400</v>
      </c>
      <c r="K48" s="203" t="s">
        <v>288</v>
      </c>
      <c r="L48" s="203"/>
      <c r="M48" s="203"/>
      <c r="N48" s="322">
        <f>SUM(N11,N14:O16,N29)/(1-0.15-0.0225-0.0225-0.03-0.11-0.05-0.035-0.1)</f>
        <v>128848230.04628499</v>
      </c>
      <c r="O48" s="323"/>
      <c r="P48" s="275"/>
      <c r="W48" s="177"/>
    </row>
    <row r="49" spans="9:23" ht="19.8" thickBot="1" x14ac:dyDescent="0.45">
      <c r="I49" s="169" t="s">
        <v>400</v>
      </c>
      <c r="J49" s="276" t="s">
        <v>400</v>
      </c>
      <c r="K49" s="277" t="s">
        <v>400</v>
      </c>
      <c r="L49" s="277" t="s">
        <v>400</v>
      </c>
      <c r="M49" s="277" t="s">
        <v>400</v>
      </c>
      <c r="N49" s="277" t="s">
        <v>400</v>
      </c>
      <c r="O49" s="277" t="s">
        <v>400</v>
      </c>
      <c r="P49" s="278" t="s">
        <v>400</v>
      </c>
      <c r="W49" s="177"/>
    </row>
    <row r="50" spans="9:23" ht="19.2" x14ac:dyDescent="0.4">
      <c r="I50" s="169" t="s">
        <v>400</v>
      </c>
      <c r="W50" s="177"/>
    </row>
    <row r="51" spans="9:23" ht="19.2" x14ac:dyDescent="0.4">
      <c r="I51" s="169" t="s">
        <v>400</v>
      </c>
      <c r="W51" s="177"/>
    </row>
    <row r="52" spans="9:23" ht="19.2" x14ac:dyDescent="0.4">
      <c r="I52" s="169" t="s">
        <v>400</v>
      </c>
      <c r="W52" s="177"/>
    </row>
    <row r="53" spans="9:23" ht="19.2" x14ac:dyDescent="0.4">
      <c r="I53" s="169" t="s">
        <v>400</v>
      </c>
      <c r="W53" s="177"/>
    </row>
    <row r="54" spans="9:23" ht="19.2" x14ac:dyDescent="0.4">
      <c r="I54" s="169" t="s">
        <v>400</v>
      </c>
    </row>
    <row r="55" spans="9:23" ht="19.2" x14ac:dyDescent="0.4">
      <c r="I55" s="169" t="s">
        <v>400</v>
      </c>
    </row>
    <row r="56" spans="9:23" ht="19.2" x14ac:dyDescent="0.4">
      <c r="I56" s="169" t="s">
        <v>400</v>
      </c>
    </row>
    <row r="57" spans="9:23" ht="19.2" x14ac:dyDescent="0.4">
      <c r="I57" s="169" t="s">
        <v>400</v>
      </c>
    </row>
    <row r="58" spans="9:23" ht="19.2" x14ac:dyDescent="0.4">
      <c r="I58" s="169" t="s">
        <v>400</v>
      </c>
    </row>
    <row r="59" spans="9:23" ht="19.2" x14ac:dyDescent="0.4">
      <c r="I59" s="169" t="s">
        <v>400</v>
      </c>
    </row>
    <row r="60" spans="9:23" ht="19.2" x14ac:dyDescent="0.4">
      <c r="I60" s="169" t="s">
        <v>400</v>
      </c>
    </row>
    <row r="61" spans="9:23" ht="19.2" x14ac:dyDescent="0.4">
      <c r="I61" s="169" t="s">
        <v>400</v>
      </c>
      <c r="W61" s="82"/>
    </row>
    <row r="62" spans="9:23" ht="19.2" x14ac:dyDescent="0.4">
      <c r="I62" s="169" t="s">
        <v>400</v>
      </c>
    </row>
    <row r="63" spans="9:23" ht="19.2" x14ac:dyDescent="0.4">
      <c r="I63" s="169" t="s">
        <v>400</v>
      </c>
    </row>
    <row r="64" spans="9:23" ht="19.2" x14ac:dyDescent="0.4">
      <c r="I64" s="169" t="s">
        <v>400</v>
      </c>
    </row>
    <row r="65" spans="9:23" ht="19.2" x14ac:dyDescent="0.4">
      <c r="I65" s="169" t="s">
        <v>400</v>
      </c>
      <c r="U65" s="169"/>
      <c r="V65" s="169"/>
      <c r="W65" s="169"/>
    </row>
    <row r="66" spans="9:23" ht="19.2" x14ac:dyDescent="0.4">
      <c r="I66" s="169" t="s">
        <v>400</v>
      </c>
      <c r="U66" s="169"/>
      <c r="V66" s="169"/>
      <c r="W66" s="169"/>
    </row>
    <row r="67" spans="9:23" ht="19.2" x14ac:dyDescent="0.4">
      <c r="I67" s="169" t="s">
        <v>400</v>
      </c>
      <c r="U67" s="169"/>
      <c r="V67" s="169"/>
      <c r="W67" s="169"/>
    </row>
    <row r="68" spans="9:23" ht="16.5" customHeight="1" x14ac:dyDescent="0.4">
      <c r="I68" s="169" t="s">
        <v>400</v>
      </c>
      <c r="U68" s="169"/>
      <c r="V68" s="169"/>
      <c r="W68" s="169"/>
    </row>
    <row r="69" spans="9:23" ht="15" x14ac:dyDescent="0.4">
      <c r="I69" s="169"/>
      <c r="U69" s="169"/>
      <c r="V69" s="169"/>
      <c r="W69" s="169"/>
    </row>
    <row r="70" spans="9:23" ht="15" x14ac:dyDescent="0.4">
      <c r="I70" s="169"/>
      <c r="U70" s="169"/>
      <c r="V70" s="169"/>
      <c r="W70" s="169"/>
    </row>
    <row r="71" spans="9:23" ht="15" x14ac:dyDescent="0.4">
      <c r="I71" s="169"/>
      <c r="N71" s="169"/>
      <c r="U71" s="169"/>
      <c r="V71" s="169"/>
      <c r="W71" s="169"/>
    </row>
    <row r="72" spans="9:23" ht="15" x14ac:dyDescent="0.4">
      <c r="I72" s="169"/>
      <c r="N72" s="169"/>
      <c r="U72" s="169"/>
      <c r="V72" s="169"/>
      <c r="W72" s="169"/>
    </row>
    <row r="73" spans="9:23" ht="15.6" x14ac:dyDescent="0.4">
      <c r="I73" s="169"/>
      <c r="N73" s="169"/>
      <c r="U73" s="268"/>
      <c r="V73" s="268"/>
      <c r="W73" s="169"/>
    </row>
    <row r="74" spans="9:23" ht="15.6" x14ac:dyDescent="0.4">
      <c r="I74" s="169"/>
      <c r="N74" s="169"/>
      <c r="U74" s="268"/>
      <c r="V74" s="269"/>
      <c r="W74" s="169"/>
    </row>
    <row r="75" spans="9:23" ht="15.6" x14ac:dyDescent="0.4">
      <c r="I75" s="169"/>
      <c r="N75" s="169"/>
      <c r="U75" s="268"/>
      <c r="V75" s="268"/>
      <c r="W75" s="169"/>
    </row>
    <row r="76" spans="9:23" ht="15.6" x14ac:dyDescent="0.4">
      <c r="I76" s="169"/>
      <c r="N76" s="169"/>
      <c r="U76" s="268"/>
      <c r="V76" s="268"/>
      <c r="W76" s="169"/>
    </row>
    <row r="77" spans="9:23" ht="15.6" x14ac:dyDescent="0.4">
      <c r="I77" s="169"/>
      <c r="N77" s="169"/>
      <c r="U77" s="268"/>
      <c r="V77" s="268"/>
      <c r="W77" s="169"/>
    </row>
    <row r="78" spans="9:23" ht="15.6" x14ac:dyDescent="0.4">
      <c r="I78" s="169"/>
      <c r="N78" s="169"/>
      <c r="U78" s="268"/>
      <c r="V78" s="268"/>
      <c r="W78" s="169"/>
    </row>
    <row r="79" spans="9:23" ht="19.2" x14ac:dyDescent="0.4">
      <c r="I79" s="169" t="s">
        <v>400</v>
      </c>
      <c r="N79" s="169"/>
      <c r="U79" s="268"/>
      <c r="V79" s="268"/>
      <c r="W79" s="169"/>
    </row>
    <row r="80" spans="9:23" ht="19.2" x14ac:dyDescent="0.4">
      <c r="I80" s="169" t="s">
        <v>400</v>
      </c>
      <c r="N80" s="169"/>
      <c r="U80" s="169"/>
      <c r="V80" s="169"/>
      <c r="W80" s="169"/>
    </row>
    <row r="81" spans="8:23" ht="19.2" x14ac:dyDescent="0.4">
      <c r="I81" s="169" t="s">
        <v>400</v>
      </c>
      <c r="N81" s="169"/>
      <c r="U81" s="268"/>
      <c r="V81" s="268"/>
      <c r="W81" s="169"/>
    </row>
    <row r="82" spans="8:23" ht="19.2" x14ac:dyDescent="0.4">
      <c r="I82" s="169" t="s">
        <v>400</v>
      </c>
      <c r="N82" s="169"/>
      <c r="U82" s="268"/>
      <c r="V82" s="268"/>
      <c r="W82" s="169"/>
    </row>
    <row r="83" spans="8:23" ht="19.2" x14ac:dyDescent="0.4">
      <c r="I83" s="169" t="s">
        <v>400</v>
      </c>
      <c r="N83" s="169"/>
      <c r="U83" s="169"/>
      <c r="V83" s="169"/>
      <c r="W83" s="169"/>
    </row>
    <row r="84" spans="8:23" ht="15" x14ac:dyDescent="0.4">
      <c r="N84" s="169"/>
      <c r="U84" s="169"/>
      <c r="V84" s="169"/>
      <c r="W84" s="169"/>
    </row>
    <row r="85" spans="8:23" ht="15" x14ac:dyDescent="0.4">
      <c r="N85" s="169"/>
      <c r="U85" s="169"/>
      <c r="V85" s="169"/>
      <c r="W85" s="169"/>
    </row>
    <row r="86" spans="8:23" ht="15" x14ac:dyDescent="0.4">
      <c r="N86" s="169"/>
      <c r="U86" s="169"/>
      <c r="V86" s="169"/>
      <c r="W86" s="169"/>
    </row>
    <row r="87" spans="8:23" ht="15" x14ac:dyDescent="0.4">
      <c r="N87" s="169"/>
      <c r="U87" s="169"/>
      <c r="V87" s="169"/>
      <c r="W87" s="169"/>
    </row>
    <row r="88" spans="8:23" ht="15" x14ac:dyDescent="0.4">
      <c r="N88" s="169"/>
      <c r="U88" s="169"/>
      <c r="V88" s="169"/>
      <c r="W88" s="169"/>
    </row>
    <row r="89" spans="8:23" ht="15" x14ac:dyDescent="0.4">
      <c r="J89" s="169"/>
      <c r="K89" s="169"/>
      <c r="L89" s="169"/>
      <c r="M89" s="169"/>
      <c r="N89" s="169"/>
      <c r="U89" s="169"/>
      <c r="V89" s="169"/>
      <c r="W89" s="169"/>
    </row>
    <row r="90" spans="8:23" ht="15" x14ac:dyDescent="0.4">
      <c r="J90" s="169"/>
      <c r="K90" s="169"/>
      <c r="L90" s="169"/>
      <c r="M90" s="169"/>
      <c r="N90" s="169"/>
      <c r="U90" s="169"/>
      <c r="V90" s="169"/>
      <c r="W90" s="169"/>
    </row>
    <row r="91" spans="8:23" ht="15" x14ac:dyDescent="0.4">
      <c r="J91" s="169"/>
      <c r="K91" s="169"/>
      <c r="L91" s="169"/>
      <c r="M91" s="169"/>
      <c r="N91" s="169"/>
      <c r="U91" s="169"/>
      <c r="V91" s="169"/>
      <c r="W91" s="169"/>
    </row>
    <row r="92" spans="8:23" ht="15" x14ac:dyDescent="0.4">
      <c r="J92" s="169"/>
      <c r="K92" s="169"/>
      <c r="L92" s="169"/>
      <c r="M92" s="169"/>
      <c r="N92" s="169"/>
      <c r="U92" s="169"/>
      <c r="V92" s="169"/>
      <c r="W92" s="169"/>
    </row>
    <row r="93" spans="8:23" ht="15" x14ac:dyDescent="0.4">
      <c r="J93" s="169"/>
      <c r="K93" s="169"/>
      <c r="L93" s="169"/>
      <c r="M93" s="169"/>
      <c r="N93" s="169"/>
      <c r="U93" s="169"/>
      <c r="V93" s="169"/>
      <c r="W93" s="169"/>
    </row>
    <row r="94" spans="8:23" ht="15" x14ac:dyDescent="0.4">
      <c r="H94" s="82"/>
      <c r="I94" s="82"/>
      <c r="J94" s="169"/>
      <c r="K94" s="169"/>
      <c r="L94" s="169"/>
      <c r="M94" s="169"/>
      <c r="N94" s="169"/>
      <c r="U94" s="169"/>
      <c r="V94" s="169"/>
      <c r="W94" s="169"/>
    </row>
    <row r="95" spans="8:23" ht="15" x14ac:dyDescent="0.4">
      <c r="H95" s="177"/>
      <c r="I95" s="19"/>
      <c r="J95" s="169"/>
      <c r="K95" s="169"/>
      <c r="L95" s="169"/>
      <c r="M95" s="169"/>
      <c r="N95" s="169"/>
      <c r="U95" s="169"/>
      <c r="V95" s="169"/>
      <c r="W95" s="169"/>
    </row>
    <row r="96" spans="8:23" ht="15" x14ac:dyDescent="0.4">
      <c r="H96" s="177"/>
      <c r="I96" s="19"/>
      <c r="U96" s="169"/>
      <c r="V96" s="169"/>
      <c r="W96" s="169"/>
    </row>
    <row r="97" spans="3:23" ht="15" x14ac:dyDescent="0.4">
      <c r="H97" s="177"/>
      <c r="I97" s="19"/>
      <c r="U97" s="169"/>
      <c r="V97" s="169"/>
      <c r="W97" s="169"/>
    </row>
    <row r="98" spans="3:23" ht="15" x14ac:dyDescent="0.4">
      <c r="H98" s="177"/>
      <c r="I98" s="19"/>
      <c r="U98" s="169"/>
      <c r="V98" s="169"/>
      <c r="W98" s="169"/>
    </row>
    <row r="99" spans="3:23" ht="15" x14ac:dyDescent="0.4">
      <c r="D99" s="82"/>
      <c r="E99" s="82"/>
      <c r="F99" s="82"/>
      <c r="H99" s="177"/>
      <c r="I99" s="19"/>
      <c r="U99" s="169"/>
      <c r="V99" s="169"/>
      <c r="W99" s="169"/>
    </row>
    <row r="100" spans="3:23" ht="15" x14ac:dyDescent="0.4">
      <c r="D100" s="177"/>
      <c r="E100" s="19"/>
      <c r="F100" s="136"/>
      <c r="H100" s="177"/>
      <c r="I100" s="19"/>
      <c r="U100" s="169"/>
      <c r="V100" s="169"/>
      <c r="W100" s="169"/>
    </row>
    <row r="101" spans="3:23" ht="15" x14ac:dyDescent="0.4">
      <c r="D101" s="177"/>
      <c r="E101" s="19"/>
      <c r="F101" s="136"/>
      <c r="H101" s="177"/>
      <c r="I101" s="19"/>
      <c r="U101" s="169"/>
      <c r="V101" s="169"/>
      <c r="W101" s="169"/>
    </row>
    <row r="102" spans="3:23" ht="15" x14ac:dyDescent="0.4">
      <c r="D102" s="177"/>
      <c r="E102" s="19"/>
      <c r="F102" s="136"/>
      <c r="H102" s="177"/>
      <c r="I102" s="19"/>
      <c r="U102" s="169"/>
      <c r="V102" s="169"/>
      <c r="W102" s="169"/>
    </row>
    <row r="103" spans="3:23" ht="15" x14ac:dyDescent="0.4">
      <c r="D103" s="177"/>
      <c r="E103" s="19"/>
      <c r="F103" s="136"/>
      <c r="H103" s="177"/>
      <c r="I103" s="19"/>
      <c r="U103" s="169"/>
      <c r="V103" s="169"/>
      <c r="W103" s="169"/>
    </row>
    <row r="104" spans="3:23" ht="15" x14ac:dyDescent="0.4">
      <c r="D104" s="177"/>
      <c r="E104" s="19"/>
      <c r="F104" s="136"/>
      <c r="I104" s="19"/>
      <c r="U104" s="169"/>
      <c r="V104" s="169"/>
      <c r="W104" s="169"/>
    </row>
    <row r="105" spans="3:23" ht="15" x14ac:dyDescent="0.4">
      <c r="D105" s="177"/>
      <c r="E105" s="19"/>
      <c r="F105" s="136"/>
      <c r="I105" s="19"/>
      <c r="U105" s="169"/>
      <c r="V105" s="169"/>
      <c r="W105" s="169"/>
    </row>
    <row r="106" spans="3:23" ht="15" x14ac:dyDescent="0.4">
      <c r="D106" s="177"/>
      <c r="E106" s="19"/>
      <c r="F106" s="136"/>
      <c r="I106" s="19"/>
      <c r="U106" s="169"/>
      <c r="V106" s="169"/>
      <c r="W106" s="169"/>
    </row>
    <row r="107" spans="3:23" ht="15" x14ac:dyDescent="0.25">
      <c r="C107" s="54"/>
      <c r="D107" s="54"/>
      <c r="E107" s="54"/>
      <c r="F107" s="136"/>
      <c r="I107" s="19"/>
      <c r="U107" s="169"/>
      <c r="V107" s="169"/>
      <c r="W107" s="169"/>
    </row>
    <row r="108" spans="3:23" ht="15" x14ac:dyDescent="0.4">
      <c r="C108" s="82"/>
      <c r="D108" s="206"/>
      <c r="F108" s="136"/>
      <c r="I108" s="19"/>
      <c r="U108" s="169"/>
      <c r="V108" s="169"/>
      <c r="W108" s="169"/>
    </row>
    <row r="109" spans="3:23" ht="15" x14ac:dyDescent="0.25">
      <c r="D109" s="206"/>
      <c r="F109" s="136"/>
      <c r="G109" s="53"/>
      <c r="U109" s="169"/>
      <c r="V109" s="169"/>
      <c r="W109" s="169"/>
    </row>
    <row r="110" spans="3:23" ht="15" x14ac:dyDescent="0.4">
      <c r="D110" s="206"/>
      <c r="F110" s="136"/>
      <c r="G110" s="82"/>
      <c r="U110" s="169"/>
      <c r="V110" s="169"/>
    </row>
    <row r="111" spans="3:23" ht="15" x14ac:dyDescent="0.4">
      <c r="F111" s="136"/>
      <c r="G111" s="82"/>
      <c r="H111" s="82"/>
      <c r="I111" s="82"/>
      <c r="U111" s="169"/>
      <c r="V111" s="169"/>
    </row>
    <row r="112" spans="3:23" ht="15" x14ac:dyDescent="0.4">
      <c r="C112" s="82"/>
      <c r="F112" s="136"/>
      <c r="U112" s="169"/>
      <c r="V112" s="169"/>
    </row>
    <row r="113" spans="2:22" ht="15" x14ac:dyDescent="0.25">
      <c r="C113" s="279"/>
      <c r="E113" s="280"/>
      <c r="F113" s="136"/>
      <c r="U113" s="169"/>
      <c r="V113" s="169"/>
    </row>
    <row r="114" spans="2:22" ht="15" x14ac:dyDescent="0.25">
      <c r="C114" s="281"/>
      <c r="E114" s="281"/>
      <c r="F114" s="125"/>
      <c r="U114" s="169"/>
      <c r="V114" s="169"/>
    </row>
    <row r="115" spans="2:22" ht="15" x14ac:dyDescent="0.25">
      <c r="C115" s="279"/>
      <c r="E115" s="280"/>
      <c r="F115" s="136"/>
      <c r="U115" s="169"/>
      <c r="V115" s="169"/>
    </row>
    <row r="116" spans="2:22" ht="15" x14ac:dyDescent="0.25">
      <c r="C116" s="279"/>
      <c r="E116" s="280"/>
      <c r="F116" s="228"/>
      <c r="U116" s="169"/>
      <c r="V116" s="169"/>
    </row>
    <row r="117" spans="2:22" ht="15" x14ac:dyDescent="0.25">
      <c r="C117" s="279"/>
      <c r="E117" s="280"/>
      <c r="U117" s="169"/>
      <c r="V117" s="169"/>
    </row>
    <row r="118" spans="2:22" ht="15" x14ac:dyDescent="0.25">
      <c r="C118" s="279"/>
      <c r="E118" s="280"/>
      <c r="U118" s="169"/>
      <c r="V118" s="169"/>
    </row>
    <row r="119" spans="2:22" ht="15.6" x14ac:dyDescent="0.25">
      <c r="B119" s="207"/>
      <c r="C119" s="279"/>
      <c r="E119" s="280"/>
      <c r="F119" s="207"/>
      <c r="G119" s="207"/>
      <c r="L119" s="169"/>
      <c r="M119" s="282"/>
    </row>
    <row r="120" spans="2:22" ht="15.6" x14ac:dyDescent="0.25">
      <c r="C120" s="279"/>
      <c r="E120" s="280"/>
      <c r="L120" s="169"/>
      <c r="M120" s="282"/>
    </row>
    <row r="121" spans="2:22" ht="15.6" x14ac:dyDescent="0.25">
      <c r="C121" s="279"/>
      <c r="E121" s="280"/>
      <c r="L121" s="169"/>
      <c r="M121" s="268"/>
    </row>
    <row r="122" spans="2:22" ht="15" x14ac:dyDescent="0.25">
      <c r="C122" s="279"/>
      <c r="E122" s="280"/>
      <c r="L122" s="169"/>
      <c r="M122" s="169"/>
    </row>
    <row r="123" spans="2:22" ht="15" x14ac:dyDescent="0.25">
      <c r="D123" s="281"/>
      <c r="E123" s="281"/>
      <c r="L123" s="169"/>
      <c r="M123" s="169"/>
    </row>
    <row r="124" spans="2:22" ht="15" x14ac:dyDescent="0.25">
      <c r="C124" s="279"/>
      <c r="E124" s="280"/>
      <c r="L124" s="169"/>
      <c r="M124" s="169"/>
    </row>
    <row r="125" spans="2:22" ht="15" x14ac:dyDescent="0.25">
      <c r="B125" s="19"/>
      <c r="C125" s="279"/>
      <c r="E125" s="281"/>
      <c r="L125" s="169"/>
      <c r="M125" s="169"/>
    </row>
    <row r="126" spans="2:22" ht="15.6" x14ac:dyDescent="0.25">
      <c r="D126" s="281"/>
      <c r="E126" s="281"/>
      <c r="L126" s="169"/>
      <c r="M126" s="268"/>
    </row>
    <row r="127" spans="2:22" ht="15" x14ac:dyDescent="0.25">
      <c r="C127" s="279"/>
      <c r="E127" s="280"/>
      <c r="L127" s="169"/>
      <c r="M127" s="169"/>
    </row>
    <row r="128" spans="2:22" ht="15" x14ac:dyDescent="0.25">
      <c r="C128" s="279"/>
      <c r="E128" s="280"/>
      <c r="L128" s="169"/>
      <c r="M128" s="169"/>
    </row>
    <row r="129" spans="2:13" ht="15" x14ac:dyDescent="0.25">
      <c r="C129" s="279"/>
      <c r="E129" s="280"/>
      <c r="L129" s="169"/>
      <c r="M129" s="169"/>
    </row>
    <row r="130" spans="2:13" ht="15" x14ac:dyDescent="0.4">
      <c r="L130" s="169"/>
      <c r="M130" s="169"/>
    </row>
    <row r="131" spans="2:13" ht="15" x14ac:dyDescent="0.4">
      <c r="L131" s="169"/>
      <c r="M131" s="169"/>
    </row>
    <row r="132" spans="2:13" ht="15" x14ac:dyDescent="0.4">
      <c r="B132" s="82"/>
      <c r="C132" s="82"/>
      <c r="L132" s="169"/>
      <c r="M132" s="169"/>
    </row>
    <row r="133" spans="2:13" ht="15" x14ac:dyDescent="0.4">
      <c r="B133" s="19"/>
      <c r="C133" s="136"/>
      <c r="L133" s="169"/>
      <c r="M133" s="169"/>
    </row>
    <row r="134" spans="2:13" ht="15" x14ac:dyDescent="0.4">
      <c r="B134" s="19"/>
      <c r="C134" s="136"/>
      <c r="L134" s="169"/>
      <c r="M134" s="169"/>
    </row>
    <row r="135" spans="2:13" ht="15.6" x14ac:dyDescent="0.4">
      <c r="B135" s="19"/>
      <c r="C135" s="136"/>
      <c r="L135" s="169"/>
      <c r="M135" s="282"/>
    </row>
    <row r="136" spans="2:13" ht="15.6" x14ac:dyDescent="0.4">
      <c r="B136" s="19"/>
      <c r="C136" s="136"/>
      <c r="L136" s="169"/>
      <c r="M136" s="282"/>
    </row>
    <row r="137" spans="2:13" ht="15.6" x14ac:dyDescent="0.4">
      <c r="B137" s="19"/>
      <c r="C137" s="136"/>
      <c r="L137" s="169"/>
      <c r="M137" s="268"/>
    </row>
    <row r="138" spans="2:13" ht="15" x14ac:dyDescent="0.4">
      <c r="L138" s="169"/>
      <c r="M138" s="169"/>
    </row>
    <row r="139" spans="2:13" ht="15" x14ac:dyDescent="0.4">
      <c r="L139" s="169"/>
      <c r="M139" s="169"/>
    </row>
    <row r="140" spans="2:13" ht="15" x14ac:dyDescent="0.4">
      <c r="L140" s="169"/>
      <c r="M140" s="169"/>
    </row>
    <row r="141" spans="2:13" ht="15" x14ac:dyDescent="0.4">
      <c r="L141" s="169"/>
      <c r="M141" s="169"/>
    </row>
    <row r="142" spans="2:13" ht="15.6" x14ac:dyDescent="0.4">
      <c r="L142" s="169"/>
      <c r="M142" s="268"/>
    </row>
    <row r="143" spans="2:13" ht="15" x14ac:dyDescent="0.4">
      <c r="L143" s="169"/>
      <c r="M143" s="169"/>
    </row>
    <row r="144" spans="2:13" ht="15" x14ac:dyDescent="0.4">
      <c r="L144" s="169"/>
      <c r="M144" s="169"/>
    </row>
    <row r="145" spans="12:23" ht="15" x14ac:dyDescent="0.4">
      <c r="L145" s="169"/>
      <c r="M145" s="169"/>
    </row>
    <row r="146" spans="12:23" ht="15" x14ac:dyDescent="0.4">
      <c r="L146" s="169"/>
      <c r="M146" s="169"/>
    </row>
    <row r="147" spans="12:23" ht="15" x14ac:dyDescent="0.4">
      <c r="L147" s="169"/>
      <c r="M147" s="169"/>
    </row>
    <row r="148" spans="12:23" ht="15" x14ac:dyDescent="0.4">
      <c r="L148" s="169"/>
      <c r="M148" s="169"/>
    </row>
    <row r="149" spans="12:23" ht="15" x14ac:dyDescent="0.4">
      <c r="L149" s="169"/>
      <c r="M149" s="169"/>
    </row>
    <row r="150" spans="12:23" ht="15" x14ac:dyDescent="0.4">
      <c r="L150" s="169"/>
      <c r="M150" s="169"/>
    </row>
    <row r="151" spans="12:23" ht="15.6" x14ac:dyDescent="0.4">
      <c r="L151" s="169"/>
      <c r="M151" s="282"/>
    </row>
    <row r="152" spans="12:23" ht="15.6" x14ac:dyDescent="0.4">
      <c r="L152" s="169"/>
      <c r="M152" s="282"/>
    </row>
    <row r="153" spans="12:23" ht="15.6" x14ac:dyDescent="0.4">
      <c r="L153" s="169"/>
      <c r="M153" s="268"/>
    </row>
    <row r="154" spans="12:23" ht="15" x14ac:dyDescent="0.4">
      <c r="L154" s="169"/>
      <c r="M154" s="169"/>
    </row>
    <row r="155" spans="12:23" ht="15" x14ac:dyDescent="0.4">
      <c r="L155" s="169"/>
      <c r="M155" s="169"/>
    </row>
    <row r="156" spans="12:23" ht="15" x14ac:dyDescent="0.4">
      <c r="L156" s="169"/>
      <c r="M156" s="169"/>
    </row>
    <row r="157" spans="12:23" ht="15" x14ac:dyDescent="0.4">
      <c r="L157" s="169"/>
      <c r="M157" s="169"/>
    </row>
    <row r="158" spans="12:23" ht="15.6" x14ac:dyDescent="0.4">
      <c r="L158" s="169"/>
      <c r="M158" s="268"/>
    </row>
    <row r="159" spans="12:23" ht="15" x14ac:dyDescent="0.4">
      <c r="L159" s="169"/>
      <c r="M159" s="169"/>
      <c r="N159" s="169"/>
      <c r="O159" s="169"/>
      <c r="P159" s="169"/>
      <c r="Q159" s="169"/>
      <c r="R159" s="169"/>
      <c r="S159" s="169"/>
      <c r="T159" s="169"/>
      <c r="U159" s="169"/>
      <c r="V159" s="169"/>
      <c r="W159" s="169"/>
    </row>
    <row r="160" spans="12:23" ht="15" x14ac:dyDescent="0.4">
      <c r="L160" s="169"/>
      <c r="M160" s="169"/>
      <c r="N160" s="169"/>
      <c r="O160" s="169"/>
      <c r="P160" s="169"/>
      <c r="Q160" s="169"/>
      <c r="R160" s="169"/>
      <c r="S160" s="169"/>
      <c r="T160" s="169"/>
      <c r="U160" s="169"/>
      <c r="V160" s="169"/>
      <c r="W160" s="169"/>
    </row>
    <row r="161" spans="12:23" ht="15" x14ac:dyDescent="0.4">
      <c r="L161" s="169"/>
      <c r="M161" s="169"/>
      <c r="N161" s="169"/>
      <c r="O161" s="169"/>
      <c r="P161" s="169"/>
      <c r="Q161" s="169"/>
      <c r="R161" s="169"/>
      <c r="S161" s="169"/>
      <c r="T161" s="169"/>
      <c r="U161" s="169"/>
      <c r="V161" s="169"/>
      <c r="W161" s="169"/>
    </row>
    <row r="162" spans="12:23" ht="15" x14ac:dyDescent="0.4">
      <c r="L162" s="169"/>
      <c r="M162" s="169"/>
      <c r="N162" s="169"/>
      <c r="O162" s="169"/>
      <c r="P162" s="169"/>
      <c r="Q162" s="169"/>
      <c r="R162" s="169"/>
      <c r="S162" s="169"/>
      <c r="T162" s="169"/>
      <c r="U162" s="169"/>
      <c r="V162" s="169"/>
      <c r="W162" s="169"/>
    </row>
    <row r="163" spans="12:23" ht="15" x14ac:dyDescent="0.4">
      <c r="L163" s="169"/>
      <c r="M163" s="169"/>
      <c r="N163" s="169"/>
      <c r="O163" s="169"/>
      <c r="P163" s="169"/>
      <c r="Q163" s="169"/>
      <c r="R163" s="169"/>
      <c r="S163" s="169"/>
      <c r="T163" s="169"/>
      <c r="U163" s="169"/>
      <c r="V163" s="169"/>
      <c r="W163" s="169"/>
    </row>
    <row r="164" spans="12:23" ht="15" x14ac:dyDescent="0.4">
      <c r="L164" s="169"/>
      <c r="M164" s="169"/>
      <c r="N164" s="169"/>
      <c r="O164" s="169"/>
      <c r="P164" s="169"/>
      <c r="Q164" s="169"/>
      <c r="R164" s="169"/>
      <c r="S164" s="169"/>
      <c r="T164" s="169"/>
      <c r="U164" s="169"/>
      <c r="V164" s="169"/>
      <c r="W164" s="169"/>
    </row>
    <row r="165" spans="12:23" ht="15" x14ac:dyDescent="0.4">
      <c r="L165" s="169"/>
      <c r="M165" s="169"/>
      <c r="N165" s="169"/>
      <c r="O165" s="169"/>
      <c r="P165" s="169"/>
      <c r="Q165" s="169"/>
      <c r="R165" s="169"/>
      <c r="S165" s="169"/>
      <c r="T165" s="169"/>
      <c r="U165" s="169"/>
      <c r="V165" s="169"/>
      <c r="W165" s="169"/>
    </row>
    <row r="166" spans="12:23" ht="15" x14ac:dyDescent="0.4">
      <c r="L166" s="169"/>
      <c r="M166" s="169"/>
      <c r="N166" s="169"/>
      <c r="O166" s="169"/>
      <c r="P166" s="169"/>
      <c r="Q166" s="169"/>
      <c r="R166" s="169"/>
      <c r="S166" s="169"/>
      <c r="T166" s="169"/>
      <c r="U166" s="169"/>
      <c r="V166" s="169"/>
      <c r="W166" s="169"/>
    </row>
    <row r="167" spans="12:23" ht="15.6" x14ac:dyDescent="0.4">
      <c r="L167" s="169"/>
      <c r="M167" s="282"/>
      <c r="N167" s="282"/>
      <c r="O167" s="169"/>
      <c r="P167" s="169"/>
      <c r="Q167" s="169"/>
      <c r="R167" s="169"/>
      <c r="S167" s="169"/>
      <c r="T167" s="169"/>
      <c r="U167" s="169"/>
      <c r="V167" s="169"/>
      <c r="W167" s="169"/>
    </row>
    <row r="168" spans="12:23" ht="15.6" x14ac:dyDescent="0.4">
      <c r="L168" s="169"/>
      <c r="M168" s="282"/>
      <c r="N168" s="169"/>
      <c r="O168" s="169"/>
      <c r="P168" s="169"/>
      <c r="Q168" s="169"/>
      <c r="R168" s="169"/>
      <c r="S168" s="169"/>
      <c r="T168" s="169"/>
      <c r="U168" s="169"/>
      <c r="V168" s="169"/>
      <c r="W168" s="169"/>
    </row>
    <row r="169" spans="12:23" ht="15.6" x14ac:dyDescent="0.4">
      <c r="L169" s="169"/>
      <c r="M169" s="268"/>
      <c r="N169" s="268"/>
      <c r="O169" s="169"/>
      <c r="P169" s="169"/>
      <c r="Q169" s="169"/>
      <c r="R169" s="169"/>
      <c r="S169" s="169"/>
      <c r="T169" s="169"/>
      <c r="U169" s="169"/>
      <c r="V169" s="169"/>
      <c r="W169" s="169"/>
    </row>
    <row r="170" spans="12:23" ht="15.6" x14ac:dyDescent="0.4">
      <c r="L170" s="169"/>
      <c r="M170" s="169"/>
      <c r="N170" s="169"/>
      <c r="O170" s="169"/>
      <c r="P170" s="269"/>
      <c r="Q170" s="169"/>
      <c r="R170" s="169"/>
      <c r="S170" s="169"/>
      <c r="T170" s="169"/>
      <c r="U170" s="169"/>
      <c r="V170" s="169"/>
      <c r="W170" s="169"/>
    </row>
    <row r="171" spans="12:23" ht="15.6" x14ac:dyDescent="0.4">
      <c r="L171" s="169"/>
      <c r="M171" s="169"/>
      <c r="N171" s="169"/>
      <c r="O171" s="169"/>
      <c r="P171" s="269"/>
      <c r="Q171" s="169"/>
      <c r="R171" s="169"/>
      <c r="S171" s="169"/>
      <c r="T171" s="169"/>
      <c r="U171" s="169"/>
      <c r="V171" s="169"/>
      <c r="W171" s="169"/>
    </row>
    <row r="172" spans="12:23" ht="15" x14ac:dyDescent="0.4">
      <c r="L172" s="169"/>
      <c r="M172" s="169"/>
      <c r="N172" s="283"/>
      <c r="O172" s="284"/>
      <c r="P172" s="169"/>
      <c r="Q172" s="169"/>
      <c r="R172" s="169"/>
      <c r="S172" s="169"/>
      <c r="T172" s="169"/>
      <c r="U172" s="169"/>
      <c r="V172" s="169"/>
      <c r="W172" s="169"/>
    </row>
    <row r="173" spans="12:23" ht="15" x14ac:dyDescent="0.4">
      <c r="L173" s="169"/>
      <c r="M173" s="169"/>
      <c r="N173" s="169"/>
      <c r="O173" s="169"/>
      <c r="P173" s="169"/>
      <c r="Q173" s="169"/>
      <c r="R173" s="169"/>
      <c r="S173" s="169"/>
      <c r="T173" s="169"/>
      <c r="U173" s="169"/>
      <c r="V173" s="169"/>
      <c r="W173" s="169"/>
    </row>
    <row r="174" spans="12:23" ht="15.6" x14ac:dyDescent="0.4">
      <c r="L174" s="169"/>
      <c r="M174" s="268"/>
      <c r="N174" s="268"/>
      <c r="O174" s="268"/>
      <c r="P174" s="169"/>
      <c r="Q174" s="169"/>
      <c r="R174" s="169"/>
      <c r="S174" s="169"/>
      <c r="T174" s="169"/>
      <c r="U174" s="169"/>
      <c r="V174" s="169"/>
      <c r="W174" s="169"/>
    </row>
    <row r="175" spans="12:23" ht="15" x14ac:dyDescent="0.4">
      <c r="L175" s="169"/>
      <c r="M175" s="169"/>
      <c r="N175" s="169"/>
      <c r="O175" s="169"/>
      <c r="P175" s="169"/>
      <c r="Q175" s="169"/>
      <c r="R175" s="169"/>
      <c r="S175" s="169"/>
      <c r="T175" s="169"/>
      <c r="U175" s="169"/>
      <c r="V175" s="169"/>
      <c r="W175" s="169"/>
    </row>
    <row r="176" spans="12:23" ht="15" x14ac:dyDescent="0.4">
      <c r="L176" s="169"/>
      <c r="M176" s="169"/>
      <c r="N176" s="169"/>
      <c r="O176" s="169"/>
      <c r="P176" s="169"/>
      <c r="Q176" s="169"/>
      <c r="R176" s="169"/>
      <c r="S176" s="169"/>
      <c r="T176" s="169"/>
      <c r="U176" s="169"/>
      <c r="V176" s="169"/>
      <c r="W176" s="169"/>
    </row>
    <row r="177" spans="12:23" ht="15" x14ac:dyDescent="0.4">
      <c r="L177" s="169"/>
      <c r="M177" s="169"/>
      <c r="N177" s="169"/>
      <c r="O177" s="169"/>
      <c r="P177" s="169"/>
      <c r="Q177" s="169"/>
      <c r="R177" s="169"/>
      <c r="S177" s="169"/>
      <c r="T177" s="169"/>
      <c r="U177" s="169"/>
      <c r="V177" s="169"/>
      <c r="W177" s="169"/>
    </row>
    <row r="178" spans="12:23" ht="15" x14ac:dyDescent="0.4">
      <c r="L178" s="169"/>
      <c r="M178" s="169"/>
      <c r="N178" s="169"/>
      <c r="O178" s="169"/>
      <c r="P178" s="169"/>
      <c r="Q178" s="169"/>
      <c r="R178" s="169"/>
      <c r="S178" s="169"/>
      <c r="T178" s="169"/>
      <c r="U178" s="169"/>
      <c r="V178" s="169"/>
      <c r="W178" s="169"/>
    </row>
    <row r="179" spans="12:23" ht="15" x14ac:dyDescent="0.4">
      <c r="L179" s="169"/>
      <c r="M179" s="169"/>
      <c r="N179" s="169"/>
      <c r="O179" s="169"/>
      <c r="P179" s="169"/>
      <c r="Q179" s="169"/>
      <c r="R179" s="169"/>
      <c r="S179" s="169"/>
      <c r="T179" s="169"/>
      <c r="U179" s="169"/>
      <c r="V179" s="169"/>
      <c r="W179" s="169"/>
    </row>
    <row r="180" spans="12:23" ht="15" x14ac:dyDescent="0.4">
      <c r="L180" s="169"/>
      <c r="M180" s="169"/>
      <c r="N180" s="169"/>
      <c r="O180" s="169"/>
      <c r="P180" s="169"/>
      <c r="Q180" s="169"/>
      <c r="R180" s="169"/>
      <c r="S180" s="169"/>
      <c r="T180" s="169"/>
      <c r="U180" s="169"/>
      <c r="V180" s="169"/>
      <c r="W180" s="169"/>
    </row>
    <row r="181" spans="12:23" ht="15" x14ac:dyDescent="0.4">
      <c r="L181" s="169"/>
      <c r="M181" s="169"/>
      <c r="N181" s="169"/>
      <c r="O181" s="169"/>
      <c r="P181" s="169"/>
      <c r="Q181" s="169"/>
      <c r="R181" s="169"/>
      <c r="S181" s="169"/>
      <c r="T181" s="169"/>
      <c r="U181" s="169"/>
      <c r="V181" s="169"/>
      <c r="W181" s="169"/>
    </row>
    <row r="182" spans="12:23" ht="15" x14ac:dyDescent="0.4">
      <c r="L182" s="169"/>
      <c r="M182" s="169"/>
      <c r="N182" s="169"/>
      <c r="O182" s="169"/>
      <c r="P182" s="169"/>
      <c r="Q182" s="169"/>
      <c r="R182" s="169"/>
      <c r="S182" s="169"/>
      <c r="T182" s="169"/>
      <c r="U182" s="169"/>
      <c r="V182" s="169"/>
      <c r="W182" s="169"/>
    </row>
    <row r="183" spans="12:23" ht="15.6" x14ac:dyDescent="0.4">
      <c r="L183" s="169"/>
      <c r="M183" s="282"/>
      <c r="N183" s="282"/>
      <c r="O183" s="169"/>
      <c r="P183" s="169"/>
      <c r="Q183" s="169"/>
      <c r="R183" s="169"/>
      <c r="S183" s="169"/>
      <c r="T183" s="169"/>
      <c r="U183" s="169"/>
      <c r="V183" s="169"/>
      <c r="W183" s="169"/>
    </row>
    <row r="184" spans="12:23" ht="15.6" x14ac:dyDescent="0.4">
      <c r="L184" s="169"/>
      <c r="M184" s="282"/>
      <c r="N184" s="169"/>
      <c r="O184" s="169"/>
      <c r="P184" s="169"/>
      <c r="Q184" s="169"/>
      <c r="R184" s="169"/>
      <c r="S184" s="169"/>
      <c r="T184" s="169"/>
      <c r="U184" s="169"/>
      <c r="V184" s="169"/>
      <c r="W184" s="169"/>
    </row>
    <row r="185" spans="12:23" ht="15.6" x14ac:dyDescent="0.4">
      <c r="L185" s="169"/>
      <c r="M185" s="268"/>
      <c r="N185" s="268"/>
      <c r="O185" s="169"/>
      <c r="P185" s="169"/>
      <c r="Q185" s="169"/>
      <c r="R185" s="169"/>
      <c r="S185" s="169"/>
      <c r="T185" s="169"/>
      <c r="U185" s="169"/>
      <c r="V185" s="169"/>
      <c r="W185" s="169"/>
    </row>
    <row r="186" spans="12:23" ht="15.6" x14ac:dyDescent="0.4">
      <c r="L186" s="169"/>
      <c r="M186" s="169"/>
      <c r="N186" s="169"/>
      <c r="O186" s="169"/>
      <c r="P186" s="269"/>
      <c r="Q186" s="169"/>
      <c r="R186" s="169"/>
      <c r="S186" s="169"/>
      <c r="T186" s="169"/>
      <c r="U186" s="169"/>
      <c r="V186" s="169"/>
      <c r="W186" s="169"/>
    </row>
    <row r="187" spans="12:23" ht="15.6" x14ac:dyDescent="0.4">
      <c r="L187" s="169"/>
      <c r="M187" s="169"/>
      <c r="N187" s="169"/>
      <c r="O187" s="169"/>
      <c r="P187" s="269"/>
      <c r="Q187" s="169"/>
      <c r="R187" s="169"/>
      <c r="S187" s="169"/>
      <c r="T187" s="169"/>
      <c r="U187" s="169"/>
      <c r="V187" s="169"/>
      <c r="W187" s="169"/>
    </row>
    <row r="188" spans="12:23" ht="15" x14ac:dyDescent="0.4">
      <c r="L188" s="169"/>
      <c r="M188" s="169"/>
      <c r="N188" s="283"/>
      <c r="O188" s="284"/>
      <c r="P188" s="169"/>
      <c r="Q188" s="169"/>
      <c r="R188" s="169"/>
      <c r="S188" s="169"/>
      <c r="T188" s="169"/>
      <c r="U188" s="169"/>
      <c r="V188" s="169"/>
      <c r="W188" s="169"/>
    </row>
    <row r="189" spans="12:23" ht="15" x14ac:dyDescent="0.4">
      <c r="L189" s="169"/>
      <c r="M189" s="169"/>
      <c r="N189" s="169"/>
      <c r="O189" s="169"/>
      <c r="P189" s="169"/>
      <c r="Q189" s="169"/>
      <c r="R189" s="169"/>
      <c r="S189" s="169"/>
      <c r="T189" s="169"/>
      <c r="U189" s="169"/>
      <c r="V189" s="169"/>
      <c r="W189" s="169"/>
    </row>
    <row r="190" spans="12:23" ht="15.6" x14ac:dyDescent="0.4">
      <c r="L190" s="169"/>
      <c r="M190" s="268"/>
      <c r="N190" s="268"/>
      <c r="O190" s="268"/>
      <c r="P190" s="169"/>
      <c r="Q190" s="169"/>
      <c r="R190" s="169"/>
      <c r="S190" s="169"/>
      <c r="T190" s="169"/>
      <c r="U190" s="169"/>
      <c r="V190" s="169"/>
      <c r="W190" s="169"/>
    </row>
    <row r="191" spans="12:23" ht="15" x14ac:dyDescent="0.4">
      <c r="L191" s="169"/>
      <c r="M191" s="169"/>
      <c r="N191" s="169"/>
      <c r="O191" s="169"/>
      <c r="P191" s="169"/>
      <c r="Q191" s="169"/>
      <c r="R191" s="169"/>
      <c r="S191" s="169"/>
      <c r="T191" s="169"/>
      <c r="U191" s="169"/>
      <c r="V191" s="169"/>
      <c r="W191" s="169"/>
    </row>
    <row r="192" spans="12:23" ht="15" x14ac:dyDescent="0.4">
      <c r="L192" s="169"/>
      <c r="M192" s="169"/>
      <c r="N192" s="169"/>
      <c r="O192" s="169"/>
      <c r="P192" s="169"/>
      <c r="Q192" s="169"/>
      <c r="R192" s="169"/>
      <c r="S192" s="169"/>
      <c r="T192" s="169"/>
      <c r="U192" s="169"/>
      <c r="V192" s="169"/>
      <c r="W192" s="169"/>
    </row>
    <row r="193" spans="12:23" ht="15" x14ac:dyDescent="0.4">
      <c r="L193" s="169"/>
      <c r="M193" s="169"/>
      <c r="N193" s="169"/>
      <c r="O193" s="169"/>
      <c r="P193" s="169"/>
      <c r="Q193" s="169"/>
      <c r="R193" s="169"/>
      <c r="S193" s="169"/>
      <c r="T193" s="169"/>
      <c r="U193" s="169"/>
      <c r="V193" s="169"/>
      <c r="W193" s="169"/>
    </row>
    <row r="194" spans="12:23" ht="15" x14ac:dyDescent="0.4">
      <c r="L194" s="169"/>
      <c r="M194" s="169"/>
      <c r="N194" s="169"/>
      <c r="O194" s="169"/>
      <c r="P194" s="169"/>
      <c r="Q194" s="169"/>
      <c r="R194" s="169"/>
      <c r="S194" s="169"/>
      <c r="T194" s="169"/>
      <c r="U194" s="169"/>
      <c r="V194" s="169"/>
      <c r="W194" s="169"/>
    </row>
    <row r="195" spans="12:23" ht="15" x14ac:dyDescent="0.4">
      <c r="L195" s="169"/>
      <c r="M195" s="169"/>
      <c r="N195" s="169"/>
      <c r="O195" s="169"/>
      <c r="P195" s="169"/>
      <c r="Q195" s="169"/>
      <c r="R195" s="169"/>
      <c r="S195" s="169"/>
      <c r="T195" s="169"/>
      <c r="U195" s="169"/>
      <c r="V195" s="169"/>
      <c r="W195" s="169"/>
    </row>
    <row r="196" spans="12:23" ht="15" x14ac:dyDescent="0.4">
      <c r="L196" s="169"/>
      <c r="M196" s="169"/>
      <c r="N196" s="169"/>
      <c r="O196" s="169"/>
      <c r="P196" s="169"/>
      <c r="Q196" s="169"/>
      <c r="R196" s="169"/>
      <c r="S196" s="169"/>
      <c r="T196" s="169"/>
      <c r="U196" s="169"/>
      <c r="V196" s="169"/>
      <c r="W196" s="169"/>
    </row>
    <row r="197" spans="12:23" ht="15" x14ac:dyDescent="0.4">
      <c r="L197" s="169"/>
      <c r="M197" s="169"/>
      <c r="N197" s="169"/>
      <c r="O197" s="169"/>
      <c r="P197" s="169"/>
      <c r="Q197" s="169"/>
      <c r="R197" s="169"/>
      <c r="S197" s="169"/>
      <c r="T197" s="169"/>
      <c r="U197" s="169"/>
      <c r="V197" s="169"/>
      <c r="W197" s="169"/>
    </row>
    <row r="198" spans="12:23" ht="15" x14ac:dyDescent="0.4">
      <c r="L198" s="169"/>
      <c r="M198" s="169"/>
      <c r="N198" s="169"/>
      <c r="O198" s="169"/>
      <c r="P198" s="169"/>
      <c r="Q198" s="169"/>
      <c r="R198" s="169"/>
      <c r="S198" s="169"/>
      <c r="T198" s="169"/>
      <c r="U198" s="169"/>
      <c r="V198" s="169"/>
      <c r="W198" s="169"/>
    </row>
    <row r="199" spans="12:23" ht="15.6" x14ac:dyDescent="0.4">
      <c r="L199" s="169"/>
      <c r="M199" s="282"/>
      <c r="N199" s="282"/>
      <c r="O199" s="169"/>
      <c r="P199" s="169"/>
      <c r="Q199" s="169"/>
      <c r="R199" s="169"/>
      <c r="S199" s="169"/>
      <c r="T199" s="169"/>
      <c r="U199" s="169"/>
      <c r="V199" s="169"/>
      <c r="W199" s="169"/>
    </row>
    <row r="200" spans="12:23" ht="15.6" x14ac:dyDescent="0.4">
      <c r="L200" s="169"/>
      <c r="M200" s="282"/>
      <c r="N200" s="169"/>
      <c r="O200" s="169"/>
      <c r="P200" s="169"/>
      <c r="Q200" s="169"/>
      <c r="R200" s="169"/>
      <c r="S200" s="169"/>
      <c r="T200" s="169"/>
      <c r="U200" s="169"/>
      <c r="V200" s="169"/>
      <c r="W200" s="169"/>
    </row>
    <row r="201" spans="12:23" ht="15.6" x14ac:dyDescent="0.4">
      <c r="L201" s="169"/>
      <c r="M201" s="268"/>
      <c r="N201" s="268"/>
      <c r="O201" s="169"/>
      <c r="P201" s="169"/>
      <c r="Q201" s="169"/>
      <c r="R201" s="169"/>
      <c r="S201" s="169"/>
      <c r="T201" s="169"/>
      <c r="U201" s="169"/>
      <c r="V201" s="169"/>
      <c r="W201" s="169"/>
    </row>
    <row r="202" spans="12:23" ht="15.6" x14ac:dyDescent="0.4">
      <c r="L202" s="169"/>
      <c r="M202" s="169"/>
      <c r="N202" s="169"/>
      <c r="O202" s="169"/>
      <c r="P202" s="269"/>
      <c r="Q202" s="169"/>
      <c r="R202" s="169"/>
      <c r="S202" s="169"/>
      <c r="T202" s="169"/>
      <c r="U202" s="169"/>
      <c r="V202" s="169"/>
      <c r="W202" s="169"/>
    </row>
    <row r="203" spans="12:23" ht="15.6" x14ac:dyDescent="0.4">
      <c r="L203" s="169"/>
      <c r="M203" s="169"/>
      <c r="N203" s="169"/>
      <c r="O203" s="169"/>
      <c r="P203" s="269"/>
      <c r="Q203" s="169"/>
      <c r="R203" s="169"/>
      <c r="S203" s="169"/>
      <c r="T203" s="169"/>
      <c r="U203" s="169"/>
      <c r="V203" s="169"/>
      <c r="W203" s="169"/>
    </row>
    <row r="204" spans="12:23" ht="15" x14ac:dyDescent="0.4">
      <c r="L204" s="169"/>
      <c r="M204" s="169"/>
      <c r="N204" s="283"/>
      <c r="O204" s="284"/>
      <c r="P204" s="169"/>
      <c r="Q204" s="169"/>
      <c r="R204" s="169"/>
      <c r="S204" s="169"/>
      <c r="T204" s="169"/>
      <c r="U204" s="169"/>
      <c r="V204" s="169"/>
      <c r="W204" s="169"/>
    </row>
    <row r="205" spans="12:23" ht="15" x14ac:dyDescent="0.4">
      <c r="L205" s="169"/>
      <c r="M205" s="169"/>
      <c r="N205" s="169"/>
      <c r="O205" s="169"/>
      <c r="P205" s="169"/>
      <c r="Q205" s="169"/>
      <c r="R205" s="169"/>
      <c r="S205" s="169"/>
      <c r="T205" s="169"/>
      <c r="U205" s="169"/>
      <c r="V205" s="169"/>
      <c r="W205" s="169"/>
    </row>
    <row r="206" spans="12:23" ht="15.6" x14ac:dyDescent="0.4">
      <c r="L206" s="169"/>
      <c r="M206" s="268"/>
      <c r="N206" s="268"/>
      <c r="O206" s="268"/>
      <c r="P206" s="169"/>
      <c r="Q206" s="169"/>
      <c r="R206" s="169"/>
      <c r="S206" s="169"/>
      <c r="T206" s="169"/>
      <c r="U206" s="169"/>
      <c r="V206" s="169"/>
      <c r="W206" s="169"/>
    </row>
    <row r="207" spans="12:23" ht="15" x14ac:dyDescent="0.4">
      <c r="L207" s="169"/>
      <c r="M207" s="169"/>
      <c r="N207" s="169"/>
      <c r="O207" s="169"/>
      <c r="P207" s="169"/>
      <c r="Q207" s="169"/>
      <c r="R207" s="169"/>
      <c r="S207" s="169"/>
      <c r="T207" s="169"/>
      <c r="U207" s="169"/>
      <c r="V207" s="169"/>
      <c r="W207" s="169"/>
    </row>
    <row r="208" spans="12:23" ht="15" x14ac:dyDescent="0.4">
      <c r="L208" s="169"/>
      <c r="M208" s="169"/>
      <c r="N208" s="169"/>
      <c r="O208" s="169"/>
      <c r="P208" s="169"/>
      <c r="Q208" s="169"/>
      <c r="R208" s="169"/>
      <c r="S208" s="169"/>
      <c r="T208" s="169"/>
      <c r="U208" s="169"/>
      <c r="V208" s="169"/>
      <c r="W208" s="169"/>
    </row>
    <row r="209" spans="12:23" ht="15" x14ac:dyDescent="0.4">
      <c r="L209" s="169"/>
      <c r="M209" s="169"/>
      <c r="N209" s="169"/>
      <c r="O209" s="169"/>
      <c r="P209" s="169"/>
      <c r="Q209" s="169"/>
      <c r="R209" s="169"/>
      <c r="S209" s="169"/>
      <c r="T209" s="169"/>
      <c r="U209" s="169"/>
      <c r="V209" s="169"/>
      <c r="W209" s="169"/>
    </row>
    <row r="210" spans="12:23" ht="15" x14ac:dyDescent="0.4">
      <c r="L210" s="169"/>
      <c r="M210" s="169"/>
      <c r="N210" s="169"/>
      <c r="O210" s="169"/>
      <c r="P210" s="169"/>
      <c r="Q210" s="169"/>
      <c r="R210" s="169"/>
      <c r="S210" s="169"/>
      <c r="T210" s="169"/>
      <c r="U210" s="169"/>
      <c r="V210" s="169"/>
      <c r="W210" s="169"/>
    </row>
    <row r="211" spans="12:23" ht="15" x14ac:dyDescent="0.4">
      <c r="L211" s="169"/>
      <c r="M211" s="169"/>
      <c r="N211" s="169"/>
      <c r="O211" s="169"/>
      <c r="P211" s="169"/>
      <c r="Q211" s="169"/>
      <c r="R211" s="169"/>
      <c r="S211" s="169"/>
      <c r="T211" s="169"/>
      <c r="U211" s="169"/>
      <c r="V211" s="169"/>
      <c r="W211" s="169"/>
    </row>
    <row r="212" spans="12:23" ht="15" x14ac:dyDescent="0.4">
      <c r="L212" s="169"/>
      <c r="M212" s="169"/>
      <c r="N212" s="169"/>
      <c r="O212" s="169"/>
      <c r="P212" s="169"/>
      <c r="Q212" s="169"/>
      <c r="R212" s="169"/>
      <c r="S212" s="169"/>
      <c r="T212" s="169"/>
      <c r="U212" s="169"/>
      <c r="V212" s="169"/>
      <c r="W212" s="169"/>
    </row>
    <row r="213" spans="12:23" ht="15" x14ac:dyDescent="0.4">
      <c r="L213" s="169"/>
      <c r="M213" s="169"/>
      <c r="N213" s="169"/>
      <c r="O213" s="169"/>
      <c r="P213" s="169"/>
      <c r="Q213" s="169"/>
      <c r="R213" s="169"/>
      <c r="S213" s="169"/>
      <c r="T213" s="169"/>
      <c r="U213" s="169"/>
      <c r="V213" s="169"/>
      <c r="W213" s="169"/>
    </row>
    <row r="214" spans="12:23" ht="15" x14ac:dyDescent="0.4">
      <c r="L214" s="169"/>
      <c r="M214" s="169"/>
      <c r="N214" s="169"/>
      <c r="O214" s="169"/>
      <c r="P214" s="169"/>
      <c r="Q214" s="169"/>
      <c r="R214" s="169"/>
      <c r="S214" s="169"/>
      <c r="T214" s="169"/>
      <c r="U214" s="169"/>
      <c r="V214" s="169"/>
      <c r="W214" s="169"/>
    </row>
    <row r="215" spans="12:23" ht="15" x14ac:dyDescent="0.4">
      <c r="L215" s="169"/>
      <c r="M215" s="169"/>
      <c r="N215" s="169"/>
      <c r="O215" s="169"/>
      <c r="P215" s="169"/>
      <c r="Q215" s="169"/>
      <c r="R215" s="169"/>
      <c r="S215" s="169"/>
      <c r="T215" s="169"/>
      <c r="U215" s="169"/>
      <c r="V215" s="169"/>
      <c r="W215" s="169"/>
    </row>
    <row r="216" spans="12:23" ht="15" x14ac:dyDescent="0.4">
      <c r="L216" s="169"/>
      <c r="M216" s="169"/>
      <c r="N216" s="169"/>
      <c r="O216" s="169"/>
      <c r="P216" s="169"/>
      <c r="Q216" s="169"/>
      <c r="R216" s="169"/>
      <c r="S216" s="169"/>
      <c r="T216" s="169"/>
      <c r="U216" s="169"/>
      <c r="V216" s="169"/>
      <c r="W216" s="169"/>
    </row>
  </sheetData>
  <mergeCells count="45">
    <mergeCell ref="N46:O46"/>
    <mergeCell ref="N47:O47"/>
    <mergeCell ref="N48:O48"/>
    <mergeCell ref="N38:O38"/>
    <mergeCell ref="N39:O39"/>
    <mergeCell ref="N40:O40"/>
    <mergeCell ref="N41:O41"/>
    <mergeCell ref="K45:L45"/>
    <mergeCell ref="N45:P45"/>
    <mergeCell ref="N30:P30"/>
    <mergeCell ref="N31:P31"/>
    <mergeCell ref="N33:O33"/>
    <mergeCell ref="N11:O11"/>
    <mergeCell ref="N12:O12"/>
    <mergeCell ref="N13:O13"/>
    <mergeCell ref="N14:O14"/>
    <mergeCell ref="N15:O15"/>
    <mergeCell ref="N16:O16"/>
    <mergeCell ref="N17:O17"/>
    <mergeCell ref="F32:G32"/>
    <mergeCell ref="F33:G33"/>
    <mergeCell ref="F34:G34"/>
    <mergeCell ref="F24:G24"/>
    <mergeCell ref="N27:O27"/>
    <mergeCell ref="N28:O28"/>
    <mergeCell ref="N29:O29"/>
    <mergeCell ref="N18:O18"/>
    <mergeCell ref="N19:O19"/>
    <mergeCell ref="N24:O24"/>
    <mergeCell ref="N25:O25"/>
    <mergeCell ref="N26:O26"/>
    <mergeCell ref="F16:G16"/>
    <mergeCell ref="F17:G17"/>
    <mergeCell ref="F18:G18"/>
    <mergeCell ref="F19:G19"/>
    <mergeCell ref="F35:G35"/>
    <mergeCell ref="F25:G25"/>
    <mergeCell ref="F26:G26"/>
    <mergeCell ref="F27:G27"/>
    <mergeCell ref="F28:G28"/>
    <mergeCell ref="F11:G11"/>
    <mergeCell ref="F12:G12"/>
    <mergeCell ref="F13:G13"/>
    <mergeCell ref="F14:G14"/>
    <mergeCell ref="F15:G15"/>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00BD5-5894-4E43-BE4C-B94435A0A65E}">
  <dimension ref="B2:AC216"/>
  <sheetViews>
    <sheetView tabSelected="1" topLeftCell="D37" zoomScale="55" zoomScaleNormal="55" workbookViewId="0">
      <selection activeCell="I50" sqref="I50"/>
    </sheetView>
  </sheetViews>
  <sheetFormatPr defaultColWidth="8.69921875" defaultRowHeight="13.8" x14ac:dyDescent="0.4"/>
  <cols>
    <col min="1" max="1" width="8.69921875" style="2"/>
    <col min="2" max="2" width="19.8984375" style="2" customWidth="1"/>
    <col min="3" max="3" width="44.09765625" style="2" bestFit="1" customWidth="1"/>
    <col min="4" max="4" width="20.69921875" style="2" bestFit="1" customWidth="1"/>
    <col min="5" max="5" width="22.5" style="2" bestFit="1" customWidth="1"/>
    <col min="6" max="6" width="21.09765625" style="2" bestFit="1" customWidth="1"/>
    <col min="7" max="7" width="21.19921875" style="2" bestFit="1" customWidth="1"/>
    <col min="8" max="8" width="41.8984375" style="2" bestFit="1" customWidth="1"/>
    <col min="9" max="9" width="14.19921875" style="2" bestFit="1" customWidth="1"/>
    <col min="10" max="10" width="8.69921875" style="2" customWidth="1"/>
    <col min="11" max="11" width="17.19921875" style="2" bestFit="1" customWidth="1"/>
    <col min="12" max="12" width="34.69921875" style="2" bestFit="1" customWidth="1"/>
    <col min="13" max="13" width="71" style="2" bestFit="1" customWidth="1"/>
    <col min="14" max="14" width="13.69921875" style="2" bestFit="1" customWidth="1"/>
    <col min="15" max="15" width="19.09765625" style="2" customWidth="1"/>
    <col min="16" max="16" width="15.19921875" style="2" bestFit="1" customWidth="1"/>
    <col min="17" max="17" width="8.69921875" style="2"/>
    <col min="18" max="18" width="20.8984375" style="2" bestFit="1" customWidth="1"/>
    <col min="19" max="19" width="20.5" style="2" bestFit="1" customWidth="1"/>
    <col min="20" max="20" width="22.59765625" style="2" bestFit="1" customWidth="1"/>
    <col min="21" max="21" width="16.8984375" style="2" bestFit="1" customWidth="1"/>
    <col min="22" max="22" width="22.59765625" style="2" bestFit="1" customWidth="1"/>
    <col min="23" max="23" width="17.3984375" style="2" bestFit="1" customWidth="1"/>
    <col min="24" max="24" width="38.69921875" style="2" bestFit="1" customWidth="1"/>
    <col min="25" max="25" width="13.3984375" style="2" bestFit="1" customWidth="1"/>
    <col min="26" max="26" width="11.5" style="2" bestFit="1" customWidth="1"/>
    <col min="27" max="27" width="38.69921875" style="2" bestFit="1" customWidth="1"/>
    <col min="28" max="28" width="18.19921875" style="2" bestFit="1" customWidth="1"/>
    <col min="29" max="29" width="22.69921875" style="2" bestFit="1" customWidth="1"/>
    <col min="30" max="30" width="11.5" style="2" bestFit="1" customWidth="1"/>
    <col min="31" max="32" width="38.69921875" style="2" bestFit="1" customWidth="1"/>
    <col min="33" max="33" width="17.69921875" style="2" bestFit="1" customWidth="1"/>
    <col min="34" max="39" width="8.69921875" style="2"/>
    <col min="40" max="40" width="8.69921875" style="2" customWidth="1"/>
    <col min="41" max="41" width="40.09765625" style="2" customWidth="1"/>
    <col min="42" max="42" width="16.8984375" style="2" customWidth="1"/>
    <col min="43" max="43" width="17" style="2" customWidth="1"/>
    <col min="44" max="16384" width="8.69921875" style="2"/>
  </cols>
  <sheetData>
    <row r="2" spans="2:29" ht="22.8" x14ac:dyDescent="0.4">
      <c r="B2" s="295" t="s">
        <v>443</v>
      </c>
    </row>
    <row r="3" spans="2:29" x14ac:dyDescent="0.4">
      <c r="Z3" s="19"/>
      <c r="AA3" s="168"/>
      <c r="AB3" s="19"/>
      <c r="AC3" s="19"/>
    </row>
    <row r="5" spans="2:29" x14ac:dyDescent="0.4">
      <c r="B5" s="354" t="s">
        <v>201</v>
      </c>
      <c r="C5" s="354"/>
      <c r="D5" s="354"/>
    </row>
    <row r="6" spans="2:29" x14ac:dyDescent="0.4">
      <c r="B6" s="352" t="s">
        <v>203</v>
      </c>
      <c r="C6" s="352"/>
      <c r="D6" s="170">
        <f>'5. Equipment price'!D84-D68</f>
        <v>151441573.16713482</v>
      </c>
      <c r="F6" s="82"/>
      <c r="G6" s="82"/>
      <c r="H6" s="82"/>
    </row>
    <row r="7" spans="2:29" x14ac:dyDescent="0.4">
      <c r="B7" s="352" t="s">
        <v>39</v>
      </c>
      <c r="C7" s="352"/>
      <c r="D7" s="125">
        <f>($D$6)*(1-'3. Inputs &amp; results'!H44)</f>
        <v>98437022.558637634</v>
      </c>
      <c r="F7" s="177"/>
      <c r="G7" s="19"/>
      <c r="H7" s="136"/>
    </row>
    <row r="8" spans="2:29" x14ac:dyDescent="0.4">
      <c r="B8" s="352" t="s">
        <v>42</v>
      </c>
      <c r="C8" s="352"/>
      <c r="D8" s="125">
        <f>(D6)*(1-'3. Inputs &amp; results'!H44)+D55</f>
        <v>105793473.57201092</v>
      </c>
      <c r="F8" s="177"/>
      <c r="G8" s="19"/>
      <c r="H8" s="136"/>
    </row>
    <row r="9" spans="2:29" x14ac:dyDescent="0.4">
      <c r="B9" s="352" t="s">
        <v>43</v>
      </c>
      <c r="C9" s="352"/>
      <c r="D9" s="289" t="str">
        <f>ROUND('6-2. Economic evaluation'!D7/'6-2. Economic evaluation'!I34*100,1)&amp;"%"</f>
        <v>133.8%</v>
      </c>
      <c r="F9" s="177"/>
      <c r="G9" s="19"/>
      <c r="H9" s="136"/>
    </row>
    <row r="10" spans="2:29" x14ac:dyDescent="0.4">
      <c r="B10" s="352" t="s">
        <v>46</v>
      </c>
      <c r="C10" s="352"/>
      <c r="D10" s="191">
        <f>ROUND(('6-2. Economic evaluation'!I32)/'6-2. Economic evaluation'!D8,2)</f>
        <v>0.59</v>
      </c>
      <c r="F10" s="177"/>
      <c r="G10" s="19"/>
      <c r="H10" s="136"/>
    </row>
    <row r="11" spans="2:29" x14ac:dyDescent="0.4">
      <c r="B11" s="352" t="s">
        <v>209</v>
      </c>
      <c r="C11" s="352"/>
      <c r="D11" s="197">
        <f>D8*((1+'3. Inputs &amp; results'!H46)^('3. Inputs &amp; results'!H45)-1)/'3. Inputs &amp; results'!H46/(1+'3. Inputs &amp; results'!H46)^('3. Inputs &amp; results'!H45)-I34*((1+'3. Inputs &amp; results'!H46)^('3. Inputs &amp; results'!H45)-1)/'3. Inputs &amp; results'!H46/(1+'3. Inputs &amp; results'!H46)^('3. Inputs &amp; results'!H45)</f>
        <v>99637113.482723862</v>
      </c>
      <c r="F11" s="177"/>
      <c r="G11" s="19"/>
      <c r="H11" s="136"/>
    </row>
    <row r="12" spans="2:29" x14ac:dyDescent="0.4">
      <c r="B12" s="352" t="s">
        <v>48</v>
      </c>
      <c r="C12" s="352"/>
      <c r="D12" s="199">
        <f>D60/(E30-D54-D67-D61)</f>
        <v>5.8376275416655139E-2</v>
      </c>
      <c r="F12" s="177"/>
      <c r="G12" s="19"/>
      <c r="H12" s="136"/>
    </row>
    <row r="13" spans="2:29" x14ac:dyDescent="0.4">
      <c r="F13" s="177"/>
      <c r="G13" s="19"/>
      <c r="H13" s="136"/>
    </row>
    <row r="14" spans="2:29" x14ac:dyDescent="0.4">
      <c r="F14" s="177"/>
      <c r="G14" s="19"/>
      <c r="H14" s="136"/>
    </row>
    <row r="15" spans="2:29" x14ac:dyDescent="0.4">
      <c r="B15" s="19"/>
      <c r="C15" s="19"/>
      <c r="D15" s="19"/>
      <c r="E15" s="19"/>
    </row>
    <row r="16" spans="2:29" x14ac:dyDescent="0.4">
      <c r="B16" s="354" t="s">
        <v>215</v>
      </c>
      <c r="C16" s="354"/>
      <c r="D16" s="354"/>
      <c r="E16" s="354"/>
      <c r="G16" s="354" t="s">
        <v>202</v>
      </c>
      <c r="H16" s="354"/>
      <c r="I16" s="354"/>
    </row>
    <row r="17" spans="2:9" x14ac:dyDescent="0.4">
      <c r="B17" s="20" t="s">
        <v>217</v>
      </c>
      <c r="C17" s="20" t="s">
        <v>218</v>
      </c>
      <c r="D17" s="20" t="s">
        <v>219</v>
      </c>
      <c r="E17" s="20" t="s">
        <v>220</v>
      </c>
      <c r="G17" s="355" t="s">
        <v>206</v>
      </c>
      <c r="H17" s="19" t="s">
        <v>221</v>
      </c>
      <c r="I17" s="136">
        <f>SUM('5. Equipment price'!$K$9,'5. Equipment price'!$K$19:$K$20,'5. Equipment price'!$K$21,'5. Equipment price'!$K$23,'5. Equipment price'!$K$25,'5. Equipment price'!$K$27,'5. Equipment price'!$K$29,'5. Equipment price'!$K$66,'5. Equipment price'!$K$69,'5. Equipment price'!$K$72,'5. Equipment price'!$K$75,'5. Equipment price'!$K$63)</f>
        <v>2515481.7760486221</v>
      </c>
    </row>
    <row r="18" spans="2:9" x14ac:dyDescent="0.4">
      <c r="B18" s="36" t="s">
        <v>363</v>
      </c>
      <c r="C18" s="21">
        <f>'4. Material &amp; energy balance'!C8</f>
        <v>18018018</v>
      </c>
      <c r="D18" s="19">
        <f>'3. Inputs &amp; results'!H25</f>
        <v>0.78</v>
      </c>
      <c r="E18" s="21">
        <f t="shared" ref="E18:E23" si="0">C18*D18</f>
        <v>14054054.040000001</v>
      </c>
      <c r="G18" s="355"/>
      <c r="H18" s="19" t="s">
        <v>210</v>
      </c>
      <c r="I18" s="136">
        <f>0.4*I17</f>
        <v>1006192.7104194489</v>
      </c>
    </row>
    <row r="19" spans="2:9" x14ac:dyDescent="0.4">
      <c r="B19" s="36" t="s">
        <v>364</v>
      </c>
      <c r="C19" s="21">
        <f>'4. Material &amp; energy balance'!D8+'4. Material &amp; energy balance'!D15+'4. Material &amp; energy balance'!D29+'4. Material &amp; energy balance'!H47</f>
        <v>50817770.270270273</v>
      </c>
      <c r="D19" s="19">
        <f>'3. Inputs &amp; results'!H26</f>
        <v>0.12</v>
      </c>
      <c r="E19" s="21">
        <f t="shared" si="0"/>
        <v>6098132.4324324327</v>
      </c>
      <c r="F19" s="19"/>
      <c r="G19" s="355"/>
      <c r="H19" s="19" t="s">
        <v>224</v>
      </c>
      <c r="I19" s="136">
        <f>I17*0.29</f>
        <v>729489.71505410038</v>
      </c>
    </row>
    <row r="20" spans="2:9" x14ac:dyDescent="0.4">
      <c r="B20" s="36" t="s">
        <v>362</v>
      </c>
      <c r="C20" s="21">
        <f>'4. Material &amp; energy balance'!C23</f>
        <v>39062500</v>
      </c>
      <c r="D20" s="19">
        <f>'3. Inputs &amp; results'!H24</f>
        <v>0.14000000000000001</v>
      </c>
      <c r="E20" s="21">
        <f t="shared" si="0"/>
        <v>5468750.0000000009</v>
      </c>
      <c r="F20" s="19"/>
      <c r="G20" s="355"/>
      <c r="H20" s="19" t="s">
        <v>212</v>
      </c>
      <c r="I20" s="136">
        <f>I17*0.45</f>
        <v>1131966.79922188</v>
      </c>
    </row>
    <row r="21" spans="2:9" x14ac:dyDescent="0.4">
      <c r="B21" s="19" t="s">
        <v>56</v>
      </c>
      <c r="C21" s="21">
        <f>'4. Material &amp; energy balance'!C35</f>
        <v>43800000</v>
      </c>
      <c r="D21" s="19">
        <f>'3. Inputs &amp; results'!H28</f>
        <v>0.23</v>
      </c>
      <c r="E21" s="21">
        <f t="shared" si="0"/>
        <v>10074000</v>
      </c>
      <c r="F21" s="19"/>
      <c r="G21" s="355"/>
      <c r="H21" s="19" t="s">
        <v>226</v>
      </c>
      <c r="I21" s="136">
        <f>$I$17*0.25</f>
        <v>628870.44401215552</v>
      </c>
    </row>
    <row r="22" spans="2:9" x14ac:dyDescent="0.4">
      <c r="B22" s="36" t="s">
        <v>365</v>
      </c>
      <c r="C22" s="21">
        <f>'4. Material &amp; energy balance'!F47</f>
        <v>9371250</v>
      </c>
      <c r="D22" s="19">
        <f>'3. Inputs &amp; results'!H29</f>
        <v>0.26</v>
      </c>
      <c r="E22" s="21">
        <f t="shared" si="0"/>
        <v>2436525</v>
      </c>
      <c r="F22" s="19"/>
      <c r="G22" s="355"/>
      <c r="H22" s="19" t="s">
        <v>227</v>
      </c>
      <c r="I22" s="136">
        <f>I17*0.4</f>
        <v>1006192.7104194489</v>
      </c>
    </row>
    <row r="23" spans="2:9" x14ac:dyDescent="0.4">
      <c r="B23" s="19" t="s">
        <v>55</v>
      </c>
      <c r="C23" s="21">
        <f>'4. Material &amp; energy balance'!D67</f>
        <v>5537119.5</v>
      </c>
      <c r="D23" s="19">
        <f>'3. Inputs &amp; results'!H27</f>
        <v>0.17899999999999999</v>
      </c>
      <c r="E23" s="21">
        <f t="shared" si="0"/>
        <v>991144.39049999998</v>
      </c>
      <c r="F23" s="19"/>
      <c r="G23" s="355"/>
      <c r="H23" s="19" t="s">
        <v>229</v>
      </c>
      <c r="I23" s="136">
        <f>I17*0.7</f>
        <v>1760837.2432340353</v>
      </c>
    </row>
    <row r="24" spans="2:9" x14ac:dyDescent="0.4">
      <c r="B24" s="352" t="s">
        <v>232</v>
      </c>
      <c r="C24" s="352"/>
      <c r="D24" s="352"/>
      <c r="E24" s="21">
        <f>SUM(E18:E23)</f>
        <v>39122605.862932436</v>
      </c>
      <c r="G24" s="355"/>
      <c r="H24" s="19" t="s">
        <v>222</v>
      </c>
      <c r="I24" s="136">
        <f>I17*0.08</f>
        <v>201238.54208388977</v>
      </c>
    </row>
    <row r="25" spans="2:9" x14ac:dyDescent="0.4">
      <c r="G25" s="355"/>
      <c r="H25" s="89" t="s">
        <v>223</v>
      </c>
      <c r="I25" s="136">
        <f>SUM(I17:I24)</f>
        <v>8980269.94049358</v>
      </c>
    </row>
    <row r="26" spans="2:9" x14ac:dyDescent="0.4">
      <c r="B26" s="354" t="s">
        <v>236</v>
      </c>
      <c r="C26" s="354"/>
      <c r="D26" s="354"/>
      <c r="E26" s="354"/>
      <c r="G26" s="299" t="s">
        <v>228</v>
      </c>
      <c r="H26" s="19" t="s">
        <v>237</v>
      </c>
      <c r="I26" s="136">
        <f>I25*0.175</f>
        <v>1571547.2395863764</v>
      </c>
    </row>
    <row r="27" spans="2:9" x14ac:dyDescent="0.4">
      <c r="B27" s="20" t="s">
        <v>239</v>
      </c>
      <c r="C27" s="20" t="s">
        <v>218</v>
      </c>
      <c r="D27" s="20" t="s">
        <v>240</v>
      </c>
      <c r="E27" s="20" t="s">
        <v>241</v>
      </c>
      <c r="G27" s="299"/>
      <c r="H27" s="19" t="s">
        <v>233</v>
      </c>
      <c r="I27" s="136">
        <f>I32*0.02</f>
        <v>1250596.6722734594</v>
      </c>
    </row>
    <row r="28" spans="2:9" x14ac:dyDescent="0.4">
      <c r="B28" s="36" t="s">
        <v>367</v>
      </c>
      <c r="C28" s="21">
        <f>'4. Material &amp; energy balance'!F73</f>
        <v>3590568</v>
      </c>
      <c r="D28" s="19">
        <f>'3. Inputs &amp; results'!H34</f>
        <v>72.994</v>
      </c>
      <c r="E28" s="21">
        <f>C28*D28</f>
        <v>262089920.59200001</v>
      </c>
      <c r="G28" s="299"/>
      <c r="H28" s="19" t="s">
        <v>235</v>
      </c>
      <c r="I28" s="136">
        <f>I32*0.15</f>
        <v>9379475.0420509446</v>
      </c>
    </row>
    <row r="29" spans="2:9" x14ac:dyDescent="0.4">
      <c r="B29" s="36" t="s">
        <v>366</v>
      </c>
      <c r="C29" s="21">
        <f>'4. Material &amp; energy balance'!G8+'4. Material &amp; energy balance'!G15</f>
        <v>6500000</v>
      </c>
      <c r="D29" s="19">
        <f>'3. Inputs &amp; results'!H33</f>
        <v>2.8</v>
      </c>
      <c r="E29" s="21">
        <f>C29*D29</f>
        <v>18200000</v>
      </c>
      <c r="G29" s="299"/>
      <c r="H29" s="19" t="s">
        <v>238</v>
      </c>
      <c r="I29" s="136">
        <f>I32*0.1</f>
        <v>6252983.3613672964</v>
      </c>
    </row>
    <row r="30" spans="2:9" x14ac:dyDescent="0.4">
      <c r="B30" s="352" t="s">
        <v>243</v>
      </c>
      <c r="C30" s="352"/>
      <c r="D30" s="352"/>
      <c r="E30" s="21">
        <f>SUM(E28:E29)</f>
        <v>280289920.59200001</v>
      </c>
      <c r="G30" s="299"/>
      <c r="H30" s="89" t="s">
        <v>242</v>
      </c>
      <c r="I30" s="136">
        <f>SUM(I26:I29)</f>
        <v>18454602.315278076</v>
      </c>
    </row>
    <row r="31" spans="2:9" x14ac:dyDescent="0.4">
      <c r="B31" s="19"/>
      <c r="C31" s="19"/>
      <c r="D31" s="19"/>
      <c r="E31" s="19"/>
      <c r="H31" s="2" t="s">
        <v>245</v>
      </c>
      <c r="I31" s="197">
        <f>SUM('5. Equipment price'!L6:L8,'5. Equipment price'!L30:L37)</f>
        <v>35094961.357901312</v>
      </c>
    </row>
    <row r="32" spans="2:9" x14ac:dyDescent="0.4">
      <c r="B32" s="354" t="s">
        <v>246</v>
      </c>
      <c r="C32" s="354"/>
      <c r="D32" s="354"/>
      <c r="E32" s="354"/>
      <c r="H32" s="2" t="s">
        <v>247</v>
      </c>
      <c r="I32" s="125">
        <f>SUM(I31,I25,I26)/0.73</f>
        <v>62529833.613672964</v>
      </c>
    </row>
    <row r="33" spans="2:22" x14ac:dyDescent="0.4">
      <c r="B33" s="20" t="s">
        <v>249</v>
      </c>
      <c r="C33" s="20" t="s">
        <v>250</v>
      </c>
      <c r="D33" s="20" t="s">
        <v>251</v>
      </c>
      <c r="E33" s="20" t="s">
        <v>252</v>
      </c>
      <c r="F33" s="19"/>
      <c r="H33" s="2" t="s">
        <v>253</v>
      </c>
      <c r="I33" s="136">
        <f>I34*0.15</f>
        <v>11034676.520059934</v>
      </c>
    </row>
    <row r="34" spans="2:22" x14ac:dyDescent="0.4">
      <c r="B34" s="21">
        <f>'4. Material &amp; energy balance'!O17</f>
        <v>16109.592456860291</v>
      </c>
      <c r="C34" s="19">
        <f>'3. Inputs &amp; results'!H38</f>
        <v>7.0000000000000007E-2</v>
      </c>
      <c r="D34" s="21">
        <f>B34*8000</f>
        <v>128876739.65488233</v>
      </c>
      <c r="E34" s="21">
        <f>D34*C34</f>
        <v>9021371.7758417632</v>
      </c>
      <c r="F34" s="19"/>
      <c r="G34" s="353" t="s">
        <v>256</v>
      </c>
      <c r="H34" s="353"/>
      <c r="I34" s="228">
        <f>I32/0.85</f>
        <v>73564510.1337329</v>
      </c>
    </row>
    <row r="35" spans="2:22" x14ac:dyDescent="0.4">
      <c r="B35" s="352" t="s">
        <v>259</v>
      </c>
      <c r="C35" s="352"/>
      <c r="D35" s="352"/>
      <c r="E35" s="21">
        <f>E34</f>
        <v>9021371.7758417632</v>
      </c>
    </row>
    <row r="36" spans="2:22" x14ac:dyDescent="0.4">
      <c r="B36" s="19"/>
      <c r="C36" s="19"/>
      <c r="D36" s="19"/>
      <c r="E36" s="19"/>
      <c r="F36" s="19"/>
    </row>
    <row r="37" spans="2:22" x14ac:dyDescent="0.4">
      <c r="F37" s="19"/>
    </row>
    <row r="41" spans="2:22" x14ac:dyDescent="0.4">
      <c r="Q41" s="232" t="s">
        <v>343</v>
      </c>
      <c r="R41" s="232" t="s">
        <v>341</v>
      </c>
      <c r="S41" s="232" t="s">
        <v>342</v>
      </c>
      <c r="T41" s="136"/>
    </row>
    <row r="42" spans="2:22" x14ac:dyDescent="0.4">
      <c r="Q42" s="232" t="s">
        <v>336</v>
      </c>
      <c r="R42" s="239">
        <f>$D$12*E30</f>
        <v>16362281.600990992</v>
      </c>
      <c r="T42" s="136"/>
    </row>
    <row r="43" spans="2:22" x14ac:dyDescent="0.25">
      <c r="Q43" s="240" t="s">
        <v>402</v>
      </c>
      <c r="R43" s="241">
        <f>$D$12*E28</f>
        <v>15299833.388407867</v>
      </c>
      <c r="T43" s="136"/>
      <c r="U43" s="53"/>
    </row>
    <row r="44" spans="2:22" x14ac:dyDescent="0.4">
      <c r="B44" s="354" t="s">
        <v>448</v>
      </c>
      <c r="C44" s="354"/>
      <c r="D44" s="354"/>
      <c r="Q44" s="240" t="s">
        <v>403</v>
      </c>
      <c r="R44" s="241">
        <f>$D$12*E29</f>
        <v>1062448.2125831235</v>
      </c>
      <c r="T44" s="136"/>
      <c r="U44" s="82" t="s">
        <v>337</v>
      </c>
    </row>
    <row r="45" spans="2:22" x14ac:dyDescent="0.4">
      <c r="B45" s="299" t="s">
        <v>263</v>
      </c>
      <c r="C45" s="299"/>
      <c r="D45" s="299"/>
      <c r="T45" s="136"/>
      <c r="U45" s="82" t="s">
        <v>338</v>
      </c>
      <c r="V45" s="82"/>
    </row>
    <row r="46" spans="2:22" x14ac:dyDescent="0.4">
      <c r="B46" s="299" t="s">
        <v>261</v>
      </c>
      <c r="C46" s="19" t="s">
        <v>262</v>
      </c>
      <c r="D46" s="168">
        <f>'5. Equipment price'!$D$83</f>
        <v>39122605.862932436</v>
      </c>
      <c r="Q46" s="232" t="s">
        <v>339</v>
      </c>
      <c r="T46" s="136"/>
    </row>
    <row r="47" spans="2:22" x14ac:dyDescent="0.25">
      <c r="B47" s="299"/>
      <c r="C47" s="19" t="s">
        <v>264</v>
      </c>
      <c r="D47" s="168">
        <f>D68*0.15</f>
        <v>19327252.113729779</v>
      </c>
      <c r="Q47" s="242" t="str">
        <f>$C$60</f>
        <v>Total fixed cost</v>
      </c>
      <c r="S47" s="243">
        <f>$D$60</f>
        <v>9388670.6058176607</v>
      </c>
      <c r="T47" s="136"/>
    </row>
    <row r="48" spans="2:22" x14ac:dyDescent="0.25">
      <c r="B48" s="299"/>
      <c r="C48" s="19" t="s">
        <v>266</v>
      </c>
      <c r="D48" s="168">
        <f>0.0225*D68</f>
        <v>2899087.8170594671</v>
      </c>
      <c r="Q48" s="244" t="str">
        <f>$C$54</f>
        <v>Total variable cost</v>
      </c>
      <c r="T48" s="125"/>
    </row>
    <row r="49" spans="2:21" x14ac:dyDescent="0.25">
      <c r="B49" s="299"/>
      <c r="C49" s="19" t="s">
        <v>268</v>
      </c>
      <c r="D49" s="168">
        <f>'5. Equipment price'!$D$85</f>
        <v>9021371.7758417632</v>
      </c>
      <c r="Q49" s="242" t="str">
        <f t="shared" ref="Q49:Q56" si="1">$C46</f>
        <v>Raw materials</v>
      </c>
      <c r="S49" s="245">
        <f t="shared" ref="S49:S56" si="2">$D$12*D46</f>
        <v>2283832.014871791</v>
      </c>
      <c r="T49" s="136"/>
    </row>
    <row r="50" spans="2:21" x14ac:dyDescent="0.25">
      <c r="B50" s="299"/>
      <c r="C50" s="19" t="s">
        <v>269</v>
      </c>
      <c r="D50" s="168">
        <f>0.06*'6-2. Economic evaluation'!$I$32</f>
        <v>3751790.0168203777</v>
      </c>
      <c r="Q50" s="242" t="str">
        <f t="shared" si="1"/>
        <v>Operating labor</v>
      </c>
      <c r="S50" s="245">
        <f t="shared" si="2"/>
        <v>1128252.9924382197</v>
      </c>
      <c r="T50" s="228"/>
    </row>
    <row r="51" spans="2:21" x14ac:dyDescent="0.25">
      <c r="B51" s="299"/>
      <c r="C51" s="19" t="s">
        <v>270</v>
      </c>
      <c r="D51" s="168">
        <f>0.15*D50</f>
        <v>562768.50252305658</v>
      </c>
      <c r="Q51" s="242" t="str">
        <f t="shared" si="1"/>
        <v>Direct Supervisory and clerical labor</v>
      </c>
      <c r="S51" s="245">
        <f t="shared" si="2"/>
        <v>169237.94886573299</v>
      </c>
    </row>
    <row r="52" spans="2:21" x14ac:dyDescent="0.25">
      <c r="B52" s="299"/>
      <c r="C52" s="19" t="s">
        <v>272</v>
      </c>
      <c r="D52" s="168">
        <f>0.0225*D68</f>
        <v>2899087.8170594671</v>
      </c>
      <c r="Q52" s="242" t="str">
        <f t="shared" si="1"/>
        <v>Utilities</v>
      </c>
      <c r="S52" s="245">
        <f t="shared" si="2"/>
        <v>526634.08342257806</v>
      </c>
    </row>
    <row r="53" spans="2:21" x14ac:dyDescent="0.25">
      <c r="B53" s="299"/>
      <c r="C53" s="19" t="s">
        <v>273</v>
      </c>
      <c r="D53" s="168">
        <f>0.03*D68</f>
        <v>3865450.4227459561</v>
      </c>
      <c r="Q53" s="242" t="str">
        <f t="shared" si="1"/>
        <v>Maintenance and repairs</v>
      </c>
      <c r="S53" s="245">
        <f t="shared" si="2"/>
        <v>219015.52732736358</v>
      </c>
      <c r="T53" s="207"/>
      <c r="U53" s="207"/>
    </row>
    <row r="54" spans="2:21" x14ac:dyDescent="0.25">
      <c r="B54" s="299"/>
      <c r="C54" s="89" t="s">
        <v>274</v>
      </c>
      <c r="D54" s="168">
        <f>SUM(D46:D53)</f>
        <v>81449414.328712299</v>
      </c>
      <c r="Q54" s="242" t="str">
        <f t="shared" si="1"/>
        <v>Operating supplies</v>
      </c>
      <c r="S54" s="245">
        <f t="shared" si="2"/>
        <v>32852.329099104536</v>
      </c>
    </row>
    <row r="55" spans="2:21" x14ac:dyDescent="0.25">
      <c r="B55" s="299" t="s">
        <v>275</v>
      </c>
      <c r="C55" s="19" t="s">
        <v>276</v>
      </c>
      <c r="D55" s="168">
        <f>'6-2. Economic evaluation'!$I$34/'3. Inputs &amp; results'!$H$42</f>
        <v>7356451.0133732902</v>
      </c>
      <c r="Q55" s="242" t="str">
        <f t="shared" si="1"/>
        <v>Laboratory charges</v>
      </c>
      <c r="S55" s="245">
        <f t="shared" si="2"/>
        <v>169237.94886573299</v>
      </c>
    </row>
    <row r="56" spans="2:21" x14ac:dyDescent="0.25">
      <c r="B56" s="299"/>
      <c r="C56" s="19" t="s">
        <v>277</v>
      </c>
      <c r="D56" s="168">
        <f>0.025*'6-2. Economic evaluation'!$I$32</f>
        <v>1563245.8403418241</v>
      </c>
      <c r="Q56" s="242" t="str">
        <f t="shared" si="1"/>
        <v>Patents and royal</v>
      </c>
      <c r="S56" s="245">
        <f t="shared" si="2"/>
        <v>225650.59848764396</v>
      </c>
    </row>
    <row r="57" spans="2:21" x14ac:dyDescent="0.4">
      <c r="B57" s="299"/>
      <c r="C57" s="19" t="s">
        <v>278</v>
      </c>
      <c r="D57" s="168">
        <f>0.0075*'6-2. Economic evaluation'!$I$32</f>
        <v>468973.75210254721</v>
      </c>
    </row>
    <row r="58" spans="2:21" x14ac:dyDescent="0.25">
      <c r="B58" s="299"/>
      <c r="C58" s="19" t="s">
        <v>279</v>
      </c>
      <c r="D58" s="168" t="s">
        <v>186</v>
      </c>
      <c r="Q58" s="242" t="str">
        <f>C61</f>
        <v>Plant overhead costs</v>
      </c>
      <c r="S58" s="245">
        <f>$D$12*D61</f>
        <v>752168.66162547993</v>
      </c>
    </row>
    <row r="59" spans="2:21" x14ac:dyDescent="0.25">
      <c r="B59" s="299"/>
      <c r="C59" s="19" t="s">
        <v>280</v>
      </c>
      <c r="D59" s="168" t="s">
        <v>186</v>
      </c>
      <c r="Q59" s="242"/>
    </row>
    <row r="60" spans="2:21" x14ac:dyDescent="0.4">
      <c r="B60" s="299"/>
      <c r="C60" s="89" t="s">
        <v>281</v>
      </c>
      <c r="D60" s="168">
        <f>SUM(D55:D59)</f>
        <v>9388670.6058176607</v>
      </c>
      <c r="Q60" s="256" t="str">
        <f>B63</f>
        <v>General Expenses</v>
      </c>
    </row>
    <row r="61" spans="2:21" x14ac:dyDescent="0.25">
      <c r="C61" s="2" t="s">
        <v>244</v>
      </c>
      <c r="D61" s="168">
        <f>D68*0.1</f>
        <v>12884834.742486522</v>
      </c>
      <c r="Q61" s="240" t="str">
        <f>C64</f>
        <v>Administrative costs</v>
      </c>
      <c r="S61" s="245">
        <f>$D$12*D64</f>
        <v>263259.03156891803</v>
      </c>
    </row>
    <row r="62" spans="2:21" x14ac:dyDescent="0.25">
      <c r="B62" s="352" t="s">
        <v>282</v>
      </c>
      <c r="C62" s="352"/>
      <c r="D62" s="207">
        <f>SUM(D54,D60,D61)</f>
        <v>103722919.67701648</v>
      </c>
      <c r="Q62" s="240" t="str">
        <f>C65</f>
        <v>Distribution and marketing costs</v>
      </c>
      <c r="S62" s="245">
        <f>$D$12*D65</f>
        <v>827385.52778802789</v>
      </c>
    </row>
    <row r="63" spans="2:21" x14ac:dyDescent="0.25">
      <c r="B63" s="299" t="s">
        <v>283</v>
      </c>
      <c r="C63" s="299"/>
      <c r="D63" s="299"/>
      <c r="Q63" s="240" t="str">
        <f>C66</f>
        <v>Research and development costs</v>
      </c>
      <c r="S63" s="245">
        <f>$D$12*D66</f>
        <v>376084.33081273997</v>
      </c>
    </row>
    <row r="64" spans="2:21" x14ac:dyDescent="0.4">
      <c r="C64" s="2" t="s">
        <v>255</v>
      </c>
      <c r="D64" s="168">
        <f>0.035*D68</f>
        <v>4509692.1598702827</v>
      </c>
      <c r="S64" s="257">
        <f>SUM(S47:S63)</f>
        <v>16362281.600990992</v>
      </c>
    </row>
    <row r="65" spans="2:7" x14ac:dyDescent="0.4">
      <c r="C65" s="2" t="s">
        <v>258</v>
      </c>
      <c r="D65" s="168">
        <f>D68*0.11</f>
        <v>14173318.216735173</v>
      </c>
      <c r="E65" s="207"/>
    </row>
    <row r="66" spans="2:7" x14ac:dyDescent="0.4">
      <c r="C66" s="2" t="s">
        <v>260</v>
      </c>
      <c r="D66" s="168">
        <f>0.05*D68</f>
        <v>6442417.3712432608</v>
      </c>
    </row>
    <row r="67" spans="2:7" x14ac:dyDescent="0.4">
      <c r="B67" s="352" t="s">
        <v>284</v>
      </c>
      <c r="C67" s="352"/>
      <c r="D67" s="207">
        <f>SUM(D64:D66)</f>
        <v>25125427.747848716</v>
      </c>
    </row>
    <row r="68" spans="2:7" ht="16.5" customHeight="1" x14ac:dyDescent="0.4">
      <c r="B68" s="353" t="s">
        <v>285</v>
      </c>
      <c r="C68" s="353"/>
      <c r="D68" s="170">
        <f>SUM(D46,D49:D51,D60)/(1-0.15-0.0225-0.0225-0.03-0.11-0.05-0.035-0.1)</f>
        <v>128848347.4248652</v>
      </c>
    </row>
    <row r="69" spans="2:7" ht="15" x14ac:dyDescent="0.4">
      <c r="B69" s="169"/>
      <c r="C69" s="169"/>
    </row>
    <row r="71" spans="2:7" ht="15" x14ac:dyDescent="0.4">
      <c r="B71" s="169"/>
      <c r="C71" s="169"/>
    </row>
    <row r="78" spans="2:7" x14ac:dyDescent="0.4">
      <c r="G78" s="2" t="s">
        <v>340</v>
      </c>
    </row>
    <row r="79" spans="2:7" x14ac:dyDescent="0.4">
      <c r="B79" s="19"/>
      <c r="C79" s="19" t="s">
        <v>289</v>
      </c>
      <c r="D79" s="19" t="s">
        <v>290</v>
      </c>
      <c r="F79" s="19" t="s">
        <v>291</v>
      </c>
      <c r="G79" s="197">
        <f>-I34</f>
        <v>-73564510.1337329</v>
      </c>
    </row>
    <row r="80" spans="2:7" x14ac:dyDescent="0.4">
      <c r="B80" s="19" t="s">
        <v>292</v>
      </c>
      <c r="C80" s="125">
        <f t="shared" ref="C80:C89" si="3">$D$8</f>
        <v>105793473.57201092</v>
      </c>
      <c r="D80" s="197">
        <f>SUM($C$80:C80)</f>
        <v>105793473.57201092</v>
      </c>
      <c r="F80" s="19" t="s">
        <v>292</v>
      </c>
      <c r="G80" s="197">
        <f>$G$79+SUM($C$80:C80)</f>
        <v>32228963.438278019</v>
      </c>
    </row>
    <row r="81" spans="2:17" x14ac:dyDescent="0.4">
      <c r="B81" s="19" t="s">
        <v>293</v>
      </c>
      <c r="C81" s="125">
        <f t="shared" si="3"/>
        <v>105793473.57201092</v>
      </c>
      <c r="D81" s="197">
        <f>SUM($C$80:C81)</f>
        <v>211586947.14402184</v>
      </c>
      <c r="F81" s="19" t="s">
        <v>293</v>
      </c>
      <c r="G81" s="197">
        <f>$G$79+SUM($C$80:C81)</f>
        <v>138022437.01028895</v>
      </c>
    </row>
    <row r="82" spans="2:17" x14ac:dyDescent="0.4">
      <c r="B82" s="19" t="s">
        <v>294</v>
      </c>
      <c r="C82" s="125">
        <f t="shared" si="3"/>
        <v>105793473.57201092</v>
      </c>
      <c r="D82" s="197">
        <f>SUM($C$80:C82)</f>
        <v>317380420.71603274</v>
      </c>
      <c r="F82" s="19" t="s">
        <v>294</v>
      </c>
      <c r="G82" s="197">
        <f>$G$79+SUM($C$80:C82)</f>
        <v>243815910.58229983</v>
      </c>
    </row>
    <row r="83" spans="2:17" x14ac:dyDescent="0.4">
      <c r="B83" s="19" t="s">
        <v>295</v>
      </c>
      <c r="C83" s="125">
        <f t="shared" si="3"/>
        <v>105793473.57201092</v>
      </c>
      <c r="D83" s="197">
        <f>SUM($C$80:C83)</f>
        <v>423173894.28804368</v>
      </c>
      <c r="F83" s="19" t="s">
        <v>295</v>
      </c>
      <c r="G83" s="197">
        <f>$G$79+SUM($C$80:C83)</f>
        <v>349609384.15431076</v>
      </c>
    </row>
    <row r="84" spans="2:17" x14ac:dyDescent="0.4">
      <c r="B84" s="19" t="s">
        <v>296</v>
      </c>
      <c r="C84" s="125">
        <f t="shared" si="3"/>
        <v>105793473.57201092</v>
      </c>
      <c r="D84" s="197">
        <f>SUM($C$80:C84)</f>
        <v>528967367.86005461</v>
      </c>
      <c r="F84" s="19" t="s">
        <v>296</v>
      </c>
      <c r="G84" s="197">
        <f>$G$79+SUM($C$80:C84)</f>
        <v>455402857.7263217</v>
      </c>
    </row>
    <row r="85" spans="2:17" x14ac:dyDescent="0.4">
      <c r="B85" s="19" t="s">
        <v>297</v>
      </c>
      <c r="C85" s="125">
        <f t="shared" si="3"/>
        <v>105793473.57201092</v>
      </c>
      <c r="D85" s="197">
        <f>SUM($C$80:C85)</f>
        <v>634760841.43206549</v>
      </c>
      <c r="F85" s="19" t="s">
        <v>297</v>
      </c>
      <c r="G85" s="197">
        <f>$G$79+SUM($C$80:C85)</f>
        <v>561196331.29833257</v>
      </c>
    </row>
    <row r="86" spans="2:17" x14ac:dyDescent="0.4">
      <c r="B86" s="19" t="s">
        <v>298</v>
      </c>
      <c r="C86" s="125">
        <f t="shared" si="3"/>
        <v>105793473.57201092</v>
      </c>
      <c r="D86" s="197">
        <f>SUM($C$80:C86)</f>
        <v>740554315.00407636</v>
      </c>
      <c r="F86" s="19" t="s">
        <v>298</v>
      </c>
      <c r="G86" s="197">
        <f>$G$79+SUM($C$80:C86)</f>
        <v>666989804.87034345</v>
      </c>
    </row>
    <row r="87" spans="2:17" x14ac:dyDescent="0.4">
      <c r="B87" s="19" t="s">
        <v>299</v>
      </c>
      <c r="C87" s="125">
        <f t="shared" si="3"/>
        <v>105793473.57201092</v>
      </c>
      <c r="D87" s="197">
        <f>SUM($C$80:C87)</f>
        <v>846347788.57608724</v>
      </c>
      <c r="F87" s="19" t="s">
        <v>299</v>
      </c>
      <c r="G87" s="197">
        <f>$G$79+SUM($C$80:C87)</f>
        <v>772783278.44235432</v>
      </c>
    </row>
    <row r="88" spans="2:17" x14ac:dyDescent="0.4">
      <c r="B88" s="19" t="s">
        <v>300</v>
      </c>
      <c r="C88" s="125">
        <f t="shared" si="3"/>
        <v>105793473.57201092</v>
      </c>
      <c r="D88" s="197">
        <f>SUM($C$80:C88)</f>
        <v>952141262.14809811</v>
      </c>
      <c r="F88" s="19" t="s">
        <v>300</v>
      </c>
      <c r="G88" s="197">
        <f>$G$79+SUM($C$80:C88)</f>
        <v>878576752.0143652</v>
      </c>
    </row>
    <row r="89" spans="2:17" x14ac:dyDescent="0.4">
      <c r="B89" s="19" t="s">
        <v>301</v>
      </c>
      <c r="C89" s="125">
        <f t="shared" si="3"/>
        <v>105793473.57201092</v>
      </c>
      <c r="D89" s="197">
        <f>SUM($C$80:C89)</f>
        <v>1057934735.720109</v>
      </c>
      <c r="F89" s="19" t="s">
        <v>301</v>
      </c>
      <c r="G89" s="197">
        <f>$G$79+SUM($C$80:C89)</f>
        <v>984370225.58637607</v>
      </c>
    </row>
    <row r="93" spans="2:17" ht="15" x14ac:dyDescent="0.4">
      <c r="B93" s="169"/>
      <c r="C93" s="169"/>
      <c r="D93" s="169"/>
      <c r="E93" s="169"/>
      <c r="F93" s="169"/>
      <c r="M93" s="169"/>
      <c r="N93" s="169"/>
      <c r="O93" s="169"/>
      <c r="P93" s="169"/>
      <c r="Q93" s="169"/>
    </row>
    <row r="94" spans="2:17" ht="15" x14ac:dyDescent="0.4">
      <c r="B94" s="169"/>
      <c r="C94" s="169"/>
      <c r="D94" s="169"/>
      <c r="E94" s="169"/>
      <c r="F94" s="169"/>
      <c r="M94" s="169"/>
      <c r="N94" s="169"/>
      <c r="O94" s="169"/>
      <c r="P94" s="169"/>
      <c r="Q94" s="169"/>
    </row>
    <row r="95" spans="2:17" ht="15" x14ac:dyDescent="0.4">
      <c r="B95" s="169"/>
      <c r="C95" s="169"/>
      <c r="D95" s="169"/>
      <c r="E95" s="169"/>
      <c r="F95" s="169"/>
      <c r="M95" s="169"/>
      <c r="N95" s="169"/>
      <c r="O95" s="169"/>
      <c r="P95" s="169"/>
      <c r="Q95" s="169"/>
    </row>
    <row r="96" spans="2:17" ht="15" x14ac:dyDescent="0.4">
      <c r="M96" s="169"/>
      <c r="N96" s="169"/>
      <c r="O96" s="169"/>
      <c r="P96" s="169"/>
      <c r="Q96" s="169"/>
    </row>
    <row r="97" spans="3:25" ht="15" x14ac:dyDescent="0.4">
      <c r="M97" s="169"/>
      <c r="N97" s="169"/>
      <c r="O97" s="169"/>
      <c r="P97" s="169"/>
      <c r="Q97" s="169"/>
    </row>
    <row r="98" spans="3:25" ht="15" x14ac:dyDescent="0.4">
      <c r="M98" s="169"/>
      <c r="N98" s="169"/>
      <c r="O98" s="169"/>
      <c r="P98" s="169"/>
      <c r="Q98" s="169"/>
    </row>
    <row r="99" spans="3:25" ht="15" x14ac:dyDescent="0.4">
      <c r="M99" s="169"/>
      <c r="N99" s="169"/>
      <c r="O99" s="169"/>
      <c r="P99" s="169"/>
      <c r="Q99" s="169"/>
    </row>
    <row r="100" spans="3:25" ht="15" x14ac:dyDescent="0.4">
      <c r="M100" s="169"/>
      <c r="N100" s="169"/>
      <c r="O100" s="169"/>
      <c r="P100" s="169"/>
      <c r="Q100" s="169"/>
    </row>
    <row r="101" spans="3:25" ht="15" x14ac:dyDescent="0.4">
      <c r="M101" s="169"/>
      <c r="N101" s="169"/>
      <c r="O101" s="169"/>
      <c r="P101" s="169"/>
      <c r="Q101" s="169"/>
    </row>
    <row r="102" spans="3:25" ht="15" x14ac:dyDescent="0.4">
      <c r="M102" s="169"/>
      <c r="N102" s="169"/>
      <c r="O102" s="169"/>
      <c r="P102" s="169"/>
      <c r="Q102" s="169"/>
    </row>
    <row r="103" spans="3:25" ht="15" x14ac:dyDescent="0.4">
      <c r="M103" s="169"/>
      <c r="N103" s="169"/>
      <c r="O103" s="169"/>
      <c r="P103" s="169"/>
      <c r="Q103" s="169"/>
    </row>
    <row r="104" spans="3:25" ht="15" x14ac:dyDescent="0.4">
      <c r="M104" s="169"/>
      <c r="N104" s="169"/>
      <c r="O104" s="169"/>
      <c r="P104" s="169"/>
      <c r="Q104" s="169"/>
    </row>
    <row r="105" spans="3:25" ht="15" x14ac:dyDescent="0.4">
      <c r="M105" s="169"/>
      <c r="N105" s="169"/>
      <c r="O105" s="169"/>
      <c r="P105" s="169"/>
      <c r="Q105" s="169"/>
    </row>
    <row r="106" spans="3:25" ht="15" x14ac:dyDescent="0.4">
      <c r="M106" s="169"/>
      <c r="N106" s="169"/>
      <c r="O106" s="169"/>
      <c r="P106" s="169"/>
      <c r="Q106" s="169"/>
    </row>
    <row r="107" spans="3:25" ht="15" x14ac:dyDescent="0.4">
      <c r="M107" s="169"/>
      <c r="N107" s="169"/>
      <c r="O107" s="169"/>
      <c r="P107" s="169"/>
      <c r="Q107" s="169"/>
    </row>
    <row r="108" spans="3:25" ht="15" x14ac:dyDescent="0.4">
      <c r="C108" s="82"/>
      <c r="D108" s="206"/>
      <c r="F108" s="136"/>
      <c r="I108" s="19"/>
      <c r="U108" s="169"/>
      <c r="V108" s="169"/>
      <c r="W108" s="169"/>
      <c r="X108" s="169"/>
      <c r="Y108" s="169"/>
    </row>
    <row r="109" spans="3:25" ht="15" x14ac:dyDescent="0.25">
      <c r="D109" s="206"/>
      <c r="F109" s="136"/>
      <c r="G109" s="53"/>
      <c r="U109" s="169"/>
      <c r="V109" s="169"/>
      <c r="W109" s="169"/>
      <c r="X109" s="169"/>
      <c r="Y109" s="169"/>
    </row>
    <row r="110" spans="3:25" ht="15" x14ac:dyDescent="0.4">
      <c r="D110" s="206"/>
      <c r="F110" s="136"/>
      <c r="G110" s="82"/>
      <c r="U110" s="169"/>
      <c r="V110" s="169"/>
    </row>
    <row r="111" spans="3:25" ht="15" x14ac:dyDescent="0.4">
      <c r="F111" s="136"/>
      <c r="G111" s="82"/>
      <c r="H111" s="82"/>
      <c r="I111" s="82"/>
      <c r="U111" s="169"/>
      <c r="V111" s="169"/>
    </row>
    <row r="112" spans="3:25" ht="15" x14ac:dyDescent="0.4">
      <c r="C112" s="82"/>
      <c r="F112" s="136"/>
      <c r="U112" s="169"/>
      <c r="V112" s="169"/>
    </row>
    <row r="113" spans="2:22" ht="15" x14ac:dyDescent="0.25">
      <c r="C113" s="279"/>
      <c r="E113" s="280"/>
      <c r="F113" s="136"/>
      <c r="U113" s="169"/>
      <c r="V113" s="169"/>
    </row>
    <row r="114" spans="2:22" ht="15" x14ac:dyDescent="0.25">
      <c r="C114" s="281"/>
      <c r="E114" s="281"/>
      <c r="F114" s="125"/>
      <c r="U114" s="169"/>
      <c r="V114" s="169"/>
    </row>
    <row r="115" spans="2:22" ht="15" x14ac:dyDescent="0.25">
      <c r="C115" s="279"/>
      <c r="E115" s="280"/>
      <c r="F115" s="136"/>
      <c r="U115" s="169"/>
      <c r="V115" s="169"/>
    </row>
    <row r="116" spans="2:22" ht="15" x14ac:dyDescent="0.25">
      <c r="C116" s="279"/>
      <c r="E116" s="280"/>
      <c r="F116" s="228"/>
      <c r="U116" s="169"/>
      <c r="V116" s="169"/>
    </row>
    <row r="117" spans="2:22" ht="15" x14ac:dyDescent="0.25">
      <c r="C117" s="279"/>
      <c r="E117" s="280"/>
      <c r="U117" s="169"/>
      <c r="V117" s="169"/>
    </row>
    <row r="118" spans="2:22" ht="15" x14ac:dyDescent="0.25">
      <c r="C118" s="279"/>
      <c r="E118" s="280"/>
      <c r="U118" s="169"/>
      <c r="V118" s="169"/>
    </row>
    <row r="119" spans="2:22" ht="15.6" x14ac:dyDescent="0.25">
      <c r="B119" s="207"/>
      <c r="C119" s="279"/>
      <c r="E119" s="280"/>
      <c r="F119" s="207"/>
      <c r="G119" s="207"/>
      <c r="L119" s="169"/>
      <c r="M119" s="282"/>
    </row>
    <row r="120" spans="2:22" ht="15.6" x14ac:dyDescent="0.25">
      <c r="C120" s="279"/>
      <c r="E120" s="280"/>
      <c r="L120" s="169"/>
      <c r="M120" s="282"/>
    </row>
    <row r="121" spans="2:22" ht="15.6" x14ac:dyDescent="0.25">
      <c r="C121" s="279"/>
      <c r="E121" s="280"/>
      <c r="L121" s="169"/>
      <c r="M121" s="268"/>
    </row>
    <row r="122" spans="2:22" ht="15" x14ac:dyDescent="0.25">
      <c r="C122" s="279"/>
      <c r="E122" s="280"/>
      <c r="L122" s="169"/>
      <c r="M122" s="169"/>
    </row>
    <row r="123" spans="2:22" ht="15" x14ac:dyDescent="0.25">
      <c r="D123" s="281"/>
      <c r="E123" s="281"/>
      <c r="L123" s="169"/>
      <c r="M123" s="169"/>
    </row>
    <row r="124" spans="2:22" ht="15" x14ac:dyDescent="0.25">
      <c r="C124" s="279"/>
      <c r="E124" s="280"/>
      <c r="L124" s="169"/>
      <c r="M124" s="169"/>
    </row>
    <row r="125" spans="2:22" ht="15" x14ac:dyDescent="0.25">
      <c r="B125" s="19"/>
      <c r="C125" s="279"/>
      <c r="E125" s="281"/>
      <c r="L125" s="169"/>
      <c r="M125" s="169"/>
    </row>
    <row r="126" spans="2:22" ht="15.6" x14ac:dyDescent="0.25">
      <c r="D126" s="281"/>
      <c r="E126" s="281"/>
      <c r="L126" s="169"/>
      <c r="M126" s="268"/>
    </row>
    <row r="127" spans="2:22" ht="15" x14ac:dyDescent="0.25">
      <c r="C127" s="279"/>
      <c r="E127" s="280"/>
      <c r="L127" s="169"/>
      <c r="M127" s="169"/>
    </row>
    <row r="128" spans="2:22" ht="15" x14ac:dyDescent="0.25">
      <c r="C128" s="279"/>
      <c r="E128" s="280"/>
      <c r="L128" s="169"/>
      <c r="M128" s="169"/>
    </row>
    <row r="129" spans="2:13" ht="15" x14ac:dyDescent="0.25">
      <c r="C129" s="279"/>
      <c r="E129" s="280"/>
      <c r="L129" s="169"/>
      <c r="M129" s="169"/>
    </row>
    <row r="130" spans="2:13" ht="15" x14ac:dyDescent="0.4">
      <c r="L130" s="169"/>
      <c r="M130" s="169"/>
    </row>
    <row r="131" spans="2:13" ht="15" x14ac:dyDescent="0.4">
      <c r="L131" s="169"/>
      <c r="M131" s="169"/>
    </row>
    <row r="132" spans="2:13" ht="15" x14ac:dyDescent="0.4">
      <c r="B132" s="82"/>
      <c r="C132" s="82"/>
      <c r="L132" s="169"/>
      <c r="M132" s="169"/>
    </row>
    <row r="133" spans="2:13" ht="15" x14ac:dyDescent="0.4">
      <c r="B133" s="19"/>
      <c r="C133" s="136"/>
      <c r="L133" s="169"/>
      <c r="M133" s="169"/>
    </row>
    <row r="134" spans="2:13" ht="15" x14ac:dyDescent="0.4">
      <c r="B134" s="19"/>
      <c r="C134" s="136"/>
      <c r="L134" s="169"/>
      <c r="M134" s="169"/>
    </row>
    <row r="135" spans="2:13" ht="15.6" x14ac:dyDescent="0.4">
      <c r="B135" s="19"/>
      <c r="C135" s="136"/>
      <c r="L135" s="169"/>
      <c r="M135" s="282"/>
    </row>
    <row r="136" spans="2:13" ht="15.6" x14ac:dyDescent="0.4">
      <c r="B136" s="19"/>
      <c r="C136" s="136"/>
      <c r="L136" s="169"/>
      <c r="M136" s="282"/>
    </row>
    <row r="137" spans="2:13" ht="15.6" x14ac:dyDescent="0.4">
      <c r="B137" s="19"/>
      <c r="C137" s="136"/>
      <c r="L137" s="169"/>
      <c r="M137" s="268"/>
    </row>
    <row r="138" spans="2:13" ht="15" x14ac:dyDescent="0.4">
      <c r="L138" s="169"/>
      <c r="M138" s="169"/>
    </row>
    <row r="139" spans="2:13" ht="15" x14ac:dyDescent="0.4">
      <c r="L139" s="169"/>
      <c r="M139" s="169"/>
    </row>
    <row r="140" spans="2:13" ht="15" x14ac:dyDescent="0.4">
      <c r="L140" s="169"/>
      <c r="M140" s="169"/>
    </row>
    <row r="141" spans="2:13" ht="15" x14ac:dyDescent="0.4">
      <c r="L141" s="169"/>
      <c r="M141" s="169"/>
    </row>
    <row r="142" spans="2:13" ht="15.6" x14ac:dyDescent="0.4">
      <c r="L142" s="169"/>
      <c r="M142" s="268"/>
    </row>
    <row r="143" spans="2:13" ht="15" x14ac:dyDescent="0.4">
      <c r="L143" s="169"/>
      <c r="M143" s="169"/>
    </row>
    <row r="144" spans="2:13" ht="15" x14ac:dyDescent="0.4">
      <c r="L144" s="169"/>
      <c r="M144" s="169"/>
    </row>
    <row r="145" spans="12:25" ht="15" x14ac:dyDescent="0.4">
      <c r="L145" s="169"/>
      <c r="M145" s="169"/>
    </row>
    <row r="146" spans="12:25" ht="15" x14ac:dyDescent="0.4">
      <c r="L146" s="169"/>
      <c r="M146" s="169"/>
    </row>
    <row r="147" spans="12:25" ht="15" x14ac:dyDescent="0.4">
      <c r="L147" s="169"/>
      <c r="M147" s="169"/>
    </row>
    <row r="148" spans="12:25" ht="15" x14ac:dyDescent="0.4">
      <c r="L148" s="169"/>
      <c r="M148" s="169"/>
    </row>
    <row r="149" spans="12:25" ht="15" x14ac:dyDescent="0.4">
      <c r="L149" s="169"/>
      <c r="M149" s="169"/>
    </row>
    <row r="150" spans="12:25" ht="15" x14ac:dyDescent="0.4">
      <c r="L150" s="169"/>
      <c r="M150" s="169"/>
      <c r="Y150" s="169"/>
    </row>
    <row r="151" spans="12:25" ht="15.6" x14ac:dyDescent="0.4">
      <c r="L151" s="169"/>
      <c r="M151" s="282"/>
      <c r="Y151" s="169"/>
    </row>
    <row r="152" spans="12:25" ht="15.6" x14ac:dyDescent="0.4">
      <c r="L152" s="169"/>
      <c r="M152" s="282"/>
      <c r="Y152" s="169"/>
    </row>
    <row r="153" spans="12:25" ht="15.6" x14ac:dyDescent="0.4">
      <c r="L153" s="169"/>
      <c r="M153" s="268"/>
      <c r="Y153" s="169"/>
    </row>
    <row r="154" spans="12:25" ht="15" x14ac:dyDescent="0.4">
      <c r="L154" s="169"/>
      <c r="M154" s="169"/>
      <c r="Y154" s="169"/>
    </row>
    <row r="155" spans="12:25" ht="15" x14ac:dyDescent="0.4">
      <c r="L155" s="169"/>
      <c r="M155" s="169"/>
      <c r="Y155" s="169"/>
    </row>
    <row r="156" spans="12:25" ht="15" x14ac:dyDescent="0.4">
      <c r="L156" s="169"/>
      <c r="M156" s="169"/>
      <c r="Y156" s="169"/>
    </row>
    <row r="157" spans="12:25" ht="15" x14ac:dyDescent="0.4">
      <c r="L157" s="169"/>
      <c r="M157" s="169"/>
      <c r="Y157" s="169"/>
    </row>
    <row r="158" spans="12:25" ht="15.6" x14ac:dyDescent="0.4">
      <c r="L158" s="169"/>
      <c r="M158" s="268"/>
      <c r="Y158" s="169"/>
    </row>
    <row r="159" spans="12:25" ht="15" x14ac:dyDescent="0.4">
      <c r="L159" s="169"/>
      <c r="M159" s="169"/>
      <c r="N159" s="169"/>
      <c r="O159" s="169"/>
      <c r="P159" s="169"/>
      <c r="Q159" s="169"/>
      <c r="R159" s="169"/>
      <c r="S159" s="169"/>
      <c r="T159" s="169"/>
      <c r="U159" s="169"/>
      <c r="V159" s="169"/>
      <c r="W159" s="169"/>
      <c r="X159" s="169"/>
      <c r="Y159" s="169"/>
    </row>
    <row r="160" spans="12:25" ht="15" x14ac:dyDescent="0.4">
      <c r="L160" s="169"/>
      <c r="M160" s="169"/>
      <c r="N160" s="169"/>
      <c r="O160" s="169"/>
      <c r="P160" s="169"/>
      <c r="Q160" s="169"/>
      <c r="R160" s="169"/>
      <c r="S160" s="169"/>
      <c r="T160" s="169"/>
      <c r="U160" s="169"/>
      <c r="V160" s="169"/>
      <c r="W160" s="169"/>
      <c r="X160" s="169"/>
      <c r="Y160" s="169"/>
    </row>
    <row r="161" spans="12:25" ht="15" x14ac:dyDescent="0.4">
      <c r="L161" s="169"/>
      <c r="M161" s="169"/>
      <c r="N161" s="169"/>
      <c r="O161" s="169"/>
      <c r="P161" s="169"/>
      <c r="Q161" s="169"/>
      <c r="R161" s="169"/>
      <c r="S161" s="169"/>
      <c r="T161" s="169"/>
      <c r="U161" s="169"/>
      <c r="V161" s="169"/>
      <c r="W161" s="169"/>
      <c r="X161" s="169"/>
      <c r="Y161" s="169"/>
    </row>
    <row r="162" spans="12:25" ht="15" x14ac:dyDescent="0.4">
      <c r="L162" s="169"/>
      <c r="M162" s="169"/>
      <c r="N162" s="169"/>
      <c r="O162" s="169"/>
      <c r="P162" s="169"/>
      <c r="Q162" s="169"/>
      <c r="R162" s="169"/>
      <c r="S162" s="169"/>
      <c r="T162" s="169"/>
      <c r="U162" s="169"/>
      <c r="V162" s="169"/>
      <c r="W162" s="169"/>
      <c r="X162" s="169"/>
      <c r="Y162" s="169"/>
    </row>
    <row r="163" spans="12:25" ht="15" x14ac:dyDescent="0.4">
      <c r="L163" s="169"/>
      <c r="M163" s="169"/>
      <c r="N163" s="169"/>
      <c r="O163" s="169"/>
      <c r="P163" s="169"/>
      <c r="Q163" s="169"/>
      <c r="R163" s="169"/>
      <c r="S163" s="169"/>
      <c r="T163" s="169"/>
      <c r="U163" s="169"/>
      <c r="V163" s="169"/>
      <c r="W163" s="169"/>
      <c r="X163" s="169"/>
      <c r="Y163" s="169"/>
    </row>
    <row r="164" spans="12:25" ht="15" x14ac:dyDescent="0.4">
      <c r="L164" s="169"/>
      <c r="M164" s="169"/>
      <c r="N164" s="169"/>
      <c r="O164" s="169"/>
      <c r="P164" s="169"/>
      <c r="Q164" s="169"/>
      <c r="R164" s="169"/>
      <c r="S164" s="169"/>
      <c r="T164" s="169"/>
      <c r="U164" s="169"/>
      <c r="V164" s="169"/>
      <c r="W164" s="169"/>
      <c r="X164" s="169"/>
      <c r="Y164" s="169"/>
    </row>
    <row r="165" spans="12:25" ht="15" x14ac:dyDescent="0.4">
      <c r="L165" s="169"/>
      <c r="M165" s="169"/>
      <c r="N165" s="169"/>
      <c r="O165" s="169"/>
      <c r="P165" s="169"/>
      <c r="Q165" s="169"/>
      <c r="R165" s="169"/>
      <c r="S165" s="169"/>
      <c r="T165" s="169"/>
      <c r="U165" s="169"/>
      <c r="V165" s="169"/>
      <c r="W165" s="169"/>
      <c r="X165" s="169"/>
      <c r="Y165" s="169"/>
    </row>
    <row r="166" spans="12:25" ht="15" x14ac:dyDescent="0.4">
      <c r="L166" s="169"/>
      <c r="M166" s="169"/>
      <c r="N166" s="169"/>
      <c r="O166" s="169"/>
      <c r="P166" s="169"/>
      <c r="Q166" s="169"/>
      <c r="R166" s="169"/>
      <c r="S166" s="169"/>
      <c r="T166" s="169"/>
      <c r="U166" s="169"/>
      <c r="V166" s="169"/>
      <c r="W166" s="169"/>
      <c r="X166" s="169"/>
      <c r="Y166" s="169"/>
    </row>
    <row r="167" spans="12:25" ht="15.6" x14ac:dyDescent="0.4">
      <c r="L167" s="169"/>
      <c r="M167" s="282"/>
      <c r="N167" s="282"/>
      <c r="O167" s="169"/>
      <c r="P167" s="169"/>
      <c r="Q167" s="169"/>
      <c r="R167" s="169"/>
      <c r="S167" s="169"/>
      <c r="T167" s="169"/>
      <c r="U167" s="169"/>
      <c r="V167" s="169"/>
      <c r="W167" s="169"/>
      <c r="X167" s="169"/>
      <c r="Y167" s="169"/>
    </row>
    <row r="168" spans="12:25" ht="15.6" x14ac:dyDescent="0.4">
      <c r="L168" s="169"/>
      <c r="M168" s="282"/>
      <c r="N168" s="169"/>
      <c r="O168" s="169"/>
      <c r="P168" s="169"/>
      <c r="Q168" s="169"/>
      <c r="R168" s="169"/>
      <c r="S168" s="169"/>
      <c r="T168" s="169"/>
      <c r="U168" s="169"/>
      <c r="V168" s="169"/>
      <c r="W168" s="169"/>
      <c r="X168" s="169"/>
      <c r="Y168" s="169"/>
    </row>
    <row r="169" spans="12:25" ht="15.6" x14ac:dyDescent="0.4">
      <c r="L169" s="169"/>
      <c r="M169" s="268"/>
      <c r="N169" s="268"/>
      <c r="O169" s="169"/>
      <c r="P169" s="169"/>
      <c r="Q169" s="169"/>
      <c r="R169" s="169"/>
      <c r="S169" s="169"/>
      <c r="T169" s="169"/>
      <c r="U169" s="169"/>
      <c r="V169" s="169"/>
      <c r="W169" s="169"/>
      <c r="X169" s="169"/>
      <c r="Y169" s="169"/>
    </row>
    <row r="170" spans="12:25" ht="15.6" x14ac:dyDescent="0.4">
      <c r="L170" s="169"/>
      <c r="M170" s="169"/>
      <c r="N170" s="169"/>
      <c r="O170" s="169"/>
      <c r="P170" s="269"/>
      <c r="Q170" s="169"/>
      <c r="R170" s="169"/>
      <c r="S170" s="169"/>
      <c r="T170" s="169"/>
      <c r="U170" s="169"/>
      <c r="V170" s="169"/>
      <c r="W170" s="169"/>
      <c r="X170" s="169"/>
      <c r="Y170" s="169"/>
    </row>
    <row r="171" spans="12:25" ht="15.6" x14ac:dyDescent="0.4">
      <c r="L171" s="169"/>
      <c r="M171" s="169"/>
      <c r="N171" s="169"/>
      <c r="O171" s="169"/>
      <c r="P171" s="269"/>
      <c r="Q171" s="169"/>
      <c r="R171" s="169"/>
      <c r="S171" s="169"/>
      <c r="T171" s="169"/>
      <c r="U171" s="169"/>
      <c r="V171" s="169"/>
      <c r="W171" s="169"/>
      <c r="X171" s="169"/>
      <c r="Y171" s="169"/>
    </row>
    <row r="172" spans="12:25" ht="15" x14ac:dyDescent="0.4">
      <c r="L172" s="169"/>
      <c r="M172" s="169"/>
      <c r="N172" s="283"/>
      <c r="O172" s="284"/>
      <c r="P172" s="169"/>
      <c r="Q172" s="169"/>
      <c r="R172" s="169"/>
      <c r="S172" s="169"/>
      <c r="T172" s="169"/>
      <c r="U172" s="169"/>
      <c r="V172" s="169"/>
      <c r="W172" s="169"/>
      <c r="X172" s="169"/>
      <c r="Y172" s="169"/>
    </row>
    <row r="173" spans="12:25" ht="15" x14ac:dyDescent="0.4">
      <c r="L173" s="169"/>
      <c r="M173" s="169"/>
      <c r="N173" s="169"/>
      <c r="O173" s="169"/>
      <c r="P173" s="169"/>
      <c r="Q173" s="169"/>
      <c r="R173" s="169"/>
      <c r="S173" s="169"/>
      <c r="T173" s="169"/>
      <c r="U173" s="169"/>
      <c r="V173" s="169"/>
      <c r="W173" s="169"/>
      <c r="X173" s="169"/>
      <c r="Y173" s="169"/>
    </row>
    <row r="174" spans="12:25" ht="15.6" x14ac:dyDescent="0.4">
      <c r="L174" s="169"/>
      <c r="M174" s="268"/>
      <c r="N174" s="268"/>
      <c r="O174" s="268"/>
      <c r="P174" s="169"/>
      <c r="Q174" s="169"/>
      <c r="R174" s="169"/>
      <c r="S174" s="169"/>
      <c r="T174" s="169"/>
      <c r="U174" s="169"/>
      <c r="V174" s="169"/>
      <c r="W174" s="169"/>
      <c r="X174" s="169"/>
      <c r="Y174" s="169"/>
    </row>
    <row r="175" spans="12:25" ht="15" x14ac:dyDescent="0.4">
      <c r="L175" s="169"/>
      <c r="M175" s="169"/>
      <c r="N175" s="169"/>
      <c r="O175" s="169"/>
      <c r="P175" s="169"/>
      <c r="Q175" s="169"/>
      <c r="R175" s="169"/>
      <c r="S175" s="169"/>
      <c r="T175" s="169"/>
      <c r="U175" s="169"/>
      <c r="V175" s="169"/>
      <c r="W175" s="169"/>
      <c r="X175" s="169"/>
      <c r="Y175" s="169"/>
    </row>
    <row r="176" spans="12:25" ht="15" x14ac:dyDescent="0.4">
      <c r="L176" s="169"/>
      <c r="M176" s="169"/>
      <c r="N176" s="169"/>
      <c r="O176" s="169"/>
      <c r="P176" s="169"/>
      <c r="Q176" s="169"/>
      <c r="R176" s="169"/>
      <c r="S176" s="169"/>
      <c r="T176" s="169"/>
      <c r="U176" s="169"/>
      <c r="V176" s="169"/>
      <c r="W176" s="169"/>
      <c r="X176" s="169"/>
      <c r="Y176" s="169"/>
    </row>
    <row r="177" spans="12:25" ht="15" x14ac:dyDescent="0.4">
      <c r="L177" s="169"/>
      <c r="M177" s="169"/>
      <c r="N177" s="169"/>
      <c r="O177" s="169"/>
      <c r="P177" s="169"/>
      <c r="Q177" s="169"/>
      <c r="R177" s="169"/>
      <c r="S177" s="169"/>
      <c r="T177" s="169"/>
      <c r="U177" s="169"/>
      <c r="V177" s="169"/>
      <c r="W177" s="169"/>
      <c r="X177" s="169"/>
      <c r="Y177" s="169"/>
    </row>
    <row r="178" spans="12:25" ht="15" x14ac:dyDescent="0.4">
      <c r="L178" s="169"/>
      <c r="M178" s="169"/>
      <c r="N178" s="169"/>
      <c r="O178" s="169"/>
      <c r="P178" s="169"/>
      <c r="Q178" s="169"/>
      <c r="R178" s="169"/>
      <c r="S178" s="169"/>
      <c r="T178" s="169"/>
      <c r="U178" s="169"/>
      <c r="V178" s="169"/>
      <c r="W178" s="169"/>
      <c r="X178" s="169"/>
      <c r="Y178" s="169"/>
    </row>
    <row r="179" spans="12:25" ht="15" x14ac:dyDescent="0.4">
      <c r="L179" s="169"/>
      <c r="M179" s="169"/>
      <c r="N179" s="169"/>
      <c r="O179" s="169"/>
      <c r="P179" s="169"/>
      <c r="Q179" s="169"/>
      <c r="R179" s="169"/>
      <c r="S179" s="169"/>
      <c r="T179" s="169"/>
      <c r="U179" s="169"/>
      <c r="V179" s="169"/>
      <c r="W179" s="169"/>
      <c r="X179" s="169"/>
      <c r="Y179" s="169"/>
    </row>
    <row r="180" spans="12:25" ht="15" x14ac:dyDescent="0.4">
      <c r="L180" s="169"/>
      <c r="M180" s="169"/>
      <c r="N180" s="169"/>
      <c r="O180" s="169"/>
      <c r="P180" s="169"/>
      <c r="Q180" s="169"/>
      <c r="R180" s="169"/>
      <c r="S180" s="169"/>
      <c r="T180" s="169"/>
      <c r="U180" s="169"/>
      <c r="V180" s="169"/>
      <c r="W180" s="169"/>
      <c r="X180" s="169"/>
      <c r="Y180" s="169"/>
    </row>
    <row r="181" spans="12:25" ht="15" x14ac:dyDescent="0.4">
      <c r="L181" s="169"/>
      <c r="M181" s="169"/>
      <c r="N181" s="169"/>
      <c r="O181" s="169"/>
      <c r="P181" s="169"/>
      <c r="Q181" s="169"/>
      <c r="R181" s="169"/>
      <c r="S181" s="169"/>
      <c r="T181" s="169"/>
      <c r="U181" s="169"/>
      <c r="V181" s="169"/>
      <c r="W181" s="169"/>
      <c r="X181" s="169"/>
      <c r="Y181" s="169"/>
    </row>
    <row r="182" spans="12:25" ht="15" x14ac:dyDescent="0.4">
      <c r="L182" s="169"/>
      <c r="M182" s="169"/>
      <c r="N182" s="169"/>
      <c r="O182" s="169"/>
      <c r="P182" s="169"/>
      <c r="Q182" s="169"/>
      <c r="R182" s="169"/>
      <c r="S182" s="169"/>
      <c r="T182" s="169"/>
      <c r="U182" s="169"/>
      <c r="V182" s="169"/>
      <c r="W182" s="169"/>
      <c r="X182" s="169"/>
      <c r="Y182" s="169"/>
    </row>
    <row r="183" spans="12:25" ht="15.6" x14ac:dyDescent="0.4">
      <c r="L183" s="169"/>
      <c r="M183" s="282"/>
      <c r="N183" s="282"/>
      <c r="O183" s="169"/>
      <c r="P183" s="169"/>
      <c r="Q183" s="169"/>
      <c r="R183" s="169"/>
      <c r="S183" s="169"/>
      <c r="T183" s="169"/>
      <c r="U183" s="169"/>
      <c r="V183" s="169"/>
      <c r="W183" s="169"/>
      <c r="X183" s="169"/>
      <c r="Y183" s="169"/>
    </row>
    <row r="184" spans="12:25" ht="15.6" x14ac:dyDescent="0.4">
      <c r="L184" s="169"/>
      <c r="M184" s="282"/>
      <c r="N184" s="169"/>
      <c r="O184" s="169"/>
      <c r="P184" s="169"/>
      <c r="Q184" s="169"/>
      <c r="R184" s="169"/>
      <c r="S184" s="169"/>
      <c r="T184" s="169"/>
      <c r="U184" s="169"/>
      <c r="V184" s="169"/>
      <c r="W184" s="169"/>
      <c r="X184" s="169"/>
      <c r="Y184" s="169"/>
    </row>
    <row r="185" spans="12:25" ht="15.6" x14ac:dyDescent="0.4">
      <c r="L185" s="169"/>
      <c r="M185" s="268"/>
      <c r="N185" s="268"/>
      <c r="O185" s="169"/>
      <c r="P185" s="169"/>
      <c r="Q185" s="169"/>
      <c r="R185" s="169"/>
      <c r="S185" s="169"/>
      <c r="T185" s="169"/>
      <c r="U185" s="169"/>
      <c r="V185" s="169"/>
      <c r="W185" s="169"/>
      <c r="X185" s="169"/>
      <c r="Y185" s="169"/>
    </row>
    <row r="186" spans="12:25" ht="15.6" x14ac:dyDescent="0.4">
      <c r="L186" s="169"/>
      <c r="M186" s="169"/>
      <c r="N186" s="169"/>
      <c r="O186" s="169"/>
      <c r="P186" s="269"/>
      <c r="Q186" s="169"/>
      <c r="R186" s="169"/>
      <c r="S186" s="169"/>
      <c r="T186" s="169"/>
      <c r="U186" s="169"/>
      <c r="V186" s="169"/>
      <c r="W186" s="169"/>
      <c r="X186" s="169"/>
      <c r="Y186" s="169"/>
    </row>
    <row r="187" spans="12:25" ht="15.6" x14ac:dyDescent="0.4">
      <c r="L187" s="169"/>
      <c r="M187" s="169"/>
      <c r="N187" s="169"/>
      <c r="O187" s="169"/>
      <c r="P187" s="269"/>
      <c r="Q187" s="169"/>
      <c r="R187" s="169"/>
      <c r="S187" s="169"/>
      <c r="T187" s="169"/>
      <c r="U187" s="169"/>
      <c r="V187" s="169"/>
      <c r="W187" s="169"/>
      <c r="X187" s="169"/>
      <c r="Y187" s="169"/>
    </row>
    <row r="188" spans="12:25" ht="15" x14ac:dyDescent="0.4">
      <c r="L188" s="169"/>
      <c r="M188" s="169"/>
      <c r="N188" s="283"/>
      <c r="O188" s="284"/>
      <c r="P188" s="169"/>
      <c r="Q188" s="169"/>
      <c r="R188" s="169"/>
      <c r="S188" s="169"/>
      <c r="T188" s="169"/>
      <c r="U188" s="169"/>
      <c r="V188" s="169"/>
      <c r="W188" s="169"/>
      <c r="X188" s="169"/>
      <c r="Y188" s="169"/>
    </row>
    <row r="189" spans="12:25" ht="15" x14ac:dyDescent="0.4">
      <c r="L189" s="169"/>
      <c r="M189" s="169"/>
      <c r="N189" s="169"/>
      <c r="O189" s="169"/>
      <c r="P189" s="169"/>
      <c r="Q189" s="169"/>
      <c r="R189" s="169"/>
      <c r="S189" s="169"/>
      <c r="T189" s="169"/>
      <c r="U189" s="169"/>
      <c r="V189" s="169"/>
      <c r="W189" s="169"/>
      <c r="X189" s="169"/>
      <c r="Y189" s="169"/>
    </row>
    <row r="190" spans="12:25" ht="15.6" x14ac:dyDescent="0.4">
      <c r="L190" s="169"/>
      <c r="M190" s="268"/>
      <c r="N190" s="268"/>
      <c r="O190" s="268"/>
      <c r="P190" s="169"/>
      <c r="Q190" s="169"/>
      <c r="R190" s="169"/>
      <c r="S190" s="169"/>
      <c r="T190" s="169"/>
      <c r="U190" s="169"/>
      <c r="V190" s="169"/>
      <c r="W190" s="169"/>
      <c r="X190" s="169"/>
      <c r="Y190" s="169"/>
    </row>
    <row r="191" spans="12:25" ht="15" x14ac:dyDescent="0.4">
      <c r="L191" s="169"/>
      <c r="M191" s="169"/>
      <c r="N191" s="169"/>
      <c r="O191" s="169"/>
      <c r="P191" s="169"/>
      <c r="Q191" s="169"/>
      <c r="R191" s="169"/>
      <c r="S191" s="169"/>
      <c r="T191" s="169"/>
      <c r="U191" s="169"/>
      <c r="V191" s="169"/>
      <c r="W191" s="169"/>
      <c r="X191" s="169"/>
      <c r="Y191" s="169"/>
    </row>
    <row r="192" spans="12:25" ht="15" x14ac:dyDescent="0.4">
      <c r="L192" s="169"/>
      <c r="M192" s="169"/>
      <c r="N192" s="169"/>
      <c r="O192" s="169"/>
      <c r="P192" s="169"/>
      <c r="Q192" s="169"/>
      <c r="R192" s="169"/>
      <c r="S192" s="169"/>
      <c r="T192" s="169"/>
      <c r="U192" s="169"/>
      <c r="V192" s="169"/>
      <c r="W192" s="169"/>
      <c r="X192" s="169"/>
      <c r="Y192" s="169"/>
    </row>
    <row r="193" spans="12:25" ht="15" x14ac:dyDescent="0.4">
      <c r="L193" s="169"/>
      <c r="M193" s="169"/>
      <c r="N193" s="169"/>
      <c r="O193" s="169"/>
      <c r="P193" s="169"/>
      <c r="Q193" s="169"/>
      <c r="R193" s="169"/>
      <c r="S193" s="169"/>
      <c r="T193" s="169"/>
      <c r="U193" s="169"/>
      <c r="V193" s="169"/>
      <c r="W193" s="169"/>
      <c r="X193" s="169"/>
      <c r="Y193" s="169"/>
    </row>
    <row r="194" spans="12:25" ht="15" x14ac:dyDescent="0.4">
      <c r="L194" s="169"/>
      <c r="M194" s="169"/>
      <c r="N194" s="169"/>
      <c r="O194" s="169"/>
      <c r="P194" s="169"/>
      <c r="Q194" s="169"/>
      <c r="R194" s="169"/>
      <c r="S194" s="169"/>
      <c r="T194" s="169"/>
      <c r="U194" s="169"/>
      <c r="V194" s="169"/>
      <c r="W194" s="169"/>
      <c r="X194" s="169"/>
      <c r="Y194" s="169"/>
    </row>
    <row r="195" spans="12:25" ht="15" x14ac:dyDescent="0.4">
      <c r="L195" s="169"/>
      <c r="M195" s="169"/>
      <c r="N195" s="169"/>
      <c r="O195" s="169"/>
      <c r="P195" s="169"/>
      <c r="Q195" s="169"/>
      <c r="R195" s="169"/>
      <c r="S195" s="169"/>
      <c r="T195" s="169"/>
      <c r="U195" s="169"/>
      <c r="V195" s="169"/>
      <c r="W195" s="169"/>
      <c r="X195" s="169"/>
      <c r="Y195" s="169"/>
    </row>
    <row r="196" spans="12:25" ht="15" x14ac:dyDescent="0.4">
      <c r="L196" s="169"/>
      <c r="M196" s="169"/>
      <c r="N196" s="169"/>
      <c r="O196" s="169"/>
      <c r="P196" s="169"/>
      <c r="Q196" s="169"/>
      <c r="R196" s="169"/>
      <c r="S196" s="169"/>
      <c r="T196" s="169"/>
      <c r="U196" s="169"/>
      <c r="V196" s="169"/>
      <c r="W196" s="169"/>
      <c r="X196" s="169"/>
      <c r="Y196" s="169"/>
    </row>
    <row r="197" spans="12:25" ht="15" x14ac:dyDescent="0.4">
      <c r="L197" s="169"/>
      <c r="M197" s="169"/>
      <c r="N197" s="169"/>
      <c r="O197" s="169"/>
      <c r="P197" s="169"/>
      <c r="Q197" s="169"/>
      <c r="R197" s="169"/>
      <c r="S197" s="169"/>
      <c r="T197" s="169"/>
      <c r="U197" s="169"/>
      <c r="V197" s="169"/>
      <c r="W197" s="169"/>
      <c r="X197" s="169"/>
      <c r="Y197" s="169"/>
    </row>
    <row r="198" spans="12:25" ht="15" x14ac:dyDescent="0.4">
      <c r="L198" s="169"/>
      <c r="M198" s="169"/>
      <c r="N198" s="169"/>
      <c r="O198" s="169"/>
      <c r="P198" s="169"/>
      <c r="Q198" s="169"/>
      <c r="R198" s="169"/>
      <c r="S198" s="169"/>
      <c r="T198" s="169"/>
      <c r="U198" s="169"/>
      <c r="V198" s="169"/>
      <c r="W198" s="169"/>
      <c r="X198" s="169"/>
      <c r="Y198" s="169"/>
    </row>
    <row r="199" spans="12:25" ht="15.6" x14ac:dyDescent="0.4">
      <c r="L199" s="169"/>
      <c r="M199" s="282"/>
      <c r="N199" s="282"/>
      <c r="O199" s="169"/>
      <c r="P199" s="169"/>
      <c r="Q199" s="169"/>
      <c r="R199" s="169"/>
      <c r="S199" s="169"/>
      <c r="T199" s="169"/>
      <c r="U199" s="169"/>
      <c r="V199" s="169"/>
      <c r="W199" s="169"/>
      <c r="X199" s="169"/>
      <c r="Y199" s="169"/>
    </row>
    <row r="200" spans="12:25" ht="15.6" x14ac:dyDescent="0.4">
      <c r="L200" s="169"/>
      <c r="M200" s="282"/>
      <c r="N200" s="169"/>
      <c r="O200" s="169"/>
      <c r="P200" s="169"/>
      <c r="Q200" s="169"/>
      <c r="R200" s="169"/>
      <c r="S200" s="169"/>
      <c r="T200" s="169"/>
      <c r="U200" s="169"/>
      <c r="V200" s="169"/>
      <c r="W200" s="169"/>
      <c r="X200" s="169"/>
      <c r="Y200" s="169"/>
    </row>
    <row r="201" spans="12:25" ht="15.6" x14ac:dyDescent="0.4">
      <c r="L201" s="169"/>
      <c r="M201" s="268"/>
      <c r="N201" s="268"/>
      <c r="O201" s="169"/>
      <c r="P201" s="169"/>
      <c r="Q201" s="169"/>
      <c r="R201" s="169"/>
      <c r="S201" s="169"/>
      <c r="T201" s="169"/>
      <c r="U201" s="169"/>
      <c r="V201" s="169"/>
      <c r="W201" s="169"/>
      <c r="X201" s="169"/>
      <c r="Y201" s="169"/>
    </row>
    <row r="202" spans="12:25" ht="15.6" x14ac:dyDescent="0.4">
      <c r="L202" s="169"/>
      <c r="M202" s="169"/>
      <c r="N202" s="169"/>
      <c r="O202" s="169"/>
      <c r="P202" s="269"/>
      <c r="Q202" s="169"/>
      <c r="R202" s="169"/>
      <c r="S202" s="169"/>
      <c r="T202" s="169"/>
      <c r="U202" s="169"/>
      <c r="V202" s="169"/>
      <c r="W202" s="169"/>
      <c r="X202" s="169"/>
      <c r="Y202" s="169"/>
    </row>
    <row r="203" spans="12:25" ht="15.6" x14ac:dyDescent="0.4">
      <c r="L203" s="169"/>
      <c r="M203" s="169"/>
      <c r="N203" s="169"/>
      <c r="O203" s="169"/>
      <c r="P203" s="269"/>
      <c r="Q203" s="169"/>
      <c r="R203" s="169"/>
      <c r="S203" s="169"/>
      <c r="T203" s="169"/>
      <c r="U203" s="169"/>
      <c r="V203" s="169"/>
      <c r="W203" s="169"/>
      <c r="X203" s="169"/>
      <c r="Y203" s="169"/>
    </row>
    <row r="204" spans="12:25" ht="15" x14ac:dyDescent="0.4">
      <c r="L204" s="169"/>
      <c r="M204" s="169"/>
      <c r="N204" s="283"/>
      <c r="O204" s="284"/>
      <c r="P204" s="169"/>
      <c r="Q204" s="169"/>
      <c r="R204" s="169"/>
      <c r="S204" s="169"/>
      <c r="T204" s="169"/>
      <c r="U204" s="169"/>
      <c r="V204" s="169"/>
      <c r="W204" s="169"/>
      <c r="X204" s="169"/>
      <c r="Y204" s="169"/>
    </row>
    <row r="205" spans="12:25" ht="15" x14ac:dyDescent="0.4">
      <c r="L205" s="169"/>
      <c r="M205" s="169"/>
      <c r="N205" s="169"/>
      <c r="O205" s="169"/>
      <c r="P205" s="169"/>
      <c r="Q205" s="169"/>
      <c r="R205" s="169"/>
      <c r="S205" s="169"/>
      <c r="T205" s="169"/>
      <c r="U205" s="169"/>
      <c r="V205" s="169"/>
      <c r="W205" s="169"/>
      <c r="X205" s="169"/>
      <c r="Y205" s="169"/>
    </row>
    <row r="206" spans="12:25" ht="15.6" x14ac:dyDescent="0.4">
      <c r="L206" s="169"/>
      <c r="M206" s="268"/>
      <c r="N206" s="268"/>
      <c r="O206" s="268"/>
      <c r="P206" s="169"/>
      <c r="Q206" s="169"/>
      <c r="R206" s="169"/>
      <c r="S206" s="169"/>
      <c r="T206" s="169"/>
      <c r="U206" s="169"/>
      <c r="V206" s="169"/>
      <c r="W206" s="169"/>
      <c r="X206" s="169"/>
      <c r="Y206" s="169"/>
    </row>
    <row r="207" spans="12:25" ht="15" x14ac:dyDescent="0.4">
      <c r="L207" s="169"/>
      <c r="M207" s="169"/>
      <c r="N207" s="169"/>
      <c r="O207" s="169"/>
      <c r="P207" s="169"/>
      <c r="Q207" s="169"/>
      <c r="R207" s="169"/>
      <c r="S207" s="169"/>
      <c r="T207" s="169"/>
      <c r="U207" s="169"/>
      <c r="V207" s="169"/>
      <c r="W207" s="169"/>
      <c r="X207" s="169"/>
      <c r="Y207" s="169"/>
    </row>
    <row r="208" spans="12:25" ht="15" x14ac:dyDescent="0.4">
      <c r="L208" s="169"/>
      <c r="M208" s="169"/>
      <c r="N208" s="169"/>
      <c r="O208" s="169"/>
      <c r="P208" s="169"/>
      <c r="Q208" s="169"/>
      <c r="R208" s="169"/>
      <c r="S208" s="169"/>
      <c r="T208" s="169"/>
      <c r="U208" s="169"/>
      <c r="V208" s="169"/>
      <c r="W208" s="169"/>
      <c r="X208" s="169"/>
      <c r="Y208" s="169"/>
    </row>
    <row r="209" spans="12:25" ht="15" x14ac:dyDescent="0.4">
      <c r="L209" s="169"/>
      <c r="M209" s="169"/>
      <c r="N209" s="169"/>
      <c r="O209" s="169"/>
      <c r="P209" s="169"/>
      <c r="Q209" s="169"/>
      <c r="R209" s="169"/>
      <c r="S209" s="169"/>
      <c r="T209" s="169"/>
      <c r="U209" s="169"/>
      <c r="V209" s="169"/>
      <c r="W209" s="169"/>
      <c r="X209" s="169"/>
      <c r="Y209" s="169"/>
    </row>
    <row r="210" spans="12:25" ht="15" x14ac:dyDescent="0.4">
      <c r="L210" s="169"/>
      <c r="M210" s="169"/>
      <c r="N210" s="169"/>
      <c r="O210" s="169"/>
      <c r="P210" s="169"/>
      <c r="Q210" s="169"/>
      <c r="R210" s="169"/>
      <c r="S210" s="169"/>
      <c r="T210" s="169"/>
      <c r="U210" s="169"/>
      <c r="V210" s="169"/>
      <c r="W210" s="169"/>
      <c r="X210" s="169"/>
      <c r="Y210" s="169"/>
    </row>
    <row r="211" spans="12:25" ht="15" x14ac:dyDescent="0.4">
      <c r="L211" s="169"/>
      <c r="M211" s="169"/>
      <c r="N211" s="169"/>
      <c r="O211" s="169"/>
      <c r="P211" s="169"/>
      <c r="Q211" s="169"/>
      <c r="R211" s="169"/>
      <c r="S211" s="169"/>
      <c r="T211" s="169"/>
      <c r="U211" s="169"/>
      <c r="V211" s="169"/>
      <c r="W211" s="169"/>
      <c r="X211" s="169"/>
      <c r="Y211" s="169"/>
    </row>
    <row r="212" spans="12:25" ht="15" x14ac:dyDescent="0.4">
      <c r="L212" s="169"/>
      <c r="M212" s="169"/>
      <c r="N212" s="169"/>
      <c r="O212" s="169"/>
      <c r="P212" s="169"/>
      <c r="Q212" s="169"/>
      <c r="R212" s="169"/>
      <c r="S212" s="169"/>
      <c r="T212" s="169"/>
      <c r="U212" s="169"/>
      <c r="V212" s="169"/>
      <c r="W212" s="169"/>
      <c r="X212" s="169"/>
      <c r="Y212" s="169"/>
    </row>
    <row r="213" spans="12:25" ht="15" x14ac:dyDescent="0.4">
      <c r="L213" s="169"/>
      <c r="M213" s="169"/>
      <c r="N213" s="169"/>
      <c r="O213" s="169"/>
      <c r="P213" s="169"/>
      <c r="Q213" s="169"/>
      <c r="R213" s="169"/>
      <c r="S213" s="169"/>
      <c r="T213" s="169"/>
      <c r="U213" s="169"/>
      <c r="V213" s="169"/>
      <c r="W213" s="169"/>
      <c r="X213" s="169"/>
      <c r="Y213" s="169"/>
    </row>
    <row r="214" spans="12:25" ht="15" x14ac:dyDescent="0.4">
      <c r="L214" s="169"/>
      <c r="M214" s="169"/>
      <c r="N214" s="169"/>
      <c r="O214" s="169"/>
      <c r="P214" s="169"/>
      <c r="Q214" s="169"/>
      <c r="R214" s="169"/>
      <c r="S214" s="169"/>
      <c r="T214" s="169"/>
      <c r="U214" s="169"/>
      <c r="V214" s="169"/>
      <c r="W214" s="169"/>
      <c r="X214" s="169"/>
      <c r="Y214" s="169"/>
    </row>
    <row r="215" spans="12:25" ht="15" x14ac:dyDescent="0.4">
      <c r="L215" s="169"/>
      <c r="M215" s="169"/>
      <c r="N215" s="169"/>
      <c r="O215" s="169"/>
      <c r="P215" s="169"/>
      <c r="Q215" s="169"/>
      <c r="R215" s="169"/>
      <c r="S215" s="169"/>
      <c r="T215" s="169"/>
      <c r="U215" s="169"/>
      <c r="V215" s="169"/>
      <c r="W215" s="169"/>
      <c r="X215" s="169"/>
      <c r="Y215" s="169"/>
    </row>
    <row r="216" spans="12:25" ht="15" x14ac:dyDescent="0.4">
      <c r="L216" s="169"/>
      <c r="M216" s="169"/>
      <c r="N216" s="169"/>
      <c r="O216" s="169"/>
      <c r="P216" s="169"/>
      <c r="Q216" s="169"/>
      <c r="R216" s="169"/>
      <c r="S216" s="169"/>
      <c r="T216" s="169"/>
      <c r="U216" s="169"/>
      <c r="V216" s="169"/>
      <c r="W216" s="169"/>
      <c r="X216" s="169"/>
      <c r="Y216" s="169"/>
    </row>
  </sheetData>
  <mergeCells count="26">
    <mergeCell ref="G16:I16"/>
    <mergeCell ref="G17:G25"/>
    <mergeCell ref="B24:D24"/>
    <mergeCell ref="B32:E32"/>
    <mergeCell ref="B30:D30"/>
    <mergeCell ref="B26:E26"/>
    <mergeCell ref="G26:G30"/>
    <mergeCell ref="G34:H34"/>
    <mergeCell ref="B44:D44"/>
    <mergeCell ref="B45:D45"/>
    <mergeCell ref="B46:B54"/>
    <mergeCell ref="B63:D63"/>
    <mergeCell ref="B67:C67"/>
    <mergeCell ref="B68:C68"/>
    <mergeCell ref="B62:C62"/>
    <mergeCell ref="B5:D5"/>
    <mergeCell ref="B35:D35"/>
    <mergeCell ref="B16:E16"/>
    <mergeCell ref="B11:C11"/>
    <mergeCell ref="B12:C12"/>
    <mergeCell ref="B10:C10"/>
    <mergeCell ref="B7:C7"/>
    <mergeCell ref="B8:C8"/>
    <mergeCell ref="B9:C9"/>
    <mergeCell ref="B55:B60"/>
    <mergeCell ref="B6:C6"/>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A2A5C-FE77-480A-91AF-2861D233E191}">
  <dimension ref="B2:J47"/>
  <sheetViews>
    <sheetView topLeftCell="B1" zoomScale="55" zoomScaleNormal="55" workbookViewId="0">
      <selection activeCell="C4" sqref="C4"/>
    </sheetView>
  </sheetViews>
  <sheetFormatPr defaultColWidth="9" defaultRowHeight="13.8" x14ac:dyDescent="0.4"/>
  <cols>
    <col min="1" max="1" width="9" style="2"/>
    <col min="2" max="2" width="32.19921875" style="2" customWidth="1"/>
    <col min="3" max="3" width="19" style="2" customWidth="1"/>
    <col min="4" max="4" width="20.69921875" style="2" customWidth="1"/>
    <col min="5" max="5" width="17.59765625" style="2" customWidth="1"/>
    <col min="6" max="6" width="16.19921875" style="2" customWidth="1"/>
    <col min="7" max="7" width="30.19921875" style="2" customWidth="1"/>
    <col min="8" max="8" width="19.09765625" style="2" customWidth="1"/>
    <col min="9" max="9" width="19.69921875" style="2" customWidth="1"/>
    <col min="10" max="10" width="16.69921875" style="2" customWidth="1"/>
    <col min="11" max="11" width="17.3984375" style="2" bestFit="1" customWidth="1"/>
    <col min="12" max="16384" width="9" style="2"/>
  </cols>
  <sheetData>
    <row r="2" spans="2:10" ht="22.8" x14ac:dyDescent="0.4">
      <c r="B2" s="295" t="s">
        <v>443</v>
      </c>
    </row>
    <row r="4" spans="2:10" ht="17.25" customHeight="1" x14ac:dyDescent="0.4">
      <c r="B4" s="23" t="s">
        <v>51</v>
      </c>
      <c r="C4" s="24">
        <f>(C14-H14)/C14</f>
        <v>0.49287386536328909</v>
      </c>
    </row>
    <row r="5" spans="2:10" ht="14.25" customHeight="1" x14ac:dyDescent="0.4">
      <c r="B5" s="300" t="s">
        <v>302</v>
      </c>
      <c r="C5" s="300"/>
      <c r="D5" s="300"/>
      <c r="E5" s="300"/>
      <c r="G5" s="300" t="s">
        <v>303</v>
      </c>
      <c r="H5" s="300"/>
      <c r="I5" s="300"/>
      <c r="J5" s="300"/>
    </row>
    <row r="6" spans="2:10" x14ac:dyDescent="0.4">
      <c r="B6" s="22"/>
      <c r="C6" s="22" t="s">
        <v>304</v>
      </c>
      <c r="D6" s="22" t="s">
        <v>305</v>
      </c>
      <c r="E6" s="22" t="s">
        <v>306</v>
      </c>
      <c r="G6" s="20"/>
      <c r="H6" s="20" t="s">
        <v>304</v>
      </c>
      <c r="I6" s="20" t="s">
        <v>305</v>
      </c>
      <c r="J6" s="26" t="s">
        <v>306</v>
      </c>
    </row>
    <row r="7" spans="2:10" x14ac:dyDescent="0.4">
      <c r="B7" s="20" t="s">
        <v>307</v>
      </c>
      <c r="C7" s="19"/>
      <c r="D7" s="21">
        <f>'4. Material &amp; energy balance'!E35</f>
        <v>33000000</v>
      </c>
      <c r="E7" s="19"/>
      <c r="G7" s="20" t="s">
        <v>307</v>
      </c>
      <c r="H7" s="19"/>
      <c r="I7" s="21">
        <f>'4. Material &amp; energy balance'!E35</f>
        <v>33000000</v>
      </c>
      <c r="J7" s="19"/>
    </row>
    <row r="8" spans="2:10" x14ac:dyDescent="0.4">
      <c r="B8" s="20" t="s">
        <v>308</v>
      </c>
      <c r="C8" s="19"/>
      <c r="D8" s="21">
        <f>'4. Material &amp; energy balance'!E36</f>
        <v>750000</v>
      </c>
      <c r="E8" s="19"/>
      <c r="G8" s="20" t="s">
        <v>308</v>
      </c>
      <c r="H8" s="19"/>
      <c r="I8" s="21">
        <f>'4. Material &amp; energy balance'!E36</f>
        <v>750000</v>
      </c>
      <c r="J8" s="19"/>
    </row>
    <row r="9" spans="2:10" x14ac:dyDescent="0.4">
      <c r="B9" s="20" t="s">
        <v>309</v>
      </c>
      <c r="C9" s="19"/>
      <c r="D9" s="21">
        <f>'4. Material &amp; energy balance'!E37</f>
        <v>33000</v>
      </c>
      <c r="E9" s="19"/>
      <c r="G9" s="20" t="s">
        <v>309</v>
      </c>
      <c r="H9" s="19"/>
      <c r="I9" s="21">
        <f>'4. Material &amp; energy balance'!E37</f>
        <v>33000</v>
      </c>
      <c r="J9" s="19"/>
    </row>
    <row r="10" spans="2:10" x14ac:dyDescent="0.4">
      <c r="B10" s="20" t="s">
        <v>310</v>
      </c>
      <c r="C10" s="21">
        <f>'4. Material &amp; energy balance'!F15</f>
        <v>33000000</v>
      </c>
      <c r="D10" s="21">
        <f>'4. Material &amp; energy balance'!E23+'4. Material &amp; energy balance'!L35+'4. Material &amp; energy balance'!G41</f>
        <v>31281250</v>
      </c>
      <c r="E10" s="25">
        <f>'4. Material &amp; energy balance'!H67</f>
        <v>2673000</v>
      </c>
      <c r="G10" s="20" t="s">
        <v>310</v>
      </c>
      <c r="H10" s="21">
        <f>'4. Material &amp; energy balance'!F15</f>
        <v>33000000</v>
      </c>
      <c r="I10" s="21">
        <f>'4. Material &amp; energy balance'!E23+'4. Material &amp; energy balance'!L35+'4. Material &amp; energy balance'!G41</f>
        <v>31281250</v>
      </c>
      <c r="J10" s="25">
        <f>'4. Material &amp; energy balance'!H67</f>
        <v>2673000</v>
      </c>
    </row>
    <row r="11" spans="2:10" x14ac:dyDescent="0.4">
      <c r="B11" s="20" t="s">
        <v>308</v>
      </c>
      <c r="C11" s="21">
        <f>'4. Material &amp; energy balance'!F16</f>
        <v>750000</v>
      </c>
      <c r="D11" s="21">
        <f>'4. Material &amp; energy balance'!E24+'4. Material &amp; energy balance'!L36+'4. Material &amp; energy balance'!G42</f>
        <v>710937.5</v>
      </c>
      <c r="E11" s="25">
        <f>'4. Material &amp; energy balance'!H68</f>
        <v>60750</v>
      </c>
      <c r="G11" s="20" t="s">
        <v>308</v>
      </c>
      <c r="H11" s="21">
        <f>'4. Material &amp; energy balance'!F16</f>
        <v>750000</v>
      </c>
      <c r="I11" s="21">
        <f>'4. Material &amp; energy balance'!E24+'4. Material &amp; energy balance'!L36+'4. Material &amp; energy balance'!G42</f>
        <v>710937.5</v>
      </c>
      <c r="J11" s="25">
        <f>'4. Material &amp; energy balance'!H68</f>
        <v>60750</v>
      </c>
    </row>
    <row r="12" spans="2:10" x14ac:dyDescent="0.4">
      <c r="B12" s="20" t="s">
        <v>309</v>
      </c>
      <c r="C12" s="21">
        <f>'4. Material &amp; energy balance'!F17</f>
        <v>33000</v>
      </c>
      <c r="D12" s="21">
        <f>'4. Material &amp; energy balance'!E25+'4. Material &amp; energy balance'!L37+'4. Material &amp; energy balance'!G43</f>
        <v>31281.3</v>
      </c>
      <c r="E12" s="25">
        <f>'4. Material &amp; energy balance'!H69</f>
        <v>2673</v>
      </c>
      <c r="G12" s="20" t="s">
        <v>309</v>
      </c>
      <c r="H12" s="21">
        <f>'4. Material &amp; energy balance'!F17</f>
        <v>33000</v>
      </c>
      <c r="I12" s="21">
        <f>'4. Material &amp; energy balance'!E25+'4. Material &amp; energy balance'!L37+'4. Material &amp; energy balance'!G43</f>
        <v>31281.3</v>
      </c>
      <c r="J12" s="25">
        <f>'4. Material &amp; energy balance'!H69</f>
        <v>2673</v>
      </c>
    </row>
    <row r="13" spans="2:10" x14ac:dyDescent="0.4">
      <c r="B13" s="20"/>
      <c r="C13" s="19"/>
      <c r="D13" s="19"/>
      <c r="G13" s="20"/>
      <c r="H13" s="19"/>
      <c r="I13" s="19"/>
      <c r="J13" s="19"/>
    </row>
    <row r="14" spans="2:10" x14ac:dyDescent="0.4">
      <c r="B14" s="20" t="s">
        <v>311</v>
      </c>
      <c r="C14" s="21">
        <f>C10+D10+E10</f>
        <v>66954250</v>
      </c>
      <c r="D14" s="19"/>
      <c r="G14" s="20" t="s">
        <v>311</v>
      </c>
      <c r="H14" s="21">
        <f>H10-I7+I10+J10</f>
        <v>33954250</v>
      </c>
      <c r="I14" s="19"/>
      <c r="J14" s="19"/>
    </row>
    <row r="15" spans="2:10" x14ac:dyDescent="0.4">
      <c r="B15" s="20" t="s">
        <v>308</v>
      </c>
      <c r="C15" s="21">
        <f>C11+D11+E11</f>
        <v>1521687.5</v>
      </c>
      <c r="D15" s="19"/>
      <c r="G15" s="20" t="s">
        <v>308</v>
      </c>
      <c r="H15" s="21">
        <f>H11-I8+I11+J11</f>
        <v>771687.5</v>
      </c>
      <c r="I15" s="19"/>
      <c r="J15" s="19"/>
    </row>
    <row r="16" spans="2:10" x14ac:dyDescent="0.4">
      <c r="B16" s="20" t="s">
        <v>309</v>
      </c>
      <c r="C16" s="21">
        <f>C12+D12+E12</f>
        <v>66954.3</v>
      </c>
      <c r="D16" s="19"/>
      <c r="G16" s="20" t="s">
        <v>309</v>
      </c>
      <c r="H16" s="21">
        <f>H12-I9+I12+J12</f>
        <v>33954.300000000003</v>
      </c>
      <c r="I16" s="19"/>
      <c r="J16" s="19"/>
    </row>
    <row r="17" spans="2:9" ht="17.399999999999999" x14ac:dyDescent="0.4">
      <c r="C17" s="15"/>
    </row>
    <row r="20" spans="2:9" x14ac:dyDescent="0.4">
      <c r="B20" s="49" t="s">
        <v>312</v>
      </c>
      <c r="C20" s="28">
        <f>D40+I40</f>
        <v>2.6095219663885469</v>
      </c>
    </row>
    <row r="21" spans="2:9" ht="16.5" customHeight="1" x14ac:dyDescent="0.4">
      <c r="B21" s="357" t="s">
        <v>313</v>
      </c>
      <c r="C21" s="358"/>
      <c r="D21" s="358"/>
      <c r="E21" s="19"/>
      <c r="F21" s="19"/>
      <c r="G21" s="359" t="s">
        <v>314</v>
      </c>
      <c r="H21" s="358"/>
      <c r="I21" s="358"/>
    </row>
    <row r="22" spans="2:9" x14ac:dyDescent="0.4">
      <c r="B22" s="50" t="s">
        <v>315</v>
      </c>
      <c r="C22" s="22"/>
      <c r="D22" s="22"/>
      <c r="E22" s="19"/>
      <c r="F22" s="19"/>
      <c r="G22" s="50" t="s">
        <v>53</v>
      </c>
      <c r="H22" s="22"/>
      <c r="I22" s="22"/>
    </row>
    <row r="23" spans="2:9" x14ac:dyDescent="0.4">
      <c r="B23" s="51" t="s">
        <v>316</v>
      </c>
      <c r="C23" s="27" t="s">
        <v>317</v>
      </c>
      <c r="D23" s="19" t="s">
        <v>318</v>
      </c>
      <c r="E23" s="19"/>
      <c r="F23" s="19"/>
      <c r="G23" s="27" t="s">
        <v>319</v>
      </c>
      <c r="H23" s="27" t="s">
        <v>317</v>
      </c>
      <c r="I23" s="27" t="s">
        <v>318</v>
      </c>
    </row>
    <row r="24" spans="2:9" x14ac:dyDescent="0.4">
      <c r="B24" s="31">
        <f>35.8</f>
        <v>35.799999999999997</v>
      </c>
      <c r="C24" s="25">
        <f>'4. Material &amp; energy balance'!V7</f>
        <v>13333332.800000001</v>
      </c>
      <c r="D24" s="19">
        <f>850-25</f>
        <v>825</v>
      </c>
      <c r="E24" s="19"/>
      <c r="F24" s="19"/>
      <c r="G24" s="32">
        <f>0.8343</f>
        <v>0.83430000000000004</v>
      </c>
      <c r="H24" s="25">
        <f>'4. Material &amp; energy balance'!V22</f>
        <v>41666670</v>
      </c>
      <c r="I24" s="25">
        <f>1100-25</f>
        <v>1075</v>
      </c>
    </row>
    <row r="25" spans="2:9" x14ac:dyDescent="0.4">
      <c r="B25" s="22" t="s">
        <v>320</v>
      </c>
      <c r="C25" s="22"/>
      <c r="D25" s="22"/>
      <c r="E25" s="19"/>
      <c r="F25" s="19"/>
      <c r="G25" s="50" t="s">
        <v>321</v>
      </c>
      <c r="H25" s="50" t="s">
        <v>322</v>
      </c>
      <c r="I25" s="22"/>
    </row>
    <row r="26" spans="2:9" x14ac:dyDescent="0.4">
      <c r="B26" s="51" t="s">
        <v>316</v>
      </c>
      <c r="C26" s="27" t="s">
        <v>317</v>
      </c>
      <c r="D26" s="27" t="s">
        <v>318</v>
      </c>
      <c r="E26" s="19"/>
      <c r="F26" s="19"/>
      <c r="G26" s="25">
        <f>G24*H24*I24/330/24*1000*9.486/10000</f>
        <v>4475869.7472740971</v>
      </c>
      <c r="H26" s="25">
        <f>G26*0.252</f>
        <v>1127919.1763130724</v>
      </c>
      <c r="I26" s="19"/>
    </row>
    <row r="27" spans="2:9" x14ac:dyDescent="0.4">
      <c r="B27" s="32">
        <f>2.1</f>
        <v>2.1</v>
      </c>
      <c r="C27" s="25">
        <f>'4. Material &amp; energy balance'!W7</f>
        <v>14999999.4</v>
      </c>
      <c r="D27" s="19">
        <f>850-100</f>
        <v>750</v>
      </c>
      <c r="E27" s="19"/>
      <c r="F27" s="19"/>
    </row>
    <row r="28" spans="2:9" x14ac:dyDescent="0.4">
      <c r="B28" s="50" t="s">
        <v>321</v>
      </c>
      <c r="C28" s="50" t="s">
        <v>322</v>
      </c>
      <c r="D28" s="22"/>
      <c r="E28" s="19"/>
      <c r="F28" s="19"/>
    </row>
    <row r="29" spans="2:9" x14ac:dyDescent="0.4">
      <c r="B29" s="25">
        <f>(B24*C24*D24+B27*C27*D27)/330/24*100*9.486/10000</f>
        <v>4999612.8681972958</v>
      </c>
      <c r="C29" s="25">
        <f>B29*0.252</f>
        <v>1259902.4427857185</v>
      </c>
      <c r="D29" s="19"/>
      <c r="E29" s="19"/>
      <c r="F29" s="19"/>
    </row>
    <row r="30" spans="2:9" x14ac:dyDescent="0.4">
      <c r="E30" s="19"/>
      <c r="F30" s="19"/>
    </row>
    <row r="31" spans="2:9" x14ac:dyDescent="0.4">
      <c r="B31" s="22" t="s">
        <v>323</v>
      </c>
      <c r="C31" s="22"/>
      <c r="D31" s="22"/>
      <c r="E31" s="19"/>
      <c r="F31" s="19"/>
      <c r="G31" s="22" t="s">
        <v>323</v>
      </c>
      <c r="H31" s="22"/>
      <c r="I31" s="22"/>
    </row>
    <row r="32" spans="2:9" x14ac:dyDescent="0.4">
      <c r="B32" s="25">
        <f>6500</f>
        <v>6500</v>
      </c>
      <c r="C32" s="19"/>
      <c r="D32" s="19"/>
      <c r="E32" s="19"/>
      <c r="F32" s="19"/>
      <c r="G32" s="25">
        <f>6500</f>
        <v>6500</v>
      </c>
      <c r="H32" s="19"/>
      <c r="I32" s="19"/>
    </row>
    <row r="33" spans="2:9" x14ac:dyDescent="0.4">
      <c r="B33" s="22" t="s">
        <v>324</v>
      </c>
      <c r="C33" s="22"/>
      <c r="D33" s="22"/>
      <c r="E33" s="19"/>
      <c r="F33" s="19"/>
      <c r="G33" s="22" t="s">
        <v>324</v>
      </c>
      <c r="H33" s="22"/>
      <c r="I33" s="22"/>
    </row>
    <row r="34" spans="2:9" x14ac:dyDescent="0.4">
      <c r="B34" s="32">
        <f>C29/B32</f>
        <v>193.8311450439567</v>
      </c>
      <c r="C34" s="19"/>
      <c r="D34" s="19"/>
      <c r="E34" s="19"/>
      <c r="F34" s="19"/>
      <c r="G34" s="32">
        <f>H26/G32</f>
        <v>173.52602712508806</v>
      </c>
      <c r="H34" s="19"/>
      <c r="I34" s="19"/>
    </row>
    <row r="35" spans="2:9" x14ac:dyDescent="0.4">
      <c r="B35" s="22" t="s">
        <v>325</v>
      </c>
      <c r="C35" s="22"/>
      <c r="D35" s="22"/>
      <c r="E35" s="19"/>
      <c r="F35" s="19"/>
      <c r="G35" s="22" t="s">
        <v>325</v>
      </c>
      <c r="H35" s="22"/>
      <c r="I35" s="22"/>
    </row>
    <row r="36" spans="2:9" x14ac:dyDescent="0.4">
      <c r="B36" s="25">
        <f>C45*B34</f>
        <v>3230519.0840659454</v>
      </c>
      <c r="C36" s="19"/>
      <c r="D36" s="19"/>
      <c r="E36" s="19"/>
      <c r="F36" s="19"/>
      <c r="G36" s="25">
        <f>C45*G34</f>
        <v>2892100.4520848012</v>
      </c>
      <c r="H36" s="19"/>
      <c r="I36" s="19"/>
    </row>
    <row r="37" spans="2:9" x14ac:dyDescent="0.4">
      <c r="B37" s="50" t="s">
        <v>326</v>
      </c>
      <c r="C37" s="50" t="s">
        <v>327</v>
      </c>
      <c r="D37" s="22"/>
      <c r="E37" s="19"/>
      <c r="F37" s="19"/>
      <c r="G37" s="50" t="s">
        <v>326</v>
      </c>
      <c r="H37" s="50" t="s">
        <v>327</v>
      </c>
      <c r="I37" s="22"/>
    </row>
    <row r="38" spans="2:9" x14ac:dyDescent="0.4">
      <c r="B38" s="19">
        <f>B36*C46/10^6</f>
        <v>129.73764641608835</v>
      </c>
      <c r="C38" s="25">
        <f>B38*24*330</f>
        <v>1027522.1596154198</v>
      </c>
      <c r="D38" s="19"/>
      <c r="E38" s="19"/>
      <c r="F38" s="19"/>
      <c r="G38" s="32">
        <f>G36*C46/10^6</f>
        <v>116.1467541557256</v>
      </c>
      <c r="H38" s="25">
        <f>G38*24*330</f>
        <v>919882.29291334678</v>
      </c>
      <c r="I38" s="19"/>
    </row>
    <row r="39" spans="2:9" x14ac:dyDescent="0.4">
      <c r="B39" s="50" t="s">
        <v>328</v>
      </c>
      <c r="C39" s="50" t="s">
        <v>329</v>
      </c>
      <c r="D39" s="50" t="s">
        <v>330</v>
      </c>
      <c r="E39" s="19"/>
      <c r="F39" s="19"/>
      <c r="G39" s="50" t="s">
        <v>328</v>
      </c>
      <c r="H39" s="50" t="s">
        <v>329</v>
      </c>
      <c r="I39" s="50" t="s">
        <v>330</v>
      </c>
    </row>
    <row r="40" spans="2:9" x14ac:dyDescent="0.4">
      <c r="B40" s="25">
        <f>C38*C47</f>
        <v>1376879.6938846626</v>
      </c>
      <c r="C40" s="25">
        <f>B40/1000</f>
        <v>1376.8796938846626</v>
      </c>
      <c r="D40" s="32">
        <f>C40/1000</f>
        <v>1.3768796938846626</v>
      </c>
      <c r="E40" s="19"/>
      <c r="F40" s="19"/>
      <c r="G40" s="25">
        <f>C47*H38</f>
        <v>1232642.2725038847</v>
      </c>
      <c r="H40" s="25">
        <f>G40/1000</f>
        <v>1232.6422725038847</v>
      </c>
      <c r="I40" s="32">
        <f>H40/1000</f>
        <v>1.2326422725038846</v>
      </c>
    </row>
    <row r="41" spans="2:9" x14ac:dyDescent="0.4">
      <c r="E41" s="19"/>
      <c r="F41" s="19"/>
    </row>
    <row r="42" spans="2:9" x14ac:dyDescent="0.4">
      <c r="C42" s="19"/>
      <c r="D42" s="19"/>
      <c r="E42" s="19"/>
      <c r="F42" s="19"/>
    </row>
    <row r="43" spans="2:9" x14ac:dyDescent="0.4">
      <c r="C43" s="19"/>
      <c r="D43" s="19"/>
      <c r="E43" s="19"/>
      <c r="F43" s="19"/>
      <c r="G43" s="19"/>
      <c r="H43" s="19"/>
      <c r="I43" s="19"/>
    </row>
    <row r="44" spans="2:9" ht="14.25" customHeight="1" x14ac:dyDescent="0.4">
      <c r="B44" s="356" t="s">
        <v>331</v>
      </c>
      <c r="C44" s="356"/>
      <c r="E44" s="19"/>
      <c r="F44" s="19"/>
      <c r="G44" s="19"/>
      <c r="H44" s="19"/>
      <c r="I44" s="19"/>
    </row>
    <row r="45" spans="2:9" ht="27.6" x14ac:dyDescent="0.4">
      <c r="B45" s="29" t="s">
        <v>332</v>
      </c>
      <c r="C45" s="25">
        <f>5/0.3*1000</f>
        <v>16666.666666666668</v>
      </c>
      <c r="E45" s="19"/>
      <c r="F45" s="19"/>
      <c r="G45" s="19"/>
      <c r="H45" s="19"/>
      <c r="I45" s="19"/>
    </row>
    <row r="46" spans="2:9" x14ac:dyDescent="0.4">
      <c r="B46" s="52" t="s">
        <v>333</v>
      </c>
      <c r="C46" s="19">
        <f>'3. Inputs &amp; results'!H50</f>
        <v>40.159999999999997</v>
      </c>
    </row>
    <row r="47" spans="2:9" x14ac:dyDescent="0.4">
      <c r="B47" s="30" t="s">
        <v>334</v>
      </c>
      <c r="C47" s="19">
        <f>1.34</f>
        <v>1.34</v>
      </c>
    </row>
  </sheetData>
  <mergeCells count="5">
    <mergeCell ref="B44:C44"/>
    <mergeCell ref="B5:E5"/>
    <mergeCell ref="G5:J5"/>
    <mergeCell ref="B21:D21"/>
    <mergeCell ref="G21:I21"/>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10</vt:i4>
      </vt:variant>
      <vt:variant>
        <vt:lpstr>이름 지정된 범위</vt:lpstr>
      </vt:variant>
      <vt:variant>
        <vt:i4>1</vt:i4>
      </vt:variant>
    </vt:vector>
  </HeadingPairs>
  <TitlesOfParts>
    <vt:vector size="11" baseType="lpstr">
      <vt:lpstr>0. Introduction</vt:lpstr>
      <vt:lpstr>1. Description</vt:lpstr>
      <vt:lpstr>2. Process flow</vt:lpstr>
      <vt:lpstr>3. Inputs &amp; results</vt:lpstr>
      <vt:lpstr>4. Material &amp; energy balance</vt:lpstr>
      <vt:lpstr>5. Equipment price</vt:lpstr>
      <vt:lpstr>6-1. Economic evaluation</vt:lpstr>
      <vt:lpstr>6-2. Economic evaluation</vt:lpstr>
      <vt:lpstr>7. Environmental evaluation</vt:lpstr>
      <vt:lpstr>8. Future work</vt:lpstr>
      <vt:lpstr>Coaltype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정영훈</dc:creator>
  <cp:keywords/>
  <dc:description/>
  <cp:lastModifiedBy>수민 정</cp:lastModifiedBy>
  <cp:revision/>
  <dcterms:created xsi:type="dcterms:W3CDTF">2023-06-01T11:12:29Z</dcterms:created>
  <dcterms:modified xsi:type="dcterms:W3CDTF">2023-06-12T16:38:48Z</dcterms:modified>
  <cp:category/>
  <cp:contentStatus/>
</cp:coreProperties>
</file>