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960" yWindow="-135" windowWidth="29040" windowHeight="13080" tabRatio="640"/>
  </bookViews>
  <sheets>
    <sheet name="Cryo-to-CCD_Circuit" sheetId="3" r:id="rId1"/>
    <sheet name="Cryo_Lumped Parameters" sheetId="5" r:id="rId2"/>
    <sheet name="Cold-to-CCD_Circuit" sheetId="6" r:id="rId3"/>
    <sheet name="Cold_Lumped_Parameters" sheetId="7" r:id="rId4"/>
    <sheet name="Heat_Sources" sheetId="8" r:id="rId5"/>
    <sheet name="CCD_Flex_Circuit_baseline" sheetId="9" r:id="rId6"/>
    <sheet name="CCD_Flex_Circuit_alternative" sheetId="10" r:id="rId7"/>
  </sheets>
  <calcPr calcId="145621" concurrentCalc="0"/>
</workbook>
</file>

<file path=xl/calcChain.xml><?xml version="1.0" encoding="utf-8"?>
<calcChain xmlns="http://schemas.openxmlformats.org/spreadsheetml/2006/main">
  <c r="Y10" i="3" l="1"/>
  <c r="Y26" i="6"/>
  <c r="AE26" i="6"/>
  <c r="AE22" i="6"/>
  <c r="AE20" i="6"/>
  <c r="AE18" i="6"/>
  <c r="AE16" i="6"/>
  <c r="AE14" i="6"/>
  <c r="AE12" i="6"/>
  <c r="AE10" i="6"/>
  <c r="AE8" i="6"/>
  <c r="AE6" i="6"/>
  <c r="AG6" i="6"/>
  <c r="AF8" i="6"/>
  <c r="AG8" i="6"/>
  <c r="AF10" i="6"/>
  <c r="AG10" i="6"/>
  <c r="AF12" i="6"/>
  <c r="AG12" i="6"/>
  <c r="AF14" i="6"/>
  <c r="AG14" i="6"/>
  <c r="AF16" i="6"/>
  <c r="AG16" i="6"/>
  <c r="AF18" i="6"/>
  <c r="AG18" i="6"/>
  <c r="AF20" i="6"/>
  <c r="AG20" i="6"/>
  <c r="AG22" i="6"/>
  <c r="AG26" i="6"/>
  <c r="AG24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4" i="6"/>
  <c r="AA26" i="6"/>
  <c r="AA6" i="6"/>
  <c r="F7" i="8"/>
  <c r="F8" i="8"/>
  <c r="H12" i="8"/>
  <c r="F3" i="8"/>
  <c r="F4" i="8"/>
  <c r="F5" i="8"/>
  <c r="H5" i="8"/>
  <c r="R13" i="10"/>
  <c r="R11" i="10"/>
  <c r="H13" i="10"/>
  <c r="H11" i="10"/>
  <c r="H19" i="10"/>
  <c r="T19" i="10"/>
  <c r="M19" i="10"/>
  <c r="O19" i="10"/>
  <c r="S13" i="10"/>
  <c r="Q13" i="10"/>
  <c r="T13" i="10"/>
  <c r="Q15" i="10"/>
  <c r="R15" i="10"/>
  <c r="T15" i="10"/>
  <c r="S11" i="10"/>
  <c r="Q11" i="10"/>
  <c r="T11" i="10"/>
  <c r="T17" i="10"/>
  <c r="V17" i="10"/>
  <c r="M13" i="10"/>
  <c r="O13" i="10"/>
  <c r="H15" i="10"/>
  <c r="M15" i="10"/>
  <c r="O15" i="10"/>
  <c r="O17" i="10"/>
  <c r="M17" i="10"/>
  <c r="H17" i="10"/>
  <c r="M11" i="10"/>
  <c r="O11" i="10"/>
  <c r="H19" i="9"/>
  <c r="T19" i="9"/>
  <c r="M19" i="9"/>
  <c r="O19" i="9"/>
  <c r="S13" i="9"/>
  <c r="Q13" i="9"/>
  <c r="R13" i="9"/>
  <c r="T13" i="9"/>
  <c r="Q15" i="9"/>
  <c r="R15" i="9"/>
  <c r="T15" i="9"/>
  <c r="S11" i="9"/>
  <c r="Q11" i="9"/>
  <c r="R11" i="9"/>
  <c r="T11" i="9"/>
  <c r="T17" i="9"/>
  <c r="V17" i="9"/>
  <c r="H13" i="9"/>
  <c r="M13" i="9"/>
  <c r="O13" i="9"/>
  <c r="H15" i="9"/>
  <c r="M15" i="9"/>
  <c r="O15" i="9"/>
  <c r="O17" i="9"/>
  <c r="M17" i="9"/>
  <c r="H17" i="9"/>
  <c r="H11" i="9"/>
  <c r="M11" i="9"/>
  <c r="O11" i="9"/>
  <c r="F13" i="8"/>
  <c r="E9" i="8"/>
  <c r="B9" i="8"/>
  <c r="E10" i="8"/>
  <c r="B10" i="8"/>
  <c r="E11" i="8"/>
  <c r="B11" i="8"/>
  <c r="E12" i="8"/>
  <c r="B12" i="8"/>
  <c r="E6" i="8"/>
  <c r="B6" i="8"/>
  <c r="E7" i="8"/>
  <c r="B7" i="8"/>
  <c r="E8" i="8"/>
  <c r="B8" i="8"/>
  <c r="S38" i="3"/>
  <c r="S11" i="3"/>
  <c r="X11" i="3"/>
  <c r="AB11" i="3"/>
  <c r="W11" i="3"/>
  <c r="S10" i="3"/>
  <c r="W10" i="3"/>
  <c r="S7" i="3"/>
  <c r="X7" i="3"/>
  <c r="AB7" i="3"/>
  <c r="AA7" i="3"/>
  <c r="S6" i="3"/>
  <c r="X6" i="3"/>
  <c r="S39" i="3"/>
  <c r="T39" i="3"/>
  <c r="X39" i="3"/>
  <c r="AB39" i="3"/>
  <c r="AC39" i="3"/>
  <c r="AA39" i="3"/>
  <c r="S25" i="3"/>
  <c r="T25" i="3"/>
  <c r="X25" i="3"/>
  <c r="AB25" i="3"/>
  <c r="AC25" i="3"/>
  <c r="AA25" i="3"/>
  <c r="S15" i="3"/>
  <c r="T15" i="3"/>
  <c r="X15" i="3"/>
  <c r="AB15" i="3"/>
  <c r="AC15" i="3"/>
  <c r="AA15" i="3"/>
  <c r="X10" i="3"/>
  <c r="S31" i="3"/>
  <c r="S20" i="3"/>
  <c r="S45" i="3"/>
  <c r="AC7" i="3"/>
  <c r="Y45" i="3"/>
  <c r="Y20" i="3"/>
  <c r="Y31" i="3"/>
  <c r="X45" i="3"/>
  <c r="AB45" i="3"/>
  <c r="X31" i="3"/>
  <c r="AB31" i="3"/>
  <c r="X20" i="3"/>
  <c r="AB20" i="3"/>
  <c r="AB10" i="3"/>
  <c r="AB47" i="3"/>
  <c r="Y11" i="3"/>
  <c r="AC11" i="3"/>
  <c r="AC10" i="3"/>
  <c r="AD24" i="6"/>
  <c r="AH24" i="6"/>
  <c r="AH16" i="6"/>
  <c r="AH14" i="6"/>
  <c r="AF22" i="6"/>
  <c r="AF6" i="6"/>
  <c r="T21" i="6"/>
  <c r="U21" i="6"/>
  <c r="T19" i="6"/>
  <c r="U19" i="6"/>
  <c r="T17" i="6"/>
  <c r="U17" i="6"/>
  <c r="T15" i="6"/>
  <c r="U15" i="6"/>
  <c r="T13" i="6"/>
  <c r="U13" i="6"/>
  <c r="T11" i="6"/>
  <c r="U11" i="6"/>
  <c r="T9" i="6"/>
  <c r="U9" i="6"/>
  <c r="T22" i="6"/>
  <c r="U22" i="6"/>
  <c r="AD22" i="6"/>
  <c r="T6" i="6"/>
  <c r="U6" i="6"/>
  <c r="AD6" i="6"/>
  <c r="W22" i="6"/>
  <c r="Y22" i="6"/>
  <c r="W21" i="6"/>
  <c r="Y21" i="6"/>
  <c r="W19" i="6"/>
  <c r="Y19" i="6"/>
  <c r="W17" i="6"/>
  <c r="Y17" i="6"/>
  <c r="W15" i="6"/>
  <c r="Y15" i="6"/>
  <c r="W13" i="6"/>
  <c r="Y13" i="6"/>
  <c r="W11" i="6"/>
  <c r="Y11" i="6"/>
  <c r="W9" i="6"/>
  <c r="Y9" i="6"/>
  <c r="W6" i="6"/>
  <c r="Y6" i="6"/>
  <c r="Q20" i="6"/>
  <c r="Q18" i="6"/>
  <c r="Q16" i="6"/>
  <c r="Q14" i="6"/>
  <c r="Q12" i="6"/>
  <c r="Q10" i="6"/>
  <c r="Q8" i="6"/>
  <c r="H13" i="7"/>
  <c r="Q11" i="7"/>
  <c r="H11" i="7"/>
  <c r="M11" i="7"/>
  <c r="O11" i="7"/>
  <c r="S11" i="7"/>
  <c r="R11" i="7"/>
  <c r="T11" i="7"/>
  <c r="W8" i="6"/>
  <c r="Y8" i="6"/>
  <c r="T8" i="6"/>
  <c r="U8" i="6"/>
  <c r="AD8" i="6"/>
  <c r="T16" i="6"/>
  <c r="U16" i="6"/>
  <c r="AD16" i="6"/>
  <c r="W16" i="6"/>
  <c r="Y16" i="6"/>
  <c r="T10" i="6"/>
  <c r="U10" i="6"/>
  <c r="AD10" i="6"/>
  <c r="W10" i="6"/>
  <c r="Y10" i="6"/>
  <c r="T18" i="6"/>
  <c r="U18" i="6"/>
  <c r="AD18" i="6"/>
  <c r="W18" i="6"/>
  <c r="Y18" i="6"/>
  <c r="W12" i="6"/>
  <c r="Y12" i="6"/>
  <c r="T12" i="6"/>
  <c r="U12" i="6"/>
  <c r="AD12" i="6"/>
  <c r="T20" i="6"/>
  <c r="U20" i="6"/>
  <c r="AD20" i="6"/>
  <c r="W20" i="6"/>
  <c r="Y20" i="6"/>
  <c r="T14" i="6"/>
  <c r="U14" i="6"/>
  <c r="AD14" i="6"/>
  <c r="W14" i="6"/>
  <c r="Y14" i="6"/>
  <c r="R15" i="7"/>
  <c r="H15" i="7"/>
  <c r="R13" i="7"/>
  <c r="Q13" i="7"/>
  <c r="S13" i="7"/>
  <c r="T13" i="7"/>
  <c r="H19" i="7"/>
  <c r="Q15" i="7"/>
  <c r="T15" i="7"/>
  <c r="T17" i="7"/>
  <c r="V17" i="7"/>
  <c r="H17" i="7"/>
  <c r="M15" i="7"/>
  <c r="O15" i="7"/>
  <c r="M13" i="7"/>
  <c r="O13" i="7"/>
  <c r="AB20" i="6"/>
  <c r="AH20" i="6"/>
  <c r="AB18" i="6"/>
  <c r="AH18" i="6"/>
  <c r="AB12" i="6"/>
  <c r="AH12" i="6"/>
  <c r="AB10" i="6"/>
  <c r="AH10" i="6"/>
  <c r="AB8" i="6"/>
  <c r="AH8" i="6"/>
  <c r="AB6" i="6"/>
  <c r="T19" i="7"/>
  <c r="M19" i="7"/>
  <c r="O19" i="7"/>
  <c r="AI6" i="3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9" i="5"/>
  <c r="AE7" i="3"/>
  <c r="AE6" i="3"/>
  <c r="O10" i="5"/>
  <c r="O14" i="5"/>
  <c r="O18" i="5"/>
  <c r="O22" i="5"/>
  <c r="O26" i="5"/>
  <c r="M32" i="5"/>
  <c r="AE15" i="3"/>
  <c r="Q34" i="5"/>
  <c r="H34" i="5"/>
  <c r="M34" i="5"/>
  <c r="AE25" i="3"/>
  <c r="M36" i="5"/>
  <c r="AE38" i="3"/>
  <c r="M38" i="5"/>
  <c r="AE39" i="3"/>
  <c r="M40" i="5"/>
  <c r="M42" i="5"/>
  <c r="O42" i="5"/>
  <c r="AE42" i="3"/>
  <c r="AF42" i="3"/>
  <c r="O40" i="5"/>
  <c r="O4" i="5"/>
  <c r="O5" i="5"/>
  <c r="O7" i="5"/>
  <c r="O8" i="5"/>
  <c r="O9" i="5"/>
  <c r="O11" i="5"/>
  <c r="O12" i="5"/>
  <c r="O13" i="5"/>
  <c r="O15" i="5"/>
  <c r="O16" i="5"/>
  <c r="O17" i="5"/>
  <c r="O19" i="5"/>
  <c r="O20" i="5"/>
  <c r="O21" i="5"/>
  <c r="O23" i="5"/>
  <c r="O24" i="5"/>
  <c r="O25" i="5"/>
  <c r="O27" i="5"/>
  <c r="AF39" i="3"/>
  <c r="AF38" i="3"/>
  <c r="AF25" i="3"/>
  <c r="AF15" i="3"/>
  <c r="T38" i="5"/>
  <c r="O38" i="5"/>
  <c r="T36" i="5"/>
  <c r="O36" i="5"/>
  <c r="T34" i="5"/>
  <c r="T32" i="5"/>
  <c r="O32" i="5"/>
  <c r="AA11" i="3"/>
  <c r="AB6" i="3"/>
  <c r="T38" i="3"/>
  <c r="X38" i="3"/>
  <c r="AB38" i="3"/>
  <c r="AA38" i="3"/>
  <c r="AB40" i="3"/>
  <c r="AB49" i="3"/>
  <c r="AA10" i="3"/>
  <c r="AC20" i="3"/>
  <c r="W20" i="3"/>
  <c r="AA20" i="3"/>
  <c r="AC31" i="3"/>
  <c r="W31" i="3"/>
  <c r="AA31" i="3"/>
  <c r="AC45" i="3"/>
  <c r="W45" i="3"/>
  <c r="AA45" i="3"/>
  <c r="AC38" i="3"/>
  <c r="AC6" i="3"/>
  <c r="AA6" i="3"/>
  <c r="AC47" i="3"/>
  <c r="AA47" i="3"/>
  <c r="AG15" i="3"/>
  <c r="AG25" i="3"/>
  <c r="AG42" i="3"/>
  <c r="AH6" i="6"/>
  <c r="O34" i="5"/>
  <c r="O6" i="5"/>
  <c r="O29" i="5"/>
  <c r="K29" i="5"/>
  <c r="AF7" i="3"/>
  <c r="AF6" i="3"/>
  <c r="AG6" i="3"/>
  <c r="AE40" i="3"/>
  <c r="O17" i="7"/>
  <c r="M17" i="7"/>
  <c r="AC40" i="3"/>
  <c r="AC48" i="3"/>
  <c r="AA40" i="3"/>
  <c r="AG40" i="3"/>
  <c r="AG49" i="3"/>
  <c r="AA49" i="3"/>
  <c r="AA48" i="3"/>
  <c r="AB48" i="3"/>
  <c r="AC49" i="3"/>
  <c r="AB22" i="6"/>
  <c r="AH22" i="6"/>
  <c r="AH26" i="6"/>
  <c r="AB26" i="6"/>
</calcChain>
</file>

<file path=xl/sharedStrings.xml><?xml version="1.0" encoding="utf-8"?>
<sst xmlns="http://schemas.openxmlformats.org/spreadsheetml/2006/main" count="353" uniqueCount="140">
  <si>
    <t>K</t>
  </si>
  <si>
    <t>A</t>
  </si>
  <si>
    <t>X</t>
  </si>
  <si>
    <t>Gi</t>
  </si>
  <si>
    <t>m</t>
  </si>
  <si>
    <t>-</t>
  </si>
  <si>
    <t>W/K</t>
  </si>
  <si>
    <t>(W/m-K)</t>
  </si>
  <si>
    <t>Qty</t>
  </si>
  <si>
    <t>CR</t>
  </si>
  <si>
    <t>N/A</t>
  </si>
  <si>
    <t>Ri</t>
  </si>
  <si>
    <r>
      <t>(W/m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-K)</t>
    </r>
  </si>
  <si>
    <r>
      <t>m</t>
    </r>
    <r>
      <rPr>
        <vertAlign val="superscript"/>
        <sz val="14"/>
        <color theme="1"/>
        <rFont val="Calibri"/>
        <family val="2"/>
        <scheme val="minor"/>
      </rPr>
      <t>2</t>
    </r>
  </si>
  <si>
    <t>K/W</t>
  </si>
  <si>
    <t>1. CCD (Sensor)</t>
  </si>
  <si>
    <t>3.SIC baseplate</t>
  </si>
  <si>
    <t>4. Thermal Contact Sic to Thermal Strap</t>
  </si>
  <si>
    <t>5. Thermal Strap</t>
  </si>
  <si>
    <t>thick</t>
  </si>
  <si>
    <t>thin</t>
  </si>
  <si>
    <t>LCA-128 spec Allotment is 5.0 / CCD</t>
  </si>
  <si>
    <t>2. Thermal Contact: CCD-to-Raft Baseplate</t>
  </si>
  <si>
    <t>Single Sensor</t>
  </si>
  <si>
    <t>In parallel</t>
  </si>
  <si>
    <t>Component</t>
  </si>
  <si>
    <t>Material</t>
  </si>
  <si>
    <t>Volume</t>
  </si>
  <si>
    <t>Density</t>
  </si>
  <si>
    <t>Cp</t>
  </si>
  <si>
    <t>#</t>
  </si>
  <si>
    <t>H-Frame</t>
  </si>
  <si>
    <t>CeSiC</t>
  </si>
  <si>
    <t>Package body</t>
  </si>
  <si>
    <t>AlN</t>
  </si>
  <si>
    <t>Spacer</t>
  </si>
  <si>
    <t>CE7</t>
  </si>
  <si>
    <t>Mounting Stud</t>
  </si>
  <si>
    <t>Invar</t>
  </si>
  <si>
    <t>Second siliscon Layer</t>
  </si>
  <si>
    <t>Si</t>
  </si>
  <si>
    <t>Top Silicon layer</t>
  </si>
  <si>
    <t>Insert</t>
  </si>
  <si>
    <t>Alignment Pin</t>
  </si>
  <si>
    <t>SS</t>
  </si>
  <si>
    <t>Cup</t>
  </si>
  <si>
    <t>Support frame tapped hole</t>
  </si>
  <si>
    <t>Support frame clearance hole</t>
  </si>
  <si>
    <t>Screw</t>
  </si>
  <si>
    <t>Raft Baseplate</t>
  </si>
  <si>
    <t>HB-CeSiC</t>
  </si>
  <si>
    <t>Kg/m^3</t>
  </si>
  <si>
    <t>W/m-K</t>
  </si>
  <si>
    <t>J/Kg-K</t>
  </si>
  <si>
    <t>m^3</t>
  </si>
  <si>
    <t>Mass</t>
  </si>
  <si>
    <t>Kg</t>
  </si>
  <si>
    <t>Avg Cp =</t>
  </si>
  <si>
    <t>Mass x Cp</t>
  </si>
  <si>
    <t>J/K</t>
  </si>
  <si>
    <t>K/Watt</t>
  </si>
  <si>
    <t>Sensor</t>
  </si>
  <si>
    <t>m^2</t>
  </si>
  <si>
    <t>Width</t>
  </si>
  <si>
    <t>Thick</t>
  </si>
  <si>
    <t>total R</t>
  </si>
  <si>
    <t>Lumped CCD Sensor</t>
  </si>
  <si>
    <t>Thermal Strap</t>
  </si>
  <si>
    <t>Copper</t>
  </si>
  <si>
    <t>Length</t>
  </si>
  <si>
    <t>Qty/RTM</t>
  </si>
  <si>
    <t>REC Walls, Thick</t>
  </si>
  <si>
    <t>REC Walls, Thin</t>
  </si>
  <si>
    <t>(total, all layers and components)</t>
  </si>
  <si>
    <t>9 sensors in parallel</t>
  </si>
  <si>
    <t>Hold-down mechanisms</t>
  </si>
  <si>
    <t>Both sides - no thermal conductance contribution</t>
  </si>
  <si>
    <t>Hold-down Mechanism, X- Side</t>
  </si>
  <si>
    <t>Hold-down Mechanism, X+ Side</t>
  </si>
  <si>
    <t>7 x 1050 x 40 AWG braided wire</t>
  </si>
  <si>
    <t>3 shims, single sensor</t>
  </si>
  <si>
    <t>27 shims in parallel</t>
  </si>
  <si>
    <t>Q</t>
  </si>
  <si>
    <t>Watts</t>
  </si>
  <si>
    <t>0 to 2</t>
  </si>
  <si>
    <t>4 heaters on the baseplate, .5 watts each</t>
  </si>
  <si>
    <t>Heat Flux</t>
  </si>
  <si>
    <t>Area</t>
  </si>
  <si>
    <t>W/m^2</t>
  </si>
  <si>
    <t>W</t>
  </si>
  <si>
    <t>CCD Amps</t>
  </si>
  <si>
    <t>CCD clocks</t>
  </si>
  <si>
    <t>L3 rad</t>
  </si>
  <si>
    <t>Total Heat</t>
  </si>
  <si>
    <t>Current Source</t>
  </si>
  <si>
    <t>ASPIC</t>
  </si>
  <si>
    <t>CABAC</t>
  </si>
  <si>
    <t>ADC</t>
  </si>
  <si>
    <t>diff amps</t>
  </si>
  <si>
    <t>p regs</t>
  </si>
  <si>
    <t>FPGA</t>
  </si>
  <si>
    <t>Polyimide</t>
  </si>
  <si>
    <t>Cu+Poly</t>
  </si>
  <si>
    <t>CCD flex circuit Cu + Poly</t>
  </si>
  <si>
    <t>CCD flex circuit, Cu</t>
  </si>
  <si>
    <t>CCD flex circuit, Poly</t>
  </si>
  <si>
    <t>Circuit Board, Copper Bars</t>
  </si>
  <si>
    <t>Kequiv for .22 x 12.5 material</t>
  </si>
  <si>
    <r>
      <t>Kg/m</t>
    </r>
    <r>
      <rPr>
        <vertAlign val="superscript"/>
        <sz val="14"/>
        <color theme="1"/>
        <rFont val="Calibri"/>
        <family val="2"/>
        <scheme val="minor"/>
      </rPr>
      <t>3</t>
    </r>
  </si>
  <si>
    <r>
      <t>m</t>
    </r>
    <r>
      <rPr>
        <vertAlign val="superscript"/>
        <sz val="14"/>
        <color theme="1"/>
        <rFont val="Calibri"/>
        <family val="2"/>
        <scheme val="minor"/>
      </rPr>
      <t>3</t>
    </r>
  </si>
  <si>
    <t>R</t>
  </si>
  <si>
    <t>NOTE:  This is for 3 REB's</t>
  </si>
  <si>
    <t>per RTM</t>
  </si>
  <si>
    <t>Summary for entire RTM</t>
  </si>
  <si>
    <t>Ri low</t>
  </si>
  <si>
    <t>Ri high</t>
  </si>
  <si>
    <t>Gi high</t>
  </si>
  <si>
    <t>Gi low</t>
  </si>
  <si>
    <r>
      <t>(W/m</t>
    </r>
    <r>
      <rPr>
        <vertAlign val="superscript"/>
        <sz val="14"/>
        <color rgb="FFC00000"/>
        <rFont val="Calibri"/>
        <family val="2"/>
        <scheme val="minor"/>
      </rPr>
      <t>2</t>
    </r>
    <r>
      <rPr>
        <sz val="14"/>
        <color rgb="FFC00000"/>
        <rFont val="Calibri"/>
        <family val="2"/>
        <scheme val="minor"/>
      </rPr>
      <t>-K)</t>
    </r>
  </si>
  <si>
    <t>M*Cp</t>
  </si>
  <si>
    <t>Total</t>
  </si>
  <si>
    <t>C</t>
  </si>
  <si>
    <t>Total Contact</t>
  </si>
  <si>
    <t>Total Other</t>
  </si>
  <si>
    <t>CG low</t>
  </si>
  <si>
    <t>CG High</t>
  </si>
  <si>
    <t>CG</t>
  </si>
  <si>
    <t>6. Thermal Contact: Thermal Strap - REC Walls</t>
  </si>
  <si>
    <t>7. REC Walls</t>
  </si>
  <si>
    <t>(27  in parallel)</t>
  </si>
  <si>
    <t>8. Thermal Contact: REC walls - Cryo plate</t>
  </si>
  <si>
    <t>Current Sources</t>
  </si>
  <si>
    <t>ADC's</t>
  </si>
  <si>
    <t>Differential amps</t>
  </si>
  <si>
    <t>Zone</t>
  </si>
  <si>
    <t>Flex circuit</t>
  </si>
  <si>
    <t>Total Area</t>
  </si>
  <si>
    <t>Note:  All quantities are per RTM</t>
  </si>
  <si>
    <t>On CCD's</t>
  </si>
  <si>
    <t>Mass*Cp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</si>
</sst>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E+00"/>
    <numFmt numFmtId="170" formatCode="0.000000"/>
    <numFmt numFmtId="171" formatCode="0.0E+00"/>
  </numFmts>
  <fonts count="3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vertAlign val="superscript"/>
      <sz val="14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8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5" fillId="0" borderId="0" xfId="0" applyFont="1"/>
    <xf numFmtId="11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Border="1"/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9" fillId="0" borderId="0" xfId="0" applyFont="1" applyBorder="1"/>
    <xf numFmtId="0" fontId="6" fillId="0" borderId="0" xfId="0" applyFont="1"/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7" fontId="6" fillId="2" borderId="9" xfId="0" applyNumberFormat="1" applyFont="1" applyFill="1" applyBorder="1" applyAlignment="1">
      <alignment horizontal="center"/>
    </xf>
    <xf numFmtId="165" fontId="6" fillId="2" borderId="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2" fontId="0" fillId="0" borderId="0" xfId="0" applyNumberFormat="1" applyFont="1"/>
    <xf numFmtId="169" fontId="0" fillId="0" borderId="0" xfId="0" applyNumberFormat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7" xfId="0" applyFont="1" applyBorder="1"/>
    <xf numFmtId="0" fontId="1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/>
    <xf numFmtId="167" fontId="1" fillId="0" borderId="0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6" fillId="2" borderId="9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70" fontId="6" fillId="2" borderId="9" xfId="0" applyNumberFormat="1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/>
    <xf numFmtId="0" fontId="3" fillId="0" borderId="0" xfId="0" applyFont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11" fontId="14" fillId="0" borderId="0" xfId="0" applyNumberFormat="1" applyFont="1" applyBorder="1" applyAlignment="1">
      <alignment horizontal="center"/>
    </xf>
    <xf numFmtId="167" fontId="14" fillId="0" borderId="0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11" fontId="16" fillId="0" borderId="0" xfId="0" applyNumberFormat="1" applyFont="1" applyBorder="1" applyAlignment="1">
      <alignment horizontal="center"/>
    </xf>
    <xf numFmtId="11" fontId="17" fillId="0" borderId="0" xfId="0" applyNumberFormat="1" applyFont="1" applyBorder="1" applyAlignment="1">
      <alignment horizontal="center"/>
    </xf>
    <xf numFmtId="167" fontId="17" fillId="0" borderId="0" xfId="0" applyNumberFormat="1" applyFont="1" applyBorder="1" applyAlignment="1">
      <alignment horizontal="center"/>
    </xf>
    <xf numFmtId="167" fontId="16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/>
    </xf>
    <xf numFmtId="167" fontId="9" fillId="0" borderId="0" xfId="0" applyNumberFormat="1" applyFont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167" fontId="3" fillId="0" borderId="15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7" fontId="3" fillId="0" borderId="16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2" fontId="6" fillId="0" borderId="17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2" fillId="0" borderId="0" xfId="0" applyFont="1" applyBorder="1"/>
    <xf numFmtId="0" fontId="23" fillId="0" borderId="7" xfId="0" applyFont="1" applyBorder="1" applyAlignment="1">
      <alignment horizontal="center"/>
    </xf>
    <xf numFmtId="0" fontId="22" fillId="0" borderId="0" xfId="0" applyFont="1" applyAlignment="1">
      <alignment horizontal="center"/>
    </xf>
    <xf numFmtId="2" fontId="22" fillId="0" borderId="0" xfId="0" applyNumberFormat="1" applyFont="1" applyBorder="1" applyAlignment="1">
      <alignment horizontal="center"/>
    </xf>
    <xf numFmtId="0" fontId="22" fillId="0" borderId="0" xfId="0" applyFont="1"/>
    <xf numFmtId="2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7" fontId="20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0" applyNumberFormat="1" applyFont="1" applyBorder="1"/>
    <xf numFmtId="2" fontId="24" fillId="0" borderId="0" xfId="0" applyNumberFormat="1" applyFont="1" applyBorder="1" applyAlignment="1">
      <alignment horizontal="center"/>
    </xf>
    <xf numFmtId="2" fontId="25" fillId="0" borderId="0" xfId="0" applyNumberFormat="1" applyFont="1" applyBorder="1" applyAlignment="1">
      <alignment horizontal="center"/>
    </xf>
    <xf numFmtId="0" fontId="25" fillId="0" borderId="0" xfId="0" applyFont="1" applyBorder="1"/>
    <xf numFmtId="0" fontId="25" fillId="0" borderId="0" xfId="0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" fillId="0" borderId="0" xfId="0" applyFont="1" applyBorder="1" applyAlignment="1"/>
    <xf numFmtId="2" fontId="24" fillId="0" borderId="7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0" borderId="0" xfId="0" applyFont="1" applyBorder="1"/>
    <xf numFmtId="0" fontId="27" fillId="0" borderId="7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6" fillId="0" borderId="0" xfId="0" applyFont="1"/>
    <xf numFmtId="0" fontId="24" fillId="0" borderId="2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Border="1"/>
    <xf numFmtId="0" fontId="24" fillId="0" borderId="0" xfId="0" applyFont="1" applyAlignment="1">
      <alignment horizontal="center"/>
    </xf>
    <xf numFmtId="164" fontId="25" fillId="0" borderId="0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2" fillId="0" borderId="2" xfId="0" applyFont="1" applyBorder="1"/>
    <xf numFmtId="2" fontId="22" fillId="0" borderId="7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0" xfId="0" applyNumberFormat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9" xfId="0" applyNumberFormat="1" applyFont="1" applyBorder="1"/>
    <xf numFmtId="11" fontId="1" fillId="0" borderId="7" xfId="0" applyNumberFormat="1" applyFont="1" applyBorder="1" applyAlignment="1">
      <alignment horizontal="center"/>
    </xf>
    <xf numFmtId="11" fontId="6" fillId="0" borderId="0" xfId="0" applyNumberFormat="1" applyFont="1" applyBorder="1" applyAlignment="1">
      <alignment horizontal="center"/>
    </xf>
    <xf numFmtId="167" fontId="6" fillId="0" borderId="16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31" fillId="0" borderId="2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249946</xdr:colOff>
      <xdr:row>12</xdr:row>
      <xdr:rowOff>133018</xdr:rowOff>
    </xdr:from>
    <xdr:to>
      <xdr:col>10</xdr:col>
      <xdr:colOff>993857</xdr:colOff>
      <xdr:row>16</xdr:row>
      <xdr:rowOff>119996</xdr:rowOff>
    </xdr:to>
    <xdr:grpSp>
      <xdr:nvGrpSpPr>
        <xdr:cNvPr id="3" name="Group 2"/>
        <xdr:cNvGrpSpPr/>
      </xdr:nvGrpSpPr>
      <xdr:grpSpPr>
        <a:xfrm>
          <a:off x="6311310" y="4497200"/>
          <a:ext cx="743911" cy="956796"/>
          <a:chOff x="7123019" y="171450"/>
          <a:chExt cx="290793" cy="828675"/>
        </a:xfrm>
      </xdr:grpSpPr>
      <xdr:cxnSp macro="">
        <xdr:nvCxnSpPr>
          <xdr:cNvPr id="4" name="Straight Connector 3"/>
          <xdr:cNvCxnSpPr/>
        </xdr:nvCxnSpPr>
        <xdr:spPr>
          <a:xfrm>
            <a:off x="7256369" y="171450"/>
            <a:ext cx="0" cy="2192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/>
        </xdr:nvCxnSpPr>
        <xdr:spPr>
          <a:xfrm>
            <a:off x="7256369" y="390525"/>
            <a:ext cx="157443" cy="16192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 flipH="1">
            <a:off x="7123019" y="552127"/>
            <a:ext cx="267546" cy="1241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7132544" y="666750"/>
            <a:ext cx="138393" cy="14287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7270937" y="800100"/>
            <a:ext cx="0" cy="20002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565029</xdr:colOff>
      <xdr:row>17</xdr:row>
      <xdr:rowOff>41248</xdr:rowOff>
    </xdr:from>
    <xdr:to>
      <xdr:col>10</xdr:col>
      <xdr:colOff>694456</xdr:colOff>
      <xdr:row>17</xdr:row>
      <xdr:rowOff>173994</xdr:rowOff>
    </xdr:to>
    <xdr:sp macro="" textlink="">
      <xdr:nvSpPr>
        <xdr:cNvPr id="11" name="Oval 10"/>
        <xdr:cNvSpPr/>
      </xdr:nvSpPr>
      <xdr:spPr>
        <a:xfrm>
          <a:off x="6661029" y="3651223"/>
          <a:ext cx="129427" cy="13274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629743</xdr:colOff>
      <xdr:row>17</xdr:row>
      <xdr:rowOff>173994</xdr:rowOff>
    </xdr:from>
    <xdr:to>
      <xdr:col>10</xdr:col>
      <xdr:colOff>629743</xdr:colOff>
      <xdr:row>18</xdr:row>
      <xdr:rowOff>89296</xdr:rowOff>
    </xdr:to>
    <xdr:cxnSp macro="">
      <xdr:nvCxnSpPr>
        <xdr:cNvPr id="39" name="Straight Connector 38"/>
        <xdr:cNvCxnSpPr>
          <a:stCxn id="11" idx="4"/>
        </xdr:cNvCxnSpPr>
      </xdr:nvCxnSpPr>
      <xdr:spPr>
        <a:xfrm>
          <a:off x="6725743" y="3783969"/>
          <a:ext cx="0" cy="1058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629743</xdr:colOff>
      <xdr:row>16</xdr:row>
      <xdr:rowOff>128088</xdr:rowOff>
    </xdr:from>
    <xdr:to>
      <xdr:col>10</xdr:col>
      <xdr:colOff>631461</xdr:colOff>
      <xdr:row>17</xdr:row>
      <xdr:rowOff>41248</xdr:rowOff>
    </xdr:to>
    <xdr:cxnSp macro="">
      <xdr:nvCxnSpPr>
        <xdr:cNvPr id="40" name="Straight Connector 39"/>
        <xdr:cNvCxnSpPr>
          <a:endCxn id="11" idx="0"/>
        </xdr:cNvCxnSpPr>
      </xdr:nvCxnSpPr>
      <xdr:spPr>
        <a:xfrm flipH="1">
          <a:off x="6725743" y="3547563"/>
          <a:ext cx="1718" cy="1036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226094</xdr:colOff>
      <xdr:row>22</xdr:row>
      <xdr:rowOff>173095</xdr:rowOff>
    </xdr:from>
    <xdr:to>
      <xdr:col>10</xdr:col>
      <xdr:colOff>1006929</xdr:colOff>
      <xdr:row>26</xdr:row>
      <xdr:rowOff>186414</xdr:rowOff>
    </xdr:to>
    <xdr:grpSp>
      <xdr:nvGrpSpPr>
        <xdr:cNvPr id="42" name="Group 41"/>
        <xdr:cNvGrpSpPr/>
      </xdr:nvGrpSpPr>
      <xdr:grpSpPr>
        <a:xfrm>
          <a:off x="6287458" y="7204277"/>
          <a:ext cx="780835" cy="983137"/>
          <a:chOff x="6193261" y="1052406"/>
          <a:chExt cx="1054268" cy="893150"/>
        </a:xfrm>
      </xdr:grpSpPr>
      <xdr:grpSp>
        <xdr:nvGrpSpPr>
          <xdr:cNvPr id="43" name="Group 28"/>
          <xdr:cNvGrpSpPr/>
        </xdr:nvGrpSpPr>
        <xdr:grpSpPr>
          <a:xfrm>
            <a:off x="6446780" y="1052406"/>
            <a:ext cx="290793" cy="879963"/>
            <a:chOff x="7123019" y="171450"/>
            <a:chExt cx="290793" cy="828675"/>
          </a:xfrm>
        </xdr:grpSpPr>
        <xdr:cxnSp macro="">
          <xdr:nvCxnSpPr>
            <xdr:cNvPr id="64" name="Straight Connector 3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5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" name="Straight Connector 67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4" name="Group 85"/>
          <xdr:cNvGrpSpPr/>
        </xdr:nvGrpSpPr>
        <xdr:grpSpPr>
          <a:xfrm>
            <a:off x="6716412" y="1065593"/>
            <a:ext cx="290793" cy="879963"/>
            <a:chOff x="7123019" y="171450"/>
            <a:chExt cx="290793" cy="828675"/>
          </a:xfrm>
        </xdr:grpSpPr>
        <xdr:cxnSp macro="">
          <xdr:nvCxnSpPr>
            <xdr:cNvPr id="59" name="Straight Connector 58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" name="Straight Connector 59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5" name="Group 91"/>
          <xdr:cNvGrpSpPr/>
        </xdr:nvGrpSpPr>
        <xdr:grpSpPr>
          <a:xfrm>
            <a:off x="6956736" y="1056799"/>
            <a:ext cx="290793" cy="879963"/>
            <a:chOff x="7123019" y="171450"/>
            <a:chExt cx="290793" cy="828675"/>
          </a:xfrm>
        </xdr:grpSpPr>
        <xdr:cxnSp macro="">
          <xdr:nvCxnSpPr>
            <xdr:cNvPr id="54" name="Straight Connector 53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" name="Straight Connector 56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6" name="Group 97"/>
          <xdr:cNvGrpSpPr/>
        </xdr:nvGrpSpPr>
        <xdr:grpSpPr>
          <a:xfrm>
            <a:off x="6193261" y="1055332"/>
            <a:ext cx="290793" cy="879963"/>
            <a:chOff x="7123019" y="171450"/>
            <a:chExt cx="290793" cy="828675"/>
          </a:xfrm>
        </xdr:grpSpPr>
        <xdr:cxnSp macro="">
          <xdr:nvCxnSpPr>
            <xdr:cNvPr id="49" name="Straight Connector 48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" name="Straight Connector 49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" name="Straight Connector 50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" name="Straight Connector 51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52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7" name="Straight Connector 46"/>
          <xdr:cNvCxnSpPr/>
        </xdr:nvCxnSpPr>
        <xdr:spPr>
          <a:xfrm>
            <a:off x="6315808" y="10550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/>
        </xdr:nvCxnSpPr>
        <xdr:spPr>
          <a:xfrm>
            <a:off x="6343649" y="19401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621460</xdr:colOff>
      <xdr:row>22</xdr:row>
      <xdr:rowOff>80909</xdr:rowOff>
    </xdr:from>
    <xdr:to>
      <xdr:col>10</xdr:col>
      <xdr:colOff>621460</xdr:colOff>
      <xdr:row>22</xdr:row>
      <xdr:rowOff>186711</xdr:rowOff>
    </xdr:to>
    <xdr:cxnSp macro="">
      <xdr:nvCxnSpPr>
        <xdr:cNvPr id="69" name="Straight Connector 68"/>
        <xdr:cNvCxnSpPr/>
      </xdr:nvCxnSpPr>
      <xdr:spPr>
        <a:xfrm>
          <a:off x="6717460" y="4929134"/>
          <a:ext cx="0" cy="1058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621460</xdr:colOff>
      <xdr:row>21</xdr:row>
      <xdr:rowOff>35003</xdr:rowOff>
    </xdr:from>
    <xdr:to>
      <xdr:col>10</xdr:col>
      <xdr:colOff>623178</xdr:colOff>
      <xdr:row>21</xdr:row>
      <xdr:rowOff>138663</xdr:rowOff>
    </xdr:to>
    <xdr:cxnSp macro="">
      <xdr:nvCxnSpPr>
        <xdr:cNvPr id="70" name="Straight Connector 69"/>
        <xdr:cNvCxnSpPr/>
      </xdr:nvCxnSpPr>
      <xdr:spPr>
        <a:xfrm flipH="1">
          <a:off x="6717460" y="4692728"/>
          <a:ext cx="1718" cy="1036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624766</xdr:colOff>
      <xdr:row>28</xdr:row>
      <xdr:rowOff>145156</xdr:rowOff>
    </xdr:from>
    <xdr:to>
      <xdr:col>10</xdr:col>
      <xdr:colOff>624766</xdr:colOff>
      <xdr:row>29</xdr:row>
      <xdr:rowOff>180975</xdr:rowOff>
    </xdr:to>
    <xdr:cxnSp macro="">
      <xdr:nvCxnSpPr>
        <xdr:cNvPr id="99" name="Straight Connector 98"/>
        <xdr:cNvCxnSpPr/>
      </xdr:nvCxnSpPr>
      <xdr:spPr>
        <a:xfrm>
          <a:off x="6720766" y="6184006"/>
          <a:ext cx="0" cy="22631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624766</xdr:colOff>
      <xdr:row>26</xdr:row>
      <xdr:rowOff>161925</xdr:rowOff>
    </xdr:from>
    <xdr:to>
      <xdr:col>10</xdr:col>
      <xdr:colOff>624766</xdr:colOff>
      <xdr:row>28</xdr:row>
      <xdr:rowOff>12410</xdr:rowOff>
    </xdr:to>
    <xdr:cxnSp macro="">
      <xdr:nvCxnSpPr>
        <xdr:cNvPr id="100" name="Straight Connector 99"/>
        <xdr:cNvCxnSpPr/>
      </xdr:nvCxnSpPr>
      <xdr:spPr>
        <a:xfrm>
          <a:off x="6720766" y="5819775"/>
          <a:ext cx="0" cy="2314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563358</xdr:colOff>
      <xdr:row>34</xdr:row>
      <xdr:rowOff>87436</xdr:rowOff>
    </xdr:from>
    <xdr:to>
      <xdr:col>10</xdr:col>
      <xdr:colOff>692785</xdr:colOff>
      <xdr:row>34</xdr:row>
      <xdr:rowOff>220182</xdr:rowOff>
    </xdr:to>
    <xdr:sp macro="" textlink="">
      <xdr:nvSpPr>
        <xdr:cNvPr id="101" name="Oval 100"/>
        <xdr:cNvSpPr/>
      </xdr:nvSpPr>
      <xdr:spPr>
        <a:xfrm>
          <a:off x="6659358" y="8821861"/>
          <a:ext cx="129427" cy="13274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628072</xdr:colOff>
      <xdr:row>34</xdr:row>
      <xdr:rowOff>220182</xdr:rowOff>
    </xdr:from>
    <xdr:to>
      <xdr:col>10</xdr:col>
      <xdr:colOff>628072</xdr:colOff>
      <xdr:row>35</xdr:row>
      <xdr:rowOff>180975</xdr:rowOff>
    </xdr:to>
    <xdr:cxnSp macro="">
      <xdr:nvCxnSpPr>
        <xdr:cNvPr id="129" name="Straight Connector 128"/>
        <xdr:cNvCxnSpPr>
          <a:stCxn id="101" idx="4"/>
        </xdr:cNvCxnSpPr>
      </xdr:nvCxnSpPr>
      <xdr:spPr>
        <a:xfrm>
          <a:off x="6724072" y="8954607"/>
          <a:ext cx="0" cy="3608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628072</xdr:colOff>
      <xdr:row>32</xdr:row>
      <xdr:rowOff>142875</xdr:rowOff>
    </xdr:from>
    <xdr:to>
      <xdr:col>10</xdr:col>
      <xdr:colOff>628072</xdr:colOff>
      <xdr:row>34</xdr:row>
      <xdr:rowOff>87436</xdr:rowOff>
    </xdr:to>
    <xdr:cxnSp macro="">
      <xdr:nvCxnSpPr>
        <xdr:cNvPr id="130" name="Straight Connector 129"/>
        <xdr:cNvCxnSpPr>
          <a:endCxn id="101" idx="0"/>
        </xdr:cNvCxnSpPr>
      </xdr:nvCxnSpPr>
      <xdr:spPr>
        <a:xfrm>
          <a:off x="6724072" y="8496300"/>
          <a:ext cx="0" cy="32556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566664</xdr:colOff>
      <xdr:row>41</xdr:row>
      <xdr:rowOff>10890</xdr:rowOff>
    </xdr:from>
    <xdr:to>
      <xdr:col>10</xdr:col>
      <xdr:colOff>696091</xdr:colOff>
      <xdr:row>41</xdr:row>
      <xdr:rowOff>143636</xdr:rowOff>
    </xdr:to>
    <xdr:sp macro="" textlink="">
      <xdr:nvSpPr>
        <xdr:cNvPr id="131" name="Oval 130"/>
        <xdr:cNvSpPr/>
      </xdr:nvSpPr>
      <xdr:spPr>
        <a:xfrm>
          <a:off x="6662664" y="9021540"/>
          <a:ext cx="129427" cy="13274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631378</xdr:colOff>
      <xdr:row>41</xdr:row>
      <xdr:rowOff>143636</xdr:rowOff>
    </xdr:from>
    <xdr:to>
      <xdr:col>10</xdr:col>
      <xdr:colOff>631378</xdr:colOff>
      <xdr:row>42</xdr:row>
      <xdr:rowOff>152400</xdr:rowOff>
    </xdr:to>
    <xdr:cxnSp macro="">
      <xdr:nvCxnSpPr>
        <xdr:cNvPr id="159" name="Straight Connector 158"/>
        <xdr:cNvCxnSpPr>
          <a:stCxn id="131" idx="4"/>
        </xdr:cNvCxnSpPr>
      </xdr:nvCxnSpPr>
      <xdr:spPr>
        <a:xfrm>
          <a:off x="6727378" y="9154286"/>
          <a:ext cx="0" cy="1992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631378</xdr:colOff>
      <xdr:row>39</xdr:row>
      <xdr:rowOff>9525</xdr:rowOff>
    </xdr:from>
    <xdr:to>
      <xdr:col>10</xdr:col>
      <xdr:colOff>631378</xdr:colOff>
      <xdr:row>41</xdr:row>
      <xdr:rowOff>10890</xdr:rowOff>
    </xdr:to>
    <xdr:cxnSp macro="">
      <xdr:nvCxnSpPr>
        <xdr:cNvPr id="160" name="Straight Connector 159"/>
        <xdr:cNvCxnSpPr>
          <a:endCxn id="131" idx="0"/>
        </xdr:cNvCxnSpPr>
      </xdr:nvCxnSpPr>
      <xdr:spPr>
        <a:xfrm>
          <a:off x="6727378" y="9953625"/>
          <a:ext cx="0" cy="3823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572883</xdr:colOff>
      <xdr:row>47</xdr:row>
      <xdr:rowOff>299709</xdr:rowOff>
    </xdr:from>
    <xdr:to>
      <xdr:col>10</xdr:col>
      <xdr:colOff>702310</xdr:colOff>
      <xdr:row>47</xdr:row>
      <xdr:rowOff>441980</xdr:rowOff>
    </xdr:to>
    <xdr:sp macro="" textlink="">
      <xdr:nvSpPr>
        <xdr:cNvPr id="161" name="Oval 160"/>
        <xdr:cNvSpPr/>
      </xdr:nvSpPr>
      <xdr:spPr>
        <a:xfrm>
          <a:off x="6668883" y="12196434"/>
          <a:ext cx="129427" cy="142271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637597</xdr:colOff>
      <xdr:row>45</xdr:row>
      <xdr:rowOff>81645</xdr:rowOff>
    </xdr:from>
    <xdr:to>
      <xdr:col>10</xdr:col>
      <xdr:colOff>637597</xdr:colOff>
      <xdr:row>47</xdr:row>
      <xdr:rowOff>299709</xdr:rowOff>
    </xdr:to>
    <xdr:cxnSp macro="">
      <xdr:nvCxnSpPr>
        <xdr:cNvPr id="162" name="Straight Connector 161"/>
        <xdr:cNvCxnSpPr>
          <a:endCxn id="161" idx="0"/>
        </xdr:cNvCxnSpPr>
      </xdr:nvCxnSpPr>
      <xdr:spPr>
        <a:xfrm>
          <a:off x="6733597" y="11787870"/>
          <a:ext cx="0" cy="4085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306628</xdr:colOff>
      <xdr:row>8</xdr:row>
      <xdr:rowOff>244928</xdr:rowOff>
    </xdr:from>
    <xdr:to>
      <xdr:col>10</xdr:col>
      <xdr:colOff>898072</xdr:colOff>
      <xdr:row>12</xdr:row>
      <xdr:rowOff>13875</xdr:rowOff>
    </xdr:to>
    <xdr:grpSp>
      <xdr:nvGrpSpPr>
        <xdr:cNvPr id="163" name="Group 29"/>
        <xdr:cNvGrpSpPr/>
      </xdr:nvGrpSpPr>
      <xdr:grpSpPr>
        <a:xfrm>
          <a:off x="6367992" y="3231448"/>
          <a:ext cx="591444" cy="1146609"/>
          <a:chOff x="7272697" y="181935"/>
          <a:chExt cx="290793" cy="828676"/>
        </a:xfrm>
      </xdr:grpSpPr>
      <xdr:cxnSp macro="">
        <xdr:nvCxnSpPr>
          <xdr:cNvPr id="164" name="Straight Connector 163"/>
          <xdr:cNvCxnSpPr/>
        </xdr:nvCxnSpPr>
        <xdr:spPr>
          <a:xfrm>
            <a:off x="7406047" y="181935"/>
            <a:ext cx="0" cy="2192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5" name="Straight Connector 164"/>
          <xdr:cNvCxnSpPr/>
        </xdr:nvCxnSpPr>
        <xdr:spPr>
          <a:xfrm>
            <a:off x="7406047" y="401010"/>
            <a:ext cx="157443" cy="16192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Straight Connector 165"/>
          <xdr:cNvCxnSpPr/>
        </xdr:nvCxnSpPr>
        <xdr:spPr>
          <a:xfrm flipH="1">
            <a:off x="7272697" y="562611"/>
            <a:ext cx="267546" cy="1241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Straight Connector 166"/>
          <xdr:cNvCxnSpPr/>
        </xdr:nvCxnSpPr>
        <xdr:spPr>
          <a:xfrm>
            <a:off x="7282222" y="677235"/>
            <a:ext cx="138393" cy="14287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Straight Connector 167"/>
          <xdr:cNvCxnSpPr/>
        </xdr:nvCxnSpPr>
        <xdr:spPr>
          <a:xfrm>
            <a:off x="7420615" y="810586"/>
            <a:ext cx="0" cy="20002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242422</xdr:colOff>
      <xdr:row>18</xdr:row>
      <xdr:rowOff>94173</xdr:rowOff>
    </xdr:from>
    <xdr:to>
      <xdr:col>10</xdr:col>
      <xdr:colOff>1023257</xdr:colOff>
      <xdr:row>21</xdr:row>
      <xdr:rowOff>66671</xdr:rowOff>
    </xdr:to>
    <xdr:grpSp>
      <xdr:nvGrpSpPr>
        <xdr:cNvPr id="185" name="Group 184"/>
        <xdr:cNvGrpSpPr/>
      </xdr:nvGrpSpPr>
      <xdr:grpSpPr>
        <a:xfrm>
          <a:off x="6303786" y="5913082"/>
          <a:ext cx="780835" cy="942316"/>
          <a:chOff x="6193261" y="1052406"/>
          <a:chExt cx="1054268" cy="893150"/>
        </a:xfrm>
      </xdr:grpSpPr>
      <xdr:grpSp>
        <xdr:nvGrpSpPr>
          <xdr:cNvPr id="186" name="Group 28"/>
          <xdr:cNvGrpSpPr/>
        </xdr:nvGrpSpPr>
        <xdr:grpSpPr>
          <a:xfrm>
            <a:off x="6446780" y="1052406"/>
            <a:ext cx="290793" cy="879963"/>
            <a:chOff x="7123019" y="171450"/>
            <a:chExt cx="290793" cy="828675"/>
          </a:xfrm>
        </xdr:grpSpPr>
        <xdr:cxnSp macro="">
          <xdr:nvCxnSpPr>
            <xdr:cNvPr id="207" name="Straight Connector 3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" name="Straight Connector 5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" name="Straight Connector 208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" name="Straight Connector 209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" name="Straight Connector 210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87" name="Group 85"/>
          <xdr:cNvGrpSpPr/>
        </xdr:nvGrpSpPr>
        <xdr:grpSpPr>
          <a:xfrm>
            <a:off x="6716412" y="1065593"/>
            <a:ext cx="290793" cy="879963"/>
            <a:chOff x="7123019" y="171450"/>
            <a:chExt cx="290793" cy="828675"/>
          </a:xfrm>
        </xdr:grpSpPr>
        <xdr:cxnSp macro="">
          <xdr:nvCxnSpPr>
            <xdr:cNvPr id="202" name="Straight Connector 201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" name="Straight Connector 202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" name="Straight Connector 203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" name="Straight Connector 204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" name="Straight Connector 205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88" name="Group 91"/>
          <xdr:cNvGrpSpPr/>
        </xdr:nvGrpSpPr>
        <xdr:grpSpPr>
          <a:xfrm>
            <a:off x="6956736" y="1056799"/>
            <a:ext cx="290793" cy="879963"/>
            <a:chOff x="7123019" y="171450"/>
            <a:chExt cx="290793" cy="828675"/>
          </a:xfrm>
        </xdr:grpSpPr>
        <xdr:cxnSp macro="">
          <xdr:nvCxnSpPr>
            <xdr:cNvPr id="197" name="Straight Connector 196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" name="Straight Connector 197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" name="Straight Connector 198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" name="Straight Connector 199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" name="Straight Connector 200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89" name="Group 97"/>
          <xdr:cNvGrpSpPr/>
        </xdr:nvGrpSpPr>
        <xdr:grpSpPr>
          <a:xfrm>
            <a:off x="6193261" y="1055332"/>
            <a:ext cx="290793" cy="879963"/>
            <a:chOff x="7123019" y="171450"/>
            <a:chExt cx="290793" cy="828675"/>
          </a:xfrm>
        </xdr:grpSpPr>
        <xdr:cxnSp macro="">
          <xdr:nvCxnSpPr>
            <xdr:cNvPr id="192" name="Straight Connector 191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" name="Straight Connector 192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" name="Straight Connector 193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" name="Straight Connector 194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" name="Straight Connector 195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0" name="Straight Connector 189"/>
          <xdr:cNvCxnSpPr/>
        </xdr:nvCxnSpPr>
        <xdr:spPr>
          <a:xfrm>
            <a:off x="6315808" y="10550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Straight Connector 190"/>
          <xdr:cNvCxnSpPr/>
        </xdr:nvCxnSpPr>
        <xdr:spPr>
          <a:xfrm>
            <a:off x="6343649" y="19401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245143</xdr:colOff>
      <xdr:row>29</xdr:row>
      <xdr:rowOff>178537</xdr:rowOff>
    </xdr:from>
    <xdr:to>
      <xdr:col>10</xdr:col>
      <xdr:colOff>1025978</xdr:colOff>
      <xdr:row>32</xdr:row>
      <xdr:rowOff>151035</xdr:rowOff>
    </xdr:to>
    <xdr:grpSp>
      <xdr:nvGrpSpPr>
        <xdr:cNvPr id="212" name="Group 211"/>
        <xdr:cNvGrpSpPr/>
      </xdr:nvGrpSpPr>
      <xdr:grpSpPr>
        <a:xfrm>
          <a:off x="6306507" y="8906901"/>
          <a:ext cx="780835" cy="1167452"/>
          <a:chOff x="6193261" y="1052406"/>
          <a:chExt cx="1054268" cy="893150"/>
        </a:xfrm>
      </xdr:grpSpPr>
      <xdr:grpSp>
        <xdr:nvGrpSpPr>
          <xdr:cNvPr id="213" name="Group 28"/>
          <xdr:cNvGrpSpPr/>
        </xdr:nvGrpSpPr>
        <xdr:grpSpPr>
          <a:xfrm>
            <a:off x="6446780" y="1052406"/>
            <a:ext cx="290793" cy="879963"/>
            <a:chOff x="7123019" y="171450"/>
            <a:chExt cx="290793" cy="828675"/>
          </a:xfrm>
        </xdr:grpSpPr>
        <xdr:cxnSp macro="">
          <xdr:nvCxnSpPr>
            <xdr:cNvPr id="234" name="Straight Connector 3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" name="Straight Connector 5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" name="Straight Connector 235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" name="Straight Connector 236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" name="Straight Connector 237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4" name="Group 85"/>
          <xdr:cNvGrpSpPr/>
        </xdr:nvGrpSpPr>
        <xdr:grpSpPr>
          <a:xfrm>
            <a:off x="6716412" y="1065593"/>
            <a:ext cx="290793" cy="879963"/>
            <a:chOff x="7123019" y="171450"/>
            <a:chExt cx="290793" cy="828675"/>
          </a:xfrm>
        </xdr:grpSpPr>
        <xdr:cxnSp macro="">
          <xdr:nvCxnSpPr>
            <xdr:cNvPr id="229" name="Straight Connector 228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" name="Straight Connector 229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" name="Straight Connector 230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" name="Straight Connector 231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" name="Straight Connector 232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5" name="Group 91"/>
          <xdr:cNvGrpSpPr/>
        </xdr:nvGrpSpPr>
        <xdr:grpSpPr>
          <a:xfrm>
            <a:off x="6956736" y="1056799"/>
            <a:ext cx="290793" cy="879963"/>
            <a:chOff x="7123019" y="171450"/>
            <a:chExt cx="290793" cy="828675"/>
          </a:xfrm>
        </xdr:grpSpPr>
        <xdr:cxnSp macro="">
          <xdr:nvCxnSpPr>
            <xdr:cNvPr id="224" name="Straight Connector 223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5" name="Straight Connector 224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6" name="Straight Connector 225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" name="Straight Connector 226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" name="Straight Connector 227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" name="Group 97"/>
          <xdr:cNvGrpSpPr/>
        </xdr:nvGrpSpPr>
        <xdr:grpSpPr>
          <a:xfrm>
            <a:off x="6193261" y="1055332"/>
            <a:ext cx="290793" cy="879963"/>
            <a:chOff x="7123019" y="171450"/>
            <a:chExt cx="290793" cy="828675"/>
          </a:xfrm>
        </xdr:grpSpPr>
        <xdr:cxnSp macro="">
          <xdr:nvCxnSpPr>
            <xdr:cNvPr id="219" name="Straight Connector 218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" name="Straight Connector 219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" name="Straight Connector 220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" name="Straight Connector 221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" name="Straight Connector 222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7" name="Straight Connector 216"/>
          <xdr:cNvCxnSpPr/>
        </xdr:nvCxnSpPr>
        <xdr:spPr>
          <a:xfrm>
            <a:off x="6315808" y="10550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8" name="Straight Connector 217"/>
          <xdr:cNvCxnSpPr/>
        </xdr:nvCxnSpPr>
        <xdr:spPr>
          <a:xfrm>
            <a:off x="6343649" y="19401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220650</xdr:colOff>
      <xdr:row>35</xdr:row>
      <xdr:rowOff>167651</xdr:rowOff>
    </xdr:from>
    <xdr:to>
      <xdr:col>10</xdr:col>
      <xdr:colOff>1001485</xdr:colOff>
      <xdr:row>39</xdr:row>
      <xdr:rowOff>31292</xdr:rowOff>
    </xdr:to>
    <xdr:grpSp>
      <xdr:nvGrpSpPr>
        <xdr:cNvPr id="239" name="Group 238"/>
        <xdr:cNvGrpSpPr/>
      </xdr:nvGrpSpPr>
      <xdr:grpSpPr>
        <a:xfrm>
          <a:off x="6282014" y="10974196"/>
          <a:ext cx="780835" cy="833460"/>
          <a:chOff x="6193261" y="1052406"/>
          <a:chExt cx="1054268" cy="893150"/>
        </a:xfrm>
      </xdr:grpSpPr>
      <xdr:grpSp>
        <xdr:nvGrpSpPr>
          <xdr:cNvPr id="240" name="Group 28"/>
          <xdr:cNvGrpSpPr/>
        </xdr:nvGrpSpPr>
        <xdr:grpSpPr>
          <a:xfrm>
            <a:off x="6446780" y="1052406"/>
            <a:ext cx="290793" cy="879963"/>
            <a:chOff x="7123019" y="171450"/>
            <a:chExt cx="290793" cy="828675"/>
          </a:xfrm>
        </xdr:grpSpPr>
        <xdr:cxnSp macro="">
          <xdr:nvCxnSpPr>
            <xdr:cNvPr id="261" name="Straight Connector 3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" name="Straight Connector 5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" name="Straight Connector 262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" name="Straight Connector 263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" name="Straight Connector 264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41" name="Group 85"/>
          <xdr:cNvGrpSpPr/>
        </xdr:nvGrpSpPr>
        <xdr:grpSpPr>
          <a:xfrm>
            <a:off x="6716412" y="1065593"/>
            <a:ext cx="290793" cy="879963"/>
            <a:chOff x="7123019" y="171450"/>
            <a:chExt cx="290793" cy="828675"/>
          </a:xfrm>
        </xdr:grpSpPr>
        <xdr:cxnSp macro="">
          <xdr:nvCxnSpPr>
            <xdr:cNvPr id="256" name="Straight Connector 255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" name="Straight Connector 256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" name="Straight Connector 257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" name="Straight Connector 258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" name="Straight Connector 259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42" name="Group 91"/>
          <xdr:cNvGrpSpPr/>
        </xdr:nvGrpSpPr>
        <xdr:grpSpPr>
          <a:xfrm>
            <a:off x="6956736" y="1056799"/>
            <a:ext cx="290793" cy="879963"/>
            <a:chOff x="7123019" y="171450"/>
            <a:chExt cx="290793" cy="828675"/>
          </a:xfrm>
        </xdr:grpSpPr>
        <xdr:cxnSp macro="">
          <xdr:nvCxnSpPr>
            <xdr:cNvPr id="251" name="Straight Connector 250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" name="Straight Connector 251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" name="Straight Connector 252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" name="Straight Connector 253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" name="Straight Connector 254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43" name="Group 97"/>
          <xdr:cNvGrpSpPr/>
        </xdr:nvGrpSpPr>
        <xdr:grpSpPr>
          <a:xfrm>
            <a:off x="6193261" y="1055332"/>
            <a:ext cx="290793" cy="879963"/>
            <a:chOff x="7123019" y="171450"/>
            <a:chExt cx="290793" cy="828675"/>
          </a:xfrm>
        </xdr:grpSpPr>
        <xdr:cxnSp macro="">
          <xdr:nvCxnSpPr>
            <xdr:cNvPr id="246" name="Straight Connector 245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" name="Straight Connector 246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" name="Straight Connector 247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" name="Straight Connector 248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" name="Straight Connector 249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4" name="Straight Connector 243"/>
          <xdr:cNvCxnSpPr/>
        </xdr:nvCxnSpPr>
        <xdr:spPr>
          <a:xfrm>
            <a:off x="6315808" y="10550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45" name="Straight Connector 244"/>
          <xdr:cNvCxnSpPr/>
        </xdr:nvCxnSpPr>
        <xdr:spPr>
          <a:xfrm>
            <a:off x="6343649" y="19401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264193</xdr:colOff>
      <xdr:row>42</xdr:row>
      <xdr:rowOff>158126</xdr:rowOff>
    </xdr:from>
    <xdr:to>
      <xdr:col>10</xdr:col>
      <xdr:colOff>1045028</xdr:colOff>
      <xdr:row>45</xdr:row>
      <xdr:rowOff>76195</xdr:rowOff>
    </xdr:to>
    <xdr:grpSp>
      <xdr:nvGrpSpPr>
        <xdr:cNvPr id="266" name="Group 265"/>
        <xdr:cNvGrpSpPr/>
      </xdr:nvGrpSpPr>
      <xdr:grpSpPr>
        <a:xfrm>
          <a:off x="6325557" y="12938944"/>
          <a:ext cx="780835" cy="887887"/>
          <a:chOff x="6193261" y="1052406"/>
          <a:chExt cx="1054268" cy="893150"/>
        </a:xfrm>
      </xdr:grpSpPr>
      <xdr:grpSp>
        <xdr:nvGrpSpPr>
          <xdr:cNvPr id="267" name="Group 28"/>
          <xdr:cNvGrpSpPr/>
        </xdr:nvGrpSpPr>
        <xdr:grpSpPr>
          <a:xfrm>
            <a:off x="6446780" y="1052406"/>
            <a:ext cx="290793" cy="879963"/>
            <a:chOff x="7123019" y="171450"/>
            <a:chExt cx="290793" cy="828675"/>
          </a:xfrm>
        </xdr:grpSpPr>
        <xdr:cxnSp macro="">
          <xdr:nvCxnSpPr>
            <xdr:cNvPr id="288" name="Straight Connector 3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" name="Straight Connector 5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" name="Straight Connector 289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" name="Straight Connector 290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" name="Straight Connector 291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68" name="Group 85"/>
          <xdr:cNvGrpSpPr/>
        </xdr:nvGrpSpPr>
        <xdr:grpSpPr>
          <a:xfrm>
            <a:off x="6716412" y="1065593"/>
            <a:ext cx="290793" cy="879963"/>
            <a:chOff x="7123019" y="171450"/>
            <a:chExt cx="290793" cy="828675"/>
          </a:xfrm>
        </xdr:grpSpPr>
        <xdr:cxnSp macro="">
          <xdr:nvCxnSpPr>
            <xdr:cNvPr id="283" name="Straight Connector 282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" name="Straight Connector 283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" name="Straight Connector 284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" name="Straight Connector 285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" name="Straight Connector 286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69" name="Group 91"/>
          <xdr:cNvGrpSpPr/>
        </xdr:nvGrpSpPr>
        <xdr:grpSpPr>
          <a:xfrm>
            <a:off x="6956736" y="1056799"/>
            <a:ext cx="290793" cy="879963"/>
            <a:chOff x="7123019" y="171450"/>
            <a:chExt cx="290793" cy="828675"/>
          </a:xfrm>
        </xdr:grpSpPr>
        <xdr:cxnSp macro="">
          <xdr:nvCxnSpPr>
            <xdr:cNvPr id="278" name="Straight Connector 277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" name="Straight Connector 278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" name="Straight Connector 279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" name="Straight Connector 280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" name="Straight Connector 281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70" name="Group 97"/>
          <xdr:cNvGrpSpPr/>
        </xdr:nvGrpSpPr>
        <xdr:grpSpPr>
          <a:xfrm>
            <a:off x="6193261" y="1055332"/>
            <a:ext cx="290793" cy="879963"/>
            <a:chOff x="7123019" y="171450"/>
            <a:chExt cx="290793" cy="828675"/>
          </a:xfrm>
        </xdr:grpSpPr>
        <xdr:cxnSp macro="">
          <xdr:nvCxnSpPr>
            <xdr:cNvPr id="273" name="Straight Connector 272"/>
            <xdr:cNvCxnSpPr/>
          </xdr:nvCxnSpPr>
          <xdr:spPr>
            <a:xfrm>
              <a:off x="7256369" y="171450"/>
              <a:ext cx="0" cy="219236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" name="Straight Connector 273"/>
            <xdr:cNvCxnSpPr/>
          </xdr:nvCxnSpPr>
          <xdr:spPr>
            <a:xfrm>
              <a:off x="7256369" y="390525"/>
              <a:ext cx="157443" cy="1619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" name="Straight Connector 274"/>
            <xdr:cNvCxnSpPr/>
          </xdr:nvCxnSpPr>
          <xdr:spPr>
            <a:xfrm flipH="1">
              <a:off x="7123019" y="552127"/>
              <a:ext cx="267546" cy="124148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" name="Straight Connector 275"/>
            <xdr:cNvCxnSpPr/>
          </xdr:nvCxnSpPr>
          <xdr:spPr>
            <a:xfrm>
              <a:off x="7132544" y="666750"/>
              <a:ext cx="138393" cy="14287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" name="Straight Connector 276"/>
            <xdr:cNvCxnSpPr/>
          </xdr:nvCxnSpPr>
          <xdr:spPr>
            <a:xfrm>
              <a:off x="7270937" y="800100"/>
              <a:ext cx="0" cy="200025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1" name="Straight Connector 270"/>
          <xdr:cNvCxnSpPr/>
        </xdr:nvCxnSpPr>
        <xdr:spPr>
          <a:xfrm>
            <a:off x="6315808" y="10550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72" name="Straight Connector 271"/>
          <xdr:cNvCxnSpPr/>
        </xdr:nvCxnSpPr>
        <xdr:spPr>
          <a:xfrm>
            <a:off x="6343649" y="1940177"/>
            <a:ext cx="783980" cy="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231321</xdr:colOff>
      <xdr:row>4</xdr:row>
      <xdr:rowOff>140281</xdr:rowOff>
    </xdr:from>
    <xdr:to>
      <xdr:col>6</xdr:col>
      <xdr:colOff>297996</xdr:colOff>
      <xdr:row>44</xdr:row>
      <xdr:rowOff>180821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1609852"/>
          <a:ext cx="3740604" cy="98921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40820</xdr:colOff>
      <xdr:row>8</xdr:row>
      <xdr:rowOff>440059</xdr:rowOff>
    </xdr:from>
    <xdr:to>
      <xdr:col>9</xdr:col>
      <xdr:colOff>476249</xdr:colOff>
      <xdr:row>11</xdr:row>
      <xdr:rowOff>81642</xdr:rowOff>
    </xdr:to>
    <xdr:sp macro="" textlink="">
      <xdr:nvSpPr>
        <xdr:cNvPr id="170" name="TextBox 169"/>
        <xdr:cNvSpPr txBox="1"/>
      </xdr:nvSpPr>
      <xdr:spPr>
        <a:xfrm>
          <a:off x="5551713" y="2970988"/>
          <a:ext cx="435429" cy="498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/>
            <a:t>2</a:t>
          </a:r>
        </a:p>
      </xdr:txBody>
    </xdr:sp>
    <xdr:clientData/>
  </xdr:twoCellAnchor>
  <xdr:twoCellAnchor>
    <xdr:from>
      <xdr:col>9</xdr:col>
      <xdr:colOff>16329</xdr:colOff>
      <xdr:row>12</xdr:row>
      <xdr:rowOff>157821</xdr:rowOff>
    </xdr:from>
    <xdr:to>
      <xdr:col>9</xdr:col>
      <xdr:colOff>449036</xdr:colOff>
      <xdr:row>14</xdr:row>
      <xdr:rowOff>169074</xdr:rowOff>
    </xdr:to>
    <xdr:sp macro="" textlink="">
      <xdr:nvSpPr>
        <xdr:cNvPr id="171" name="TextBox 170"/>
        <xdr:cNvSpPr txBox="1"/>
      </xdr:nvSpPr>
      <xdr:spPr>
        <a:xfrm>
          <a:off x="5527222" y="3940607"/>
          <a:ext cx="432707" cy="3922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/>
            <a:t>3</a:t>
          </a:r>
        </a:p>
      </xdr:txBody>
    </xdr:sp>
    <xdr:clientData/>
  </xdr:twoCellAnchor>
  <xdr:twoCellAnchor>
    <xdr:from>
      <xdr:col>9</xdr:col>
      <xdr:colOff>100693</xdr:colOff>
      <xdr:row>18</xdr:row>
      <xdr:rowOff>52897</xdr:rowOff>
    </xdr:from>
    <xdr:to>
      <xdr:col>9</xdr:col>
      <xdr:colOff>489857</xdr:colOff>
      <xdr:row>19</xdr:row>
      <xdr:rowOff>292784</xdr:rowOff>
    </xdr:to>
    <xdr:sp macro="" textlink="">
      <xdr:nvSpPr>
        <xdr:cNvPr id="172" name="TextBox 171"/>
        <xdr:cNvSpPr txBox="1"/>
      </xdr:nvSpPr>
      <xdr:spPr>
        <a:xfrm>
          <a:off x="5611586" y="5087540"/>
          <a:ext cx="389164" cy="4303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/>
            <a:t>4</a:t>
          </a:r>
        </a:p>
      </xdr:txBody>
    </xdr:sp>
    <xdr:clientData/>
  </xdr:twoCellAnchor>
  <xdr:twoCellAnchor>
    <xdr:from>
      <xdr:col>9</xdr:col>
      <xdr:colOff>130629</xdr:colOff>
      <xdr:row>22</xdr:row>
      <xdr:rowOff>56361</xdr:rowOff>
    </xdr:from>
    <xdr:to>
      <xdr:col>9</xdr:col>
      <xdr:colOff>489857</xdr:colOff>
      <xdr:row>24</xdr:row>
      <xdr:rowOff>130263</xdr:rowOff>
    </xdr:to>
    <xdr:sp macro="" textlink="">
      <xdr:nvSpPr>
        <xdr:cNvPr id="173" name="TextBox 172"/>
        <xdr:cNvSpPr txBox="1"/>
      </xdr:nvSpPr>
      <xdr:spPr>
        <a:xfrm>
          <a:off x="5641522" y="6193182"/>
          <a:ext cx="359228" cy="4549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/>
            <a:t>5</a:t>
          </a:r>
        </a:p>
      </xdr:txBody>
    </xdr:sp>
    <xdr:clientData/>
  </xdr:twoCellAnchor>
  <xdr:twoCellAnchor>
    <xdr:from>
      <xdr:col>9</xdr:col>
      <xdr:colOff>122464</xdr:colOff>
      <xdr:row>28</xdr:row>
      <xdr:rowOff>90360</xdr:rowOff>
    </xdr:from>
    <xdr:to>
      <xdr:col>9</xdr:col>
      <xdr:colOff>517071</xdr:colOff>
      <xdr:row>30</xdr:row>
      <xdr:rowOff>376732</xdr:rowOff>
    </xdr:to>
    <xdr:sp macro="" textlink="">
      <xdr:nvSpPr>
        <xdr:cNvPr id="174" name="TextBox 173"/>
        <xdr:cNvSpPr txBox="1"/>
      </xdr:nvSpPr>
      <xdr:spPr>
        <a:xfrm>
          <a:off x="5633357" y="7479039"/>
          <a:ext cx="394607" cy="6673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/>
            <a:t>6</a:t>
          </a:r>
        </a:p>
      </xdr:txBody>
    </xdr:sp>
    <xdr:clientData/>
  </xdr:twoCellAnchor>
  <xdr:twoCellAnchor>
    <xdr:from>
      <xdr:col>9</xdr:col>
      <xdr:colOff>138793</xdr:colOff>
      <xdr:row>35</xdr:row>
      <xdr:rowOff>190369</xdr:rowOff>
    </xdr:from>
    <xdr:to>
      <xdr:col>9</xdr:col>
      <xdr:colOff>489857</xdr:colOff>
      <xdr:row>37</xdr:row>
      <xdr:rowOff>188000</xdr:rowOff>
    </xdr:to>
    <xdr:sp macro="" textlink="">
      <xdr:nvSpPr>
        <xdr:cNvPr id="175" name="TextBox 174"/>
        <xdr:cNvSpPr txBox="1"/>
      </xdr:nvSpPr>
      <xdr:spPr>
        <a:xfrm>
          <a:off x="5649686" y="9402405"/>
          <a:ext cx="351064" cy="3786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/>
            <a:t>7</a:t>
          </a:r>
        </a:p>
      </xdr:txBody>
    </xdr:sp>
    <xdr:clientData/>
  </xdr:twoCellAnchor>
  <xdr:twoCellAnchor>
    <xdr:from>
      <xdr:col>9</xdr:col>
      <xdr:colOff>59871</xdr:colOff>
      <xdr:row>43</xdr:row>
      <xdr:rowOff>176557</xdr:rowOff>
    </xdr:from>
    <xdr:to>
      <xdr:col>9</xdr:col>
      <xdr:colOff>476250</xdr:colOff>
      <xdr:row>44</xdr:row>
      <xdr:rowOff>332004</xdr:rowOff>
    </xdr:to>
    <xdr:sp macro="" textlink="">
      <xdr:nvSpPr>
        <xdr:cNvPr id="176" name="TextBox 175"/>
        <xdr:cNvSpPr txBox="1"/>
      </xdr:nvSpPr>
      <xdr:spPr>
        <a:xfrm>
          <a:off x="5570764" y="11307200"/>
          <a:ext cx="416379" cy="3459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/>
            <a:t>8</a:t>
          </a:r>
        </a:p>
      </xdr:txBody>
    </xdr:sp>
    <xdr:clientData/>
  </xdr:twoCellAnchor>
  <xdr:twoCellAnchor>
    <xdr:from>
      <xdr:col>6</xdr:col>
      <xdr:colOff>0</xdr:colOff>
      <xdr:row>6</xdr:row>
      <xdr:rowOff>346363</xdr:rowOff>
    </xdr:from>
    <xdr:to>
      <xdr:col>9</xdr:col>
      <xdr:colOff>54428</xdr:colOff>
      <xdr:row>9</xdr:row>
      <xdr:rowOff>81642</xdr:rowOff>
    </xdr:to>
    <xdr:cxnSp macro="">
      <xdr:nvCxnSpPr>
        <xdr:cNvPr id="177" name="Straight Arrow Connector 176"/>
        <xdr:cNvCxnSpPr/>
      </xdr:nvCxnSpPr>
      <xdr:spPr>
        <a:xfrm flipH="1" flipV="1">
          <a:off x="3636818" y="2407227"/>
          <a:ext cx="1872837" cy="89559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329045</xdr:colOff>
      <xdr:row>6</xdr:row>
      <xdr:rowOff>588818</xdr:rowOff>
    </xdr:from>
    <xdr:to>
      <xdr:col>9</xdr:col>
      <xdr:colOff>16329</xdr:colOff>
      <xdr:row>13</xdr:row>
      <xdr:rowOff>163448</xdr:rowOff>
    </xdr:to>
    <xdr:cxnSp macro="">
      <xdr:nvCxnSpPr>
        <xdr:cNvPr id="178" name="Straight Arrow Connector 177"/>
        <xdr:cNvCxnSpPr>
          <a:stCxn id="171" idx="1"/>
        </xdr:cNvCxnSpPr>
      </xdr:nvCxnSpPr>
      <xdr:spPr>
        <a:xfrm flipH="1" flipV="1">
          <a:off x="3359727" y="2649682"/>
          <a:ext cx="2111829" cy="210308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450273</xdr:colOff>
      <xdr:row>8</xdr:row>
      <xdr:rowOff>51955</xdr:rowOff>
    </xdr:from>
    <xdr:to>
      <xdr:col>9</xdr:col>
      <xdr:colOff>100693</xdr:colOff>
      <xdr:row>19</xdr:row>
      <xdr:rowOff>51614</xdr:rowOff>
    </xdr:to>
    <xdr:cxnSp macro="">
      <xdr:nvCxnSpPr>
        <xdr:cNvPr id="179" name="Straight Arrow Connector 178"/>
        <xdr:cNvCxnSpPr>
          <a:stCxn id="172" idx="1"/>
        </xdr:cNvCxnSpPr>
      </xdr:nvCxnSpPr>
      <xdr:spPr>
        <a:xfrm flipH="1" flipV="1">
          <a:off x="2268682" y="3030682"/>
          <a:ext cx="3287238" cy="306497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81643</xdr:colOff>
      <xdr:row>11</xdr:row>
      <xdr:rowOff>95250</xdr:rowOff>
    </xdr:from>
    <xdr:to>
      <xdr:col>9</xdr:col>
      <xdr:colOff>95250</xdr:colOff>
      <xdr:row>22</xdr:row>
      <xdr:rowOff>163287</xdr:rowOff>
    </xdr:to>
    <xdr:cxnSp macro="">
      <xdr:nvCxnSpPr>
        <xdr:cNvPr id="180" name="Straight Arrow Connector 179"/>
        <xdr:cNvCxnSpPr/>
      </xdr:nvCxnSpPr>
      <xdr:spPr>
        <a:xfrm flipH="1" flipV="1">
          <a:off x="1918607" y="3292929"/>
          <a:ext cx="3687536" cy="281667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69273</xdr:colOff>
      <xdr:row>12</xdr:row>
      <xdr:rowOff>34636</xdr:rowOff>
    </xdr:from>
    <xdr:to>
      <xdr:col>9</xdr:col>
      <xdr:colOff>122465</xdr:colOff>
      <xdr:row>29</xdr:row>
      <xdr:rowOff>1</xdr:rowOff>
    </xdr:to>
    <xdr:cxnSp macro="">
      <xdr:nvCxnSpPr>
        <xdr:cNvPr id="181" name="Straight Arrow Connector 180"/>
        <xdr:cNvCxnSpPr/>
      </xdr:nvCxnSpPr>
      <xdr:spPr>
        <a:xfrm flipH="1" flipV="1">
          <a:off x="1887682" y="4381500"/>
          <a:ext cx="3690010" cy="4329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21</xdr:row>
      <xdr:rowOff>136247</xdr:rowOff>
    </xdr:from>
    <xdr:to>
      <xdr:col>9</xdr:col>
      <xdr:colOff>176893</xdr:colOff>
      <xdr:row>36</xdr:row>
      <xdr:rowOff>27214</xdr:rowOff>
    </xdr:to>
    <xdr:cxnSp macro="">
      <xdr:nvCxnSpPr>
        <xdr:cNvPr id="182" name="Straight Arrow Connector 181"/>
        <xdr:cNvCxnSpPr/>
      </xdr:nvCxnSpPr>
      <xdr:spPr>
        <a:xfrm flipH="1" flipV="1">
          <a:off x="2122715" y="6028140"/>
          <a:ext cx="3565071" cy="340161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121227</xdr:colOff>
      <xdr:row>28</xdr:row>
      <xdr:rowOff>17318</xdr:rowOff>
    </xdr:from>
    <xdr:to>
      <xdr:col>9</xdr:col>
      <xdr:colOff>136073</xdr:colOff>
      <xdr:row>44</xdr:row>
      <xdr:rowOff>135879</xdr:rowOff>
    </xdr:to>
    <xdr:cxnSp macro="">
      <xdr:nvCxnSpPr>
        <xdr:cNvPr id="183" name="Straight Arrow Connector 182"/>
        <xdr:cNvCxnSpPr/>
      </xdr:nvCxnSpPr>
      <xdr:spPr>
        <a:xfrm flipH="1" flipV="1">
          <a:off x="1939636" y="8485909"/>
          <a:ext cx="3651664" cy="467324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86591</xdr:colOff>
      <xdr:row>5</xdr:row>
      <xdr:rowOff>244929</xdr:rowOff>
    </xdr:from>
    <xdr:to>
      <xdr:col>9</xdr:col>
      <xdr:colOff>1</xdr:colOff>
      <xdr:row>6</xdr:row>
      <xdr:rowOff>51954</xdr:rowOff>
    </xdr:to>
    <xdr:cxnSp macro="">
      <xdr:nvCxnSpPr>
        <xdr:cNvPr id="298" name="Straight Arrow Connector 297"/>
        <xdr:cNvCxnSpPr/>
      </xdr:nvCxnSpPr>
      <xdr:spPr>
        <a:xfrm flipH="1">
          <a:off x="3723409" y="1682338"/>
          <a:ext cx="1731819" cy="43048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81643</xdr:colOff>
      <xdr:row>4</xdr:row>
      <xdr:rowOff>180964</xdr:rowOff>
    </xdr:from>
    <xdr:to>
      <xdr:col>9</xdr:col>
      <xdr:colOff>517071</xdr:colOff>
      <xdr:row>6</xdr:row>
      <xdr:rowOff>113500</xdr:rowOff>
    </xdr:to>
    <xdr:sp macro="" textlink="">
      <xdr:nvSpPr>
        <xdr:cNvPr id="300" name="TextBox 299"/>
        <xdr:cNvSpPr txBox="1"/>
      </xdr:nvSpPr>
      <xdr:spPr>
        <a:xfrm>
          <a:off x="5592536" y="1650535"/>
          <a:ext cx="435428" cy="6128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/>
            <a:t>1</a:t>
          </a:r>
        </a:p>
      </xdr:txBody>
    </xdr:sp>
    <xdr:clientData/>
  </xdr:twoCellAnchor>
  <xdr:twoCellAnchor>
    <xdr:from>
      <xdr:col>10</xdr:col>
      <xdr:colOff>275097</xdr:colOff>
      <xdr:row>4</xdr:row>
      <xdr:rowOff>226535</xdr:rowOff>
    </xdr:from>
    <xdr:to>
      <xdr:col>10</xdr:col>
      <xdr:colOff>866541</xdr:colOff>
      <xdr:row>8</xdr:row>
      <xdr:rowOff>199119</xdr:rowOff>
    </xdr:to>
    <xdr:grpSp>
      <xdr:nvGrpSpPr>
        <xdr:cNvPr id="316" name="Group 29"/>
        <xdr:cNvGrpSpPr/>
      </xdr:nvGrpSpPr>
      <xdr:grpSpPr>
        <a:xfrm>
          <a:off x="6336461" y="1421490"/>
          <a:ext cx="591444" cy="1773674"/>
          <a:chOff x="7272697" y="181935"/>
          <a:chExt cx="290793" cy="828676"/>
        </a:xfrm>
      </xdr:grpSpPr>
      <xdr:cxnSp macro="">
        <xdr:nvCxnSpPr>
          <xdr:cNvPr id="317" name="Straight Connector 316"/>
          <xdr:cNvCxnSpPr/>
        </xdr:nvCxnSpPr>
        <xdr:spPr>
          <a:xfrm>
            <a:off x="7406047" y="181935"/>
            <a:ext cx="0" cy="2192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18" name="Straight Connector 317"/>
          <xdr:cNvCxnSpPr/>
        </xdr:nvCxnSpPr>
        <xdr:spPr>
          <a:xfrm>
            <a:off x="7406047" y="401010"/>
            <a:ext cx="157443" cy="16192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19" name="Straight Connector 318"/>
          <xdr:cNvCxnSpPr/>
        </xdr:nvCxnSpPr>
        <xdr:spPr>
          <a:xfrm flipH="1">
            <a:off x="7272697" y="562611"/>
            <a:ext cx="267546" cy="1241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20" name="Straight Connector 319"/>
          <xdr:cNvCxnSpPr/>
        </xdr:nvCxnSpPr>
        <xdr:spPr>
          <a:xfrm>
            <a:off x="7282222" y="677235"/>
            <a:ext cx="138393" cy="14287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Connector 320"/>
          <xdr:cNvCxnSpPr/>
        </xdr:nvCxnSpPr>
        <xdr:spPr>
          <a:xfrm>
            <a:off x="7420615" y="810586"/>
            <a:ext cx="0" cy="20002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468519</xdr:colOff>
      <xdr:row>4</xdr:row>
      <xdr:rowOff>74343</xdr:rowOff>
    </xdr:from>
    <xdr:to>
      <xdr:col>10</xdr:col>
      <xdr:colOff>622611</xdr:colOff>
      <xdr:row>4</xdr:row>
      <xdr:rowOff>232319</xdr:rowOff>
    </xdr:to>
    <xdr:sp macro="" textlink="">
      <xdr:nvSpPr>
        <xdr:cNvPr id="322" name="Oval 321"/>
        <xdr:cNvSpPr/>
      </xdr:nvSpPr>
      <xdr:spPr>
        <a:xfrm>
          <a:off x="6555226" y="1505416"/>
          <a:ext cx="154092" cy="15797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510230</xdr:colOff>
      <xdr:row>11</xdr:row>
      <xdr:rowOff>373478</xdr:rowOff>
    </xdr:from>
    <xdr:to>
      <xdr:col>10</xdr:col>
      <xdr:colOff>664322</xdr:colOff>
      <xdr:row>12</xdr:row>
      <xdr:rowOff>141236</xdr:rowOff>
    </xdr:to>
    <xdr:sp macro="" textlink="">
      <xdr:nvSpPr>
        <xdr:cNvPr id="332" name="Oval 331"/>
        <xdr:cNvSpPr/>
      </xdr:nvSpPr>
      <xdr:spPr>
        <a:xfrm>
          <a:off x="6593940" y="3725663"/>
          <a:ext cx="154092" cy="15797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555090</xdr:colOff>
      <xdr:row>28</xdr:row>
      <xdr:rowOff>1388</xdr:rowOff>
    </xdr:from>
    <xdr:to>
      <xdr:col>10</xdr:col>
      <xdr:colOff>709182</xdr:colOff>
      <xdr:row>28</xdr:row>
      <xdr:rowOff>159364</xdr:rowOff>
    </xdr:to>
    <xdr:sp macro="" textlink="">
      <xdr:nvSpPr>
        <xdr:cNvPr id="333" name="Oval 332"/>
        <xdr:cNvSpPr/>
      </xdr:nvSpPr>
      <xdr:spPr>
        <a:xfrm>
          <a:off x="6651090" y="7307063"/>
          <a:ext cx="154092" cy="15797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541483</xdr:colOff>
      <xdr:row>21</xdr:row>
      <xdr:rowOff>163313</xdr:rowOff>
    </xdr:from>
    <xdr:to>
      <xdr:col>10</xdr:col>
      <xdr:colOff>695575</xdr:colOff>
      <xdr:row>22</xdr:row>
      <xdr:rowOff>76361</xdr:rowOff>
    </xdr:to>
    <xdr:sp macro="" textlink="">
      <xdr:nvSpPr>
        <xdr:cNvPr id="334" name="Oval 333"/>
        <xdr:cNvSpPr/>
      </xdr:nvSpPr>
      <xdr:spPr>
        <a:xfrm>
          <a:off x="6664697" y="5864706"/>
          <a:ext cx="154092" cy="15797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497940</xdr:colOff>
      <xdr:row>8</xdr:row>
      <xdr:rowOff>172838</xdr:rowOff>
    </xdr:from>
    <xdr:to>
      <xdr:col>10</xdr:col>
      <xdr:colOff>652032</xdr:colOff>
      <xdr:row>9</xdr:row>
      <xdr:rowOff>92996</xdr:rowOff>
    </xdr:to>
    <xdr:sp macro="" textlink="">
      <xdr:nvSpPr>
        <xdr:cNvPr id="304" name="Oval 303"/>
        <xdr:cNvSpPr/>
      </xdr:nvSpPr>
      <xdr:spPr>
        <a:xfrm>
          <a:off x="6593940" y="3144638"/>
          <a:ext cx="154092" cy="15828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104775</xdr:rowOff>
    </xdr:from>
    <xdr:to>
      <xdr:col>0</xdr:col>
      <xdr:colOff>2343150</xdr:colOff>
      <xdr:row>12</xdr:row>
      <xdr:rowOff>158032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771775"/>
          <a:ext cx="2314575" cy="17677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1333890</xdr:colOff>
      <xdr:row>2</xdr:row>
      <xdr:rowOff>33572</xdr:rowOff>
    </xdr:from>
    <xdr:to>
      <xdr:col>11</xdr:col>
      <xdr:colOff>3986054</xdr:colOff>
      <xdr:row>28</xdr:row>
      <xdr:rowOff>379439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23644" y="1032916"/>
          <a:ext cx="5259828" cy="124629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10</xdr:col>
      <xdr:colOff>1171893</xdr:colOff>
      <xdr:row>31</xdr:row>
      <xdr:rowOff>306902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7233257" cy="129366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363682</xdr:colOff>
      <xdr:row>7</xdr:row>
      <xdr:rowOff>138545</xdr:rowOff>
    </xdr:from>
    <xdr:to>
      <xdr:col>6</xdr:col>
      <xdr:colOff>363682</xdr:colOff>
      <xdr:row>7</xdr:row>
      <xdr:rowOff>138545</xdr:rowOff>
    </xdr:to>
    <xdr:cxnSp macro="">
      <xdr:nvCxnSpPr>
        <xdr:cNvPr id="18" name="Straight Connector 17"/>
        <xdr:cNvCxnSpPr/>
      </xdr:nvCxnSpPr>
      <xdr:spPr>
        <a:xfrm>
          <a:off x="4000500" y="1091045"/>
          <a:ext cx="0" cy="0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8</xdr:row>
      <xdr:rowOff>84075</xdr:rowOff>
    </xdr:from>
    <xdr:to>
      <xdr:col>10</xdr:col>
      <xdr:colOff>1208809</xdr:colOff>
      <xdr:row>8</xdr:row>
      <xdr:rowOff>100445</xdr:rowOff>
    </xdr:to>
    <xdr:cxnSp macro="">
      <xdr:nvCxnSpPr>
        <xdr:cNvPr id="22" name="Straight Connector 21"/>
        <xdr:cNvCxnSpPr/>
      </xdr:nvCxnSpPr>
      <xdr:spPr>
        <a:xfrm flipV="1">
          <a:off x="3979719" y="3530393"/>
          <a:ext cx="3290454" cy="16370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339435</xdr:colOff>
      <xdr:row>10</xdr:row>
      <xdr:rowOff>28655</xdr:rowOff>
    </xdr:from>
    <xdr:to>
      <xdr:col>10</xdr:col>
      <xdr:colOff>1205343</xdr:colOff>
      <xdr:row>10</xdr:row>
      <xdr:rowOff>45025</xdr:rowOff>
    </xdr:to>
    <xdr:cxnSp macro="">
      <xdr:nvCxnSpPr>
        <xdr:cNvPr id="23" name="Straight Connector 22"/>
        <xdr:cNvCxnSpPr/>
      </xdr:nvCxnSpPr>
      <xdr:spPr>
        <a:xfrm flipV="1">
          <a:off x="3976253" y="4323564"/>
          <a:ext cx="3290454" cy="16370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14</xdr:row>
      <xdr:rowOff>376753</xdr:rowOff>
    </xdr:from>
    <xdr:to>
      <xdr:col>10</xdr:col>
      <xdr:colOff>1212273</xdr:colOff>
      <xdr:row>14</xdr:row>
      <xdr:rowOff>387926</xdr:rowOff>
    </xdr:to>
    <xdr:cxnSp macro="">
      <xdr:nvCxnSpPr>
        <xdr:cNvPr id="24" name="Straight Connector 23"/>
        <xdr:cNvCxnSpPr/>
      </xdr:nvCxnSpPr>
      <xdr:spPr>
        <a:xfrm flipV="1">
          <a:off x="4094018" y="6368844"/>
          <a:ext cx="3179619" cy="11173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367144</xdr:colOff>
      <xdr:row>19</xdr:row>
      <xdr:rowOff>91002</xdr:rowOff>
    </xdr:from>
    <xdr:to>
      <xdr:col>10</xdr:col>
      <xdr:colOff>1233052</xdr:colOff>
      <xdr:row>19</xdr:row>
      <xdr:rowOff>107372</xdr:rowOff>
    </xdr:to>
    <xdr:cxnSp macro="">
      <xdr:nvCxnSpPr>
        <xdr:cNvPr id="25" name="Straight Connector 24"/>
        <xdr:cNvCxnSpPr/>
      </xdr:nvCxnSpPr>
      <xdr:spPr>
        <a:xfrm flipV="1">
          <a:off x="4003962" y="8490320"/>
          <a:ext cx="3290454" cy="16370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311727</xdr:colOff>
      <xdr:row>26</xdr:row>
      <xdr:rowOff>126800</xdr:rowOff>
    </xdr:from>
    <xdr:to>
      <xdr:col>10</xdr:col>
      <xdr:colOff>1229590</xdr:colOff>
      <xdr:row>26</xdr:row>
      <xdr:rowOff>138545</xdr:rowOff>
    </xdr:to>
    <xdr:cxnSp macro="">
      <xdr:nvCxnSpPr>
        <xdr:cNvPr id="26" name="Straight Connector 25"/>
        <xdr:cNvCxnSpPr/>
      </xdr:nvCxnSpPr>
      <xdr:spPr>
        <a:xfrm flipV="1">
          <a:off x="3948545" y="12145618"/>
          <a:ext cx="3342409" cy="11745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394855</xdr:colOff>
      <xdr:row>27</xdr:row>
      <xdr:rowOff>290945</xdr:rowOff>
    </xdr:from>
    <xdr:to>
      <xdr:col>10</xdr:col>
      <xdr:colOff>1229591</xdr:colOff>
      <xdr:row>27</xdr:row>
      <xdr:rowOff>290945</xdr:rowOff>
    </xdr:to>
    <xdr:cxnSp macro="">
      <xdr:nvCxnSpPr>
        <xdr:cNvPr id="27" name="Straight Connector 26"/>
        <xdr:cNvCxnSpPr/>
      </xdr:nvCxnSpPr>
      <xdr:spPr>
        <a:xfrm>
          <a:off x="4031673" y="12708081"/>
          <a:ext cx="3259282" cy="0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917861</xdr:colOff>
      <xdr:row>27</xdr:row>
      <xdr:rowOff>554182</xdr:rowOff>
    </xdr:from>
    <xdr:to>
      <xdr:col>10</xdr:col>
      <xdr:colOff>1350816</xdr:colOff>
      <xdr:row>29</xdr:row>
      <xdr:rowOff>363681</xdr:rowOff>
    </xdr:to>
    <xdr:sp macro="" textlink="">
      <xdr:nvSpPr>
        <xdr:cNvPr id="29" name="TextBox 28"/>
        <xdr:cNvSpPr txBox="1"/>
      </xdr:nvSpPr>
      <xdr:spPr>
        <a:xfrm>
          <a:off x="6979225" y="12971318"/>
          <a:ext cx="432955" cy="8139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1</a:t>
          </a:r>
        </a:p>
      </xdr:txBody>
    </xdr:sp>
    <xdr:clientData/>
  </xdr:twoCellAnchor>
  <xdr:twoCellAnchor>
    <xdr:from>
      <xdr:col>10</xdr:col>
      <xdr:colOff>897082</xdr:colOff>
      <xdr:row>26</xdr:row>
      <xdr:rowOff>207818</xdr:rowOff>
    </xdr:from>
    <xdr:to>
      <xdr:col>10</xdr:col>
      <xdr:colOff>1385454</xdr:colOff>
      <xdr:row>27</xdr:row>
      <xdr:rowOff>173181</xdr:rowOff>
    </xdr:to>
    <xdr:sp macro="" textlink="">
      <xdr:nvSpPr>
        <xdr:cNvPr id="37" name="TextBox 36"/>
        <xdr:cNvSpPr txBox="1"/>
      </xdr:nvSpPr>
      <xdr:spPr>
        <a:xfrm>
          <a:off x="6958446" y="12226636"/>
          <a:ext cx="488372" cy="3636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2</a:t>
          </a:r>
        </a:p>
      </xdr:txBody>
    </xdr:sp>
    <xdr:clientData/>
  </xdr:twoCellAnchor>
  <xdr:twoCellAnchor>
    <xdr:from>
      <xdr:col>10</xdr:col>
      <xdr:colOff>945573</xdr:colOff>
      <xdr:row>24</xdr:row>
      <xdr:rowOff>304798</xdr:rowOff>
    </xdr:from>
    <xdr:to>
      <xdr:col>10</xdr:col>
      <xdr:colOff>1385455</xdr:colOff>
      <xdr:row>25</xdr:row>
      <xdr:rowOff>346363</xdr:rowOff>
    </xdr:to>
    <xdr:sp macro="" textlink="">
      <xdr:nvSpPr>
        <xdr:cNvPr id="38" name="TextBox 37"/>
        <xdr:cNvSpPr txBox="1"/>
      </xdr:nvSpPr>
      <xdr:spPr>
        <a:xfrm>
          <a:off x="7006937" y="11319162"/>
          <a:ext cx="439882" cy="4398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3</a:t>
          </a:r>
        </a:p>
      </xdr:txBody>
    </xdr:sp>
    <xdr:clientData/>
  </xdr:twoCellAnchor>
  <xdr:twoCellAnchor>
    <xdr:from>
      <xdr:col>10</xdr:col>
      <xdr:colOff>994061</xdr:colOff>
      <xdr:row>21</xdr:row>
      <xdr:rowOff>103910</xdr:rowOff>
    </xdr:from>
    <xdr:to>
      <xdr:col>10</xdr:col>
      <xdr:colOff>1402772</xdr:colOff>
      <xdr:row>21</xdr:row>
      <xdr:rowOff>519546</xdr:rowOff>
    </xdr:to>
    <xdr:sp macro="" textlink="">
      <xdr:nvSpPr>
        <xdr:cNvPr id="39" name="TextBox 38"/>
        <xdr:cNvSpPr txBox="1"/>
      </xdr:nvSpPr>
      <xdr:spPr>
        <a:xfrm>
          <a:off x="7055425" y="9507683"/>
          <a:ext cx="408711" cy="4156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4</a:t>
          </a:r>
        </a:p>
      </xdr:txBody>
    </xdr:sp>
    <xdr:clientData/>
  </xdr:twoCellAnchor>
  <xdr:twoCellAnchor>
    <xdr:from>
      <xdr:col>10</xdr:col>
      <xdr:colOff>1025233</xdr:colOff>
      <xdr:row>17</xdr:row>
      <xdr:rowOff>0</xdr:rowOff>
    </xdr:from>
    <xdr:to>
      <xdr:col>10</xdr:col>
      <xdr:colOff>1420090</xdr:colOff>
      <xdr:row>17</xdr:row>
      <xdr:rowOff>432954</xdr:rowOff>
    </xdr:to>
    <xdr:sp macro="" textlink="">
      <xdr:nvSpPr>
        <xdr:cNvPr id="40" name="TextBox 39"/>
        <xdr:cNvSpPr txBox="1"/>
      </xdr:nvSpPr>
      <xdr:spPr>
        <a:xfrm>
          <a:off x="7086597" y="7394864"/>
          <a:ext cx="394857" cy="4329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5</a:t>
          </a:r>
        </a:p>
      </xdr:txBody>
    </xdr:sp>
    <xdr:clientData/>
  </xdr:twoCellAnchor>
  <xdr:twoCellAnchor>
    <xdr:from>
      <xdr:col>10</xdr:col>
      <xdr:colOff>848590</xdr:colOff>
      <xdr:row>11</xdr:row>
      <xdr:rowOff>173184</xdr:rowOff>
    </xdr:from>
    <xdr:to>
      <xdr:col>10</xdr:col>
      <xdr:colOff>1246908</xdr:colOff>
      <xdr:row>12</xdr:row>
      <xdr:rowOff>1</xdr:rowOff>
    </xdr:to>
    <xdr:sp macro="" textlink="">
      <xdr:nvSpPr>
        <xdr:cNvPr id="41" name="TextBox 40"/>
        <xdr:cNvSpPr txBox="1"/>
      </xdr:nvSpPr>
      <xdr:spPr>
        <a:xfrm>
          <a:off x="6909954" y="4693229"/>
          <a:ext cx="398318" cy="4329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7</a:t>
          </a:r>
        </a:p>
      </xdr:txBody>
    </xdr:sp>
    <xdr:clientData/>
  </xdr:twoCellAnchor>
  <xdr:twoCellAnchor>
    <xdr:from>
      <xdr:col>10</xdr:col>
      <xdr:colOff>827809</xdr:colOff>
      <xdr:row>9</xdr:row>
      <xdr:rowOff>65809</xdr:rowOff>
    </xdr:from>
    <xdr:to>
      <xdr:col>10</xdr:col>
      <xdr:colOff>1194954</xdr:colOff>
      <xdr:row>9</xdr:row>
      <xdr:rowOff>450273</xdr:rowOff>
    </xdr:to>
    <xdr:sp macro="" textlink="">
      <xdr:nvSpPr>
        <xdr:cNvPr id="42" name="TextBox 41"/>
        <xdr:cNvSpPr txBox="1"/>
      </xdr:nvSpPr>
      <xdr:spPr>
        <a:xfrm>
          <a:off x="6889173" y="3754582"/>
          <a:ext cx="367145" cy="384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8</a:t>
          </a:r>
        </a:p>
      </xdr:txBody>
    </xdr:sp>
    <xdr:clientData/>
  </xdr:twoCellAnchor>
  <xdr:twoCellAnchor>
    <xdr:from>
      <xdr:col>10</xdr:col>
      <xdr:colOff>824344</xdr:colOff>
      <xdr:row>7</xdr:row>
      <xdr:rowOff>45029</xdr:rowOff>
    </xdr:from>
    <xdr:to>
      <xdr:col>10</xdr:col>
      <xdr:colOff>1281545</xdr:colOff>
      <xdr:row>7</xdr:row>
      <xdr:rowOff>502227</xdr:rowOff>
    </xdr:to>
    <xdr:sp macro="" textlink="">
      <xdr:nvSpPr>
        <xdr:cNvPr id="43" name="TextBox 42"/>
        <xdr:cNvSpPr txBox="1"/>
      </xdr:nvSpPr>
      <xdr:spPr>
        <a:xfrm>
          <a:off x="6885708" y="2885211"/>
          <a:ext cx="457201" cy="457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9</a:t>
          </a:r>
        </a:p>
      </xdr:txBody>
    </xdr:sp>
    <xdr:clientData/>
  </xdr:twoCellAnchor>
  <xdr:twoCellAnchor>
    <xdr:from>
      <xdr:col>10</xdr:col>
      <xdr:colOff>1125679</xdr:colOff>
      <xdr:row>13</xdr:row>
      <xdr:rowOff>242454</xdr:rowOff>
    </xdr:from>
    <xdr:to>
      <xdr:col>10</xdr:col>
      <xdr:colOff>1627908</xdr:colOff>
      <xdr:row>14</xdr:row>
      <xdr:rowOff>190500</xdr:rowOff>
    </xdr:to>
    <xdr:sp macro="" textlink="">
      <xdr:nvSpPr>
        <xdr:cNvPr id="46" name="TextBox 45"/>
        <xdr:cNvSpPr txBox="1"/>
      </xdr:nvSpPr>
      <xdr:spPr>
        <a:xfrm>
          <a:off x="7187043" y="5628409"/>
          <a:ext cx="502229" cy="554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6</a:t>
          </a:r>
        </a:p>
      </xdr:txBody>
    </xdr:sp>
    <xdr:clientData/>
  </xdr:twoCellAnchor>
  <xdr:twoCellAnchor>
    <xdr:from>
      <xdr:col>10</xdr:col>
      <xdr:colOff>872834</xdr:colOff>
      <xdr:row>5</xdr:row>
      <xdr:rowOff>76200</xdr:rowOff>
    </xdr:from>
    <xdr:to>
      <xdr:col>10</xdr:col>
      <xdr:colOff>1541318</xdr:colOff>
      <xdr:row>6</xdr:row>
      <xdr:rowOff>103909</xdr:rowOff>
    </xdr:to>
    <xdr:sp macro="" textlink="">
      <xdr:nvSpPr>
        <xdr:cNvPr id="64" name="TextBox 63"/>
        <xdr:cNvSpPr txBox="1"/>
      </xdr:nvSpPr>
      <xdr:spPr>
        <a:xfrm>
          <a:off x="6934198" y="318655"/>
          <a:ext cx="668484" cy="4779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400" b="1"/>
            <a:t>10</a:t>
          </a:r>
        </a:p>
      </xdr:txBody>
    </xdr:sp>
    <xdr:clientData/>
  </xdr:twoCellAnchor>
  <xdr:twoCellAnchor>
    <xdr:from>
      <xdr:col>6</xdr:col>
      <xdr:colOff>391390</xdr:colOff>
      <xdr:row>13</xdr:row>
      <xdr:rowOff>115247</xdr:rowOff>
    </xdr:from>
    <xdr:to>
      <xdr:col>10</xdr:col>
      <xdr:colOff>1257298</xdr:colOff>
      <xdr:row>13</xdr:row>
      <xdr:rowOff>131617</xdr:rowOff>
    </xdr:to>
    <xdr:cxnSp macro="">
      <xdr:nvCxnSpPr>
        <xdr:cNvPr id="82" name="Straight Connector 81"/>
        <xdr:cNvCxnSpPr/>
      </xdr:nvCxnSpPr>
      <xdr:spPr>
        <a:xfrm flipV="1">
          <a:off x="4028208" y="5501202"/>
          <a:ext cx="3290454" cy="16370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408709</xdr:colOff>
      <xdr:row>6</xdr:row>
      <xdr:rowOff>288429</xdr:rowOff>
    </xdr:from>
    <xdr:to>
      <xdr:col>10</xdr:col>
      <xdr:colOff>1274617</xdr:colOff>
      <xdr:row>6</xdr:row>
      <xdr:rowOff>304799</xdr:rowOff>
    </xdr:to>
    <xdr:cxnSp macro="">
      <xdr:nvCxnSpPr>
        <xdr:cNvPr id="83" name="Straight Connector 82"/>
        <xdr:cNvCxnSpPr/>
      </xdr:nvCxnSpPr>
      <xdr:spPr>
        <a:xfrm flipV="1">
          <a:off x="4045527" y="2730293"/>
          <a:ext cx="3290454" cy="16370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329044</xdr:colOff>
      <xdr:row>23</xdr:row>
      <xdr:rowOff>329993</xdr:rowOff>
    </xdr:from>
    <xdr:to>
      <xdr:col>10</xdr:col>
      <xdr:colOff>1194952</xdr:colOff>
      <xdr:row>23</xdr:row>
      <xdr:rowOff>346363</xdr:rowOff>
    </xdr:to>
    <xdr:cxnSp macro="">
      <xdr:nvCxnSpPr>
        <xdr:cNvPr id="85" name="Straight Connector 84"/>
        <xdr:cNvCxnSpPr/>
      </xdr:nvCxnSpPr>
      <xdr:spPr>
        <a:xfrm flipV="1">
          <a:off x="3965862" y="10738220"/>
          <a:ext cx="3290454" cy="16370"/>
        </a:xfrm>
        <a:prstGeom prst="line">
          <a:avLst/>
        </a:prstGeom>
        <a:ln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622081</xdr:colOff>
      <xdr:row>0</xdr:row>
      <xdr:rowOff>20691</xdr:rowOff>
    </xdr:from>
    <xdr:to>
      <xdr:col>9</xdr:col>
      <xdr:colOff>72259</xdr:colOff>
      <xdr:row>0</xdr:row>
      <xdr:rowOff>1564727</xdr:rowOff>
    </xdr:to>
    <xdr:grpSp>
      <xdr:nvGrpSpPr>
        <xdr:cNvPr id="70" name="Group 69"/>
        <xdr:cNvGrpSpPr/>
      </xdr:nvGrpSpPr>
      <xdr:grpSpPr>
        <a:xfrm>
          <a:off x="622081" y="20691"/>
          <a:ext cx="5074069" cy="1544036"/>
          <a:chOff x="191082" y="20691"/>
          <a:chExt cx="6907078" cy="1544036"/>
        </a:xfrm>
      </xdr:grpSpPr>
      <xdr:sp macro="" textlink="">
        <xdr:nvSpPr>
          <xdr:cNvPr id="2" name="Rectangle 1"/>
          <xdr:cNvSpPr/>
        </xdr:nvSpPr>
        <xdr:spPr>
          <a:xfrm>
            <a:off x="1195438" y="742951"/>
            <a:ext cx="4490988" cy="386912"/>
          </a:xfrm>
          <a:prstGeom prst="rect">
            <a:avLst/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" name="Rounded Rectangle 2"/>
          <xdr:cNvSpPr/>
        </xdr:nvSpPr>
        <xdr:spPr>
          <a:xfrm>
            <a:off x="1375309" y="755432"/>
            <a:ext cx="741311" cy="85396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" name="Straight Arrow Connector 7"/>
          <xdr:cNvCxnSpPr/>
        </xdr:nvCxnSpPr>
        <xdr:spPr>
          <a:xfrm>
            <a:off x="5919565" y="488403"/>
            <a:ext cx="0" cy="3333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 flipV="1">
            <a:off x="5919565" y="1165007"/>
            <a:ext cx="0" cy="21907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/>
          <xdr:cNvSpPr txBox="1"/>
        </xdr:nvSpPr>
        <xdr:spPr>
          <a:xfrm>
            <a:off x="6116405" y="814552"/>
            <a:ext cx="981755" cy="4335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.150</a:t>
            </a:r>
            <a:r>
              <a:rPr lang="en-US" sz="1100" baseline="0"/>
              <a:t> Kapton</a:t>
            </a:r>
            <a:endParaRPr lang="en-US" sz="1100"/>
          </a:p>
        </xdr:txBody>
      </xdr:sp>
      <xdr:cxnSp macro="">
        <xdr:nvCxnSpPr>
          <xdr:cNvPr id="15" name="Straight Connector 14"/>
          <xdr:cNvCxnSpPr/>
        </xdr:nvCxnSpPr>
        <xdr:spPr>
          <a:xfrm flipV="1">
            <a:off x="1354214" y="403005"/>
            <a:ext cx="0" cy="29527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V="1">
            <a:off x="2128730" y="403005"/>
            <a:ext cx="0" cy="29527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H="1">
            <a:off x="847725" y="742951"/>
            <a:ext cx="29527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 flipH="1">
            <a:off x="847725" y="831960"/>
            <a:ext cx="29527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1200151" y="1164677"/>
            <a:ext cx="0" cy="400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>
            <a:off x="5676320" y="1150883"/>
            <a:ext cx="9526" cy="390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/>
          <xdr:cNvCxnSpPr/>
        </xdr:nvCxnSpPr>
        <xdr:spPr>
          <a:xfrm>
            <a:off x="3800475" y="1323975"/>
            <a:ext cx="18573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/>
          <xdr:cNvCxnSpPr/>
        </xdr:nvCxnSpPr>
        <xdr:spPr>
          <a:xfrm flipH="1">
            <a:off x="1219201" y="1323975"/>
            <a:ext cx="1771650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>
            <a:off x="3086100" y="1247775"/>
            <a:ext cx="647700" cy="2190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12.5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2356356" y="422412"/>
            <a:ext cx="1351227" cy="22363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.200 x 35</a:t>
            </a:r>
            <a:r>
              <a:rPr lang="en-US" sz="1100" baseline="0"/>
              <a:t> </a:t>
            </a:r>
            <a:r>
              <a:rPr lang="en-US" sz="1100"/>
              <a:t>Cu</a:t>
            </a:r>
          </a:p>
        </xdr:txBody>
      </xdr:sp>
      <xdr:cxnSp macro="">
        <xdr:nvCxnSpPr>
          <xdr:cNvPr id="32" name="Straight Arrow Connector 31"/>
          <xdr:cNvCxnSpPr/>
        </xdr:nvCxnSpPr>
        <xdr:spPr>
          <a:xfrm flipH="1">
            <a:off x="2128730" y="555405"/>
            <a:ext cx="219076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/>
          <xdr:cNvCxnSpPr/>
        </xdr:nvCxnSpPr>
        <xdr:spPr>
          <a:xfrm>
            <a:off x="1020837" y="555405"/>
            <a:ext cx="3333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962025" y="476251"/>
            <a:ext cx="0" cy="2571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/>
          <xdr:cNvCxnSpPr/>
        </xdr:nvCxnSpPr>
        <xdr:spPr>
          <a:xfrm flipV="1">
            <a:off x="971550" y="851010"/>
            <a:ext cx="0" cy="2476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TextBox 38"/>
          <xdr:cNvSpPr txBox="1"/>
        </xdr:nvSpPr>
        <xdr:spPr>
          <a:xfrm>
            <a:off x="191082" y="20691"/>
            <a:ext cx="1102736" cy="478551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.035</a:t>
            </a:r>
          </a:p>
          <a:p>
            <a:r>
              <a:rPr lang="en-US" sz="1100"/>
              <a:t>(1 oz Cu)</a:t>
            </a:r>
          </a:p>
          <a:p>
            <a:endParaRPr lang="en-US" sz="1100"/>
          </a:p>
        </xdr:txBody>
      </xdr:sp>
    </xdr:grpSp>
    <xdr:clientData/>
  </xdr:twoCellAnchor>
  <xdr:twoCellAnchor>
    <xdr:from>
      <xdr:col>3</xdr:col>
      <xdr:colOff>4598</xdr:colOff>
      <xdr:row>0</xdr:row>
      <xdr:rowOff>756416</xdr:rowOff>
    </xdr:from>
    <xdr:to>
      <xdr:col>4</xdr:col>
      <xdr:colOff>404570</xdr:colOff>
      <xdr:row>0</xdr:row>
      <xdr:rowOff>841812</xdr:rowOff>
    </xdr:to>
    <xdr:sp macro="" textlink="">
      <xdr:nvSpPr>
        <xdr:cNvPr id="26" name="Rounded Rectangle 25"/>
        <xdr:cNvSpPr/>
      </xdr:nvSpPr>
      <xdr:spPr>
        <a:xfrm>
          <a:off x="2665029" y="756416"/>
          <a:ext cx="544489" cy="85396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24847</xdr:colOff>
      <xdr:row>0</xdr:row>
      <xdr:rowOff>757730</xdr:rowOff>
    </xdr:from>
    <xdr:to>
      <xdr:col>7</xdr:col>
      <xdr:colOff>405847</xdr:colOff>
      <xdr:row>0</xdr:row>
      <xdr:rowOff>844826</xdr:rowOff>
    </xdr:to>
    <xdr:sp macro="" textlink="">
      <xdr:nvSpPr>
        <xdr:cNvPr id="28" name="Rounded Rectangle 27"/>
        <xdr:cNvSpPr/>
      </xdr:nvSpPr>
      <xdr:spPr>
        <a:xfrm>
          <a:off x="3511825" y="757730"/>
          <a:ext cx="1101587" cy="87096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497271</xdr:colOff>
      <xdr:row>0</xdr:row>
      <xdr:rowOff>1130846</xdr:rowOff>
    </xdr:from>
    <xdr:to>
      <xdr:col>7</xdr:col>
      <xdr:colOff>714150</xdr:colOff>
      <xdr:row>0</xdr:row>
      <xdr:rowOff>1130846</xdr:rowOff>
    </xdr:to>
    <xdr:cxnSp macro="">
      <xdr:nvCxnSpPr>
        <xdr:cNvPr id="37" name="Straight Connector 36"/>
        <xdr:cNvCxnSpPr/>
      </xdr:nvCxnSpPr>
      <xdr:spPr>
        <a:xfrm flipH="1">
          <a:off x="4707978" y="1130846"/>
          <a:ext cx="2168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498585</xdr:colOff>
      <xdr:row>0</xdr:row>
      <xdr:rowOff>849695</xdr:rowOff>
    </xdr:from>
    <xdr:to>
      <xdr:col>7</xdr:col>
      <xdr:colOff>715464</xdr:colOff>
      <xdr:row>0</xdr:row>
      <xdr:rowOff>849695</xdr:rowOff>
    </xdr:to>
    <xdr:cxnSp macro="">
      <xdr:nvCxnSpPr>
        <xdr:cNvPr id="40" name="Straight Connector 39"/>
        <xdr:cNvCxnSpPr/>
      </xdr:nvCxnSpPr>
      <xdr:spPr>
        <a:xfrm flipH="1">
          <a:off x="4709292" y="849695"/>
          <a:ext cx="2168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22285</xdr:colOff>
      <xdr:row>0</xdr:row>
      <xdr:rowOff>248478</xdr:rowOff>
    </xdr:from>
    <xdr:to>
      <xdr:col>6</xdr:col>
      <xdr:colOff>22285</xdr:colOff>
      <xdr:row>0</xdr:row>
      <xdr:rowOff>672136</xdr:rowOff>
    </xdr:to>
    <xdr:cxnSp macro="">
      <xdr:nvCxnSpPr>
        <xdr:cNvPr id="41" name="Straight Connector 40"/>
        <xdr:cNvCxnSpPr/>
      </xdr:nvCxnSpPr>
      <xdr:spPr>
        <a:xfrm flipV="1">
          <a:off x="3509263" y="248478"/>
          <a:ext cx="0" cy="423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409067</xdr:colOff>
      <xdr:row>0</xdr:row>
      <xdr:rowOff>231913</xdr:rowOff>
    </xdr:from>
    <xdr:to>
      <xdr:col>7</xdr:col>
      <xdr:colOff>409067</xdr:colOff>
      <xdr:row>0</xdr:row>
      <xdr:rowOff>672137</xdr:rowOff>
    </xdr:to>
    <xdr:cxnSp macro="">
      <xdr:nvCxnSpPr>
        <xdr:cNvPr id="42" name="Straight Connector 41"/>
        <xdr:cNvCxnSpPr/>
      </xdr:nvCxnSpPr>
      <xdr:spPr>
        <a:xfrm flipV="1">
          <a:off x="4616632" y="231913"/>
          <a:ext cx="0" cy="4402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609415</xdr:colOff>
      <xdr:row>0</xdr:row>
      <xdr:rowOff>165646</xdr:rowOff>
    </xdr:from>
    <xdr:to>
      <xdr:col>9</xdr:col>
      <xdr:colOff>347870</xdr:colOff>
      <xdr:row>0</xdr:row>
      <xdr:rowOff>397565</xdr:rowOff>
    </xdr:to>
    <xdr:sp macro="" textlink="">
      <xdr:nvSpPr>
        <xdr:cNvPr id="43" name="TextBox 42"/>
        <xdr:cNvSpPr txBox="1"/>
      </xdr:nvSpPr>
      <xdr:spPr>
        <a:xfrm>
          <a:off x="4816980" y="165646"/>
          <a:ext cx="1154781" cy="231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1.8 x 1</a:t>
          </a:r>
          <a:r>
            <a:rPr lang="en-US" sz="1100" baseline="0"/>
            <a:t> </a:t>
          </a:r>
          <a:r>
            <a:rPr lang="en-US" sz="1100"/>
            <a:t>Cu GND</a:t>
          </a:r>
        </a:p>
      </xdr:txBody>
    </xdr:sp>
    <xdr:clientData/>
  </xdr:twoCellAnchor>
  <xdr:twoCellAnchor>
    <xdr:from>
      <xdr:col>7</xdr:col>
      <xdr:colOff>409067</xdr:colOff>
      <xdr:row>0</xdr:row>
      <xdr:rowOff>313902</xdr:rowOff>
    </xdr:from>
    <xdr:to>
      <xdr:col>7</xdr:col>
      <xdr:colOff>570004</xdr:colOff>
      <xdr:row>0</xdr:row>
      <xdr:rowOff>313902</xdr:rowOff>
    </xdr:to>
    <xdr:cxnSp macro="">
      <xdr:nvCxnSpPr>
        <xdr:cNvPr id="44" name="Straight Arrow Connector 43"/>
        <xdr:cNvCxnSpPr/>
      </xdr:nvCxnSpPr>
      <xdr:spPr>
        <a:xfrm flipH="1">
          <a:off x="4616632" y="313902"/>
          <a:ext cx="1609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463950</xdr:colOff>
      <xdr:row>0</xdr:row>
      <xdr:rowOff>313902</xdr:rowOff>
    </xdr:from>
    <xdr:to>
      <xdr:col>6</xdr:col>
      <xdr:colOff>22284</xdr:colOff>
      <xdr:row>0</xdr:row>
      <xdr:rowOff>313902</xdr:rowOff>
    </xdr:to>
    <xdr:cxnSp macro="">
      <xdr:nvCxnSpPr>
        <xdr:cNvPr id="45" name="Straight Arrow Connector 44"/>
        <xdr:cNvCxnSpPr/>
      </xdr:nvCxnSpPr>
      <xdr:spPr>
        <a:xfrm>
          <a:off x="3263472" y="313902"/>
          <a:ext cx="2457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622081</xdr:colOff>
      <xdr:row>0</xdr:row>
      <xdr:rowOff>20691</xdr:rowOff>
    </xdr:from>
    <xdr:to>
      <xdr:col>9</xdr:col>
      <xdr:colOff>72259</xdr:colOff>
      <xdr:row>0</xdr:row>
      <xdr:rowOff>1564727</xdr:rowOff>
    </xdr:to>
    <xdr:grpSp>
      <xdr:nvGrpSpPr>
        <xdr:cNvPr id="2" name="Group 1"/>
        <xdr:cNvGrpSpPr/>
      </xdr:nvGrpSpPr>
      <xdr:grpSpPr>
        <a:xfrm>
          <a:off x="622081" y="20691"/>
          <a:ext cx="5064325" cy="1544036"/>
          <a:chOff x="191082" y="20691"/>
          <a:chExt cx="6907078" cy="1544036"/>
        </a:xfrm>
      </xdr:grpSpPr>
      <xdr:sp macro="" textlink="">
        <xdr:nvSpPr>
          <xdr:cNvPr id="3" name="Rectangle 2"/>
          <xdr:cNvSpPr/>
        </xdr:nvSpPr>
        <xdr:spPr>
          <a:xfrm>
            <a:off x="1195438" y="742951"/>
            <a:ext cx="4490988" cy="386912"/>
          </a:xfrm>
          <a:prstGeom prst="rect">
            <a:avLst/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" name="Rounded Rectangle 3"/>
          <xdr:cNvSpPr/>
        </xdr:nvSpPr>
        <xdr:spPr>
          <a:xfrm>
            <a:off x="1375309" y="755432"/>
            <a:ext cx="741311" cy="85396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5" name="Straight Arrow Connector 4"/>
          <xdr:cNvCxnSpPr/>
        </xdr:nvCxnSpPr>
        <xdr:spPr>
          <a:xfrm>
            <a:off x="5919565" y="488403"/>
            <a:ext cx="0" cy="3333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/>
          <xdr:cNvCxnSpPr/>
        </xdr:nvCxnSpPr>
        <xdr:spPr>
          <a:xfrm flipV="1">
            <a:off x="5919565" y="1165007"/>
            <a:ext cx="0" cy="21907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/>
          <xdr:cNvSpPr txBox="1"/>
        </xdr:nvSpPr>
        <xdr:spPr>
          <a:xfrm>
            <a:off x="6116405" y="814552"/>
            <a:ext cx="981755" cy="4335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.150</a:t>
            </a:r>
            <a:r>
              <a:rPr lang="en-US" sz="1100" baseline="0"/>
              <a:t> Kapton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1354214" y="403005"/>
            <a:ext cx="0" cy="29527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 flipV="1">
            <a:off x="2128730" y="403005"/>
            <a:ext cx="0" cy="29527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 flipH="1">
            <a:off x="847725" y="742951"/>
            <a:ext cx="29527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 flipH="1">
            <a:off x="847725" y="831960"/>
            <a:ext cx="29527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1200151" y="1164677"/>
            <a:ext cx="0" cy="400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H="1">
            <a:off x="5676320" y="1150883"/>
            <a:ext cx="9526" cy="390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>
            <a:off x="3800475" y="1323975"/>
            <a:ext cx="18573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/>
          <xdr:cNvCxnSpPr/>
        </xdr:nvCxnSpPr>
        <xdr:spPr>
          <a:xfrm flipH="1">
            <a:off x="1219201" y="1323975"/>
            <a:ext cx="1771650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3086100" y="1247775"/>
            <a:ext cx="647700" cy="2190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12.5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2356356" y="422412"/>
            <a:ext cx="1351227" cy="22363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.200 x 35</a:t>
            </a:r>
            <a:r>
              <a:rPr lang="en-US" sz="1100" baseline="0"/>
              <a:t> </a:t>
            </a:r>
            <a:r>
              <a:rPr lang="en-US" sz="1100"/>
              <a:t>Cu</a:t>
            </a:r>
          </a:p>
        </xdr:txBody>
      </xdr:sp>
      <xdr:cxnSp macro="">
        <xdr:nvCxnSpPr>
          <xdr:cNvPr id="18" name="Straight Arrow Connector 17"/>
          <xdr:cNvCxnSpPr/>
        </xdr:nvCxnSpPr>
        <xdr:spPr>
          <a:xfrm flipH="1">
            <a:off x="2128730" y="555405"/>
            <a:ext cx="219076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/>
          <xdr:cNvCxnSpPr/>
        </xdr:nvCxnSpPr>
        <xdr:spPr>
          <a:xfrm>
            <a:off x="1020837" y="555405"/>
            <a:ext cx="3333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/>
          <xdr:cNvCxnSpPr/>
        </xdr:nvCxnSpPr>
        <xdr:spPr>
          <a:xfrm>
            <a:off x="962025" y="476251"/>
            <a:ext cx="0" cy="2571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/>
          <xdr:cNvCxnSpPr/>
        </xdr:nvCxnSpPr>
        <xdr:spPr>
          <a:xfrm flipV="1">
            <a:off x="971550" y="851010"/>
            <a:ext cx="0" cy="2476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TextBox 21"/>
          <xdr:cNvSpPr txBox="1"/>
        </xdr:nvSpPr>
        <xdr:spPr>
          <a:xfrm>
            <a:off x="191082" y="20691"/>
            <a:ext cx="1102736" cy="478551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.035</a:t>
            </a:r>
          </a:p>
          <a:p>
            <a:r>
              <a:rPr lang="en-US" sz="1100"/>
              <a:t>(1 oz Cu)</a:t>
            </a:r>
          </a:p>
          <a:p>
            <a:endParaRPr lang="en-US" sz="1100"/>
          </a:p>
        </xdr:txBody>
      </xdr:sp>
    </xdr:grpSp>
    <xdr:clientData/>
  </xdr:twoCellAnchor>
  <xdr:twoCellAnchor>
    <xdr:from>
      <xdr:col>3</xdr:col>
      <xdr:colOff>4598</xdr:colOff>
      <xdr:row>0</xdr:row>
      <xdr:rowOff>756416</xdr:rowOff>
    </xdr:from>
    <xdr:to>
      <xdr:col>4</xdr:col>
      <xdr:colOff>404570</xdr:colOff>
      <xdr:row>0</xdr:row>
      <xdr:rowOff>841812</xdr:rowOff>
    </xdr:to>
    <xdr:sp macro="" textlink="">
      <xdr:nvSpPr>
        <xdr:cNvPr id="23" name="Rounded Rectangle 22"/>
        <xdr:cNvSpPr/>
      </xdr:nvSpPr>
      <xdr:spPr>
        <a:xfrm>
          <a:off x="2662073" y="756416"/>
          <a:ext cx="542847" cy="85396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24847</xdr:colOff>
      <xdr:row>0</xdr:row>
      <xdr:rowOff>757730</xdr:rowOff>
    </xdr:from>
    <xdr:to>
      <xdr:col>7</xdr:col>
      <xdr:colOff>405847</xdr:colOff>
      <xdr:row>0</xdr:row>
      <xdr:rowOff>844826</xdr:rowOff>
    </xdr:to>
    <xdr:sp macro="" textlink="">
      <xdr:nvSpPr>
        <xdr:cNvPr id="24" name="Rounded Rectangle 23"/>
        <xdr:cNvSpPr/>
      </xdr:nvSpPr>
      <xdr:spPr>
        <a:xfrm>
          <a:off x="3510997" y="757730"/>
          <a:ext cx="1104900" cy="87096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497271</xdr:colOff>
      <xdr:row>0</xdr:row>
      <xdr:rowOff>1130846</xdr:rowOff>
    </xdr:from>
    <xdr:to>
      <xdr:col>7</xdr:col>
      <xdr:colOff>714150</xdr:colOff>
      <xdr:row>0</xdr:row>
      <xdr:rowOff>1130846</xdr:rowOff>
    </xdr:to>
    <xdr:cxnSp macro="">
      <xdr:nvCxnSpPr>
        <xdr:cNvPr id="25" name="Straight Connector 24"/>
        <xdr:cNvCxnSpPr/>
      </xdr:nvCxnSpPr>
      <xdr:spPr>
        <a:xfrm flipH="1">
          <a:off x="4707321" y="1130846"/>
          <a:ext cx="2168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498585</xdr:colOff>
      <xdr:row>0</xdr:row>
      <xdr:rowOff>849695</xdr:rowOff>
    </xdr:from>
    <xdr:to>
      <xdr:col>7</xdr:col>
      <xdr:colOff>715464</xdr:colOff>
      <xdr:row>0</xdr:row>
      <xdr:rowOff>849695</xdr:rowOff>
    </xdr:to>
    <xdr:cxnSp macro="">
      <xdr:nvCxnSpPr>
        <xdr:cNvPr id="26" name="Straight Connector 25"/>
        <xdr:cNvCxnSpPr/>
      </xdr:nvCxnSpPr>
      <xdr:spPr>
        <a:xfrm flipH="1">
          <a:off x="4708635" y="849695"/>
          <a:ext cx="2168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22285</xdr:colOff>
      <xdr:row>0</xdr:row>
      <xdr:rowOff>248478</xdr:rowOff>
    </xdr:from>
    <xdr:to>
      <xdr:col>6</xdr:col>
      <xdr:colOff>22285</xdr:colOff>
      <xdr:row>0</xdr:row>
      <xdr:rowOff>672136</xdr:rowOff>
    </xdr:to>
    <xdr:cxnSp macro="">
      <xdr:nvCxnSpPr>
        <xdr:cNvPr id="27" name="Straight Connector 26"/>
        <xdr:cNvCxnSpPr/>
      </xdr:nvCxnSpPr>
      <xdr:spPr>
        <a:xfrm flipV="1">
          <a:off x="3508435" y="248478"/>
          <a:ext cx="0" cy="423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409067</xdr:colOff>
      <xdr:row>0</xdr:row>
      <xdr:rowOff>231913</xdr:rowOff>
    </xdr:from>
    <xdr:to>
      <xdr:col>7</xdr:col>
      <xdr:colOff>409067</xdr:colOff>
      <xdr:row>0</xdr:row>
      <xdr:rowOff>672137</xdr:rowOff>
    </xdr:to>
    <xdr:cxnSp macro="">
      <xdr:nvCxnSpPr>
        <xdr:cNvPr id="28" name="Straight Connector 27"/>
        <xdr:cNvCxnSpPr/>
      </xdr:nvCxnSpPr>
      <xdr:spPr>
        <a:xfrm flipV="1">
          <a:off x="4619117" y="231913"/>
          <a:ext cx="0" cy="4402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609415</xdr:colOff>
      <xdr:row>0</xdr:row>
      <xdr:rowOff>165646</xdr:rowOff>
    </xdr:from>
    <xdr:to>
      <xdr:col>9</xdr:col>
      <xdr:colOff>347870</xdr:colOff>
      <xdr:row>0</xdr:row>
      <xdr:rowOff>397565</xdr:rowOff>
    </xdr:to>
    <xdr:sp macro="" textlink="">
      <xdr:nvSpPr>
        <xdr:cNvPr id="29" name="TextBox 28"/>
        <xdr:cNvSpPr txBox="1"/>
      </xdr:nvSpPr>
      <xdr:spPr>
        <a:xfrm>
          <a:off x="4819465" y="165646"/>
          <a:ext cx="1148155" cy="231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1.8 x 1</a:t>
          </a:r>
          <a:r>
            <a:rPr lang="en-US" sz="1100" baseline="0"/>
            <a:t> </a:t>
          </a:r>
          <a:r>
            <a:rPr lang="en-US" sz="1100"/>
            <a:t>Cu GND</a:t>
          </a:r>
        </a:p>
      </xdr:txBody>
    </xdr:sp>
    <xdr:clientData/>
  </xdr:twoCellAnchor>
  <xdr:twoCellAnchor>
    <xdr:from>
      <xdr:col>7</xdr:col>
      <xdr:colOff>409067</xdr:colOff>
      <xdr:row>0</xdr:row>
      <xdr:rowOff>313902</xdr:rowOff>
    </xdr:from>
    <xdr:to>
      <xdr:col>7</xdr:col>
      <xdr:colOff>570004</xdr:colOff>
      <xdr:row>0</xdr:row>
      <xdr:rowOff>313902</xdr:rowOff>
    </xdr:to>
    <xdr:cxnSp macro="">
      <xdr:nvCxnSpPr>
        <xdr:cNvPr id="30" name="Straight Arrow Connector 29"/>
        <xdr:cNvCxnSpPr/>
      </xdr:nvCxnSpPr>
      <xdr:spPr>
        <a:xfrm flipH="1">
          <a:off x="4619117" y="313902"/>
          <a:ext cx="1609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463950</xdr:colOff>
      <xdr:row>0</xdr:row>
      <xdr:rowOff>313902</xdr:rowOff>
    </xdr:from>
    <xdr:to>
      <xdr:col>6</xdr:col>
      <xdr:colOff>22284</xdr:colOff>
      <xdr:row>0</xdr:row>
      <xdr:rowOff>313902</xdr:rowOff>
    </xdr:to>
    <xdr:cxnSp macro="">
      <xdr:nvCxnSpPr>
        <xdr:cNvPr id="31" name="Straight Arrow Connector 30"/>
        <xdr:cNvCxnSpPr/>
      </xdr:nvCxnSpPr>
      <xdr:spPr>
        <a:xfrm>
          <a:off x="3264300" y="313902"/>
          <a:ext cx="24413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588065</xdr:colOff>
      <xdr:row>0</xdr:row>
      <xdr:rowOff>33130</xdr:rowOff>
    </xdr:from>
    <xdr:to>
      <xdr:col>21</xdr:col>
      <xdr:colOff>1567482</xdr:colOff>
      <xdr:row>0</xdr:row>
      <xdr:rowOff>5168063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11956" y="33130"/>
          <a:ext cx="7704896" cy="5134933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622081</xdr:colOff>
      <xdr:row>0</xdr:row>
      <xdr:rowOff>20691</xdr:rowOff>
    </xdr:from>
    <xdr:to>
      <xdr:col>9</xdr:col>
      <xdr:colOff>72259</xdr:colOff>
      <xdr:row>0</xdr:row>
      <xdr:rowOff>1564727</xdr:rowOff>
    </xdr:to>
    <xdr:grpSp>
      <xdr:nvGrpSpPr>
        <xdr:cNvPr id="2" name="Group 1"/>
        <xdr:cNvGrpSpPr/>
      </xdr:nvGrpSpPr>
      <xdr:grpSpPr>
        <a:xfrm>
          <a:off x="622081" y="20691"/>
          <a:ext cx="5074069" cy="1544036"/>
          <a:chOff x="191082" y="20691"/>
          <a:chExt cx="6907078" cy="1544036"/>
        </a:xfrm>
      </xdr:grpSpPr>
      <xdr:sp macro="" textlink="">
        <xdr:nvSpPr>
          <xdr:cNvPr id="3" name="Rectangle 2"/>
          <xdr:cNvSpPr/>
        </xdr:nvSpPr>
        <xdr:spPr>
          <a:xfrm>
            <a:off x="1195438" y="742951"/>
            <a:ext cx="4490988" cy="386912"/>
          </a:xfrm>
          <a:prstGeom prst="rect">
            <a:avLst/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" name="Rounded Rectangle 3"/>
          <xdr:cNvSpPr/>
        </xdr:nvSpPr>
        <xdr:spPr>
          <a:xfrm>
            <a:off x="1375309" y="755432"/>
            <a:ext cx="741311" cy="85396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5" name="Straight Arrow Connector 4"/>
          <xdr:cNvCxnSpPr/>
        </xdr:nvCxnSpPr>
        <xdr:spPr>
          <a:xfrm>
            <a:off x="5919565" y="488403"/>
            <a:ext cx="0" cy="3333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/>
          <xdr:cNvCxnSpPr/>
        </xdr:nvCxnSpPr>
        <xdr:spPr>
          <a:xfrm flipV="1">
            <a:off x="5919565" y="1165007"/>
            <a:ext cx="0" cy="21907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/>
          <xdr:cNvSpPr txBox="1"/>
        </xdr:nvSpPr>
        <xdr:spPr>
          <a:xfrm>
            <a:off x="6116405" y="814552"/>
            <a:ext cx="981755" cy="4335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.150</a:t>
            </a:r>
            <a:r>
              <a:rPr lang="en-US" sz="1100" baseline="0"/>
              <a:t> Kapton</a:t>
            </a:r>
            <a:endParaRPr lang="en-US" sz="1100"/>
          </a:p>
        </xdr:txBody>
      </xdr:sp>
      <xdr:cxnSp macro="">
        <xdr:nvCxnSpPr>
          <xdr:cNvPr id="8" name="Straight Connector 7"/>
          <xdr:cNvCxnSpPr/>
        </xdr:nvCxnSpPr>
        <xdr:spPr>
          <a:xfrm flipV="1">
            <a:off x="1354214" y="403005"/>
            <a:ext cx="0" cy="29527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 flipV="1">
            <a:off x="2128730" y="403005"/>
            <a:ext cx="0" cy="29527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 flipH="1">
            <a:off x="847725" y="742951"/>
            <a:ext cx="29527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 flipH="1">
            <a:off x="847725" y="831960"/>
            <a:ext cx="295276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1200151" y="1164677"/>
            <a:ext cx="0" cy="4000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H="1">
            <a:off x="5676320" y="1150883"/>
            <a:ext cx="9526" cy="390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>
            <a:off x="3800475" y="1323975"/>
            <a:ext cx="18573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/>
          <xdr:cNvCxnSpPr/>
        </xdr:nvCxnSpPr>
        <xdr:spPr>
          <a:xfrm flipH="1">
            <a:off x="1219201" y="1323975"/>
            <a:ext cx="1771650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3086100" y="1247775"/>
            <a:ext cx="647700" cy="2190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12.5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2356356" y="422412"/>
            <a:ext cx="1351227" cy="22363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/>
              <a:t>.200 x 35</a:t>
            </a:r>
            <a:r>
              <a:rPr lang="en-US" sz="1100" baseline="0"/>
              <a:t> </a:t>
            </a:r>
            <a:r>
              <a:rPr lang="en-US" sz="1100"/>
              <a:t>Cu</a:t>
            </a:r>
          </a:p>
        </xdr:txBody>
      </xdr:sp>
      <xdr:cxnSp macro="">
        <xdr:nvCxnSpPr>
          <xdr:cNvPr id="18" name="Straight Arrow Connector 17"/>
          <xdr:cNvCxnSpPr/>
        </xdr:nvCxnSpPr>
        <xdr:spPr>
          <a:xfrm flipH="1">
            <a:off x="2128730" y="555405"/>
            <a:ext cx="219076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/>
          <xdr:cNvCxnSpPr/>
        </xdr:nvCxnSpPr>
        <xdr:spPr>
          <a:xfrm>
            <a:off x="1020837" y="555405"/>
            <a:ext cx="3333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/>
          <xdr:cNvCxnSpPr/>
        </xdr:nvCxnSpPr>
        <xdr:spPr>
          <a:xfrm>
            <a:off x="962025" y="476251"/>
            <a:ext cx="0" cy="2571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/>
          <xdr:cNvCxnSpPr/>
        </xdr:nvCxnSpPr>
        <xdr:spPr>
          <a:xfrm flipV="1">
            <a:off x="971550" y="851010"/>
            <a:ext cx="0" cy="2476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TextBox 21"/>
          <xdr:cNvSpPr txBox="1"/>
        </xdr:nvSpPr>
        <xdr:spPr>
          <a:xfrm>
            <a:off x="191082" y="20691"/>
            <a:ext cx="1102736" cy="478551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solidFill>
                  <a:srgbClr val="C00000"/>
                </a:solidFill>
              </a:rPr>
              <a:t>.0175</a:t>
            </a:r>
          </a:p>
          <a:p>
            <a:r>
              <a:rPr lang="en-US" sz="1100"/>
              <a:t>(.5 oz Cu)</a:t>
            </a:r>
          </a:p>
          <a:p>
            <a:endParaRPr lang="en-US" sz="1100"/>
          </a:p>
        </xdr:txBody>
      </xdr:sp>
    </xdr:grpSp>
    <xdr:clientData/>
  </xdr:twoCellAnchor>
  <xdr:twoCellAnchor>
    <xdr:from>
      <xdr:col>3</xdr:col>
      <xdr:colOff>4598</xdr:colOff>
      <xdr:row>0</xdr:row>
      <xdr:rowOff>756416</xdr:rowOff>
    </xdr:from>
    <xdr:to>
      <xdr:col>4</xdr:col>
      <xdr:colOff>404570</xdr:colOff>
      <xdr:row>0</xdr:row>
      <xdr:rowOff>841812</xdr:rowOff>
    </xdr:to>
    <xdr:sp macro="" textlink="">
      <xdr:nvSpPr>
        <xdr:cNvPr id="23" name="Rounded Rectangle 22"/>
        <xdr:cNvSpPr/>
      </xdr:nvSpPr>
      <xdr:spPr>
        <a:xfrm>
          <a:off x="2662073" y="756416"/>
          <a:ext cx="542847" cy="85396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24847</xdr:colOff>
      <xdr:row>0</xdr:row>
      <xdr:rowOff>757730</xdr:rowOff>
    </xdr:from>
    <xdr:to>
      <xdr:col>7</xdr:col>
      <xdr:colOff>405847</xdr:colOff>
      <xdr:row>0</xdr:row>
      <xdr:rowOff>844826</xdr:rowOff>
    </xdr:to>
    <xdr:sp macro="" textlink="">
      <xdr:nvSpPr>
        <xdr:cNvPr id="24" name="Rounded Rectangle 23"/>
        <xdr:cNvSpPr/>
      </xdr:nvSpPr>
      <xdr:spPr>
        <a:xfrm>
          <a:off x="3510997" y="757730"/>
          <a:ext cx="1104900" cy="87096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497271</xdr:colOff>
      <xdr:row>0</xdr:row>
      <xdr:rowOff>1130846</xdr:rowOff>
    </xdr:from>
    <xdr:to>
      <xdr:col>7</xdr:col>
      <xdr:colOff>714150</xdr:colOff>
      <xdr:row>0</xdr:row>
      <xdr:rowOff>1130846</xdr:rowOff>
    </xdr:to>
    <xdr:cxnSp macro="">
      <xdr:nvCxnSpPr>
        <xdr:cNvPr id="25" name="Straight Connector 24"/>
        <xdr:cNvCxnSpPr/>
      </xdr:nvCxnSpPr>
      <xdr:spPr>
        <a:xfrm flipH="1">
          <a:off x="4707321" y="1130846"/>
          <a:ext cx="2168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498585</xdr:colOff>
      <xdr:row>0</xdr:row>
      <xdr:rowOff>849695</xdr:rowOff>
    </xdr:from>
    <xdr:to>
      <xdr:col>7</xdr:col>
      <xdr:colOff>715464</xdr:colOff>
      <xdr:row>0</xdr:row>
      <xdr:rowOff>849695</xdr:rowOff>
    </xdr:to>
    <xdr:cxnSp macro="">
      <xdr:nvCxnSpPr>
        <xdr:cNvPr id="26" name="Straight Connector 25"/>
        <xdr:cNvCxnSpPr/>
      </xdr:nvCxnSpPr>
      <xdr:spPr>
        <a:xfrm flipH="1">
          <a:off x="4708635" y="849695"/>
          <a:ext cx="2168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22285</xdr:colOff>
      <xdr:row>0</xdr:row>
      <xdr:rowOff>248478</xdr:rowOff>
    </xdr:from>
    <xdr:to>
      <xdr:col>6</xdr:col>
      <xdr:colOff>22285</xdr:colOff>
      <xdr:row>0</xdr:row>
      <xdr:rowOff>672136</xdr:rowOff>
    </xdr:to>
    <xdr:cxnSp macro="">
      <xdr:nvCxnSpPr>
        <xdr:cNvPr id="27" name="Straight Connector 26"/>
        <xdr:cNvCxnSpPr/>
      </xdr:nvCxnSpPr>
      <xdr:spPr>
        <a:xfrm flipV="1">
          <a:off x="3508435" y="248478"/>
          <a:ext cx="0" cy="423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409067</xdr:colOff>
      <xdr:row>0</xdr:row>
      <xdr:rowOff>231913</xdr:rowOff>
    </xdr:from>
    <xdr:to>
      <xdr:col>7</xdr:col>
      <xdr:colOff>409067</xdr:colOff>
      <xdr:row>0</xdr:row>
      <xdr:rowOff>672137</xdr:rowOff>
    </xdr:to>
    <xdr:cxnSp macro="">
      <xdr:nvCxnSpPr>
        <xdr:cNvPr id="28" name="Straight Connector 27"/>
        <xdr:cNvCxnSpPr/>
      </xdr:nvCxnSpPr>
      <xdr:spPr>
        <a:xfrm flipV="1">
          <a:off x="4619117" y="231913"/>
          <a:ext cx="0" cy="4402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609415</xdr:colOff>
      <xdr:row>0</xdr:row>
      <xdr:rowOff>165646</xdr:rowOff>
    </xdr:from>
    <xdr:to>
      <xdr:col>9</xdr:col>
      <xdr:colOff>347870</xdr:colOff>
      <xdr:row>0</xdr:row>
      <xdr:rowOff>397565</xdr:rowOff>
    </xdr:to>
    <xdr:sp macro="" textlink="">
      <xdr:nvSpPr>
        <xdr:cNvPr id="29" name="TextBox 28"/>
        <xdr:cNvSpPr txBox="1"/>
      </xdr:nvSpPr>
      <xdr:spPr>
        <a:xfrm>
          <a:off x="4819465" y="165646"/>
          <a:ext cx="1148155" cy="231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1.8 x 1</a:t>
          </a:r>
          <a:r>
            <a:rPr lang="en-US" sz="1100" baseline="0"/>
            <a:t> </a:t>
          </a:r>
          <a:r>
            <a:rPr lang="en-US" sz="1100"/>
            <a:t>Cu GND</a:t>
          </a:r>
        </a:p>
      </xdr:txBody>
    </xdr:sp>
    <xdr:clientData/>
  </xdr:twoCellAnchor>
  <xdr:twoCellAnchor>
    <xdr:from>
      <xdr:col>7</xdr:col>
      <xdr:colOff>409067</xdr:colOff>
      <xdr:row>0</xdr:row>
      <xdr:rowOff>313902</xdr:rowOff>
    </xdr:from>
    <xdr:to>
      <xdr:col>7</xdr:col>
      <xdr:colOff>570004</xdr:colOff>
      <xdr:row>0</xdr:row>
      <xdr:rowOff>313902</xdr:rowOff>
    </xdr:to>
    <xdr:cxnSp macro="">
      <xdr:nvCxnSpPr>
        <xdr:cNvPr id="30" name="Straight Arrow Connector 29"/>
        <xdr:cNvCxnSpPr/>
      </xdr:nvCxnSpPr>
      <xdr:spPr>
        <a:xfrm flipH="1">
          <a:off x="4619117" y="313902"/>
          <a:ext cx="1609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463950</xdr:colOff>
      <xdr:row>0</xdr:row>
      <xdr:rowOff>313902</xdr:rowOff>
    </xdr:from>
    <xdr:to>
      <xdr:col>6</xdr:col>
      <xdr:colOff>22284</xdr:colOff>
      <xdr:row>0</xdr:row>
      <xdr:rowOff>313902</xdr:rowOff>
    </xdr:to>
    <xdr:cxnSp macro="">
      <xdr:nvCxnSpPr>
        <xdr:cNvPr id="31" name="Straight Arrow Connector 30"/>
        <xdr:cNvCxnSpPr/>
      </xdr:nvCxnSpPr>
      <xdr:spPr>
        <a:xfrm>
          <a:off x="3264300" y="313902"/>
          <a:ext cx="24413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588065</xdr:colOff>
      <xdr:row>0</xdr:row>
      <xdr:rowOff>33130</xdr:rowOff>
    </xdr:from>
    <xdr:to>
      <xdr:col>21</xdr:col>
      <xdr:colOff>1567482</xdr:colOff>
      <xdr:row>0</xdr:row>
      <xdr:rowOff>5168063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07815" y="33130"/>
          <a:ext cx="7704067" cy="5134933"/>
        </a:xfrm>
        <a:prstGeom prst="rect">
          <a:avLst/>
        </a:prstGeom>
        <a:noFill/>
        <a:ln w="1">
          <a:solidFill>
            <a:sysClr val="windowText" lastClr="00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K1:AL51"/>
  <sheetViews>
    <sheetView tabSelected="1" zoomScale="55" zoomScaleNormal="55" workbookViewId="0">
      <selection activeCell="Y20" sqref="Y20"/>
    </sheetView>
  </sheetViews>
  <sheetFormatPr defaultRowHeight="18.75" x14ac:dyDescent="0.3"/>
  <cols>
    <col min="11" max="11" width="18.42578125" customWidth="1"/>
    <col min="12" max="12" width="30.85546875" style="2" customWidth="1"/>
    <col min="13" max="13" width="3.28515625" customWidth="1"/>
    <col min="14" max="14" width="13.5703125" style="8" customWidth="1"/>
    <col min="15" max="15" width="12" style="126" customWidth="1"/>
    <col min="16" max="16" width="12.85546875" style="161" customWidth="1"/>
    <col min="17" max="17" width="12" style="131" customWidth="1"/>
    <col min="18" max="18" width="2.7109375" style="8" customWidth="1"/>
    <col min="19" max="19" width="17" style="8" customWidth="1"/>
    <col min="20" max="20" width="10.5703125" style="8" customWidth="1"/>
    <col min="21" max="21" width="7.5703125" style="8" customWidth="1"/>
    <col min="22" max="22" width="2.140625" style="8" customWidth="1"/>
    <col min="23" max="23" width="11.5703125" style="126" customWidth="1"/>
    <col min="24" max="24" width="11.28515625" style="163" customWidth="1"/>
    <col min="25" max="25" width="11.5703125" style="131" customWidth="1"/>
    <col min="26" max="26" width="3" style="131" customWidth="1"/>
    <col min="27" max="27" width="12.7109375" style="126" customWidth="1"/>
    <col min="28" max="28" width="13.140625" style="7" customWidth="1"/>
    <col min="29" max="29" width="11.5703125" style="133" customWidth="1"/>
    <col min="30" max="30" width="2.42578125" style="7" customWidth="1"/>
    <col min="31" max="31" width="13" style="8" customWidth="1"/>
    <col min="32" max="32" width="13.5703125" style="8" customWidth="1"/>
    <col min="33" max="33" width="11.28515625" style="158" customWidth="1"/>
    <col min="34" max="34" width="2.42578125" style="7" customWidth="1"/>
    <col min="35" max="35" width="10.28515625" style="8" customWidth="1"/>
    <col min="36" max="36" width="4" style="7" customWidth="1"/>
    <col min="37" max="37" width="24.7109375" style="7" customWidth="1"/>
    <col min="38" max="38" width="32.7109375" customWidth="1"/>
  </cols>
  <sheetData>
    <row r="1" spans="11:38" x14ac:dyDescent="0.3">
      <c r="M1" s="3"/>
      <c r="N1" s="9"/>
      <c r="O1" s="124"/>
      <c r="P1" s="145"/>
      <c r="Q1" s="127"/>
      <c r="R1" s="9"/>
      <c r="S1" s="9"/>
      <c r="T1" s="9"/>
      <c r="U1" s="9"/>
      <c r="V1" s="9"/>
      <c r="W1" s="124"/>
      <c r="X1" s="147"/>
      <c r="Y1" s="127"/>
      <c r="Z1" s="127"/>
      <c r="AA1" s="124"/>
      <c r="AB1" s="27"/>
      <c r="AC1" s="129"/>
      <c r="AD1" s="27"/>
      <c r="AE1" s="9"/>
      <c r="AF1" s="9"/>
      <c r="AG1" s="153"/>
      <c r="AH1" s="27"/>
      <c r="AI1" s="9"/>
      <c r="AJ1" s="27"/>
    </row>
    <row r="2" spans="11:38" ht="36" customHeight="1" x14ac:dyDescent="0.3">
      <c r="M2" s="3"/>
      <c r="N2" s="10" t="s">
        <v>0</v>
      </c>
      <c r="O2" s="167" t="s">
        <v>124</v>
      </c>
      <c r="P2" s="159" t="s">
        <v>126</v>
      </c>
      <c r="Q2" s="169" t="s">
        <v>125</v>
      </c>
      <c r="R2" s="11"/>
      <c r="S2" s="11" t="s">
        <v>1</v>
      </c>
      <c r="T2" s="11" t="s">
        <v>2</v>
      </c>
      <c r="U2" s="11" t="s">
        <v>8</v>
      </c>
      <c r="V2" s="11"/>
      <c r="W2" s="167" t="s">
        <v>117</v>
      </c>
      <c r="X2" s="159" t="s">
        <v>3</v>
      </c>
      <c r="Y2" s="169" t="s">
        <v>116</v>
      </c>
      <c r="Z2" s="128"/>
      <c r="AA2" s="167" t="s">
        <v>114</v>
      </c>
      <c r="AB2" s="11" t="s">
        <v>11</v>
      </c>
      <c r="AC2" s="172" t="s">
        <v>115</v>
      </c>
      <c r="AD2" s="43"/>
      <c r="AE2" s="11" t="s">
        <v>55</v>
      </c>
      <c r="AF2" s="11" t="s">
        <v>29</v>
      </c>
      <c r="AG2" s="151" t="s">
        <v>119</v>
      </c>
      <c r="AH2" s="11"/>
      <c r="AI2" s="12" t="s">
        <v>82</v>
      </c>
      <c r="AJ2" s="27"/>
    </row>
    <row r="3" spans="11:38" ht="21" x14ac:dyDescent="0.3">
      <c r="M3" s="3"/>
      <c r="N3" s="13" t="s">
        <v>7</v>
      </c>
      <c r="O3" s="124" t="s">
        <v>118</v>
      </c>
      <c r="P3" s="145"/>
      <c r="Q3" s="127"/>
      <c r="R3" s="9"/>
      <c r="S3" s="9" t="s">
        <v>13</v>
      </c>
      <c r="T3" s="9" t="s">
        <v>4</v>
      </c>
      <c r="U3" s="9" t="s">
        <v>5</v>
      </c>
      <c r="V3" s="9"/>
      <c r="W3" s="124" t="s">
        <v>6</v>
      </c>
      <c r="X3" s="147" t="s">
        <v>6</v>
      </c>
      <c r="Y3" s="127"/>
      <c r="Z3" s="127"/>
      <c r="AA3" s="124" t="s">
        <v>14</v>
      </c>
      <c r="AB3" s="9" t="s">
        <v>14</v>
      </c>
      <c r="AC3" s="129" t="s">
        <v>14</v>
      </c>
      <c r="AD3" s="27"/>
      <c r="AE3" s="9" t="s">
        <v>56</v>
      </c>
      <c r="AF3" s="9" t="s">
        <v>53</v>
      </c>
      <c r="AG3" s="150" t="s">
        <v>59</v>
      </c>
      <c r="AH3" s="9"/>
      <c r="AI3" s="14" t="s">
        <v>83</v>
      </c>
      <c r="AJ3" s="27"/>
    </row>
    <row r="4" spans="11:38" ht="18.75" customHeight="1" x14ac:dyDescent="0.3">
      <c r="M4" s="3"/>
      <c r="N4" s="13"/>
      <c r="O4" s="124"/>
      <c r="P4" s="145"/>
      <c r="Q4" s="127"/>
      <c r="R4" s="9"/>
      <c r="S4" s="9"/>
      <c r="T4" s="9"/>
      <c r="U4" s="9"/>
      <c r="V4" s="9"/>
      <c r="W4" s="124"/>
      <c r="X4" s="147"/>
      <c r="Y4" s="127"/>
      <c r="Z4" s="127"/>
      <c r="AA4" s="124"/>
      <c r="AB4" s="9"/>
      <c r="AC4" s="129"/>
      <c r="AD4" s="27"/>
      <c r="AE4" s="9"/>
      <c r="AF4" s="9"/>
      <c r="AG4" s="150"/>
      <c r="AH4" s="9"/>
      <c r="AI4" s="14"/>
      <c r="AJ4" s="27"/>
    </row>
    <row r="5" spans="11:38" ht="18.75" customHeight="1" x14ac:dyDescent="0.3">
      <c r="M5" s="3"/>
      <c r="N5" s="13"/>
      <c r="O5" s="124"/>
      <c r="P5" s="145"/>
      <c r="Q5" s="127"/>
      <c r="R5" s="9"/>
      <c r="S5" s="9"/>
      <c r="T5" s="9"/>
      <c r="U5" s="9"/>
      <c r="V5" s="9"/>
      <c r="W5" s="124"/>
      <c r="X5" s="147"/>
      <c r="Y5" s="127"/>
      <c r="Z5" s="127"/>
      <c r="AA5" s="124"/>
      <c r="AB5" s="9"/>
      <c r="AC5" s="129"/>
      <c r="AD5" s="27"/>
      <c r="AE5" s="9"/>
      <c r="AF5" s="9"/>
      <c r="AG5" s="150"/>
      <c r="AH5" s="9"/>
      <c r="AI5" s="14"/>
      <c r="AJ5" s="27"/>
      <c r="AK5" s="48"/>
    </row>
    <row r="6" spans="11:38" ht="49.5" customHeight="1" x14ac:dyDescent="0.3">
      <c r="L6" s="26" t="s">
        <v>15</v>
      </c>
      <c r="M6" s="3"/>
      <c r="N6" s="13"/>
      <c r="P6" s="145">
        <v>113.375</v>
      </c>
      <c r="Q6" s="127"/>
      <c r="R6" s="22"/>
      <c r="S6" s="41">
        <f>(42*42)/1000^2</f>
        <v>1.7639999999999999E-3</v>
      </c>
      <c r="T6" s="22"/>
      <c r="U6" s="22">
        <v>9</v>
      </c>
      <c r="V6" s="22"/>
      <c r="X6" s="142">
        <f>P6*S6*U6</f>
        <v>1.7999414999999999</v>
      </c>
      <c r="Y6" s="132"/>
      <c r="Z6" s="165"/>
      <c r="AA6" s="135">
        <f>AB6</f>
        <v>0.55557361169793573</v>
      </c>
      <c r="AB6" s="42">
        <f>1/X6</f>
        <v>0.55557361169793573</v>
      </c>
      <c r="AC6" s="141">
        <f>AB6</f>
        <v>0.55557361169793573</v>
      </c>
      <c r="AD6" s="41"/>
      <c r="AE6" s="22">
        <f>9*AE7</f>
        <v>0.39124542783600025</v>
      </c>
      <c r="AF6" s="52">
        <f>AF7</f>
        <v>237.25273904193497</v>
      </c>
      <c r="AG6" s="152">
        <f>AF6*AE6</f>
        <v>92.82404939172477</v>
      </c>
      <c r="AH6" s="22"/>
      <c r="AI6" s="51">
        <f>AI7*U6</f>
        <v>10.35</v>
      </c>
      <c r="AJ6" s="27"/>
      <c r="AK6" s="7" t="s">
        <v>74</v>
      </c>
    </row>
    <row r="7" spans="11:38" s="20" customFormat="1" ht="54" customHeight="1" x14ac:dyDescent="0.3">
      <c r="K7"/>
      <c r="L7" s="29" t="s">
        <v>73</v>
      </c>
      <c r="M7" s="19"/>
      <c r="N7" s="13"/>
      <c r="P7" s="145">
        <v>113.375</v>
      </c>
      <c r="Q7" s="127"/>
      <c r="R7" s="9"/>
      <c r="S7" s="27">
        <f>(42*42)/1000^2</f>
        <v>1.7639999999999999E-3</v>
      </c>
      <c r="T7" s="9"/>
      <c r="U7" s="9">
        <v>1</v>
      </c>
      <c r="V7" s="9"/>
      <c r="X7" s="143">
        <f>P7*S7*U7</f>
        <v>0.19999349999999999</v>
      </c>
      <c r="Y7" s="132"/>
      <c r="Z7" s="132"/>
      <c r="AA7" s="135">
        <f>AB7</f>
        <v>5.0001625052814216</v>
      </c>
      <c r="AB7" s="23">
        <f>1/X7</f>
        <v>5.0001625052814216</v>
      </c>
      <c r="AC7" s="140">
        <f>AB7</f>
        <v>5.0001625052814216</v>
      </c>
      <c r="AD7" s="27"/>
      <c r="AE7" s="9">
        <f>'Cryo_Lumped Parameters'!M29</f>
        <v>4.3471714204000027E-2</v>
      </c>
      <c r="AF7" s="50">
        <f>'Cryo_Lumped Parameters'!K29</f>
        <v>237.25273904193497</v>
      </c>
      <c r="AG7" s="166"/>
      <c r="AH7" s="114"/>
      <c r="AI7" s="14">
        <v>1.1499999999999999</v>
      </c>
      <c r="AJ7" s="19"/>
      <c r="AK7" s="7" t="s">
        <v>23</v>
      </c>
      <c r="AL7" s="28" t="s">
        <v>21</v>
      </c>
    </row>
    <row r="8" spans="11:38" s="20" customFormat="1" x14ac:dyDescent="0.3">
      <c r="K8"/>
      <c r="L8" s="2"/>
      <c r="M8" s="19"/>
      <c r="N8" s="13"/>
      <c r="O8" s="124"/>
      <c r="P8" s="145"/>
      <c r="Q8" s="127"/>
      <c r="R8" s="9"/>
      <c r="S8" s="9"/>
      <c r="T8" s="9"/>
      <c r="U8" s="9"/>
      <c r="V8" s="9"/>
      <c r="W8" s="134"/>
      <c r="X8" s="142"/>
      <c r="Y8" s="132"/>
      <c r="Z8" s="132"/>
      <c r="AA8" s="136"/>
      <c r="AB8" s="22"/>
      <c r="AC8" s="129"/>
      <c r="AD8" s="27"/>
      <c r="AE8" s="9"/>
      <c r="AF8" s="50"/>
      <c r="AG8" s="156"/>
      <c r="AH8" s="116"/>
      <c r="AI8" s="14"/>
      <c r="AJ8" s="19"/>
      <c r="AK8" s="7"/>
    </row>
    <row r="9" spans="11:38" s="20" customFormat="1" x14ac:dyDescent="0.3">
      <c r="K9"/>
      <c r="M9" s="19"/>
      <c r="N9" s="13"/>
      <c r="O9" s="124"/>
      <c r="P9" s="145"/>
      <c r="Q9" s="127"/>
      <c r="R9" s="9"/>
      <c r="S9" s="9"/>
      <c r="T9" s="9"/>
      <c r="U9" s="9"/>
      <c r="V9" s="9"/>
      <c r="W9" s="134"/>
      <c r="X9" s="142"/>
      <c r="Y9" s="132"/>
      <c r="Z9" s="132"/>
      <c r="AA9" s="136"/>
      <c r="AB9" s="22"/>
      <c r="AC9" s="129"/>
      <c r="AD9" s="27"/>
      <c r="AE9" s="9"/>
      <c r="AF9" s="50"/>
      <c r="AG9" s="156"/>
      <c r="AH9" s="116"/>
      <c r="AI9" s="14"/>
      <c r="AJ9" s="19"/>
      <c r="AK9" s="7"/>
    </row>
    <row r="10" spans="11:38" s="20" customFormat="1" ht="37.5" x14ac:dyDescent="0.3">
      <c r="L10" s="26" t="s">
        <v>22</v>
      </c>
      <c r="M10" s="19"/>
      <c r="N10" s="13"/>
      <c r="O10" s="124">
        <v>4000</v>
      </c>
      <c r="P10" s="147">
        <v>5000</v>
      </c>
      <c r="Q10" s="127">
        <v>6000</v>
      </c>
      <c r="R10" s="22"/>
      <c r="S10" s="137">
        <f>72.8143/1000^2</f>
        <v>7.2814300000000005E-5</v>
      </c>
      <c r="T10" s="22" t="s">
        <v>10</v>
      </c>
      <c r="U10" s="22">
        <v>27</v>
      </c>
      <c r="V10" s="22"/>
      <c r="W10" s="134">
        <f>O10*S10*U10</f>
        <v>7.8639443999999994</v>
      </c>
      <c r="X10" s="142">
        <f>P10*S10*U10</f>
        <v>9.8299305000000015</v>
      </c>
      <c r="Y10" s="132">
        <f>Q10*S10*U10</f>
        <v>11.795916600000002</v>
      </c>
      <c r="Z10" s="138"/>
      <c r="AA10" s="135">
        <f t="shared" ref="AA10:AC11" si="0">(1/W10)</f>
        <v>0.12716264881018233</v>
      </c>
      <c r="AB10" s="146">
        <f t="shared" si="0"/>
        <v>0.10173011904814584</v>
      </c>
      <c r="AC10" s="140">
        <f t="shared" si="0"/>
        <v>8.4775099206788204E-2</v>
      </c>
      <c r="AD10" s="27"/>
      <c r="AE10" s="9"/>
      <c r="AF10" s="50"/>
      <c r="AG10" s="156"/>
      <c r="AH10" s="116"/>
      <c r="AI10" s="14"/>
      <c r="AJ10" s="19"/>
      <c r="AK10" s="7" t="s">
        <v>81</v>
      </c>
    </row>
    <row r="11" spans="11:38" s="20" customFormat="1" x14ac:dyDescent="0.3">
      <c r="L11" s="2" t="s">
        <v>129</v>
      </c>
      <c r="M11" s="19"/>
      <c r="N11" s="13"/>
      <c r="O11" s="124">
        <v>4000</v>
      </c>
      <c r="P11" s="145">
        <v>5000</v>
      </c>
      <c r="Q11" s="127">
        <v>6000</v>
      </c>
      <c r="R11" s="9"/>
      <c r="S11" s="21">
        <f>72.8143/1000^2</f>
        <v>7.2814300000000005E-5</v>
      </c>
      <c r="T11" s="9" t="s">
        <v>10</v>
      </c>
      <c r="U11" s="9">
        <v>1</v>
      </c>
      <c r="V11" s="9"/>
      <c r="W11" s="134">
        <f>O11*S11*U11</f>
        <v>0.29125719999999999</v>
      </c>
      <c r="X11" s="143">
        <f>P11*S11*U11</f>
        <v>0.36407150000000005</v>
      </c>
      <c r="Y11" s="132">
        <f>0.5*Q11*S11*U11</f>
        <v>0.21844290000000002</v>
      </c>
      <c r="Z11" s="134"/>
      <c r="AA11" s="135">
        <f t="shared" si="0"/>
        <v>3.4333915178749228</v>
      </c>
      <c r="AB11" s="164">
        <f t="shared" si="0"/>
        <v>2.746713214299938</v>
      </c>
      <c r="AC11" s="140">
        <f t="shared" si="0"/>
        <v>4.5778553571665634</v>
      </c>
      <c r="AD11" s="27"/>
      <c r="AE11" s="9"/>
      <c r="AF11" s="50"/>
      <c r="AG11" s="156"/>
      <c r="AH11" s="116"/>
      <c r="AI11" s="14"/>
      <c r="AJ11" s="19"/>
      <c r="AK11" s="7" t="s">
        <v>80</v>
      </c>
    </row>
    <row r="12" spans="11:38" ht="30.75" customHeight="1" x14ac:dyDescent="0.3">
      <c r="K12" s="20"/>
      <c r="L12" s="18"/>
      <c r="M12" s="3"/>
      <c r="N12" s="13"/>
      <c r="O12" s="124"/>
      <c r="P12" s="145"/>
      <c r="Q12" s="127"/>
      <c r="R12" s="9"/>
      <c r="S12" s="9"/>
      <c r="T12" s="9"/>
      <c r="U12" s="9"/>
      <c r="V12" s="9"/>
      <c r="W12" s="134"/>
      <c r="X12" s="142"/>
      <c r="Y12" s="132"/>
      <c r="Z12" s="132"/>
      <c r="AA12" s="136"/>
      <c r="AB12" s="147"/>
      <c r="AC12" s="129"/>
      <c r="AD12" s="27"/>
      <c r="AE12" s="9"/>
      <c r="AF12" s="50"/>
      <c r="AG12" s="152"/>
      <c r="AH12" s="22"/>
      <c r="AI12" s="14"/>
      <c r="AJ12" s="27"/>
    </row>
    <row r="13" spans="11:38" s="20" customFormat="1" x14ac:dyDescent="0.3">
      <c r="L13" s="18"/>
      <c r="M13" s="19"/>
      <c r="N13" s="45"/>
      <c r="O13" s="125"/>
      <c r="P13" s="144"/>
      <c r="Q13" s="129"/>
      <c r="R13" s="27"/>
      <c r="S13" s="27"/>
      <c r="T13" s="27"/>
      <c r="U13" s="27"/>
      <c r="V13" s="27"/>
      <c r="W13" s="125"/>
      <c r="X13" s="162"/>
      <c r="Y13" s="129"/>
      <c r="Z13" s="129"/>
      <c r="AA13" s="124"/>
      <c r="AB13" s="147"/>
      <c r="AC13" s="129"/>
      <c r="AD13" s="27"/>
      <c r="AE13" s="9"/>
      <c r="AF13" s="50"/>
      <c r="AG13" s="156"/>
      <c r="AH13" s="116"/>
      <c r="AI13" s="14"/>
      <c r="AJ13" s="19"/>
      <c r="AK13" s="7"/>
    </row>
    <row r="14" spans="11:38" s="20" customFormat="1" x14ac:dyDescent="0.3">
      <c r="L14" s="18"/>
      <c r="M14" s="19"/>
      <c r="N14" s="13"/>
      <c r="O14" s="124"/>
      <c r="P14" s="145"/>
      <c r="Q14" s="127"/>
      <c r="R14" s="9"/>
      <c r="S14" s="9"/>
      <c r="T14" s="9"/>
      <c r="U14" s="9"/>
      <c r="V14" s="9"/>
      <c r="W14" s="134"/>
      <c r="X14" s="142"/>
      <c r="Y14" s="132"/>
      <c r="Z14" s="132"/>
      <c r="AA14" s="136"/>
      <c r="AB14" s="147"/>
      <c r="AC14" s="129"/>
      <c r="AD14" s="27"/>
      <c r="AE14" s="9"/>
      <c r="AF14" s="50"/>
      <c r="AG14" s="156"/>
      <c r="AH14" s="116"/>
      <c r="AI14" s="14"/>
      <c r="AJ14" s="19"/>
      <c r="AK14" s="7"/>
    </row>
    <row r="15" spans="11:38" s="20" customFormat="1" x14ac:dyDescent="0.3">
      <c r="K15"/>
      <c r="L15" s="26" t="s">
        <v>16</v>
      </c>
      <c r="M15" s="19"/>
      <c r="N15" s="13">
        <v>145</v>
      </c>
      <c r="O15" s="124"/>
      <c r="P15" s="145"/>
      <c r="Q15" s="127"/>
      <c r="R15" s="9"/>
      <c r="S15" s="15">
        <f>10876.8/1000^2</f>
        <v>1.0876799999999999E-2</v>
      </c>
      <c r="T15" s="17">
        <f>12.532/1000</f>
        <v>1.2532E-2</v>
      </c>
      <c r="U15" s="9">
        <v>1</v>
      </c>
      <c r="V15" s="9"/>
      <c r="X15" s="142">
        <f>(N15*S15/T15)*U15</f>
        <v>125.84870730928822</v>
      </c>
      <c r="Y15" s="132"/>
      <c r="Z15" s="132"/>
      <c r="AA15" s="135">
        <f>AB15</f>
        <v>7.9460490407929317E-3</v>
      </c>
      <c r="AB15" s="42">
        <f>1/X15</f>
        <v>7.9460490407929317E-3</v>
      </c>
      <c r="AC15" s="141">
        <f>AB15</f>
        <v>7.9460490407929317E-3</v>
      </c>
      <c r="AD15" s="27"/>
      <c r="AE15" s="22">
        <f>'Cryo_Lumped Parameters'!M32</f>
        <v>0.44433450000000002</v>
      </c>
      <c r="AF15" s="52">
        <f>'Cryo_Lumped Parameters'!K32</f>
        <v>173.2</v>
      </c>
      <c r="AG15" s="152">
        <f>AF15*AE15</f>
        <v>76.958735399999995</v>
      </c>
      <c r="AH15" s="22"/>
      <c r="AI15" s="51" t="s">
        <v>84</v>
      </c>
      <c r="AJ15" s="19"/>
      <c r="AK15" s="7" t="s">
        <v>85</v>
      </c>
    </row>
    <row r="16" spans="11:38" s="20" customFormat="1" x14ac:dyDescent="0.3">
      <c r="L16" s="18"/>
      <c r="M16" s="19"/>
      <c r="N16" s="13"/>
      <c r="O16" s="124"/>
      <c r="P16" s="145"/>
      <c r="Q16" s="127"/>
      <c r="R16" s="9"/>
      <c r="S16" s="9"/>
      <c r="T16" s="9"/>
      <c r="U16" s="9"/>
      <c r="V16" s="9"/>
      <c r="W16" s="134"/>
      <c r="X16" s="142"/>
      <c r="Y16" s="132"/>
      <c r="Z16" s="132"/>
      <c r="AA16" s="136"/>
      <c r="AB16" s="147"/>
      <c r="AC16" s="129"/>
      <c r="AD16" s="27"/>
      <c r="AE16" s="9"/>
      <c r="AF16" s="50"/>
      <c r="AG16" s="156"/>
      <c r="AH16" s="116"/>
      <c r="AI16" s="14"/>
      <c r="AJ16" s="19"/>
      <c r="AK16" s="7"/>
    </row>
    <row r="17" spans="11:37" x14ac:dyDescent="0.3">
      <c r="K17" s="20"/>
      <c r="L17" s="18"/>
      <c r="M17" s="3"/>
      <c r="N17" s="13"/>
      <c r="O17" s="124"/>
      <c r="P17" s="145"/>
      <c r="Q17" s="127"/>
      <c r="R17" s="9"/>
      <c r="S17" s="9"/>
      <c r="T17" s="9"/>
      <c r="U17" s="9"/>
      <c r="V17" s="9"/>
      <c r="W17" s="134"/>
      <c r="X17" s="142"/>
      <c r="Y17" s="132"/>
      <c r="Z17" s="132"/>
      <c r="AA17" s="136"/>
      <c r="AB17" s="147"/>
      <c r="AC17" s="129"/>
      <c r="AD17" s="27"/>
      <c r="AE17" s="9"/>
      <c r="AF17" s="50"/>
      <c r="AG17" s="152"/>
      <c r="AH17" s="22"/>
      <c r="AI17" s="14"/>
      <c r="AJ17" s="27"/>
    </row>
    <row r="18" spans="11:37" s="20" customFormat="1" x14ac:dyDescent="0.3">
      <c r="L18" s="18"/>
      <c r="M18" s="19"/>
      <c r="N18" s="45"/>
      <c r="O18" s="125"/>
      <c r="P18" s="144"/>
      <c r="Q18" s="129"/>
      <c r="R18" s="27"/>
      <c r="S18" s="27"/>
      <c r="T18" s="27"/>
      <c r="U18" s="27"/>
      <c r="V18" s="27"/>
      <c r="W18" s="125"/>
      <c r="X18" s="162"/>
      <c r="Y18" s="129"/>
      <c r="Z18" s="129"/>
      <c r="AA18" s="124"/>
      <c r="AB18" s="147"/>
      <c r="AC18" s="129"/>
      <c r="AD18" s="27"/>
      <c r="AE18" s="9"/>
      <c r="AF18" s="50"/>
      <c r="AG18" s="156"/>
      <c r="AH18" s="116"/>
      <c r="AI18" s="14"/>
      <c r="AJ18" s="19"/>
      <c r="AK18" s="7"/>
    </row>
    <row r="19" spans="11:37" s="20" customFormat="1" x14ac:dyDescent="0.3">
      <c r="L19" s="18"/>
      <c r="M19" s="19"/>
      <c r="N19" s="13"/>
      <c r="O19" s="124"/>
      <c r="P19" s="145"/>
      <c r="Q19" s="127"/>
      <c r="R19" s="9"/>
      <c r="S19" s="9"/>
      <c r="T19" s="9"/>
      <c r="U19" s="9"/>
      <c r="V19" s="9"/>
      <c r="W19" s="134"/>
      <c r="X19" s="142"/>
      <c r="Y19" s="132"/>
      <c r="Z19" s="132"/>
      <c r="AA19" s="136"/>
      <c r="AB19" s="147"/>
      <c r="AC19" s="129"/>
      <c r="AD19" s="27"/>
      <c r="AE19" s="9"/>
      <c r="AF19" s="50"/>
      <c r="AG19" s="156"/>
      <c r="AH19" s="116"/>
      <c r="AI19" s="14"/>
      <c r="AJ19" s="19"/>
      <c r="AK19" s="7"/>
    </row>
    <row r="20" spans="11:37" s="20" customFormat="1" ht="37.5" x14ac:dyDescent="0.3">
      <c r="K20"/>
      <c r="L20" s="26" t="s">
        <v>17</v>
      </c>
      <c r="M20" s="19"/>
      <c r="N20" s="13"/>
      <c r="O20" s="124">
        <v>2500</v>
      </c>
      <c r="P20" s="147">
        <v>5000</v>
      </c>
      <c r="Q20" s="127">
        <v>7500</v>
      </c>
      <c r="R20" s="22"/>
      <c r="S20" s="22">
        <f>309.373/1000^2</f>
        <v>3.0937299999999999E-4</v>
      </c>
      <c r="T20" s="22" t="s">
        <v>10</v>
      </c>
      <c r="U20" s="22">
        <v>4</v>
      </c>
      <c r="V20" s="22"/>
      <c r="W20" s="134">
        <f>O20*S20*U20</f>
        <v>3.0937299999999999</v>
      </c>
      <c r="X20" s="142">
        <f>P20*S20*U20</f>
        <v>6.1874599999999997</v>
      </c>
      <c r="Y20" s="132">
        <f>Q20*S20*U20</f>
        <v>9.2811900000000005</v>
      </c>
      <c r="Z20" s="138"/>
      <c r="AA20" s="135">
        <f>(1/W20)</f>
        <v>0.32323441282852738</v>
      </c>
      <c r="AB20" s="146">
        <f>(1/X20)</f>
        <v>0.16161720641426369</v>
      </c>
      <c r="AC20" s="140">
        <f>(1/Y20)</f>
        <v>0.10774480427617579</v>
      </c>
      <c r="AD20" s="27"/>
      <c r="AE20" s="9"/>
      <c r="AF20" s="50"/>
      <c r="AG20" s="156"/>
      <c r="AH20" s="116"/>
      <c r="AI20" s="14"/>
      <c r="AJ20" s="19"/>
      <c r="AK20" s="7"/>
    </row>
    <row r="21" spans="11:37" s="20" customFormat="1" x14ac:dyDescent="0.3">
      <c r="L21" s="18"/>
      <c r="M21" s="19"/>
      <c r="N21" s="13"/>
      <c r="O21" s="124"/>
      <c r="P21" s="145"/>
      <c r="Q21" s="127"/>
      <c r="R21" s="9"/>
      <c r="S21" s="9"/>
      <c r="T21" s="9"/>
      <c r="U21" s="9"/>
      <c r="V21" s="9"/>
      <c r="W21" s="134"/>
      <c r="X21" s="142"/>
      <c r="Y21" s="132"/>
      <c r="Z21" s="132"/>
      <c r="AA21" s="136"/>
      <c r="AB21" s="147"/>
      <c r="AC21" s="140"/>
      <c r="AD21" s="27"/>
      <c r="AE21" s="9"/>
      <c r="AF21" s="50"/>
      <c r="AG21" s="156"/>
      <c r="AH21" s="116"/>
      <c r="AI21" s="14"/>
      <c r="AJ21" s="19"/>
      <c r="AK21" s="7"/>
    </row>
    <row r="22" spans="11:37" x14ac:dyDescent="0.3">
      <c r="K22" s="20"/>
      <c r="L22" s="18"/>
      <c r="M22" s="3"/>
      <c r="N22" s="13"/>
      <c r="O22" s="124"/>
      <c r="P22" s="145"/>
      <c r="Q22" s="127"/>
      <c r="R22" s="9"/>
      <c r="S22" s="9"/>
      <c r="T22" s="9"/>
      <c r="U22" s="9"/>
      <c r="V22" s="9"/>
      <c r="W22" s="134"/>
      <c r="X22" s="142"/>
      <c r="Y22" s="132"/>
      <c r="Z22" s="132"/>
      <c r="AA22" s="136"/>
      <c r="AB22" s="147"/>
      <c r="AC22" s="129"/>
      <c r="AD22" s="27"/>
      <c r="AE22" s="9"/>
      <c r="AF22" s="50"/>
      <c r="AG22" s="152"/>
      <c r="AH22" s="22"/>
      <c r="AI22" s="14"/>
      <c r="AJ22" s="27"/>
    </row>
    <row r="23" spans="11:37" s="20" customFormat="1" x14ac:dyDescent="0.3">
      <c r="L23" s="18"/>
      <c r="M23" s="19"/>
      <c r="N23" s="45"/>
      <c r="O23" s="125"/>
      <c r="P23" s="144"/>
      <c r="Q23" s="129"/>
      <c r="R23" s="27"/>
      <c r="S23" s="27"/>
      <c r="T23" s="27"/>
      <c r="U23" s="27"/>
      <c r="V23" s="27"/>
      <c r="W23" s="125"/>
      <c r="X23" s="162"/>
      <c r="Y23" s="129"/>
      <c r="Z23" s="129"/>
      <c r="AA23" s="124"/>
      <c r="AB23" s="147"/>
      <c r="AC23" s="129"/>
      <c r="AD23" s="27"/>
      <c r="AE23" s="9"/>
      <c r="AF23" s="50"/>
      <c r="AG23" s="156"/>
      <c r="AH23" s="116"/>
      <c r="AI23" s="14"/>
      <c r="AJ23" s="19"/>
      <c r="AK23" s="7"/>
    </row>
    <row r="24" spans="11:37" s="20" customFormat="1" x14ac:dyDescent="0.3">
      <c r="L24" s="18"/>
      <c r="M24" s="19"/>
      <c r="N24" s="13"/>
      <c r="O24" s="124"/>
      <c r="P24" s="145"/>
      <c r="Q24" s="127"/>
      <c r="R24" s="9"/>
      <c r="S24" s="9"/>
      <c r="T24" s="9"/>
      <c r="U24" s="9"/>
      <c r="V24" s="9"/>
      <c r="W24" s="134"/>
      <c r="X24" s="142"/>
      <c r="Y24" s="132"/>
      <c r="Z24" s="132"/>
      <c r="AA24" s="136"/>
      <c r="AB24" s="147"/>
      <c r="AC24" s="129"/>
      <c r="AD24" s="27"/>
      <c r="AE24" s="9"/>
      <c r="AF24" s="50"/>
      <c r="AG24" s="156"/>
      <c r="AH24" s="116"/>
      <c r="AI24" s="14"/>
      <c r="AJ24" s="19"/>
      <c r="AK24" s="7"/>
    </row>
    <row r="25" spans="11:37" s="20" customFormat="1" x14ac:dyDescent="0.3">
      <c r="K25"/>
      <c r="L25" s="26" t="s">
        <v>18</v>
      </c>
      <c r="M25" s="19"/>
      <c r="N25" s="13">
        <v>400</v>
      </c>
      <c r="O25" s="124"/>
      <c r="P25" s="145"/>
      <c r="Q25" s="127"/>
      <c r="R25" s="9"/>
      <c r="S25" s="21">
        <f>7*1050*PI()*(0.079868^2/4)/1000^2</f>
        <v>3.6823311261630799E-5</v>
      </c>
      <c r="T25" s="9">
        <f>67.9/1000</f>
        <v>6.7900000000000002E-2</v>
      </c>
      <c r="U25" s="9">
        <v>4</v>
      </c>
      <c r="V25" s="9"/>
      <c r="X25" s="142">
        <f>(N25*S25/T25)*U25</f>
        <v>0.86770689276302326</v>
      </c>
      <c r="Y25" s="132"/>
      <c r="Z25" s="132"/>
      <c r="AA25" s="135">
        <f>AB25</f>
        <v>1.1524628977139022</v>
      </c>
      <c r="AB25" s="42">
        <f>1/X25</f>
        <v>1.1524628977139022</v>
      </c>
      <c r="AC25" s="141">
        <f>AB25</f>
        <v>1.1524628977139022</v>
      </c>
      <c r="AD25" s="41"/>
      <c r="AE25" s="22">
        <f>4*'Cryo_Lumped Parameters'!M34</f>
        <v>8.9610853594383977E-2</v>
      </c>
      <c r="AF25" s="52">
        <f>'Cryo_Lumped Parameters'!K34</f>
        <v>342</v>
      </c>
      <c r="AG25" s="152">
        <f>AF25*AE25</f>
        <v>30.64691192927932</v>
      </c>
      <c r="AH25" s="22"/>
      <c r="AI25" s="51"/>
      <c r="AJ25" s="30"/>
      <c r="AK25" s="7" t="s">
        <v>79</v>
      </c>
    </row>
    <row r="26" spans="11:37" s="20" customFormat="1" x14ac:dyDescent="0.3">
      <c r="L26" s="18"/>
      <c r="M26" s="19"/>
      <c r="N26" s="13"/>
      <c r="O26" s="124"/>
      <c r="P26" s="145"/>
      <c r="Q26" s="127"/>
      <c r="R26" s="9"/>
      <c r="S26" s="9"/>
      <c r="T26" s="9"/>
      <c r="U26" s="9"/>
      <c r="V26" s="9"/>
      <c r="W26" s="134"/>
      <c r="X26" s="142"/>
      <c r="Y26" s="132"/>
      <c r="Z26" s="132"/>
      <c r="AA26" s="136"/>
      <c r="AB26" s="147"/>
      <c r="AC26" s="129"/>
      <c r="AD26" s="27"/>
      <c r="AE26" s="9"/>
      <c r="AF26" s="50"/>
      <c r="AG26" s="156"/>
      <c r="AH26" s="116"/>
      <c r="AI26" s="14"/>
      <c r="AJ26" s="19"/>
      <c r="AK26" s="7"/>
    </row>
    <row r="27" spans="11:37" s="20" customFormat="1" x14ac:dyDescent="0.3">
      <c r="L27" s="18"/>
      <c r="M27" s="19"/>
      <c r="N27" s="13"/>
      <c r="O27" s="124"/>
      <c r="P27" s="145"/>
      <c r="Q27" s="127"/>
      <c r="R27" s="9"/>
      <c r="S27" s="9"/>
      <c r="T27" s="9"/>
      <c r="U27" s="9"/>
      <c r="V27" s="9"/>
      <c r="W27" s="134"/>
      <c r="X27" s="142"/>
      <c r="Y27" s="132"/>
      <c r="Z27" s="132"/>
      <c r="AA27" s="136"/>
      <c r="AB27" s="147"/>
      <c r="AC27" s="129"/>
      <c r="AD27" s="27"/>
      <c r="AE27" s="9"/>
      <c r="AF27" s="50"/>
      <c r="AG27" s="156"/>
      <c r="AH27" s="116"/>
      <c r="AI27" s="14"/>
      <c r="AJ27" s="19"/>
      <c r="AK27" s="7"/>
    </row>
    <row r="28" spans="11:37" x14ac:dyDescent="0.3">
      <c r="K28" s="20"/>
      <c r="L28" s="18"/>
      <c r="M28" s="3"/>
      <c r="N28" s="13"/>
      <c r="O28" s="124"/>
      <c r="P28" s="145"/>
      <c r="Q28" s="127"/>
      <c r="R28" s="9"/>
      <c r="S28" s="9"/>
      <c r="T28" s="9"/>
      <c r="U28" s="9"/>
      <c r="V28" s="9"/>
      <c r="W28" s="134"/>
      <c r="X28" s="142"/>
      <c r="Y28" s="132"/>
      <c r="Z28" s="132"/>
      <c r="AA28" s="136"/>
      <c r="AB28" s="147"/>
      <c r="AC28" s="129"/>
      <c r="AD28" s="27"/>
      <c r="AE28" s="9"/>
      <c r="AF28" s="50"/>
      <c r="AG28" s="152"/>
      <c r="AH28" s="22"/>
      <c r="AI28" s="14"/>
      <c r="AJ28" s="27"/>
    </row>
    <row r="29" spans="11:37" s="20" customFormat="1" x14ac:dyDescent="0.3">
      <c r="L29" s="18"/>
      <c r="M29" s="19"/>
      <c r="N29" s="45"/>
      <c r="O29" s="125"/>
      <c r="P29" s="144"/>
      <c r="Q29" s="129"/>
      <c r="R29" s="27"/>
      <c r="S29" s="27"/>
      <c r="T29" s="27"/>
      <c r="U29" s="27"/>
      <c r="V29" s="27"/>
      <c r="W29" s="125"/>
      <c r="X29" s="162"/>
      <c r="Y29" s="129"/>
      <c r="Z29" s="129"/>
      <c r="AA29" s="124"/>
      <c r="AB29" s="147"/>
      <c r="AC29" s="129"/>
      <c r="AD29" s="27"/>
      <c r="AE29" s="9"/>
      <c r="AF29" s="50"/>
      <c r="AG29" s="156"/>
      <c r="AH29" s="116"/>
      <c r="AI29" s="14"/>
      <c r="AJ29" s="19"/>
      <c r="AK29" s="7"/>
    </row>
    <row r="30" spans="11:37" s="20" customFormat="1" x14ac:dyDescent="0.3">
      <c r="L30" s="18"/>
      <c r="M30" s="19"/>
      <c r="N30" s="13"/>
      <c r="O30" s="124"/>
      <c r="P30" s="145"/>
      <c r="Q30" s="127"/>
      <c r="R30" s="9"/>
      <c r="S30" s="9"/>
      <c r="T30" s="9"/>
      <c r="U30" s="9"/>
      <c r="V30" s="9"/>
      <c r="W30" s="134"/>
      <c r="X30" s="142"/>
      <c r="Y30" s="132"/>
      <c r="Z30" s="132"/>
      <c r="AA30" s="136"/>
      <c r="AB30" s="147"/>
      <c r="AC30" s="129"/>
      <c r="AD30" s="27"/>
      <c r="AE30" s="9"/>
      <c r="AF30" s="50"/>
      <c r="AG30" s="156"/>
      <c r="AH30" s="116"/>
      <c r="AI30" s="14"/>
      <c r="AJ30" s="19"/>
      <c r="AK30" s="7"/>
    </row>
    <row r="31" spans="11:37" s="20" customFormat="1" ht="56.25" x14ac:dyDescent="0.3">
      <c r="K31"/>
      <c r="L31" s="26" t="s">
        <v>127</v>
      </c>
      <c r="M31" s="19"/>
      <c r="N31" s="13"/>
      <c r="O31" s="124">
        <v>2500</v>
      </c>
      <c r="P31" s="147">
        <v>5000</v>
      </c>
      <c r="Q31" s="127">
        <v>7500</v>
      </c>
      <c r="R31" s="22"/>
      <c r="S31" s="22">
        <f>261.004/1000^2</f>
        <v>2.6100400000000001E-4</v>
      </c>
      <c r="T31" s="22" t="s">
        <v>10</v>
      </c>
      <c r="U31" s="22">
        <v>4</v>
      </c>
      <c r="V31" s="22"/>
      <c r="W31" s="134">
        <f>O31*S31*U31</f>
        <v>2.6100400000000001</v>
      </c>
      <c r="X31" s="142">
        <f>P31*S31*U31</f>
        <v>5.2200800000000003</v>
      </c>
      <c r="Y31" s="132">
        <f>Q31*S31*U31</f>
        <v>7.83012</v>
      </c>
      <c r="Z31" s="138"/>
      <c r="AA31" s="135">
        <f>(1/W31)</f>
        <v>0.38313589063769138</v>
      </c>
      <c r="AB31" s="146">
        <f>(1/X31)</f>
        <v>0.19156794531884569</v>
      </c>
      <c r="AC31" s="140">
        <f>(1/Y31)</f>
        <v>0.12771196354589712</v>
      </c>
      <c r="AD31" s="27"/>
      <c r="AE31" s="9"/>
      <c r="AF31" s="50"/>
      <c r="AG31" s="156"/>
      <c r="AH31" s="116"/>
      <c r="AI31" s="14"/>
      <c r="AJ31" s="19"/>
      <c r="AK31" s="7"/>
    </row>
    <row r="32" spans="11:37" s="20" customFormat="1" x14ac:dyDescent="0.3">
      <c r="L32" s="18"/>
      <c r="M32" s="19"/>
      <c r="N32" s="13"/>
      <c r="O32" s="124"/>
      <c r="P32" s="145"/>
      <c r="Q32" s="127"/>
      <c r="R32" s="9"/>
      <c r="S32" s="9"/>
      <c r="T32" s="9"/>
      <c r="U32" s="9"/>
      <c r="V32" s="9"/>
      <c r="W32" s="134"/>
      <c r="X32" s="142"/>
      <c r="Y32" s="132"/>
      <c r="Z32" s="132"/>
      <c r="AA32" s="136"/>
      <c r="AB32" s="147"/>
      <c r="AC32" s="129"/>
      <c r="AD32" s="27"/>
      <c r="AE32" s="9"/>
      <c r="AF32" s="50"/>
      <c r="AG32" s="156"/>
      <c r="AH32" s="116"/>
      <c r="AI32" s="14"/>
      <c r="AJ32" s="19"/>
      <c r="AK32" s="7"/>
    </row>
    <row r="33" spans="11:37" s="20" customFormat="1" x14ac:dyDescent="0.3">
      <c r="L33" s="18"/>
      <c r="M33" s="19"/>
      <c r="N33" s="13"/>
      <c r="O33" s="124"/>
      <c r="P33" s="145"/>
      <c r="Q33" s="127"/>
      <c r="R33" s="9"/>
      <c r="S33" s="9"/>
      <c r="T33" s="9"/>
      <c r="U33" s="9"/>
      <c r="V33" s="9"/>
      <c r="W33" s="134"/>
      <c r="X33" s="142"/>
      <c r="Y33" s="132"/>
      <c r="Z33" s="132"/>
      <c r="AA33" s="136"/>
      <c r="AB33" s="147"/>
      <c r="AC33" s="129"/>
      <c r="AD33" s="27"/>
      <c r="AE33" s="9"/>
      <c r="AF33" s="50"/>
      <c r="AG33" s="156"/>
      <c r="AH33" s="116"/>
      <c r="AI33" s="14"/>
      <c r="AJ33" s="19"/>
      <c r="AK33" s="7"/>
    </row>
    <row r="34" spans="11:37" s="20" customFormat="1" x14ac:dyDescent="0.3">
      <c r="L34" s="18"/>
      <c r="M34" s="19"/>
      <c r="N34" s="13"/>
      <c r="O34" s="124"/>
      <c r="P34" s="145"/>
      <c r="Q34" s="127"/>
      <c r="R34" s="9"/>
      <c r="S34" s="9"/>
      <c r="T34" s="9"/>
      <c r="U34" s="9"/>
      <c r="V34" s="9"/>
      <c r="W34" s="134"/>
      <c r="X34" s="142"/>
      <c r="Y34" s="132"/>
      <c r="Z34" s="132"/>
      <c r="AA34" s="136"/>
      <c r="AB34" s="147"/>
      <c r="AC34" s="129"/>
      <c r="AD34" s="27"/>
      <c r="AE34" s="9"/>
      <c r="AF34" s="50"/>
      <c r="AG34" s="156"/>
      <c r="AH34" s="116"/>
      <c r="AI34" s="14"/>
      <c r="AJ34" s="19"/>
      <c r="AK34" s="7"/>
    </row>
    <row r="35" spans="11:37" ht="31.5" customHeight="1" x14ac:dyDescent="0.3">
      <c r="K35" s="20"/>
      <c r="L35" s="18"/>
      <c r="M35" s="3"/>
      <c r="N35" s="13"/>
      <c r="O35" s="124"/>
      <c r="P35" s="145"/>
      <c r="Q35" s="127"/>
      <c r="R35" s="9"/>
      <c r="S35" s="9"/>
      <c r="T35" s="9"/>
      <c r="U35" s="9"/>
      <c r="V35" s="9"/>
      <c r="W35" s="134"/>
      <c r="X35" s="142"/>
      <c r="Y35" s="132"/>
      <c r="Z35" s="132"/>
      <c r="AA35" s="136"/>
      <c r="AB35" s="147"/>
      <c r="AC35" s="129"/>
      <c r="AD35" s="27"/>
      <c r="AE35" s="9"/>
      <c r="AF35" s="50"/>
      <c r="AG35" s="152"/>
      <c r="AH35" s="22"/>
      <c r="AI35" s="14"/>
      <c r="AJ35" s="27"/>
    </row>
    <row r="36" spans="11:37" s="20" customFormat="1" x14ac:dyDescent="0.3">
      <c r="L36" s="18"/>
      <c r="M36" s="19"/>
      <c r="N36" s="45"/>
      <c r="O36" s="125"/>
      <c r="P36" s="144"/>
      <c r="Q36" s="129"/>
      <c r="R36" s="27"/>
      <c r="S36" s="27"/>
      <c r="T36" s="27"/>
      <c r="U36" s="27"/>
      <c r="V36" s="27"/>
      <c r="W36" s="125"/>
      <c r="X36" s="162"/>
      <c r="Y36" s="129"/>
      <c r="Z36" s="129"/>
      <c r="AA36" s="124"/>
      <c r="AB36" s="147"/>
      <c r="AC36" s="129"/>
      <c r="AD36" s="27"/>
      <c r="AE36" s="9"/>
      <c r="AF36" s="50"/>
      <c r="AG36" s="156"/>
      <c r="AH36" s="116"/>
      <c r="AI36" s="14"/>
      <c r="AJ36" s="19"/>
      <c r="AK36" s="7"/>
    </row>
    <row r="37" spans="11:37" s="20" customFormat="1" x14ac:dyDescent="0.3">
      <c r="L37" s="18"/>
      <c r="M37" s="19"/>
      <c r="N37" s="13"/>
      <c r="O37" s="124"/>
      <c r="P37" s="145"/>
      <c r="Q37" s="127"/>
      <c r="R37" s="9"/>
      <c r="S37" s="9"/>
      <c r="T37" s="9"/>
      <c r="U37" s="9"/>
      <c r="V37" s="9"/>
      <c r="W37" s="134"/>
      <c r="X37" s="142"/>
      <c r="Y37" s="132"/>
      <c r="Z37" s="132"/>
      <c r="AA37" s="136"/>
      <c r="AB37" s="147"/>
      <c r="AC37" s="129"/>
      <c r="AD37" s="27"/>
      <c r="AE37" s="9"/>
      <c r="AF37" s="50"/>
      <c r="AG37" s="156"/>
      <c r="AH37" s="116"/>
      <c r="AI37" s="14"/>
      <c r="AJ37" s="19"/>
      <c r="AK37" s="7"/>
    </row>
    <row r="38" spans="11:37" s="20" customFormat="1" x14ac:dyDescent="0.3">
      <c r="K38"/>
      <c r="L38" s="26" t="s">
        <v>128</v>
      </c>
      <c r="M38" s="19"/>
      <c r="N38" s="13">
        <v>404</v>
      </c>
      <c r="P38" s="145" t="s">
        <v>19</v>
      </c>
      <c r="Q38" s="127"/>
      <c r="R38" s="9"/>
      <c r="S38" s="9">
        <f>(5.4*111)/1000^2</f>
        <v>5.9940000000000004E-4</v>
      </c>
      <c r="T38" s="9">
        <f>180/1000</f>
        <v>0.18</v>
      </c>
      <c r="U38" s="9">
        <v>2</v>
      </c>
      <c r="V38" s="9"/>
      <c r="X38" s="142">
        <f>(N38*S38/T38)*U38</f>
        <v>2.6906400000000006</v>
      </c>
      <c r="Y38" s="132"/>
      <c r="Z38" s="132"/>
      <c r="AA38" s="135">
        <f>AB38</f>
        <v>0.37165878750037157</v>
      </c>
      <c r="AB38" s="23">
        <f>1/X38</f>
        <v>0.37165878750037157</v>
      </c>
      <c r="AC38" s="141">
        <f>AB38</f>
        <v>0.37165878750037157</v>
      </c>
      <c r="AD38" s="27"/>
      <c r="AE38" s="9">
        <f>2*'Cryo_Lumped Parameters'!M36</f>
        <v>1.9317760000000002</v>
      </c>
      <c r="AF38" s="50">
        <f>'Cryo_Lumped Parameters'!K36</f>
        <v>342</v>
      </c>
      <c r="AG38" s="156"/>
      <c r="AH38" s="116"/>
      <c r="AI38" s="14"/>
      <c r="AJ38" s="19"/>
      <c r="AK38" s="7"/>
    </row>
    <row r="39" spans="11:37" s="20" customFormat="1" x14ac:dyDescent="0.3">
      <c r="L39" s="18"/>
      <c r="M39" s="19"/>
      <c r="N39" s="13">
        <v>404</v>
      </c>
      <c r="P39" s="145" t="s">
        <v>20</v>
      </c>
      <c r="Q39" s="127"/>
      <c r="R39" s="9"/>
      <c r="S39" s="9">
        <f>(0.5*85)/1000^2</f>
        <v>4.2500000000000003E-5</v>
      </c>
      <c r="T39" s="9">
        <f>180/1000</f>
        <v>0.18</v>
      </c>
      <c r="U39" s="9">
        <v>2</v>
      </c>
      <c r="V39" s="9"/>
      <c r="X39" s="142">
        <f>(N39*S39/T39)*U39</f>
        <v>0.1907777777777778</v>
      </c>
      <c r="Y39" s="132"/>
      <c r="Z39" s="132"/>
      <c r="AA39" s="135">
        <f>AB39</f>
        <v>5.2417006406522999</v>
      </c>
      <c r="AB39" s="23">
        <f>1/X39</f>
        <v>5.2417006406522999</v>
      </c>
      <c r="AC39" s="141">
        <f>AB39</f>
        <v>5.2417006406522999</v>
      </c>
      <c r="AD39" s="27"/>
      <c r="AE39" s="9">
        <f>2*'Cryo_Lumped Parameters'!M38</f>
        <v>0.19345894400000002</v>
      </c>
      <c r="AF39" s="50">
        <f>'Cryo_Lumped Parameters'!K38</f>
        <v>342</v>
      </c>
      <c r="AG39" s="156"/>
      <c r="AH39" s="116"/>
      <c r="AI39" s="14"/>
      <c r="AJ39" s="19"/>
      <c r="AK39" s="7"/>
    </row>
    <row r="40" spans="11:37" s="20" customFormat="1" x14ac:dyDescent="0.3">
      <c r="L40" s="18"/>
      <c r="M40" s="19"/>
      <c r="N40" s="13"/>
      <c r="O40" s="124"/>
      <c r="P40" s="145"/>
      <c r="Q40" s="127"/>
      <c r="R40" s="9"/>
      <c r="S40" s="9"/>
      <c r="T40" s="9"/>
      <c r="U40" s="9"/>
      <c r="V40" s="9"/>
      <c r="W40" s="134"/>
      <c r="X40" s="142"/>
      <c r="Y40" s="132"/>
      <c r="Z40" s="132"/>
      <c r="AA40" s="135">
        <f>AB40</f>
        <v>0.34705137440056505</v>
      </c>
      <c r="AB40" s="146">
        <f>1/((1/AA38)+(1/AA39))</f>
        <v>0.34705137440056505</v>
      </c>
      <c r="AC40" s="141">
        <f>AB40</f>
        <v>0.34705137440056505</v>
      </c>
      <c r="AD40" s="27"/>
      <c r="AE40" s="22">
        <f>AE38+AE39</f>
        <v>2.1252349440000002</v>
      </c>
      <c r="AF40" s="52">
        <v>342</v>
      </c>
      <c r="AG40" s="152">
        <f>AF40*AE40</f>
        <v>726.83035084800008</v>
      </c>
      <c r="AH40" s="22"/>
      <c r="AI40" s="14"/>
      <c r="AJ40" s="19"/>
      <c r="AK40" s="7" t="s">
        <v>24</v>
      </c>
    </row>
    <row r="41" spans="11:37" s="20" customFormat="1" x14ac:dyDescent="0.3">
      <c r="L41" s="18"/>
      <c r="M41" s="19"/>
      <c r="N41" s="13"/>
      <c r="O41" s="124"/>
      <c r="P41" s="145"/>
      <c r="Q41" s="127"/>
      <c r="R41" s="9"/>
      <c r="S41" s="9"/>
      <c r="T41" s="9"/>
      <c r="U41" s="9"/>
      <c r="V41" s="9"/>
      <c r="W41" s="134"/>
      <c r="X41" s="142"/>
      <c r="Y41" s="132"/>
      <c r="Z41" s="132"/>
      <c r="AA41" s="136"/>
      <c r="AB41" s="147"/>
      <c r="AC41" s="129"/>
      <c r="AD41" s="27"/>
      <c r="AE41" s="9"/>
      <c r="AF41" s="50"/>
      <c r="AG41" s="156"/>
      <c r="AH41" s="116"/>
      <c r="AI41" s="14"/>
      <c r="AJ41" s="19"/>
      <c r="AK41" s="7"/>
    </row>
    <row r="42" spans="11:37" s="49" customFormat="1" ht="41.25" customHeight="1" x14ac:dyDescent="0.3">
      <c r="L42" s="26" t="s">
        <v>75</v>
      </c>
      <c r="M42" s="41"/>
      <c r="N42" s="13">
        <v>10.1</v>
      </c>
      <c r="O42" s="124"/>
      <c r="P42" s="145"/>
      <c r="Q42" s="127"/>
      <c r="R42" s="9"/>
      <c r="S42" s="9"/>
      <c r="T42" s="9"/>
      <c r="U42" s="9"/>
      <c r="V42" s="9"/>
      <c r="W42" s="134"/>
      <c r="X42" s="142"/>
      <c r="Y42" s="132"/>
      <c r="Z42" s="132"/>
      <c r="AA42" s="136"/>
      <c r="AB42" s="147"/>
      <c r="AC42" s="129"/>
      <c r="AD42" s="27"/>
      <c r="AE42" s="22">
        <f>'Cryo_Lumped Parameters'!M40+'Cryo_Lumped Parameters'!M42</f>
        <v>0.41780089999999998</v>
      </c>
      <c r="AF42" s="52">
        <f>'Cryo_Lumped Parameters'!K40</f>
        <v>316.2</v>
      </c>
      <c r="AG42" s="152">
        <f>AF42*AE42</f>
        <v>132.10864457999998</v>
      </c>
      <c r="AH42" s="22"/>
      <c r="AI42" s="51"/>
      <c r="AJ42" s="41"/>
      <c r="AK42" s="7" t="s">
        <v>76</v>
      </c>
    </row>
    <row r="43" spans="11:37" s="7" customFormat="1" x14ac:dyDescent="0.3">
      <c r="L43" s="1"/>
      <c r="M43" s="27"/>
      <c r="N43" s="45"/>
      <c r="O43" s="125"/>
      <c r="P43" s="144"/>
      <c r="Q43" s="129"/>
      <c r="R43" s="27"/>
      <c r="S43" s="27"/>
      <c r="T43" s="27"/>
      <c r="U43" s="27"/>
      <c r="V43" s="27"/>
      <c r="W43" s="125"/>
      <c r="X43" s="162"/>
      <c r="Y43" s="129"/>
      <c r="Z43" s="129"/>
      <c r="AA43" s="124"/>
      <c r="AB43" s="147"/>
      <c r="AC43" s="129"/>
      <c r="AD43" s="27"/>
      <c r="AE43" s="9"/>
      <c r="AF43" s="9"/>
      <c r="AG43" s="152"/>
      <c r="AH43" s="22"/>
      <c r="AI43" s="14"/>
      <c r="AJ43" s="27"/>
    </row>
    <row r="44" spans="11:37" s="20" customFormat="1" x14ac:dyDescent="0.3">
      <c r="L44" s="18"/>
      <c r="M44" s="19"/>
      <c r="N44" s="13"/>
      <c r="O44" s="124"/>
      <c r="P44" s="145"/>
      <c r="Q44" s="127"/>
      <c r="R44" s="9"/>
      <c r="S44" s="9"/>
      <c r="T44" s="9"/>
      <c r="U44" s="9"/>
      <c r="V44" s="9"/>
      <c r="W44" s="124"/>
      <c r="X44" s="147"/>
      <c r="Y44" s="127"/>
      <c r="Z44" s="127"/>
      <c r="AA44" s="124"/>
      <c r="AB44" s="147"/>
      <c r="AC44" s="129"/>
      <c r="AD44" s="27"/>
      <c r="AE44" s="9"/>
      <c r="AF44" s="9"/>
      <c r="AG44" s="156"/>
      <c r="AH44" s="116"/>
      <c r="AI44" s="14"/>
      <c r="AJ44" s="19"/>
      <c r="AK44" s="7"/>
    </row>
    <row r="45" spans="11:37" s="20" customFormat="1" ht="37.5" x14ac:dyDescent="0.3">
      <c r="K45"/>
      <c r="L45" s="26" t="s">
        <v>130</v>
      </c>
      <c r="M45" s="19"/>
      <c r="N45" s="13"/>
      <c r="O45" s="124">
        <v>2500</v>
      </c>
      <c r="P45" s="147">
        <v>5000</v>
      </c>
      <c r="Q45" s="127">
        <v>7500</v>
      </c>
      <c r="R45" s="22"/>
      <c r="S45" s="22">
        <f>789.986/1000^2</f>
        <v>7.8998600000000001E-4</v>
      </c>
      <c r="T45" s="22" t="s">
        <v>10</v>
      </c>
      <c r="U45" s="22">
        <v>2</v>
      </c>
      <c r="V45" s="22"/>
      <c r="W45" s="134">
        <f>O45*S45*U45</f>
        <v>3.9499300000000002</v>
      </c>
      <c r="X45" s="142">
        <f>P45*S45*U45</f>
        <v>7.8998600000000003</v>
      </c>
      <c r="Y45" s="132">
        <f>Q45*S45*U45</f>
        <v>11.84979</v>
      </c>
      <c r="Z45" s="138"/>
      <c r="AA45" s="135">
        <f>(1/W45)</f>
        <v>0.25316904350203673</v>
      </c>
      <c r="AB45" s="146">
        <f>(1/X45)</f>
        <v>0.12658452175101836</v>
      </c>
      <c r="AC45" s="140">
        <f>(1/Y45)</f>
        <v>8.4389681167345576E-2</v>
      </c>
      <c r="AD45" s="27"/>
      <c r="AE45" s="9"/>
      <c r="AF45" s="9"/>
      <c r="AG45" s="156"/>
      <c r="AH45" s="116"/>
      <c r="AI45" s="14"/>
      <c r="AJ45" s="19"/>
      <c r="AK45" s="7"/>
    </row>
    <row r="46" spans="11:37" s="20" customFormat="1" x14ac:dyDescent="0.3">
      <c r="L46" s="18"/>
      <c r="M46" s="19"/>
      <c r="N46" s="13"/>
      <c r="O46" s="124"/>
      <c r="P46" s="145"/>
      <c r="Q46" s="127"/>
      <c r="R46" s="9"/>
      <c r="S46" s="9"/>
      <c r="T46" s="9"/>
      <c r="U46" s="9"/>
      <c r="V46" s="9"/>
      <c r="W46" s="124"/>
      <c r="X46" s="147"/>
      <c r="Y46" s="127"/>
      <c r="Z46" s="127"/>
      <c r="AA46" s="124"/>
      <c r="AB46" s="147"/>
      <c r="AC46" s="129"/>
      <c r="AD46" s="27"/>
      <c r="AE46" s="9"/>
      <c r="AF46" s="9"/>
      <c r="AG46" s="156"/>
      <c r="AH46" s="116"/>
      <c r="AI46" s="14"/>
      <c r="AJ46" s="19"/>
      <c r="AK46" s="7"/>
    </row>
    <row r="47" spans="11:37" s="20" customFormat="1" x14ac:dyDescent="0.3">
      <c r="L47" s="26" t="s">
        <v>122</v>
      </c>
      <c r="M47" s="19"/>
      <c r="N47" s="13"/>
      <c r="O47" s="124"/>
      <c r="P47" s="145"/>
      <c r="Q47" s="127"/>
      <c r="R47" s="9"/>
      <c r="S47" s="9"/>
      <c r="T47" s="9"/>
      <c r="U47" s="9"/>
      <c r="V47" s="9"/>
      <c r="W47" s="124"/>
      <c r="X47" s="147"/>
      <c r="Y47" s="127"/>
      <c r="Z47" s="127"/>
      <c r="AA47" s="135">
        <f>AA10+AA20+AA31+AA45</f>
        <v>1.0867019957784378</v>
      </c>
      <c r="AB47" s="146">
        <f>AB10+AB20+AB31+AB45</f>
        <v>0.58149979253227357</v>
      </c>
      <c r="AC47" s="140">
        <f>AC10+AC20+AC31+AC45</f>
        <v>0.40462154819620666</v>
      </c>
      <c r="AD47" s="27"/>
      <c r="AE47" s="9"/>
      <c r="AF47" s="9"/>
      <c r="AG47" s="156"/>
      <c r="AH47" s="116"/>
      <c r="AI47" s="14"/>
      <c r="AJ47" s="19"/>
      <c r="AK47" s="7"/>
    </row>
    <row r="48" spans="11:37" s="5" customFormat="1" ht="36.75" customHeight="1" x14ac:dyDescent="0.35">
      <c r="K48" s="20"/>
      <c r="L48" s="26" t="s">
        <v>123</v>
      </c>
      <c r="M48" s="6"/>
      <c r="N48" s="13"/>
      <c r="O48" s="124"/>
      <c r="P48" s="145"/>
      <c r="Q48" s="127"/>
      <c r="R48" s="9"/>
      <c r="S48" s="9"/>
      <c r="T48" s="9"/>
      <c r="U48" s="9"/>
      <c r="V48" s="9"/>
      <c r="W48" s="124"/>
      <c r="X48" s="147"/>
      <c r="Y48" s="127"/>
      <c r="Z48" s="127"/>
      <c r="AA48" s="135">
        <f>AA6+AA15+AA25+AA40</f>
        <v>2.0630339328531959</v>
      </c>
      <c r="AB48" s="146">
        <f>AB6+AB15+AB25+AB40</f>
        <v>2.0630339328531959</v>
      </c>
      <c r="AC48" s="140">
        <f>AC6+AC15+AC25+AC40</f>
        <v>2.0630339328531959</v>
      </c>
      <c r="AD48" s="41"/>
      <c r="AE48" s="22"/>
      <c r="AF48" s="22"/>
      <c r="AG48" s="157"/>
      <c r="AH48" s="117"/>
      <c r="AI48" s="51"/>
      <c r="AJ48" s="6"/>
      <c r="AK48" s="7"/>
    </row>
    <row r="49" spans="11:36" x14ac:dyDescent="0.3">
      <c r="K49" s="20"/>
      <c r="L49" s="26" t="s">
        <v>120</v>
      </c>
      <c r="M49" s="3"/>
      <c r="N49" s="46"/>
      <c r="O49" s="168"/>
      <c r="P49" s="160"/>
      <c r="Q49" s="170"/>
      <c r="R49" s="47"/>
      <c r="S49" s="47"/>
      <c r="T49" s="47"/>
      <c r="U49" s="47"/>
      <c r="V49" s="47"/>
      <c r="W49" s="168"/>
      <c r="X49" s="160"/>
      <c r="Y49" s="170"/>
      <c r="Z49" s="130"/>
      <c r="AA49" s="171">
        <f>AA6+AA10+AA15+AA20+AA25+AA31+AA40+AA45</f>
        <v>3.149735928631634</v>
      </c>
      <c r="AB49" s="149">
        <f>AB6+AB10+AB15+AB20+AB25+AB31+AB40+AB45</f>
        <v>2.6445337253854695</v>
      </c>
      <c r="AC49" s="173">
        <f>AC6+AC10+AC15+AC20+AC25+AC31+AC40+AC45</f>
        <v>2.4676554810494027</v>
      </c>
      <c r="AD49" s="44"/>
      <c r="AE49" s="47"/>
      <c r="AF49" s="53"/>
      <c r="AG49" s="154">
        <f>AG6+AG15+AG40+AG42</f>
        <v>1028.7217802197249</v>
      </c>
      <c r="AH49" s="47"/>
      <c r="AI49" s="139"/>
      <c r="AJ49" s="27"/>
    </row>
    <row r="50" spans="11:36" x14ac:dyDescent="0.3">
      <c r="K50" s="20"/>
      <c r="L50" s="18"/>
      <c r="M50" s="3"/>
      <c r="N50" s="9"/>
      <c r="O50" s="124"/>
      <c r="P50" s="145"/>
      <c r="Q50" s="127"/>
      <c r="R50" s="9"/>
      <c r="S50" s="9"/>
      <c r="T50" s="9"/>
      <c r="U50" s="9"/>
      <c r="V50" s="9"/>
      <c r="W50" s="124"/>
      <c r="X50" s="147"/>
      <c r="Y50" s="127"/>
      <c r="Z50" s="127"/>
      <c r="AA50" s="124" t="s">
        <v>114</v>
      </c>
      <c r="AB50" s="22" t="s">
        <v>11</v>
      </c>
      <c r="AC50" s="127" t="s">
        <v>115</v>
      </c>
      <c r="AD50" s="148"/>
      <c r="AE50" s="148"/>
      <c r="AF50" s="148"/>
      <c r="AG50" s="152" t="s">
        <v>121</v>
      </c>
      <c r="AH50" s="27"/>
      <c r="AI50" s="9"/>
      <c r="AJ50" s="27"/>
    </row>
    <row r="51" spans="11:36" ht="23.25" x14ac:dyDescent="0.35">
      <c r="K51" s="5"/>
      <c r="L51" s="4"/>
      <c r="AA51" s="126" t="s">
        <v>14</v>
      </c>
      <c r="AB51" s="8" t="s">
        <v>14</v>
      </c>
      <c r="AC51" s="131" t="s">
        <v>14</v>
      </c>
      <c r="AG51" s="155" t="s">
        <v>59</v>
      </c>
    </row>
  </sheetData>
  <pageMargins left="0.7" right="0.7" top="0.75" bottom="0.75" header="0.3" footer="0.3"/>
  <pageSetup scale="3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pane ySplit="870" topLeftCell="A13"/>
      <selection sqref="A1:A1048576"/>
      <selection pane="bottomLeft" activeCell="T29" sqref="T29"/>
    </sheetView>
  </sheetViews>
  <sheetFormatPr defaultRowHeight="15" x14ac:dyDescent="0.25"/>
  <cols>
    <col min="1" max="1" width="36.140625" style="31" customWidth="1"/>
    <col min="2" max="2" width="3.7109375" hidden="1" customWidth="1"/>
    <col min="3" max="3" width="30.42578125" customWidth="1"/>
    <col min="4" max="4" width="2.140625" customWidth="1"/>
    <col min="5" max="5" width="8.5703125" style="24" customWidth="1"/>
    <col min="6" max="6" width="1.7109375" customWidth="1"/>
    <col min="7" max="7" width="9.140625" style="24"/>
    <col min="8" max="8" width="12" style="24" bestFit="1" customWidth="1"/>
    <col min="9" max="10" width="9.140625" style="24"/>
    <col min="11" max="11" width="10.5703125" style="24" bestFit="1" customWidth="1"/>
    <col min="12" max="12" width="6.7109375" customWidth="1"/>
    <col min="13" max="13" width="10.28515625" style="24" bestFit="1" customWidth="1"/>
    <col min="14" max="14" width="3.42578125" customWidth="1"/>
    <col min="15" max="15" width="10.5703125" customWidth="1"/>
    <col min="16" max="16" width="4" customWidth="1"/>
    <col min="17" max="17" width="10.7109375" style="24" customWidth="1"/>
    <col min="18" max="18" width="6.7109375" style="24" customWidth="1"/>
    <col min="19" max="19" width="7.140625" style="24" customWidth="1"/>
    <col min="20" max="20" width="9.5703125" style="24" bestFit="1" customWidth="1"/>
    <col min="21" max="21" width="8.7109375" customWidth="1"/>
  </cols>
  <sheetData>
    <row r="1" spans="1:20" s="31" customFormat="1" x14ac:dyDescent="0.25">
      <c r="B1" s="35" t="s">
        <v>30</v>
      </c>
      <c r="C1" s="31" t="s">
        <v>25</v>
      </c>
      <c r="E1" s="34" t="s">
        <v>70</v>
      </c>
      <c r="G1" s="34" t="s">
        <v>26</v>
      </c>
      <c r="H1" s="34" t="s">
        <v>27</v>
      </c>
      <c r="I1" s="34" t="s">
        <v>28</v>
      </c>
      <c r="J1" s="34" t="s">
        <v>0</v>
      </c>
      <c r="K1" s="34" t="s">
        <v>29</v>
      </c>
      <c r="M1" s="34" t="s">
        <v>55</v>
      </c>
      <c r="O1" s="31" t="s">
        <v>58</v>
      </c>
      <c r="Q1" s="34" t="s">
        <v>63</v>
      </c>
      <c r="R1" s="34" t="s">
        <v>64</v>
      </c>
      <c r="S1" s="34" t="s">
        <v>69</v>
      </c>
      <c r="T1" s="34" t="s">
        <v>65</v>
      </c>
    </row>
    <row r="2" spans="1:20" x14ac:dyDescent="0.25">
      <c r="H2" s="24" t="s">
        <v>54</v>
      </c>
      <c r="I2" s="24" t="s">
        <v>51</v>
      </c>
      <c r="J2" s="24" t="s">
        <v>52</v>
      </c>
      <c r="K2" s="24" t="s">
        <v>53</v>
      </c>
      <c r="M2" s="24" t="s">
        <v>56</v>
      </c>
      <c r="O2" s="24" t="s">
        <v>59</v>
      </c>
      <c r="Q2" s="24" t="s">
        <v>4</v>
      </c>
      <c r="R2" s="24" t="s">
        <v>4</v>
      </c>
      <c r="S2" s="24" t="s">
        <v>4</v>
      </c>
      <c r="T2" s="24" t="s">
        <v>60</v>
      </c>
    </row>
    <row r="3" spans="1:20" ht="17.25" customHeight="1" x14ac:dyDescent="0.25">
      <c r="A3" s="31" t="s">
        <v>61</v>
      </c>
    </row>
    <row r="4" spans="1:20" x14ac:dyDescent="0.25">
      <c r="B4">
        <v>28</v>
      </c>
      <c r="C4" t="s">
        <v>31</v>
      </c>
      <c r="G4" s="24" t="s">
        <v>32</v>
      </c>
      <c r="H4" s="33">
        <v>2.9280000000000002E-6</v>
      </c>
      <c r="I4" s="24">
        <v>2930</v>
      </c>
      <c r="J4" s="24">
        <v>118.3</v>
      </c>
      <c r="K4" s="24">
        <v>173.2</v>
      </c>
      <c r="M4" s="33">
        <f>H4*I4</f>
        <v>8.5790400000000013E-3</v>
      </c>
      <c r="O4" s="32">
        <f>K4*M4</f>
        <v>1.4858897280000001</v>
      </c>
    </row>
    <row r="5" spans="1:20" x14ac:dyDescent="0.25">
      <c r="B5">
        <v>29</v>
      </c>
      <c r="C5" t="s">
        <v>33</v>
      </c>
      <c r="G5" s="24" t="s">
        <v>34</v>
      </c>
      <c r="H5" s="33">
        <v>5.3983999999999998E-6</v>
      </c>
      <c r="I5" s="24">
        <v>3260</v>
      </c>
      <c r="J5" s="24">
        <v>1398.3</v>
      </c>
      <c r="K5" s="24">
        <v>214.1</v>
      </c>
      <c r="M5" s="33">
        <f t="shared" ref="M5:M32" si="0">H5*I5</f>
        <v>1.7598783999999999E-2</v>
      </c>
      <c r="O5" s="32">
        <f t="shared" ref="O5:O27" si="1">K5*M5</f>
        <v>3.7678996543999999</v>
      </c>
    </row>
    <row r="6" spans="1:20" x14ac:dyDescent="0.25">
      <c r="B6">
        <v>30</v>
      </c>
      <c r="C6" t="s">
        <v>35</v>
      </c>
      <c r="G6" s="24" t="s">
        <v>36</v>
      </c>
      <c r="H6" s="33">
        <v>2.4917E-7</v>
      </c>
      <c r="I6" s="24">
        <v>2420</v>
      </c>
      <c r="J6" s="24">
        <v>180</v>
      </c>
      <c r="K6" s="24">
        <v>579.4</v>
      </c>
      <c r="M6" s="33">
        <f t="shared" si="0"/>
        <v>6.0299140000000002E-4</v>
      </c>
      <c r="O6" s="32">
        <f t="shared" si="1"/>
        <v>0.34937321715999997</v>
      </c>
    </row>
    <row r="7" spans="1:20" x14ac:dyDescent="0.25">
      <c r="B7">
        <v>31</v>
      </c>
      <c r="C7" t="s">
        <v>37</v>
      </c>
      <c r="G7" s="24" t="s">
        <v>38</v>
      </c>
      <c r="H7" s="33">
        <v>2.2748E-7</v>
      </c>
      <c r="I7" s="24">
        <v>8055</v>
      </c>
      <c r="J7" s="24">
        <v>8.4</v>
      </c>
      <c r="K7" s="24">
        <v>235.3</v>
      </c>
      <c r="M7" s="33">
        <f t="shared" si="0"/>
        <v>1.8323514E-3</v>
      </c>
      <c r="O7" s="32">
        <f t="shared" si="1"/>
        <v>0.43115228442000003</v>
      </c>
    </row>
    <row r="8" spans="1:20" x14ac:dyDescent="0.25">
      <c r="B8">
        <v>33</v>
      </c>
      <c r="C8" t="s">
        <v>39</v>
      </c>
      <c r="G8" s="24" t="s">
        <v>40</v>
      </c>
      <c r="H8" s="33">
        <v>4.5772E-7</v>
      </c>
      <c r="I8" s="24">
        <v>2330</v>
      </c>
      <c r="J8" s="24">
        <v>660.8</v>
      </c>
      <c r="K8" s="24">
        <v>325.2</v>
      </c>
      <c r="M8" s="33">
        <f t="shared" si="0"/>
        <v>1.0664876000000001E-3</v>
      </c>
      <c r="O8" s="32">
        <f t="shared" si="1"/>
        <v>0.34682176751999999</v>
      </c>
    </row>
    <row r="9" spans="1:20" x14ac:dyDescent="0.25">
      <c r="B9">
        <v>35</v>
      </c>
      <c r="C9" t="s">
        <v>41</v>
      </c>
      <c r="G9" s="24" t="s">
        <v>40</v>
      </c>
      <c r="H9" s="33">
        <v>1.6339000000000001E-7</v>
      </c>
      <c r="I9" s="24">
        <v>2330</v>
      </c>
      <c r="J9" s="24">
        <v>660.8</v>
      </c>
      <c r="K9" s="24">
        <v>325.2</v>
      </c>
      <c r="M9" s="33">
        <f t="shared" si="0"/>
        <v>3.8069870000000003E-4</v>
      </c>
      <c r="O9" s="32">
        <f t="shared" si="1"/>
        <v>0.12380321724</v>
      </c>
    </row>
    <row r="10" spans="1:20" x14ac:dyDescent="0.25">
      <c r="B10">
        <v>31</v>
      </c>
      <c r="C10" t="s">
        <v>37</v>
      </c>
      <c r="G10" s="24" t="s">
        <v>38</v>
      </c>
      <c r="H10" s="33">
        <v>2.2748E-7</v>
      </c>
      <c r="I10" s="24">
        <v>8055</v>
      </c>
      <c r="J10" s="24">
        <v>8.4</v>
      </c>
      <c r="K10" s="24">
        <v>235.3</v>
      </c>
      <c r="M10" s="33">
        <f t="shared" si="0"/>
        <v>1.8323514E-3</v>
      </c>
      <c r="O10" s="32">
        <f t="shared" si="1"/>
        <v>0.43115228442000003</v>
      </c>
    </row>
    <row r="11" spans="1:20" x14ac:dyDescent="0.25">
      <c r="B11">
        <v>31</v>
      </c>
      <c r="C11" t="s">
        <v>37</v>
      </c>
      <c r="G11" s="24" t="s">
        <v>38</v>
      </c>
      <c r="H11" s="33">
        <v>2.2748E-7</v>
      </c>
      <c r="I11" s="24">
        <v>8055</v>
      </c>
      <c r="J11" s="24">
        <v>8.4</v>
      </c>
      <c r="K11" s="24">
        <v>235.3</v>
      </c>
      <c r="M11" s="33">
        <f t="shared" si="0"/>
        <v>1.8323514E-3</v>
      </c>
      <c r="O11" s="32">
        <f t="shared" si="1"/>
        <v>0.43115228442000003</v>
      </c>
    </row>
    <row r="12" spans="1:20" x14ac:dyDescent="0.25">
      <c r="B12">
        <v>30</v>
      </c>
      <c r="C12" t="s">
        <v>35</v>
      </c>
      <c r="G12" s="24" t="s">
        <v>36</v>
      </c>
      <c r="H12" s="33">
        <v>2.4917E-7</v>
      </c>
      <c r="I12" s="24">
        <v>2420</v>
      </c>
      <c r="J12" s="24">
        <v>180</v>
      </c>
      <c r="K12" s="24">
        <v>579.4</v>
      </c>
      <c r="M12" s="33">
        <f t="shared" si="0"/>
        <v>6.0299140000000002E-4</v>
      </c>
      <c r="O12" s="32">
        <f t="shared" si="1"/>
        <v>0.34937321715999997</v>
      </c>
    </row>
    <row r="13" spans="1:20" x14ac:dyDescent="0.25">
      <c r="B13">
        <v>30</v>
      </c>
      <c r="C13" t="s">
        <v>35</v>
      </c>
      <c r="G13" s="24" t="s">
        <v>36</v>
      </c>
      <c r="H13" s="33">
        <v>2.4917E-7</v>
      </c>
      <c r="I13" s="24">
        <v>2420</v>
      </c>
      <c r="J13" s="24">
        <v>180</v>
      </c>
      <c r="K13" s="24">
        <v>579.4</v>
      </c>
      <c r="M13" s="33">
        <f t="shared" si="0"/>
        <v>6.0299140000000002E-4</v>
      </c>
      <c r="O13" s="32">
        <f t="shared" si="1"/>
        <v>0.34937321715999997</v>
      </c>
    </row>
    <row r="14" spans="1:20" x14ac:dyDescent="0.25">
      <c r="B14">
        <v>39</v>
      </c>
      <c r="C14" t="s">
        <v>46</v>
      </c>
      <c r="G14" s="24" t="s">
        <v>38</v>
      </c>
      <c r="H14" s="33">
        <v>6.2130000000000001E-8</v>
      </c>
      <c r="I14" s="24">
        <v>8055</v>
      </c>
      <c r="J14" s="24">
        <v>8.4</v>
      </c>
      <c r="K14" s="24">
        <v>235.3</v>
      </c>
      <c r="M14" s="33">
        <f t="shared" si="0"/>
        <v>5.0045714999999999E-4</v>
      </c>
      <c r="O14" s="32">
        <f t="shared" si="1"/>
        <v>0.117757567395</v>
      </c>
    </row>
    <row r="15" spans="1:20" x14ac:dyDescent="0.25">
      <c r="B15">
        <v>39</v>
      </c>
      <c r="C15" t="s">
        <v>46</v>
      </c>
      <c r="G15" s="24" t="s">
        <v>38</v>
      </c>
      <c r="H15" s="33">
        <v>6.2130000000000001E-8</v>
      </c>
      <c r="I15" s="24">
        <v>8055</v>
      </c>
      <c r="J15" s="24">
        <v>8.4</v>
      </c>
      <c r="K15" s="24">
        <v>235.3</v>
      </c>
      <c r="M15" s="33">
        <f t="shared" si="0"/>
        <v>5.0045714999999999E-4</v>
      </c>
      <c r="O15" s="32">
        <f t="shared" si="1"/>
        <v>0.117757567395</v>
      </c>
    </row>
    <row r="16" spans="1:20" x14ac:dyDescent="0.25">
      <c r="B16">
        <v>41</v>
      </c>
      <c r="C16" t="s">
        <v>42</v>
      </c>
      <c r="G16" s="24" t="s">
        <v>38</v>
      </c>
      <c r="H16" s="33">
        <v>3.7573000000000002E-8</v>
      </c>
      <c r="I16" s="24">
        <v>8055</v>
      </c>
      <c r="J16" s="24">
        <v>8.4</v>
      </c>
      <c r="K16" s="24">
        <v>235.3</v>
      </c>
      <c r="M16" s="33">
        <f t="shared" si="0"/>
        <v>3.0265051500000001E-4</v>
      </c>
      <c r="O16" s="32">
        <f t="shared" si="1"/>
        <v>7.1213666179500007E-2</v>
      </c>
    </row>
    <row r="17" spans="2:20" x14ac:dyDescent="0.25">
      <c r="B17">
        <v>41</v>
      </c>
      <c r="C17" t="s">
        <v>42</v>
      </c>
      <c r="G17" s="24" t="s">
        <v>38</v>
      </c>
      <c r="H17" s="33">
        <v>3.7573000000000002E-8</v>
      </c>
      <c r="I17" s="24">
        <v>8055</v>
      </c>
      <c r="J17" s="24">
        <v>8.4</v>
      </c>
      <c r="K17" s="24">
        <v>235.3</v>
      </c>
      <c r="M17" s="33">
        <f t="shared" si="0"/>
        <v>3.0265051500000001E-4</v>
      </c>
      <c r="O17" s="32">
        <f t="shared" si="1"/>
        <v>7.1213666179500007E-2</v>
      </c>
    </row>
    <row r="18" spans="2:20" x14ac:dyDescent="0.25">
      <c r="B18">
        <v>42</v>
      </c>
      <c r="C18" t="s">
        <v>43</v>
      </c>
      <c r="G18" s="24" t="s">
        <v>44</v>
      </c>
      <c r="H18" s="33">
        <v>1.4844E-7</v>
      </c>
      <c r="I18" s="24">
        <v>8030</v>
      </c>
      <c r="J18" s="24">
        <v>10.1</v>
      </c>
      <c r="K18" s="24">
        <v>316.2</v>
      </c>
      <c r="M18" s="33">
        <f t="shared" si="0"/>
        <v>1.1919731999999999E-3</v>
      </c>
      <c r="O18" s="32">
        <f t="shared" si="1"/>
        <v>0.37690192583999993</v>
      </c>
    </row>
    <row r="19" spans="2:20" x14ac:dyDescent="0.25">
      <c r="B19">
        <v>42</v>
      </c>
      <c r="C19" t="s">
        <v>43</v>
      </c>
      <c r="G19" s="24" t="s">
        <v>44</v>
      </c>
      <c r="H19" s="33">
        <v>1.4844E-7</v>
      </c>
      <c r="I19" s="24">
        <v>8030</v>
      </c>
      <c r="J19" s="24">
        <v>10.1</v>
      </c>
      <c r="K19" s="24">
        <v>316.2</v>
      </c>
      <c r="M19" s="33">
        <f t="shared" si="0"/>
        <v>1.1919731999999999E-3</v>
      </c>
      <c r="O19" s="32">
        <f t="shared" si="1"/>
        <v>0.37690192583999993</v>
      </c>
    </row>
    <row r="20" spans="2:20" x14ac:dyDescent="0.25">
      <c r="B20">
        <v>44</v>
      </c>
      <c r="C20" t="s">
        <v>45</v>
      </c>
      <c r="G20" s="24" t="s">
        <v>38</v>
      </c>
      <c r="H20" s="33">
        <v>5.1493999999999996E-9</v>
      </c>
      <c r="I20" s="24">
        <v>8055</v>
      </c>
      <c r="J20" s="24">
        <v>8.4</v>
      </c>
      <c r="K20" s="24">
        <v>235.3</v>
      </c>
      <c r="M20" s="33">
        <f t="shared" si="0"/>
        <v>4.1478416999999999E-5</v>
      </c>
      <c r="O20" s="32">
        <f t="shared" si="1"/>
        <v>9.7598715201000011E-3</v>
      </c>
    </row>
    <row r="21" spans="2:20" x14ac:dyDescent="0.25">
      <c r="B21">
        <v>44</v>
      </c>
      <c r="C21" t="s">
        <v>45</v>
      </c>
      <c r="G21" s="24" t="s">
        <v>38</v>
      </c>
      <c r="H21" s="33">
        <v>5.1493999999999996E-9</v>
      </c>
      <c r="I21" s="24">
        <v>8055</v>
      </c>
      <c r="J21" s="24">
        <v>8.4</v>
      </c>
      <c r="K21" s="24">
        <v>235.3</v>
      </c>
      <c r="M21" s="33">
        <f t="shared" si="0"/>
        <v>4.1478416999999999E-5</v>
      </c>
      <c r="O21" s="32">
        <f t="shared" si="1"/>
        <v>9.7598715201000011E-3</v>
      </c>
    </row>
    <row r="22" spans="2:20" x14ac:dyDescent="0.25">
      <c r="B22">
        <v>45</v>
      </c>
      <c r="C22" t="s">
        <v>47</v>
      </c>
      <c r="G22" s="24" t="s">
        <v>38</v>
      </c>
      <c r="H22" s="33">
        <v>2.4255000000000001E-7</v>
      </c>
      <c r="I22" s="24">
        <v>8055</v>
      </c>
      <c r="J22" s="24">
        <v>8.4</v>
      </c>
      <c r="K22" s="24">
        <v>235.3</v>
      </c>
      <c r="M22" s="33">
        <f t="shared" si="0"/>
        <v>1.9537402500000001E-3</v>
      </c>
      <c r="O22" s="32">
        <f t="shared" si="1"/>
        <v>0.45971508082500007</v>
      </c>
    </row>
    <row r="23" spans="2:20" x14ac:dyDescent="0.25">
      <c r="B23">
        <v>45</v>
      </c>
      <c r="C23" t="s">
        <v>47</v>
      </c>
      <c r="G23" s="24" t="s">
        <v>38</v>
      </c>
      <c r="H23" s="33">
        <v>2.4255000000000001E-7</v>
      </c>
      <c r="I23" s="24">
        <v>8055</v>
      </c>
      <c r="J23" s="24">
        <v>8.4</v>
      </c>
      <c r="K23" s="24">
        <v>235.3</v>
      </c>
      <c r="M23" s="33">
        <f t="shared" si="0"/>
        <v>1.9537402500000001E-3</v>
      </c>
      <c r="O23" s="32">
        <f t="shared" si="1"/>
        <v>0.45971508082500007</v>
      </c>
    </row>
    <row r="24" spans="2:20" x14ac:dyDescent="0.25">
      <c r="B24">
        <v>46</v>
      </c>
      <c r="C24" t="s">
        <v>48</v>
      </c>
      <c r="G24" s="24" t="s">
        <v>44</v>
      </c>
      <c r="H24" s="33">
        <v>1.7436999999999999E-8</v>
      </c>
      <c r="I24" s="24">
        <v>8030</v>
      </c>
      <c r="J24" s="24">
        <v>10.1</v>
      </c>
      <c r="K24" s="24">
        <v>316.2</v>
      </c>
      <c r="M24" s="33">
        <f t="shared" si="0"/>
        <v>1.4001910999999998E-4</v>
      </c>
      <c r="O24" s="32">
        <f t="shared" si="1"/>
        <v>4.4274042581999996E-2</v>
      </c>
    </row>
    <row r="25" spans="2:20" x14ac:dyDescent="0.25">
      <c r="B25">
        <v>46</v>
      </c>
      <c r="C25" t="s">
        <v>48</v>
      </c>
      <c r="G25" s="24" t="s">
        <v>44</v>
      </c>
      <c r="H25" s="33">
        <v>1.7436999999999999E-8</v>
      </c>
      <c r="I25" s="24">
        <v>8030</v>
      </c>
      <c r="J25" s="24">
        <v>10.1</v>
      </c>
      <c r="K25" s="24">
        <v>316.2</v>
      </c>
      <c r="M25" s="33">
        <f t="shared" si="0"/>
        <v>1.4001910999999998E-4</v>
      </c>
      <c r="O25" s="32">
        <f t="shared" si="1"/>
        <v>4.4274042581999996E-2</v>
      </c>
    </row>
    <row r="26" spans="2:20" x14ac:dyDescent="0.25">
      <c r="B26">
        <v>46</v>
      </c>
      <c r="C26" t="s">
        <v>48</v>
      </c>
      <c r="G26" s="24" t="s">
        <v>44</v>
      </c>
      <c r="H26" s="33">
        <v>1.7436999999999999E-8</v>
      </c>
      <c r="I26" s="24">
        <v>8030</v>
      </c>
      <c r="J26" s="24">
        <v>10.1</v>
      </c>
      <c r="K26" s="24">
        <v>316.2</v>
      </c>
      <c r="M26" s="33">
        <f t="shared" si="0"/>
        <v>1.4001910999999998E-4</v>
      </c>
      <c r="O26" s="32">
        <f t="shared" si="1"/>
        <v>4.4274042581999996E-2</v>
      </c>
    </row>
    <row r="27" spans="2:20" x14ac:dyDescent="0.25">
      <c r="B27">
        <v>46</v>
      </c>
      <c r="C27" t="s">
        <v>48</v>
      </c>
      <c r="G27" s="24" t="s">
        <v>44</v>
      </c>
      <c r="H27" s="33">
        <v>1.7436999999999999E-8</v>
      </c>
      <c r="I27" s="24">
        <v>8030</v>
      </c>
      <c r="J27" s="24">
        <v>10.1</v>
      </c>
      <c r="K27" s="24">
        <v>316.2</v>
      </c>
      <c r="M27" s="33">
        <f t="shared" si="0"/>
        <v>1.4001910999999998E-4</v>
      </c>
      <c r="O27" s="32">
        <f t="shared" si="1"/>
        <v>4.4274042581999996E-2</v>
      </c>
    </row>
    <row r="28" spans="2:20" x14ac:dyDescent="0.25">
      <c r="M28" s="33"/>
    </row>
    <row r="29" spans="2:20" s="31" customFormat="1" x14ac:dyDescent="0.25">
      <c r="C29" s="31" t="s">
        <v>66</v>
      </c>
      <c r="E29" s="38">
        <v>9</v>
      </c>
      <c r="G29" s="34"/>
      <c r="H29" s="34"/>
      <c r="I29" s="34"/>
      <c r="J29" s="34" t="s">
        <v>57</v>
      </c>
      <c r="K29" s="36">
        <f>O29/M29</f>
        <v>237.25273904193497</v>
      </c>
      <c r="M29" s="37">
        <f>SUM(M4:M28)</f>
        <v>4.3471714204000027E-2</v>
      </c>
      <c r="O29" s="39">
        <f>SUM(O4:O28)</f>
        <v>10.313783265747196</v>
      </c>
      <c r="Q29" s="34"/>
      <c r="R29" s="34"/>
      <c r="S29" s="34"/>
      <c r="T29" s="37">
        <v>5</v>
      </c>
    </row>
    <row r="30" spans="2:20" x14ac:dyDescent="0.25">
      <c r="M30" s="33"/>
    </row>
    <row r="31" spans="2:20" x14ac:dyDescent="0.25">
      <c r="M31" s="33"/>
    </row>
    <row r="32" spans="2:20" x14ac:dyDescent="0.25">
      <c r="C32" s="31" t="s">
        <v>49</v>
      </c>
      <c r="D32" s="31"/>
      <c r="E32" s="38">
        <v>1</v>
      </c>
      <c r="F32" s="31"/>
      <c r="G32" s="24" t="s">
        <v>50</v>
      </c>
      <c r="H32" s="33">
        <v>1.5165E-4</v>
      </c>
      <c r="I32" s="24">
        <v>2930</v>
      </c>
      <c r="J32" s="24">
        <v>118.3</v>
      </c>
      <c r="K32" s="38">
        <v>173.2</v>
      </c>
      <c r="M32" s="37">
        <f t="shared" si="0"/>
        <v>0.44433450000000002</v>
      </c>
      <c r="O32" s="32">
        <f t="shared" ref="O32" si="2">K32*M32</f>
        <v>76.958735399999995</v>
      </c>
      <c r="Q32" s="24">
        <v>0.127</v>
      </c>
      <c r="R32" s="24">
        <v>0.127</v>
      </c>
      <c r="S32" s="24">
        <v>1.2E-2</v>
      </c>
      <c r="T32" s="37">
        <f>S32/(J32*(H32/(Q32*R32*S32))*Q32*R32)</f>
        <v>8.0266686064449141E-3</v>
      </c>
    </row>
    <row r="34" spans="3:20" x14ac:dyDescent="0.25">
      <c r="C34" s="31" t="s">
        <v>67</v>
      </c>
      <c r="D34" s="31"/>
      <c r="E34" s="38">
        <v>4</v>
      </c>
      <c r="F34" s="31"/>
      <c r="G34" s="24" t="s">
        <v>68</v>
      </c>
      <c r="H34" s="40">
        <f>7*1050*(PI()*Q34^2/4)*0.0679</f>
        <v>2.5003028346647315E-6</v>
      </c>
      <c r="I34" s="24">
        <v>8960</v>
      </c>
      <c r="J34" s="24">
        <v>400</v>
      </c>
      <c r="K34" s="36">
        <v>342</v>
      </c>
      <c r="M34" s="37">
        <f>H34*I34</f>
        <v>2.2402713398595994E-2</v>
      </c>
      <c r="O34" s="32">
        <f t="shared" ref="O34" si="3">K34*M34</f>
        <v>7.6617279823198299</v>
      </c>
      <c r="Q34" s="40">
        <f>0.079868/1000</f>
        <v>7.9867999999999988E-5</v>
      </c>
      <c r="S34" s="24">
        <v>6.7900000000000002E-2</v>
      </c>
      <c r="T34" s="37">
        <f>S34/(J34*(H34/S34))</f>
        <v>4.6098515908556088</v>
      </c>
    </row>
    <row r="36" spans="3:20" x14ac:dyDescent="0.25">
      <c r="C36" s="31" t="s">
        <v>71</v>
      </c>
      <c r="D36" s="31"/>
      <c r="E36" s="38">
        <v>2</v>
      </c>
      <c r="F36" s="31"/>
      <c r="G36" s="24" t="s">
        <v>68</v>
      </c>
      <c r="H36" s="33">
        <v>1.078E-4</v>
      </c>
      <c r="I36" s="24">
        <v>8960</v>
      </c>
      <c r="J36" s="24">
        <v>400</v>
      </c>
      <c r="K36" s="36">
        <v>342</v>
      </c>
      <c r="M36" s="37">
        <f t="shared" ref="M36" si="4">H36*I36</f>
        <v>0.96588800000000008</v>
      </c>
      <c r="O36" s="32">
        <f t="shared" ref="O36" si="5">K36*M36</f>
        <v>330.33369600000003</v>
      </c>
      <c r="Q36" s="24">
        <v>0.111</v>
      </c>
      <c r="R36" s="24">
        <v>5.4000000000000003E-3</v>
      </c>
      <c r="S36" s="24">
        <v>0.18</v>
      </c>
      <c r="T36" s="37">
        <f>S36/(J36*(H36/(Q36*R36*S36))*Q36*R36)</f>
        <v>0.75139146567717985</v>
      </c>
    </row>
    <row r="38" spans="3:20" x14ac:dyDescent="0.25">
      <c r="C38" s="31" t="s">
        <v>72</v>
      </c>
      <c r="D38" s="31"/>
      <c r="E38" s="38">
        <v>2</v>
      </c>
      <c r="F38" s="31"/>
      <c r="G38" s="24" t="s">
        <v>68</v>
      </c>
      <c r="H38" s="33">
        <v>1.0795700000000001E-5</v>
      </c>
      <c r="I38" s="24">
        <v>8960</v>
      </c>
      <c r="J38" s="24">
        <v>400</v>
      </c>
      <c r="K38" s="36">
        <v>342</v>
      </c>
      <c r="M38" s="37">
        <f t="shared" ref="M38" si="6">H38*I38</f>
        <v>9.6729472000000011E-2</v>
      </c>
      <c r="O38" s="32">
        <f t="shared" ref="O38" si="7">K38*M38</f>
        <v>33.081479424000001</v>
      </c>
      <c r="Q38" s="24">
        <v>8.5000000000000006E-2</v>
      </c>
      <c r="R38" s="24">
        <v>5.0000000000000001E-4</v>
      </c>
      <c r="S38" s="24">
        <v>0.20849999999999999</v>
      </c>
      <c r="T38" s="37">
        <f>S38/(J38*(H38/(Q38*R38*S38))*Q38*R38)</f>
        <v>10.067029002287947</v>
      </c>
    </row>
    <row r="40" spans="3:20" x14ac:dyDescent="0.25">
      <c r="C40" s="31" t="s">
        <v>77</v>
      </c>
      <c r="D40" s="31"/>
      <c r="E40" s="38">
        <v>2</v>
      </c>
      <c r="F40" s="31"/>
      <c r="G40" s="24" t="s">
        <v>44</v>
      </c>
      <c r="H40" s="33">
        <v>2.5409999999999999E-5</v>
      </c>
      <c r="I40" s="24">
        <v>8030</v>
      </c>
      <c r="J40" s="24">
        <v>10.1</v>
      </c>
      <c r="K40" s="36">
        <v>316.2</v>
      </c>
      <c r="M40" s="37">
        <f t="shared" ref="M40" si="8">H40*I40</f>
        <v>0.20404229999999998</v>
      </c>
      <c r="O40" s="32">
        <f t="shared" ref="O40" si="9">K40*M40</f>
        <v>64.518175259999992</v>
      </c>
      <c r="T40" s="37" t="s">
        <v>5</v>
      </c>
    </row>
    <row r="42" spans="3:20" x14ac:dyDescent="0.25">
      <c r="C42" s="31" t="s">
        <v>78</v>
      </c>
      <c r="D42" s="31"/>
      <c r="E42" s="38">
        <v>2</v>
      </c>
      <c r="F42" s="31"/>
      <c r="G42" s="24" t="s">
        <v>44</v>
      </c>
      <c r="H42" s="33">
        <v>2.6619999999999999E-5</v>
      </c>
      <c r="I42" s="24">
        <v>8030</v>
      </c>
      <c r="J42" s="24">
        <v>10.1</v>
      </c>
      <c r="K42" s="36">
        <v>316.2</v>
      </c>
      <c r="M42" s="37">
        <f t="shared" ref="M42" si="10">H42*I42</f>
        <v>0.21375859999999999</v>
      </c>
      <c r="O42" s="32">
        <f t="shared" ref="O42" si="11">K42*M42</f>
        <v>67.590469319999997</v>
      </c>
      <c r="T42" s="37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5"/>
  <sheetViews>
    <sheetView topLeftCell="K1" zoomScale="61" zoomScaleNormal="61" workbookViewId="0">
      <selection activeCell="AD26" sqref="AD26"/>
    </sheetView>
  </sheetViews>
  <sheetFormatPr defaultRowHeight="31.5" x14ac:dyDescent="0.5"/>
  <cols>
    <col min="11" max="11" width="39" customWidth="1"/>
    <col min="12" max="12" width="62" customWidth="1"/>
    <col min="13" max="13" width="6.28515625" style="62" customWidth="1"/>
    <col min="14" max="14" width="3.28515625" customWidth="1"/>
    <col min="15" max="15" width="13.5703125" style="8" customWidth="1"/>
    <col min="16" max="16" width="12" style="8" customWidth="1"/>
    <col min="17" max="17" width="17" style="8" customWidth="1"/>
    <col min="18" max="18" width="12.85546875" style="8" customWidth="1"/>
    <col min="19" max="19" width="7.5703125" style="8" customWidth="1"/>
    <col min="20" max="20" width="11.5703125" style="8" customWidth="1"/>
    <col min="21" max="21" width="12.7109375" style="8" customWidth="1"/>
    <col min="22" max="22" width="4" style="8" customWidth="1"/>
    <col min="23" max="23" width="13.85546875" style="8" customWidth="1"/>
    <col min="24" max="24" width="11.28515625" style="8" customWidth="1"/>
    <col min="25" max="25" width="13" style="8" customWidth="1"/>
    <col min="26" max="26" width="13.5703125" style="8" customWidth="1"/>
    <col min="27" max="27" width="15.28515625" style="8" customWidth="1"/>
    <col min="28" max="28" width="13.140625" style="66" customWidth="1"/>
    <col min="29" max="29" width="3.7109375" style="8" customWidth="1"/>
    <col min="30" max="30" width="11.28515625" style="8" customWidth="1"/>
    <col min="31" max="31" width="9.28515625" style="87" customWidth="1"/>
    <col min="32" max="33" width="15.85546875" style="87" customWidth="1"/>
    <col min="34" max="34" width="14.42578125" style="87" customWidth="1"/>
    <col min="35" max="35" width="6.140625" customWidth="1"/>
    <col min="36" max="36" width="30" style="66" customWidth="1"/>
  </cols>
  <sheetData>
    <row r="1" spans="1:36" ht="47.25" thickBot="1" x14ac:dyDescent="0.75">
      <c r="A1" s="63" t="s">
        <v>137</v>
      </c>
      <c r="N1" s="3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22"/>
      <c r="AC1" s="9"/>
      <c r="AD1" s="195" t="s">
        <v>113</v>
      </c>
      <c r="AE1" s="196"/>
      <c r="AF1" s="196"/>
      <c r="AG1" s="196"/>
      <c r="AH1" s="197"/>
    </row>
    <row r="2" spans="1:36" x14ac:dyDescent="0.5">
      <c r="N2" s="3"/>
      <c r="O2" s="10" t="s">
        <v>0</v>
      </c>
      <c r="P2" s="11" t="s">
        <v>9</v>
      </c>
      <c r="Q2" s="11" t="s">
        <v>1</v>
      </c>
      <c r="R2" s="11" t="s">
        <v>2</v>
      </c>
      <c r="S2" s="11" t="s">
        <v>8</v>
      </c>
      <c r="T2" s="11" t="s">
        <v>3</v>
      </c>
      <c r="U2" s="11" t="s">
        <v>11</v>
      </c>
      <c r="V2" s="70"/>
      <c r="W2" s="70" t="s">
        <v>27</v>
      </c>
      <c r="X2" s="70" t="s">
        <v>28</v>
      </c>
      <c r="Y2" s="11" t="s">
        <v>55</v>
      </c>
      <c r="Z2" s="11" t="s">
        <v>29</v>
      </c>
      <c r="AA2" s="11" t="s">
        <v>139</v>
      </c>
      <c r="AB2" s="12" t="s">
        <v>82</v>
      </c>
      <c r="AC2" s="9"/>
      <c r="AD2" s="95" t="s">
        <v>110</v>
      </c>
      <c r="AE2" s="96" t="s">
        <v>55</v>
      </c>
      <c r="AF2" s="96" t="s">
        <v>29</v>
      </c>
      <c r="AG2" s="96" t="s">
        <v>139</v>
      </c>
      <c r="AH2" s="97" t="s">
        <v>82</v>
      </c>
    </row>
    <row r="3" spans="1:36" x14ac:dyDescent="0.5">
      <c r="N3" s="3"/>
      <c r="O3" s="13" t="s">
        <v>7</v>
      </c>
      <c r="P3" s="9" t="s">
        <v>12</v>
      </c>
      <c r="Q3" s="9" t="s">
        <v>13</v>
      </c>
      <c r="R3" s="9" t="s">
        <v>4</v>
      </c>
      <c r="S3" s="9" t="s">
        <v>5</v>
      </c>
      <c r="T3" s="9" t="s">
        <v>6</v>
      </c>
      <c r="U3" s="9" t="s">
        <v>14</v>
      </c>
      <c r="V3" s="9"/>
      <c r="W3" s="9" t="s">
        <v>109</v>
      </c>
      <c r="X3" s="9" t="s">
        <v>108</v>
      </c>
      <c r="Y3" s="9" t="s">
        <v>56</v>
      </c>
      <c r="Z3" s="9" t="s">
        <v>53</v>
      </c>
      <c r="AA3" s="9" t="s">
        <v>59</v>
      </c>
      <c r="AB3" s="51" t="s">
        <v>83</v>
      </c>
      <c r="AC3" s="9"/>
      <c r="AD3" s="98" t="s">
        <v>14</v>
      </c>
      <c r="AE3" s="22" t="s">
        <v>56</v>
      </c>
      <c r="AF3" s="22" t="s">
        <v>53</v>
      </c>
      <c r="AG3" s="22" t="s">
        <v>59</v>
      </c>
      <c r="AH3" s="99" t="s">
        <v>83</v>
      </c>
    </row>
    <row r="4" spans="1:36" x14ac:dyDescent="0.5">
      <c r="N4" s="3"/>
      <c r="O4" s="13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51"/>
      <c r="AC4" s="9"/>
      <c r="AD4" s="98"/>
      <c r="AE4" s="100"/>
      <c r="AF4" s="100"/>
      <c r="AG4" s="100"/>
      <c r="AH4" s="101"/>
    </row>
    <row r="5" spans="1:36" x14ac:dyDescent="0.5">
      <c r="N5" s="3"/>
      <c r="O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51"/>
      <c r="AC5" s="9"/>
      <c r="AD5" s="98"/>
      <c r="AE5" s="100"/>
      <c r="AF5" s="100"/>
      <c r="AG5" s="100"/>
      <c r="AH5" s="101"/>
    </row>
    <row r="6" spans="1:36" ht="36" customHeight="1" x14ac:dyDescent="0.5">
      <c r="M6" s="62">
        <v>10</v>
      </c>
      <c r="N6" s="3"/>
      <c r="O6" s="78">
        <v>35</v>
      </c>
      <c r="P6" s="79"/>
      <c r="Q6" s="82">
        <v>2.1732000000000001E-4</v>
      </c>
      <c r="R6" s="79">
        <v>3.4000000000000002E-2</v>
      </c>
      <c r="S6" s="79">
        <v>3</v>
      </c>
      <c r="T6" s="80">
        <f>O6*Q6/R6</f>
        <v>0.22371176470588236</v>
      </c>
      <c r="U6" s="81">
        <f>1/T6</f>
        <v>4.4700376009045248</v>
      </c>
      <c r="V6" s="79"/>
      <c r="W6" s="82">
        <f>Q6*R6</f>
        <v>7.3888800000000008E-6</v>
      </c>
      <c r="X6" s="79">
        <v>2500</v>
      </c>
      <c r="Y6" s="83">
        <f>W6*X6</f>
        <v>1.8472200000000001E-2</v>
      </c>
      <c r="Z6" s="84">
        <v>800</v>
      </c>
      <c r="AA6" s="21">
        <f>Y6*Z6</f>
        <v>14.777760000000001</v>
      </c>
      <c r="AB6" s="67">
        <f>Heat_Sources!F12/3</f>
        <v>1.5</v>
      </c>
      <c r="AC6" s="9"/>
      <c r="AD6" s="123">
        <f>1/(S6/U6)</f>
        <v>1.4900125336348415</v>
      </c>
      <c r="AE6" s="103">
        <f>S6*Y6</f>
        <v>5.5416600000000003E-2</v>
      </c>
      <c r="AF6" s="104">
        <f>Z6</f>
        <v>800</v>
      </c>
      <c r="AG6" s="104">
        <f>AE6*AF6</f>
        <v>44.333280000000002</v>
      </c>
      <c r="AH6" s="105">
        <f>AB6*3</f>
        <v>4.5</v>
      </c>
      <c r="AJ6" s="66" t="s">
        <v>100</v>
      </c>
    </row>
    <row r="7" spans="1:36" x14ac:dyDescent="0.5">
      <c r="N7" s="3"/>
      <c r="O7" s="13"/>
      <c r="P7" s="9"/>
      <c r="Q7" s="9"/>
      <c r="R7" s="9"/>
      <c r="S7" s="9"/>
      <c r="T7" s="16"/>
      <c r="U7" s="42"/>
      <c r="V7" s="9"/>
      <c r="W7" s="9"/>
      <c r="X7" s="9"/>
      <c r="Y7" s="22"/>
      <c r="Z7" s="52"/>
      <c r="AA7" s="21"/>
      <c r="AB7" s="67"/>
      <c r="AC7" s="9"/>
      <c r="AD7" s="102"/>
      <c r="AE7" s="103"/>
      <c r="AF7" s="104"/>
      <c r="AG7" s="104"/>
      <c r="AH7" s="105"/>
    </row>
    <row r="8" spans="1:36" ht="48" customHeight="1" x14ac:dyDescent="0.5">
      <c r="M8" s="62">
        <v>9</v>
      </c>
      <c r="N8" s="19"/>
      <c r="O8" s="71">
        <v>400</v>
      </c>
      <c r="P8" s="72"/>
      <c r="Q8" s="72">
        <f>4*0.0001188</f>
        <v>4.752E-4</v>
      </c>
      <c r="R8" s="72">
        <v>0.03</v>
      </c>
      <c r="S8" s="72">
        <v>3</v>
      </c>
      <c r="T8" s="73">
        <f t="shared" ref="T8:T22" si="0">O8*Q8/R8</f>
        <v>6.3360000000000003</v>
      </c>
      <c r="U8" s="77">
        <f t="shared" ref="U8:U22" si="1">1/T8</f>
        <v>0.15782828282828282</v>
      </c>
      <c r="V8" s="72"/>
      <c r="W8" s="74">
        <f t="shared" ref="W8:W22" si="2">Q8*R8</f>
        <v>1.4256E-5</v>
      </c>
      <c r="X8" s="72">
        <v>8960</v>
      </c>
      <c r="Y8" s="74">
        <f t="shared" ref="Y8:Y22" si="3">W8*X8</f>
        <v>0.12773376</v>
      </c>
      <c r="Z8" s="75">
        <v>342</v>
      </c>
      <c r="AA8" s="21">
        <f t="shared" ref="AA8:AA24" si="4">Y8*Z8</f>
        <v>43.684945920000004</v>
      </c>
      <c r="AB8" s="67">
        <f>Heat_Sources!F11/3</f>
        <v>3.0666666666666664</v>
      </c>
      <c r="AC8" s="114"/>
      <c r="AD8" s="102">
        <f>1/(S8/U8+S9/U9)</f>
        <v>5.0585220414980911E-2</v>
      </c>
      <c r="AE8" s="103">
        <f>S8*Y8+S9*Y9</f>
        <v>0.43209828</v>
      </c>
      <c r="AF8" s="104">
        <f>((Y8*Z8)+(Y9*Z9))/AE8</f>
        <v>131.27602803695493</v>
      </c>
      <c r="AG8" s="104">
        <f t="shared" ref="AG8:AG24" si="5">AE8*AF8</f>
        <v>56.724145919999998</v>
      </c>
      <c r="AH8" s="105">
        <f>AB8*3</f>
        <v>9.1999999999999993</v>
      </c>
      <c r="AJ8" s="66" t="s">
        <v>99</v>
      </c>
    </row>
    <row r="9" spans="1:36" ht="18.75" customHeight="1" x14ac:dyDescent="0.5">
      <c r="N9" s="19"/>
      <c r="O9" s="78">
        <v>35</v>
      </c>
      <c r="P9" s="79"/>
      <c r="Q9" s="82">
        <v>2.1732000000000001E-4</v>
      </c>
      <c r="R9" s="79">
        <v>0.03</v>
      </c>
      <c r="S9" s="79">
        <v>3</v>
      </c>
      <c r="T9" s="80">
        <f t="shared" si="0"/>
        <v>0.25354000000000004</v>
      </c>
      <c r="U9" s="81">
        <f t="shared" si="1"/>
        <v>3.9441508243275214</v>
      </c>
      <c r="V9" s="79"/>
      <c r="W9" s="82">
        <f t="shared" si="2"/>
        <v>6.5196000000000002E-6</v>
      </c>
      <c r="X9" s="79">
        <v>2500</v>
      </c>
      <c r="Y9" s="82">
        <f t="shared" si="3"/>
        <v>1.6299000000000001E-2</v>
      </c>
      <c r="Z9" s="85">
        <v>800</v>
      </c>
      <c r="AA9" s="21">
        <f t="shared" si="4"/>
        <v>13.039200000000001</v>
      </c>
      <c r="AB9" s="67"/>
      <c r="AC9" s="114"/>
      <c r="AD9" s="106"/>
      <c r="AE9" s="103"/>
      <c r="AF9" s="104"/>
      <c r="AG9" s="104"/>
      <c r="AH9" s="105"/>
    </row>
    <row r="10" spans="1:36" ht="48" customHeight="1" x14ac:dyDescent="0.5">
      <c r="M10" s="62">
        <v>8</v>
      </c>
      <c r="N10" s="19"/>
      <c r="O10" s="71">
        <v>400</v>
      </c>
      <c r="P10" s="72"/>
      <c r="Q10" s="72">
        <f>4*0.0001188</f>
        <v>4.752E-4</v>
      </c>
      <c r="R10" s="72">
        <v>3.5000000000000003E-2</v>
      </c>
      <c r="S10" s="72">
        <v>3</v>
      </c>
      <c r="T10" s="73">
        <f t="shared" si="0"/>
        <v>5.4308571428571426</v>
      </c>
      <c r="U10" s="77">
        <f t="shared" si="1"/>
        <v>0.18413299663299665</v>
      </c>
      <c r="V10" s="72"/>
      <c r="W10" s="74">
        <f t="shared" si="2"/>
        <v>1.6632000000000003E-5</v>
      </c>
      <c r="X10" s="72">
        <v>8960</v>
      </c>
      <c r="Y10" s="74">
        <f t="shared" si="3"/>
        <v>0.14902272000000003</v>
      </c>
      <c r="Z10" s="75">
        <v>342</v>
      </c>
      <c r="AA10" s="21">
        <f t="shared" si="4"/>
        <v>50.965770240000012</v>
      </c>
      <c r="AB10" s="67">
        <f>Heat_Sources!F10/3</f>
        <v>3.3333333333333333E-2</v>
      </c>
      <c r="AC10" s="114"/>
      <c r="AD10" s="102">
        <f>1/(1/U10+1/U11)</f>
        <v>0.17592015034638678</v>
      </c>
      <c r="AE10" s="103">
        <f>S10*Y10+S11*Y11</f>
        <v>0.49596516000000007</v>
      </c>
      <c r="AF10" s="104">
        <f>((Y10*Z10)+(Y11*Z11))/AE10</f>
        <v>129.05134352582346</v>
      </c>
      <c r="AG10" s="104">
        <f t="shared" si="5"/>
        <v>64.004970240000006</v>
      </c>
      <c r="AH10" s="105">
        <f>AB10*3</f>
        <v>0.1</v>
      </c>
      <c r="AJ10" s="66" t="s">
        <v>133</v>
      </c>
    </row>
    <row r="11" spans="1:36" ht="18" customHeight="1" x14ac:dyDescent="0.5">
      <c r="N11" s="19"/>
      <c r="O11" s="78">
        <v>35</v>
      </c>
      <c r="P11" s="79"/>
      <c r="Q11" s="82">
        <v>2.1732000000000001E-4</v>
      </c>
      <c r="R11" s="79">
        <v>0.03</v>
      </c>
      <c r="S11" s="79">
        <v>3</v>
      </c>
      <c r="T11" s="80">
        <f t="shared" si="0"/>
        <v>0.25354000000000004</v>
      </c>
      <c r="U11" s="81">
        <f t="shared" si="1"/>
        <v>3.9441508243275214</v>
      </c>
      <c r="V11" s="79"/>
      <c r="W11" s="82">
        <f t="shared" si="2"/>
        <v>6.5196000000000002E-6</v>
      </c>
      <c r="X11" s="79">
        <v>2500</v>
      </c>
      <c r="Y11" s="82">
        <f t="shared" si="3"/>
        <v>1.6299000000000001E-2</v>
      </c>
      <c r="Z11" s="85">
        <v>800</v>
      </c>
      <c r="AA11" s="21">
        <f t="shared" si="4"/>
        <v>13.039200000000001</v>
      </c>
      <c r="AB11" s="67"/>
      <c r="AC11" s="114"/>
      <c r="AD11" s="102"/>
      <c r="AE11" s="103"/>
      <c r="AF11" s="104"/>
      <c r="AG11" s="104"/>
      <c r="AH11" s="105"/>
    </row>
    <row r="12" spans="1:36" s="20" customFormat="1" ht="48" customHeight="1" x14ac:dyDescent="0.3">
      <c r="K12"/>
      <c r="L12"/>
      <c r="M12" s="64">
        <v>7</v>
      </c>
      <c r="N12" s="19"/>
      <c r="O12" s="71">
        <v>400</v>
      </c>
      <c r="P12" s="72"/>
      <c r="Q12" s="72">
        <f>4*0.0001188</f>
        <v>4.752E-4</v>
      </c>
      <c r="R12" s="72">
        <v>3.7999999999999999E-2</v>
      </c>
      <c r="S12" s="72">
        <v>3</v>
      </c>
      <c r="T12" s="73">
        <f t="shared" si="0"/>
        <v>5.0021052631578948</v>
      </c>
      <c r="U12" s="77">
        <f t="shared" si="1"/>
        <v>0.19991582491582491</v>
      </c>
      <c r="V12" s="72"/>
      <c r="W12" s="74">
        <f t="shared" si="2"/>
        <v>1.8057599999999998E-5</v>
      </c>
      <c r="X12" s="72">
        <v>8960</v>
      </c>
      <c r="Y12" s="74">
        <f t="shared" si="3"/>
        <v>0.16179609599999997</v>
      </c>
      <c r="Z12" s="75">
        <v>342</v>
      </c>
      <c r="AA12" s="21">
        <f t="shared" si="4"/>
        <v>55.334264831999988</v>
      </c>
      <c r="AB12" s="67">
        <f>Heat_Sources!F9/3</f>
        <v>0.04</v>
      </c>
      <c r="AC12" s="114"/>
      <c r="AD12" s="102">
        <f>1/(1/U12+1/U13)</f>
        <v>0.19027159367280855</v>
      </c>
      <c r="AE12" s="103">
        <f>S12*Y12+S13*Y13</f>
        <v>0.53428528799999986</v>
      </c>
      <c r="AF12" s="104">
        <f>((Y12*Z12)+(Y13*Z13))/AE12</f>
        <v>127.97182772511606</v>
      </c>
      <c r="AG12" s="104">
        <f t="shared" si="5"/>
        <v>68.373464831999996</v>
      </c>
      <c r="AH12" s="105">
        <f>AB12*3</f>
        <v>0.12</v>
      </c>
      <c r="AJ12" s="66" t="s">
        <v>132</v>
      </c>
    </row>
    <row r="13" spans="1:36" s="20" customFormat="1" ht="20.25" customHeight="1" x14ac:dyDescent="0.5">
      <c r="K13"/>
      <c r="L13"/>
      <c r="M13" s="62"/>
      <c r="N13" s="3"/>
      <c r="O13" s="78">
        <v>35</v>
      </c>
      <c r="P13" s="79"/>
      <c r="Q13" s="82">
        <v>2.1732000000000001E-4</v>
      </c>
      <c r="R13" s="79">
        <v>0.03</v>
      </c>
      <c r="S13" s="79">
        <v>3</v>
      </c>
      <c r="T13" s="80">
        <f t="shared" si="0"/>
        <v>0.25354000000000004</v>
      </c>
      <c r="U13" s="81">
        <f t="shared" si="1"/>
        <v>3.9441508243275214</v>
      </c>
      <c r="V13" s="79"/>
      <c r="W13" s="82">
        <f t="shared" si="2"/>
        <v>6.5196000000000002E-6</v>
      </c>
      <c r="X13" s="79">
        <v>2500</v>
      </c>
      <c r="Y13" s="82">
        <f t="shared" si="3"/>
        <v>1.6299000000000001E-2</v>
      </c>
      <c r="Z13" s="85">
        <v>800</v>
      </c>
      <c r="AA13" s="21">
        <f t="shared" si="4"/>
        <v>13.039200000000001</v>
      </c>
      <c r="AB13" s="67"/>
      <c r="AC13" s="9"/>
      <c r="AD13" s="102"/>
      <c r="AE13" s="107"/>
      <c r="AF13" s="108"/>
      <c r="AG13" s="104"/>
      <c r="AH13" s="109"/>
      <c r="AJ13" s="66"/>
    </row>
    <row r="14" spans="1:36" s="20" customFormat="1" ht="48" customHeight="1" x14ac:dyDescent="0.5">
      <c r="K14"/>
      <c r="L14"/>
      <c r="M14" s="65">
        <v>6</v>
      </c>
      <c r="N14" s="19"/>
      <c r="O14" s="71">
        <v>400</v>
      </c>
      <c r="P14" s="72"/>
      <c r="Q14" s="72">
        <f>4*0.0001188</f>
        <v>4.752E-4</v>
      </c>
      <c r="R14" s="72">
        <v>0.04</v>
      </c>
      <c r="S14" s="72">
        <v>3</v>
      </c>
      <c r="T14" s="73">
        <f t="shared" si="0"/>
        <v>4.7519999999999998</v>
      </c>
      <c r="U14" s="77">
        <f t="shared" si="1"/>
        <v>0.21043771043771045</v>
      </c>
      <c r="V14" s="72"/>
      <c r="W14" s="74">
        <f t="shared" si="2"/>
        <v>1.9008000000000002E-5</v>
      </c>
      <c r="X14" s="72">
        <v>8960</v>
      </c>
      <c r="Y14" s="74">
        <f t="shared" si="3"/>
        <v>0.17031168000000002</v>
      </c>
      <c r="Z14" s="75">
        <v>342</v>
      </c>
      <c r="AA14" s="21">
        <f t="shared" si="4"/>
        <v>58.246594560000005</v>
      </c>
      <c r="AB14" s="67">
        <v>0</v>
      </c>
      <c r="AC14" s="114"/>
      <c r="AD14" s="102">
        <f>1/(1/U14+1/U15)</f>
        <v>0.19977864526105077</v>
      </c>
      <c r="AE14" s="103">
        <f>S14*Y14+S15*Y15</f>
        <v>0.55983204000000009</v>
      </c>
      <c r="AF14" s="104">
        <f>((Y14*Z14)+(Y15*Z15))/AE14</f>
        <v>127.33425289485037</v>
      </c>
      <c r="AG14" s="104">
        <f t="shared" si="5"/>
        <v>71.285794559999999</v>
      </c>
      <c r="AH14" s="105">
        <f>AB14*3</f>
        <v>0</v>
      </c>
      <c r="AJ14" s="66"/>
    </row>
    <row r="15" spans="1:36" s="20" customFormat="1" x14ac:dyDescent="0.5">
      <c r="M15" s="62"/>
      <c r="N15" s="19"/>
      <c r="O15" s="78">
        <v>35</v>
      </c>
      <c r="P15" s="79"/>
      <c r="Q15" s="82">
        <v>2.1732000000000001E-4</v>
      </c>
      <c r="R15" s="79">
        <v>0.03</v>
      </c>
      <c r="S15" s="79">
        <v>3</v>
      </c>
      <c r="T15" s="80">
        <f t="shared" si="0"/>
        <v>0.25354000000000004</v>
      </c>
      <c r="U15" s="81">
        <f t="shared" si="1"/>
        <v>3.9441508243275214</v>
      </c>
      <c r="V15" s="79"/>
      <c r="W15" s="82">
        <f t="shared" si="2"/>
        <v>6.5196000000000002E-6</v>
      </c>
      <c r="X15" s="79">
        <v>2500</v>
      </c>
      <c r="Y15" s="82">
        <f t="shared" si="3"/>
        <v>1.6299000000000001E-2</v>
      </c>
      <c r="Z15" s="85">
        <v>800</v>
      </c>
      <c r="AA15" s="21">
        <f t="shared" si="4"/>
        <v>13.039200000000001</v>
      </c>
      <c r="AB15" s="67"/>
      <c r="AC15" s="114"/>
      <c r="AD15" s="102"/>
      <c r="AE15" s="107"/>
      <c r="AF15" s="108"/>
      <c r="AG15" s="104"/>
      <c r="AH15" s="109"/>
      <c r="AJ15" s="66"/>
    </row>
    <row r="16" spans="1:36" s="20" customFormat="1" ht="48" customHeight="1" x14ac:dyDescent="0.5">
      <c r="M16" s="62">
        <v>5</v>
      </c>
      <c r="N16" s="19"/>
      <c r="O16" s="71">
        <v>400</v>
      </c>
      <c r="P16" s="72"/>
      <c r="Q16" s="72">
        <f>4*0.0001188</f>
        <v>4.752E-4</v>
      </c>
      <c r="R16" s="76">
        <v>7.1999999999999995E-2</v>
      </c>
      <c r="S16" s="72">
        <v>3</v>
      </c>
      <c r="T16" s="73">
        <f t="shared" si="0"/>
        <v>2.64</v>
      </c>
      <c r="U16" s="77">
        <f t="shared" si="1"/>
        <v>0.37878787878787878</v>
      </c>
      <c r="V16" s="72"/>
      <c r="W16" s="74">
        <f t="shared" si="2"/>
        <v>3.4214399999999996E-5</v>
      </c>
      <c r="X16" s="72">
        <v>8960</v>
      </c>
      <c r="Y16" s="74">
        <f t="shared" si="3"/>
        <v>0.30656102399999996</v>
      </c>
      <c r="Z16" s="75">
        <v>342</v>
      </c>
      <c r="AA16" s="21">
        <f t="shared" si="4"/>
        <v>104.84387020799998</v>
      </c>
      <c r="AB16" s="67">
        <v>0</v>
      </c>
      <c r="AC16" s="114"/>
      <c r="AD16" s="102">
        <f>1/(1/U16+1/U17)</f>
        <v>0.34559743428464784</v>
      </c>
      <c r="AE16" s="103">
        <f>S16*Y16+S17*Y17</f>
        <v>0.96858007199999985</v>
      </c>
      <c r="AF16" s="104">
        <f>((Y16*Z16)+(Y17*Z17))/AE16</f>
        <v>121.7070984793088</v>
      </c>
      <c r="AG16" s="104">
        <f t="shared" si="5"/>
        <v>117.88307020799999</v>
      </c>
      <c r="AH16" s="105">
        <f>AB16*3</f>
        <v>0</v>
      </c>
      <c r="AJ16" s="66"/>
    </row>
    <row r="17" spans="11:36" ht="30.75" customHeight="1" x14ac:dyDescent="0.5">
      <c r="K17" s="20"/>
      <c r="L17" s="20"/>
      <c r="N17" s="19"/>
      <c r="O17" s="78">
        <v>35</v>
      </c>
      <c r="P17" s="79"/>
      <c r="Q17" s="82">
        <v>2.1732000000000001E-4</v>
      </c>
      <c r="R17" s="79">
        <v>0.03</v>
      </c>
      <c r="S17" s="79">
        <v>3</v>
      </c>
      <c r="T17" s="80">
        <f t="shared" si="0"/>
        <v>0.25354000000000004</v>
      </c>
      <c r="U17" s="81">
        <f t="shared" si="1"/>
        <v>3.9441508243275214</v>
      </c>
      <c r="V17" s="79"/>
      <c r="W17" s="82">
        <f t="shared" si="2"/>
        <v>6.5196000000000002E-6</v>
      </c>
      <c r="X17" s="79">
        <v>2500</v>
      </c>
      <c r="Y17" s="82">
        <f t="shared" si="3"/>
        <v>1.6299000000000001E-2</v>
      </c>
      <c r="Z17" s="85">
        <v>800</v>
      </c>
      <c r="AA17" s="21">
        <f t="shared" si="4"/>
        <v>13.039200000000001</v>
      </c>
      <c r="AB17" s="67"/>
      <c r="AC17" s="114"/>
      <c r="AD17" s="102"/>
      <c r="AE17" s="103"/>
      <c r="AF17" s="104"/>
      <c r="AG17" s="104"/>
      <c r="AH17" s="105"/>
    </row>
    <row r="18" spans="11:36" s="20" customFormat="1" ht="48" customHeight="1" x14ac:dyDescent="0.5">
      <c r="M18" s="62">
        <v>4</v>
      </c>
      <c r="N18" s="3"/>
      <c r="O18" s="71">
        <v>400</v>
      </c>
      <c r="P18" s="72"/>
      <c r="Q18" s="72">
        <f>4*0.0001188</f>
        <v>4.752E-4</v>
      </c>
      <c r="R18" s="72">
        <v>8.2500000000000004E-2</v>
      </c>
      <c r="S18" s="72">
        <v>3</v>
      </c>
      <c r="T18" s="73">
        <f t="shared" si="0"/>
        <v>2.3039999999999998</v>
      </c>
      <c r="U18" s="77">
        <f t="shared" si="1"/>
        <v>0.43402777777777779</v>
      </c>
      <c r="V18" s="72"/>
      <c r="W18" s="74">
        <f t="shared" si="2"/>
        <v>3.9203999999999999E-5</v>
      </c>
      <c r="X18" s="72">
        <v>8960</v>
      </c>
      <c r="Y18" s="74">
        <f t="shared" si="3"/>
        <v>0.35126784</v>
      </c>
      <c r="Z18" s="75">
        <v>342</v>
      </c>
      <c r="AA18" s="21">
        <f t="shared" si="4"/>
        <v>120.13360127999999</v>
      </c>
      <c r="AB18" s="67">
        <f>Heat_Sources!F8/3</f>
        <v>3</v>
      </c>
      <c r="AC18" s="9"/>
      <c r="AD18" s="102">
        <f>1/(1/U18+1/U19)</f>
        <v>0.39100072726135271</v>
      </c>
      <c r="AE18" s="103">
        <f>S18*Y18+S19*Y19</f>
        <v>1.10270052</v>
      </c>
      <c r="AF18" s="104">
        <f>((Y18*Z18)+(Y19*Z19))/AE18</f>
        <v>120.76969119412404</v>
      </c>
      <c r="AG18" s="104">
        <f t="shared" si="5"/>
        <v>133.17280127999999</v>
      </c>
      <c r="AH18" s="105">
        <f>AB18*3</f>
        <v>9</v>
      </c>
      <c r="AJ18" s="66" t="s">
        <v>96</v>
      </c>
    </row>
    <row r="19" spans="11:36" s="20" customFormat="1" ht="24" customHeight="1" x14ac:dyDescent="0.5">
      <c r="M19" s="62"/>
      <c r="N19" s="19"/>
      <c r="O19" s="78">
        <v>35</v>
      </c>
      <c r="P19" s="79"/>
      <c r="Q19" s="82">
        <v>2.1732000000000001E-4</v>
      </c>
      <c r="R19" s="79">
        <v>0.03</v>
      </c>
      <c r="S19" s="79">
        <v>3</v>
      </c>
      <c r="T19" s="80">
        <f t="shared" si="0"/>
        <v>0.25354000000000004</v>
      </c>
      <c r="U19" s="81">
        <f t="shared" si="1"/>
        <v>3.9441508243275214</v>
      </c>
      <c r="V19" s="79"/>
      <c r="W19" s="82">
        <f t="shared" si="2"/>
        <v>6.5196000000000002E-6</v>
      </c>
      <c r="X19" s="79">
        <v>2500</v>
      </c>
      <c r="Y19" s="82">
        <f t="shared" si="3"/>
        <v>1.6299000000000001E-2</v>
      </c>
      <c r="Z19" s="85">
        <v>800</v>
      </c>
      <c r="AA19" s="21">
        <f t="shared" si="4"/>
        <v>13.039200000000001</v>
      </c>
      <c r="AB19" s="67"/>
      <c r="AC19" s="114"/>
      <c r="AD19" s="102"/>
      <c r="AE19" s="107"/>
      <c r="AF19" s="108"/>
      <c r="AG19" s="104"/>
      <c r="AH19" s="109"/>
      <c r="AJ19" s="66"/>
    </row>
    <row r="20" spans="11:36" s="20" customFormat="1" ht="48" customHeight="1" x14ac:dyDescent="0.5">
      <c r="K20"/>
      <c r="L20"/>
      <c r="M20" s="62">
        <v>3</v>
      </c>
      <c r="N20" s="19"/>
      <c r="O20" s="71">
        <v>400</v>
      </c>
      <c r="P20" s="72"/>
      <c r="Q20" s="72">
        <f>4*0.0001188</f>
        <v>4.752E-4</v>
      </c>
      <c r="R20" s="72">
        <v>5.2499999999999998E-2</v>
      </c>
      <c r="S20" s="72">
        <v>3</v>
      </c>
      <c r="T20" s="73">
        <f t="shared" si="0"/>
        <v>3.6205714285714286</v>
      </c>
      <c r="U20" s="77">
        <f t="shared" si="1"/>
        <v>0.27619949494949497</v>
      </c>
      <c r="V20" s="72"/>
      <c r="W20" s="74">
        <f t="shared" si="2"/>
        <v>2.4947999999999999E-5</v>
      </c>
      <c r="X20" s="72">
        <v>8960</v>
      </c>
      <c r="Y20" s="74">
        <f t="shared" si="3"/>
        <v>0.22353408</v>
      </c>
      <c r="Z20" s="75">
        <v>342</v>
      </c>
      <c r="AA20" s="21">
        <f t="shared" si="4"/>
        <v>76.448655360000004</v>
      </c>
      <c r="AB20" s="67">
        <f>Heat_Sources!F7/3</f>
        <v>1.4400000000000002</v>
      </c>
      <c r="AC20" s="114"/>
      <c r="AD20" s="102">
        <f>1/(1/U20+1/U21)</f>
        <v>0.25812370615492292</v>
      </c>
      <c r="AE20" s="103">
        <f>S20*Y20+S21*Y21</f>
        <v>0.71949923999999998</v>
      </c>
      <c r="AF20" s="104">
        <f>((Y20*Z20)+(Y21*Z21))/AE20</f>
        <v>124.37519094530246</v>
      </c>
      <c r="AG20" s="104">
        <f t="shared" si="5"/>
        <v>89.487855359999998</v>
      </c>
      <c r="AH20" s="105">
        <f>AB20*3</f>
        <v>4.32</v>
      </c>
      <c r="AJ20" s="66" t="s">
        <v>95</v>
      </c>
    </row>
    <row r="21" spans="11:36" s="20" customFormat="1" ht="23.25" customHeight="1" x14ac:dyDescent="0.5">
      <c r="M21" s="62"/>
      <c r="N21" s="19"/>
      <c r="O21" s="78">
        <v>35</v>
      </c>
      <c r="P21" s="79"/>
      <c r="Q21" s="82">
        <v>2.1732000000000001E-4</v>
      </c>
      <c r="R21" s="79">
        <v>0.03</v>
      </c>
      <c r="S21" s="79">
        <v>3</v>
      </c>
      <c r="T21" s="80">
        <f t="shared" si="0"/>
        <v>0.25354000000000004</v>
      </c>
      <c r="U21" s="81">
        <f t="shared" si="1"/>
        <v>3.9441508243275214</v>
      </c>
      <c r="V21" s="79"/>
      <c r="W21" s="82">
        <f t="shared" si="2"/>
        <v>6.5196000000000002E-6</v>
      </c>
      <c r="X21" s="79">
        <v>2500</v>
      </c>
      <c r="Y21" s="82">
        <f t="shared" si="3"/>
        <v>1.6299000000000001E-2</v>
      </c>
      <c r="Z21" s="85">
        <v>800</v>
      </c>
      <c r="AA21" s="21">
        <f t="shared" si="4"/>
        <v>13.039200000000001</v>
      </c>
      <c r="AB21" s="67"/>
      <c r="AC21" s="114"/>
      <c r="AD21" s="102"/>
      <c r="AE21" s="107"/>
      <c r="AF21" s="108"/>
      <c r="AG21" s="104"/>
      <c r="AH21" s="109"/>
      <c r="AJ21" s="66"/>
    </row>
    <row r="22" spans="11:36" ht="48" customHeight="1" x14ac:dyDescent="0.5">
      <c r="K22" s="20"/>
      <c r="L22" s="20"/>
      <c r="M22" s="62">
        <v>2</v>
      </c>
      <c r="N22" s="19"/>
      <c r="O22" s="78">
        <v>35</v>
      </c>
      <c r="P22" s="79"/>
      <c r="Q22" s="82">
        <v>2.1732000000000001E-4</v>
      </c>
      <c r="R22" s="79">
        <v>3.5000000000000003E-2</v>
      </c>
      <c r="S22" s="79">
        <v>3</v>
      </c>
      <c r="T22" s="80">
        <f t="shared" si="0"/>
        <v>0.21731999999999999</v>
      </c>
      <c r="U22" s="81">
        <f t="shared" si="1"/>
        <v>4.6015092950487766</v>
      </c>
      <c r="V22" s="79"/>
      <c r="W22" s="82">
        <f t="shared" si="2"/>
        <v>7.606200000000001E-6</v>
      </c>
      <c r="X22" s="79">
        <v>8960</v>
      </c>
      <c r="Y22" s="82">
        <f t="shared" si="3"/>
        <v>6.8151552000000004E-2</v>
      </c>
      <c r="Z22" s="85">
        <v>800</v>
      </c>
      <c r="AA22" s="21">
        <f t="shared" si="4"/>
        <v>54.521241600000003</v>
      </c>
      <c r="AB22" s="67">
        <f>Heat_Sources!F6/3</f>
        <v>4.2</v>
      </c>
      <c r="AC22" s="114"/>
      <c r="AD22" s="123">
        <f>1/(S22/U22)</f>
        <v>1.5338364316829256</v>
      </c>
      <c r="AE22" s="103">
        <f>S22*Y22</f>
        <v>0.20445465600000001</v>
      </c>
      <c r="AF22" s="104">
        <f>Z22</f>
        <v>800</v>
      </c>
      <c r="AG22" s="104">
        <f t="shared" si="5"/>
        <v>163.56372480000002</v>
      </c>
      <c r="AH22" s="105">
        <f>AB22*3</f>
        <v>12.600000000000001</v>
      </c>
      <c r="AJ22" s="66" t="s">
        <v>131</v>
      </c>
    </row>
    <row r="23" spans="11:36" s="20" customFormat="1" x14ac:dyDescent="0.5">
      <c r="M23" s="62"/>
      <c r="N23" s="3"/>
      <c r="O23" s="13"/>
      <c r="P23" s="9"/>
      <c r="Q23" s="9"/>
      <c r="R23" s="9"/>
      <c r="S23" s="9"/>
      <c r="T23" s="16"/>
      <c r="U23" s="50"/>
      <c r="V23" s="9"/>
      <c r="W23" s="21"/>
      <c r="X23" s="9"/>
      <c r="Y23" s="21"/>
      <c r="Z23" s="50"/>
      <c r="AA23" s="21"/>
      <c r="AB23" s="67"/>
      <c r="AC23" s="9"/>
      <c r="AD23" s="102"/>
      <c r="AE23" s="107"/>
      <c r="AF23" s="108"/>
      <c r="AG23" s="104"/>
      <c r="AH23" s="109"/>
      <c r="AJ23" s="66"/>
    </row>
    <row r="24" spans="11:36" s="20" customFormat="1" ht="48" customHeight="1" thickBot="1" x14ac:dyDescent="0.55000000000000004">
      <c r="M24" s="62">
        <v>1</v>
      </c>
      <c r="N24" s="19"/>
      <c r="O24" s="115"/>
      <c r="P24" s="53"/>
      <c r="Q24" s="53"/>
      <c r="R24" s="53">
        <v>6.8000000000000005E-2</v>
      </c>
      <c r="S24" s="53">
        <v>18</v>
      </c>
      <c r="T24" s="53"/>
      <c r="U24" s="53">
        <v>551</v>
      </c>
      <c r="V24" s="53"/>
      <c r="W24" s="53"/>
      <c r="X24" s="53"/>
      <c r="Y24" s="53">
        <v>0</v>
      </c>
      <c r="Z24" s="112"/>
      <c r="AA24" s="190">
        <f t="shared" si="4"/>
        <v>0</v>
      </c>
      <c r="AB24" s="113">
        <v>0</v>
      </c>
      <c r="AC24" s="114"/>
      <c r="AD24" s="110">
        <f>1/(S24/U24)</f>
        <v>30.611111111111114</v>
      </c>
      <c r="AE24" s="119">
        <v>0</v>
      </c>
      <c r="AF24" s="120">
        <v>0</v>
      </c>
      <c r="AG24" s="192">
        <f t="shared" si="5"/>
        <v>0</v>
      </c>
      <c r="AH24" s="122">
        <f>AB24*3</f>
        <v>0</v>
      </c>
      <c r="AJ24" s="66" t="s">
        <v>135</v>
      </c>
    </row>
    <row r="25" spans="11:36" s="20" customFormat="1" x14ac:dyDescent="0.5">
      <c r="K25"/>
      <c r="L25"/>
      <c r="M25" s="62"/>
      <c r="N25" s="19"/>
      <c r="O25" s="9"/>
      <c r="P25" s="9"/>
      <c r="Q25" s="9"/>
      <c r="R25" s="9"/>
      <c r="S25" s="9"/>
      <c r="T25" s="16"/>
      <c r="U25" s="50"/>
      <c r="V25" s="9"/>
      <c r="W25" s="9"/>
      <c r="X25" s="9"/>
      <c r="Y25" s="9"/>
      <c r="Z25" s="50"/>
      <c r="AA25" s="114"/>
      <c r="AB25" s="22"/>
      <c r="AC25" s="114"/>
      <c r="AD25" s="86"/>
      <c r="AE25" s="93"/>
      <c r="AF25" s="94"/>
      <c r="AG25" s="94"/>
      <c r="AH25" s="91"/>
      <c r="AJ25" s="66"/>
    </row>
    <row r="26" spans="11:36" s="20" customFormat="1" ht="48" customHeight="1" x14ac:dyDescent="0.5">
      <c r="M26" s="62"/>
      <c r="N26" s="19"/>
      <c r="O26" s="9"/>
      <c r="P26" s="9"/>
      <c r="Q26" s="21"/>
      <c r="R26" s="9"/>
      <c r="S26" s="9"/>
      <c r="T26" s="16"/>
      <c r="U26" s="42"/>
      <c r="V26" s="22"/>
      <c r="W26" s="22"/>
      <c r="X26" s="22"/>
      <c r="Y26" s="137">
        <f>SUM(Y6:Y24)</f>
        <v>1.6909439520000002</v>
      </c>
      <c r="Z26" s="52"/>
      <c r="AA26" s="191">
        <f>SUM(AA6:AA24)</f>
        <v>670.23110400000007</v>
      </c>
      <c r="AB26" s="111">
        <f>SUM(AB6:AB25)</f>
        <v>13.280000000000001</v>
      </c>
      <c r="AC26" s="116"/>
      <c r="AD26" s="111"/>
      <c r="AE26" s="194">
        <f>SUM(AE6:AE24)</f>
        <v>5.0728318560000005</v>
      </c>
      <c r="AF26" s="94"/>
      <c r="AG26" s="193">
        <f>SUM(AG6:AG25)</f>
        <v>808.82910720000007</v>
      </c>
      <c r="AH26" s="111">
        <f>SUM(AH6:AH25)</f>
        <v>39.840000000000003</v>
      </c>
      <c r="AI26" s="49" t="s">
        <v>112</v>
      </c>
      <c r="AJ26" s="66"/>
    </row>
    <row r="27" spans="11:36" x14ac:dyDescent="0.5">
      <c r="K27" s="20"/>
      <c r="L27" s="20"/>
      <c r="N27" s="19"/>
      <c r="O27" s="9"/>
      <c r="P27" s="9"/>
      <c r="Q27" s="9"/>
      <c r="R27" s="9"/>
      <c r="S27" s="9"/>
      <c r="T27" s="16"/>
      <c r="U27" s="50"/>
      <c r="V27" s="9"/>
      <c r="W27" s="9"/>
      <c r="X27" s="9"/>
      <c r="Y27" s="9"/>
      <c r="Z27" s="50"/>
      <c r="AA27" s="114"/>
      <c r="AB27" s="22"/>
      <c r="AC27" s="114"/>
      <c r="AD27" s="86"/>
      <c r="AE27" s="92"/>
      <c r="AF27" s="88"/>
      <c r="AG27" s="88"/>
      <c r="AH27" s="89"/>
    </row>
    <row r="28" spans="11:36" s="20" customFormat="1" ht="48" customHeight="1" x14ac:dyDescent="0.5">
      <c r="M28" s="62"/>
      <c r="N28" s="19"/>
      <c r="O28" s="9"/>
      <c r="P28" s="9"/>
      <c r="Q28" s="9"/>
      <c r="R28" s="9"/>
      <c r="S28" s="9"/>
      <c r="T28" s="16"/>
      <c r="U28" s="50"/>
      <c r="V28" s="9"/>
      <c r="W28" s="9"/>
      <c r="X28" s="9"/>
      <c r="Y28" s="9"/>
      <c r="Z28" s="50"/>
      <c r="AA28" s="114"/>
      <c r="AB28" s="22"/>
      <c r="AC28" s="114"/>
      <c r="AD28" s="8"/>
      <c r="AE28" s="68"/>
      <c r="AF28" s="68"/>
      <c r="AG28" s="68"/>
      <c r="AH28" s="68"/>
      <c r="AJ28" s="66"/>
    </row>
    <row r="29" spans="11:36" s="20" customFormat="1" x14ac:dyDescent="0.5">
      <c r="M29" s="62"/>
      <c r="N29" s="3"/>
      <c r="O29" s="9"/>
      <c r="P29" s="9"/>
      <c r="Q29" s="9"/>
      <c r="R29" s="9"/>
      <c r="S29" s="9"/>
      <c r="T29" s="16"/>
      <c r="U29" s="50"/>
      <c r="V29" s="9"/>
      <c r="W29" s="9"/>
      <c r="X29" s="9"/>
      <c r="Y29" s="9"/>
      <c r="Z29" s="50"/>
      <c r="AA29" s="9"/>
      <c r="AB29" s="22"/>
      <c r="AC29" s="9"/>
      <c r="AD29" s="8"/>
      <c r="AE29" s="68"/>
      <c r="AF29" s="68"/>
      <c r="AG29" s="68"/>
      <c r="AH29" s="68"/>
      <c r="AJ29" s="66"/>
    </row>
    <row r="30" spans="11:36" s="20" customFormat="1" ht="48" customHeight="1" x14ac:dyDescent="0.5">
      <c r="K30"/>
      <c r="L30"/>
      <c r="M30" s="62"/>
      <c r="N30" s="1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50"/>
      <c r="AA30" s="114"/>
      <c r="AB30" s="22"/>
      <c r="AC30" s="114"/>
      <c r="AD30" s="8"/>
      <c r="AE30" s="68"/>
      <c r="AF30" s="68"/>
      <c r="AG30" s="68"/>
      <c r="AH30" s="68"/>
      <c r="AJ30" s="66"/>
    </row>
    <row r="31" spans="11:36" s="20" customFormat="1" x14ac:dyDescent="0.5">
      <c r="M31" s="62"/>
      <c r="N31" s="19"/>
      <c r="O31" s="9"/>
      <c r="P31" s="9"/>
      <c r="Q31" s="9"/>
      <c r="R31" s="9"/>
      <c r="S31" s="9"/>
      <c r="T31" s="16"/>
      <c r="U31" s="50"/>
      <c r="V31" s="9"/>
      <c r="W31" s="9"/>
      <c r="X31" s="9"/>
      <c r="Y31" s="9"/>
      <c r="Z31" s="50"/>
      <c r="AA31" s="114"/>
      <c r="AB31" s="22"/>
      <c r="AC31" s="114"/>
      <c r="AD31" s="8"/>
      <c r="AE31" s="68"/>
      <c r="AF31" s="68"/>
      <c r="AG31" s="68"/>
      <c r="AH31" s="68"/>
      <c r="AJ31" s="66"/>
    </row>
    <row r="32" spans="11:36" s="20" customFormat="1" ht="48" customHeight="1" x14ac:dyDescent="0.5">
      <c r="M32" s="62"/>
      <c r="N32" s="19"/>
      <c r="O32" s="9"/>
      <c r="P32" s="9"/>
      <c r="Q32" s="9"/>
      <c r="R32" s="9"/>
      <c r="S32" s="9"/>
      <c r="T32" s="16"/>
      <c r="U32" s="42"/>
      <c r="V32" s="9"/>
      <c r="W32" s="9"/>
      <c r="X32" s="9"/>
      <c r="Y32" s="9"/>
      <c r="Z32" s="50"/>
      <c r="AA32" s="114"/>
      <c r="AB32" s="22"/>
      <c r="AC32" s="114"/>
      <c r="AD32" s="8"/>
      <c r="AE32" s="68"/>
      <c r="AF32" s="68"/>
      <c r="AG32" s="68"/>
      <c r="AH32" s="68"/>
      <c r="AJ32" s="66"/>
    </row>
    <row r="33" spans="11:36" x14ac:dyDescent="0.5">
      <c r="K33" s="20"/>
      <c r="L33" s="20"/>
      <c r="N33" s="19"/>
      <c r="O33" s="9"/>
      <c r="P33" s="9"/>
      <c r="Q33" s="9"/>
      <c r="R33" s="9"/>
      <c r="S33" s="9"/>
      <c r="T33" s="16"/>
      <c r="U33" s="50"/>
      <c r="V33" s="9"/>
      <c r="W33" s="9"/>
      <c r="X33" s="9"/>
      <c r="Y33" s="9"/>
      <c r="Z33" s="50"/>
      <c r="AA33" s="114"/>
      <c r="AB33" s="22"/>
      <c r="AC33" s="114"/>
    </row>
    <row r="34" spans="11:36" s="20" customFormat="1" x14ac:dyDescent="0.5">
      <c r="M34" s="62"/>
      <c r="N34" s="19"/>
      <c r="O34" s="9"/>
      <c r="P34" s="9"/>
      <c r="Q34" s="9"/>
      <c r="R34" s="9"/>
      <c r="S34" s="9"/>
      <c r="T34" s="16"/>
      <c r="U34" s="50"/>
      <c r="V34" s="9"/>
      <c r="W34" s="9"/>
      <c r="X34" s="9"/>
      <c r="Y34" s="9"/>
      <c r="Z34" s="50"/>
      <c r="AA34" s="114"/>
      <c r="AB34" s="22"/>
      <c r="AC34" s="114"/>
      <c r="AD34" s="8"/>
      <c r="AE34" s="68"/>
      <c r="AF34" s="68"/>
      <c r="AG34" s="68"/>
      <c r="AH34" s="68"/>
      <c r="AJ34" s="66"/>
    </row>
    <row r="35" spans="11:36" s="20" customFormat="1" x14ac:dyDescent="0.5">
      <c r="M35" s="62"/>
      <c r="N35" s="19"/>
      <c r="O35" s="9"/>
      <c r="P35" s="9"/>
      <c r="Q35" s="9"/>
      <c r="R35" s="9"/>
      <c r="S35" s="9"/>
      <c r="T35" s="16"/>
      <c r="U35" s="50"/>
      <c r="V35" s="9"/>
      <c r="W35" s="9"/>
      <c r="X35" s="9"/>
      <c r="Y35" s="9"/>
      <c r="Z35" s="50"/>
      <c r="AA35" s="114"/>
      <c r="AB35" s="22"/>
      <c r="AC35" s="114"/>
      <c r="AD35" s="8"/>
      <c r="AE35" s="68"/>
      <c r="AF35" s="68"/>
      <c r="AG35" s="68"/>
      <c r="AH35" s="68"/>
      <c r="AJ35" s="66"/>
    </row>
    <row r="36" spans="11:36" s="20" customFormat="1" x14ac:dyDescent="0.5">
      <c r="K36"/>
      <c r="L36"/>
      <c r="M36" s="62"/>
      <c r="N36" s="3"/>
      <c r="O36" s="9"/>
      <c r="P36" s="9"/>
      <c r="Q36" s="9"/>
      <c r="R36" s="9"/>
      <c r="S36" s="9"/>
      <c r="T36" s="16"/>
      <c r="U36" s="50"/>
      <c r="V36" s="9"/>
      <c r="W36" s="9"/>
      <c r="X36" s="9"/>
      <c r="Y36" s="9"/>
      <c r="Z36" s="50"/>
      <c r="AA36" s="9"/>
      <c r="AB36" s="22"/>
      <c r="AC36" s="9"/>
      <c r="AD36" s="8"/>
      <c r="AE36" s="68"/>
      <c r="AF36" s="68"/>
      <c r="AG36" s="68"/>
      <c r="AH36" s="68"/>
      <c r="AJ36" s="66"/>
    </row>
    <row r="37" spans="11:36" s="20" customFormat="1" x14ac:dyDescent="0.5">
      <c r="M37" s="62"/>
      <c r="N37" s="1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50"/>
      <c r="AA37" s="114"/>
      <c r="AB37" s="22"/>
      <c r="AC37" s="114"/>
      <c r="AD37" s="8"/>
      <c r="AE37" s="68"/>
      <c r="AF37" s="68"/>
      <c r="AG37" s="68"/>
      <c r="AH37" s="68"/>
      <c r="AJ37" s="66"/>
    </row>
    <row r="38" spans="11:36" s="20" customFormat="1" x14ac:dyDescent="0.5">
      <c r="M38" s="62"/>
      <c r="N38" s="19"/>
      <c r="O38" s="9"/>
      <c r="P38" s="9"/>
      <c r="Q38" s="9"/>
      <c r="R38" s="9"/>
      <c r="S38" s="9"/>
      <c r="T38" s="16"/>
      <c r="U38" s="50"/>
      <c r="V38" s="9"/>
      <c r="W38" s="9"/>
      <c r="X38" s="9"/>
      <c r="Y38" s="9"/>
      <c r="Z38" s="50"/>
      <c r="AA38" s="114"/>
      <c r="AB38" s="22"/>
      <c r="AC38" s="114"/>
      <c r="AD38" s="8"/>
      <c r="AE38" s="68"/>
      <c r="AF38" s="68"/>
      <c r="AG38" s="68"/>
      <c r="AH38" s="68"/>
      <c r="AJ38" s="66"/>
    </row>
    <row r="39" spans="11:36" s="20" customFormat="1" x14ac:dyDescent="0.5">
      <c r="M39" s="62"/>
      <c r="N39" s="19"/>
      <c r="O39" s="9"/>
      <c r="P39" s="9"/>
      <c r="Q39" s="9"/>
      <c r="R39" s="9"/>
      <c r="S39" s="9"/>
      <c r="T39" s="16"/>
      <c r="U39" s="23"/>
      <c r="V39" s="9"/>
      <c r="W39" s="9"/>
      <c r="X39" s="9"/>
      <c r="Y39" s="9"/>
      <c r="Z39" s="50"/>
      <c r="AA39" s="114"/>
      <c r="AB39" s="22"/>
      <c r="AC39" s="114"/>
      <c r="AD39" s="8"/>
      <c r="AE39" s="68"/>
      <c r="AF39" s="68"/>
      <c r="AG39" s="68"/>
      <c r="AH39" s="68"/>
      <c r="AJ39" s="66"/>
    </row>
    <row r="40" spans="11:36" x14ac:dyDescent="0.5">
      <c r="K40" s="20"/>
      <c r="L40" s="20"/>
      <c r="N40" s="19"/>
      <c r="O40" s="9"/>
      <c r="P40" s="9"/>
      <c r="Q40" s="9"/>
      <c r="R40" s="9"/>
      <c r="S40" s="9"/>
      <c r="T40" s="16"/>
      <c r="U40" s="23"/>
      <c r="V40" s="9"/>
      <c r="W40" s="9"/>
      <c r="X40" s="9"/>
      <c r="Y40" s="9"/>
      <c r="Z40" s="50"/>
      <c r="AA40" s="114"/>
      <c r="AB40" s="22"/>
      <c r="AC40" s="114"/>
    </row>
    <row r="41" spans="11:36" s="20" customFormat="1" x14ac:dyDescent="0.5">
      <c r="M41" s="62"/>
      <c r="N41" s="19"/>
      <c r="O41" s="9"/>
      <c r="P41" s="9"/>
      <c r="Q41" s="9"/>
      <c r="R41" s="9"/>
      <c r="S41" s="9"/>
      <c r="T41" s="16"/>
      <c r="U41" s="42"/>
      <c r="V41" s="9"/>
      <c r="W41" s="9"/>
      <c r="X41" s="9"/>
      <c r="Y41" s="22"/>
      <c r="Z41" s="52"/>
      <c r="AA41" s="114"/>
      <c r="AB41" s="22"/>
      <c r="AC41" s="114"/>
      <c r="AD41" s="8"/>
      <c r="AE41" s="68"/>
      <c r="AF41" s="68"/>
      <c r="AG41" s="68"/>
      <c r="AH41" s="68"/>
      <c r="AJ41" s="66"/>
    </row>
    <row r="42" spans="11:36" s="20" customFormat="1" x14ac:dyDescent="0.5">
      <c r="M42" s="62"/>
      <c r="N42" s="19"/>
      <c r="O42" s="9"/>
      <c r="P42" s="9"/>
      <c r="Q42" s="9"/>
      <c r="R42" s="9"/>
      <c r="S42" s="9"/>
      <c r="T42" s="16"/>
      <c r="U42" s="50"/>
      <c r="V42" s="9"/>
      <c r="W42" s="9"/>
      <c r="X42" s="9"/>
      <c r="Y42" s="9"/>
      <c r="Z42" s="50"/>
      <c r="AA42" s="114"/>
      <c r="AB42" s="22"/>
      <c r="AC42" s="114"/>
      <c r="AD42" s="8"/>
      <c r="AE42" s="68"/>
      <c r="AF42" s="68"/>
      <c r="AG42" s="68"/>
      <c r="AH42" s="68"/>
      <c r="AJ42" s="66"/>
    </row>
    <row r="43" spans="11:36" s="20" customFormat="1" x14ac:dyDescent="0.5">
      <c r="K43"/>
      <c r="L43"/>
      <c r="M43" s="62"/>
      <c r="N43" s="41"/>
      <c r="O43" s="9"/>
      <c r="P43" s="9"/>
      <c r="Q43" s="9"/>
      <c r="R43" s="9"/>
      <c r="S43" s="9"/>
      <c r="T43" s="16"/>
      <c r="U43" s="50"/>
      <c r="V43" s="9"/>
      <c r="W43" s="9"/>
      <c r="X43" s="9"/>
      <c r="Y43" s="22"/>
      <c r="Z43" s="52"/>
      <c r="AA43" s="22"/>
      <c r="AB43" s="22"/>
      <c r="AC43" s="22"/>
      <c r="AD43" s="8"/>
      <c r="AE43" s="68"/>
      <c r="AF43" s="68"/>
      <c r="AG43" s="68"/>
      <c r="AH43" s="68"/>
      <c r="AJ43" s="66"/>
    </row>
    <row r="44" spans="11:36" s="20" customFormat="1" x14ac:dyDescent="0.5">
      <c r="M44" s="62"/>
      <c r="N44" s="27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22"/>
      <c r="AC44" s="9"/>
      <c r="AD44" s="8"/>
      <c r="AE44" s="68"/>
      <c r="AF44" s="68"/>
      <c r="AG44" s="68"/>
      <c r="AH44" s="68"/>
      <c r="AJ44" s="66"/>
    </row>
    <row r="45" spans="11:36" s="20" customFormat="1" x14ac:dyDescent="0.5">
      <c r="M45" s="62"/>
      <c r="N45" s="1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14"/>
      <c r="AB45" s="22"/>
      <c r="AC45" s="114"/>
      <c r="AD45" s="8"/>
      <c r="AE45" s="68"/>
      <c r="AF45" s="68"/>
      <c r="AG45" s="68"/>
      <c r="AH45" s="68"/>
      <c r="AJ45" s="66"/>
    </row>
    <row r="46" spans="11:36" s="20" customFormat="1" x14ac:dyDescent="0.5">
      <c r="M46" s="62"/>
      <c r="N46" s="19"/>
      <c r="O46" s="9"/>
      <c r="P46" s="9"/>
      <c r="Q46" s="9"/>
      <c r="R46" s="9"/>
      <c r="S46" s="9"/>
      <c r="T46" s="16"/>
      <c r="U46" s="42"/>
      <c r="V46" s="9"/>
      <c r="W46" s="9"/>
      <c r="X46" s="9"/>
      <c r="Y46" s="9"/>
      <c r="Z46" s="9"/>
      <c r="AA46" s="114"/>
      <c r="AB46" s="22"/>
      <c r="AC46" s="114"/>
      <c r="AD46" s="8"/>
      <c r="AE46" s="68"/>
      <c r="AF46" s="68"/>
      <c r="AG46" s="68"/>
      <c r="AH46" s="68"/>
      <c r="AJ46" s="66"/>
    </row>
    <row r="47" spans="11:36" s="49" customFormat="1" x14ac:dyDescent="0.5">
      <c r="M47" s="62"/>
      <c r="N47" s="1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14"/>
      <c r="AB47" s="22"/>
      <c r="AC47" s="114"/>
      <c r="AD47" s="8"/>
      <c r="AE47" s="8"/>
      <c r="AF47" s="8"/>
      <c r="AG47" s="8"/>
      <c r="AH47" s="8"/>
      <c r="AJ47" s="66"/>
    </row>
    <row r="48" spans="11:36" s="7" customFormat="1" x14ac:dyDescent="0.5">
      <c r="M48" s="62"/>
      <c r="N48" s="6"/>
      <c r="O48" s="9"/>
      <c r="P48" s="9"/>
      <c r="Q48" s="9"/>
      <c r="R48" s="9"/>
      <c r="S48" s="9"/>
      <c r="T48" s="9"/>
      <c r="U48" s="9"/>
      <c r="V48" s="22"/>
      <c r="W48" s="22"/>
      <c r="X48" s="22"/>
      <c r="Y48" s="22"/>
      <c r="Z48" s="22"/>
      <c r="AA48" s="117"/>
      <c r="AB48" s="22"/>
      <c r="AC48" s="117"/>
      <c r="AD48" s="8"/>
      <c r="AE48" s="8"/>
      <c r="AF48" s="8"/>
      <c r="AG48" s="8"/>
      <c r="AH48" s="8"/>
      <c r="AJ48" s="66"/>
    </row>
    <row r="49" spans="11:36" s="20" customFormat="1" x14ac:dyDescent="0.5">
      <c r="M49" s="62"/>
      <c r="N49" s="3"/>
      <c r="O49" s="22"/>
      <c r="P49" s="22"/>
      <c r="Q49" s="22"/>
      <c r="R49" s="22"/>
      <c r="S49" s="22"/>
      <c r="T49" s="22"/>
      <c r="U49" s="111"/>
      <c r="V49" s="9"/>
      <c r="W49" s="9"/>
      <c r="X49" s="9"/>
      <c r="Y49" s="22"/>
      <c r="Z49" s="9"/>
      <c r="AA49" s="9"/>
      <c r="AB49" s="22"/>
      <c r="AC49" s="9"/>
      <c r="AD49" s="8"/>
      <c r="AE49" s="68"/>
      <c r="AF49" s="68"/>
      <c r="AG49" s="68"/>
      <c r="AH49" s="68"/>
      <c r="AJ49" s="66"/>
    </row>
    <row r="50" spans="11:36" s="20" customFormat="1" x14ac:dyDescent="0.5">
      <c r="K50"/>
      <c r="L50"/>
      <c r="M50" s="65"/>
      <c r="N50" s="3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22"/>
      <c r="AC50" s="9"/>
      <c r="AD50" s="8"/>
      <c r="AE50" s="68"/>
      <c r="AF50" s="68"/>
      <c r="AG50" s="68"/>
      <c r="AH50" s="68"/>
      <c r="AJ50" s="66"/>
    </row>
    <row r="51" spans="11:36" s="20" customFormat="1" x14ac:dyDescent="0.5">
      <c r="M51" s="62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118"/>
      <c r="AC51" s="68"/>
      <c r="AD51" s="8"/>
      <c r="AE51" s="68"/>
      <c r="AF51" s="68"/>
      <c r="AG51" s="68"/>
      <c r="AH51" s="68"/>
      <c r="AJ51" s="66"/>
    </row>
    <row r="52" spans="11:36" s="5" customFormat="1" x14ac:dyDescent="0.5">
      <c r="K52" s="20"/>
      <c r="L52" s="20"/>
      <c r="M52" s="62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8"/>
      <c r="AE52" s="90"/>
      <c r="AF52" s="90"/>
      <c r="AG52" s="90"/>
      <c r="AH52" s="90"/>
      <c r="AJ52" s="66"/>
    </row>
    <row r="53" spans="11:36" x14ac:dyDescent="0.5">
      <c r="K53" s="20"/>
      <c r="L53" s="20"/>
    </row>
    <row r="54" spans="11:36" x14ac:dyDescent="0.5">
      <c r="K54" s="20"/>
      <c r="L54" s="20"/>
    </row>
    <row r="55" spans="11:36" x14ac:dyDescent="0.5">
      <c r="K55" s="5"/>
      <c r="L55" s="5"/>
    </row>
  </sheetData>
  <mergeCells count="1">
    <mergeCell ref="AD1:AH1"/>
  </mergeCells>
  <printOptions gridLines="1"/>
  <pageMargins left="0.7" right="0.7" top="0.75" bottom="0.75" header="0.3" footer="0.3"/>
  <pageSetup scale="4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F4" zoomScale="115" zoomScaleNormal="115" workbookViewId="0">
      <selection activeCell="V17" sqref="V17"/>
    </sheetView>
  </sheetViews>
  <sheetFormatPr defaultRowHeight="15" x14ac:dyDescent="0.25"/>
  <cols>
    <col min="1" max="1" width="9.42578125" style="31" customWidth="1"/>
    <col min="2" max="2" width="3.7109375" hidden="1" customWidth="1"/>
    <col min="3" max="3" width="30.42578125" customWidth="1"/>
    <col min="4" max="4" width="2.140625" customWidth="1"/>
    <col min="5" max="5" width="8.5703125" style="24" customWidth="1"/>
    <col min="6" max="6" width="1.7109375" customWidth="1"/>
    <col min="7" max="7" width="10.85546875" style="24" customWidth="1"/>
    <col min="8" max="8" width="12" style="24" bestFit="1" customWidth="1"/>
    <col min="9" max="10" width="9.140625" style="24"/>
    <col min="11" max="11" width="10.5703125" style="24" bestFit="1" customWidth="1"/>
    <col min="12" max="12" width="6.7109375" customWidth="1"/>
    <col min="13" max="13" width="10.28515625" style="24" bestFit="1" customWidth="1"/>
    <col min="14" max="14" width="3.42578125" customWidth="1"/>
    <col min="15" max="15" width="11.5703125" customWidth="1"/>
    <col min="16" max="16" width="4" customWidth="1"/>
    <col min="17" max="17" width="10.7109375" style="24" customWidth="1"/>
    <col min="18" max="18" width="8" style="24" customWidth="1"/>
    <col min="19" max="19" width="7.140625" style="24" customWidth="1"/>
    <col min="20" max="20" width="10.5703125" style="24" bestFit="1" customWidth="1"/>
    <col min="21" max="21" width="8.7109375" customWidth="1"/>
    <col min="22" max="22" width="27.5703125" style="34" customWidth="1"/>
  </cols>
  <sheetData>
    <row r="1" spans="2:22" ht="139.5" customHeight="1" x14ac:dyDescent="0.25"/>
    <row r="7" spans="2:22" s="31" customFormat="1" x14ac:dyDescent="0.25">
      <c r="B7" s="35" t="s">
        <v>30</v>
      </c>
      <c r="C7" s="31" t="s">
        <v>25</v>
      </c>
      <c r="E7" s="34" t="s">
        <v>70</v>
      </c>
      <c r="G7" s="34" t="s">
        <v>26</v>
      </c>
      <c r="H7" s="34" t="s">
        <v>27</v>
      </c>
      <c r="I7" s="34" t="s">
        <v>28</v>
      </c>
      <c r="J7" s="34" t="s">
        <v>0</v>
      </c>
      <c r="K7" s="34" t="s">
        <v>29</v>
      </c>
      <c r="M7" s="34" t="s">
        <v>55</v>
      </c>
      <c r="O7" s="31" t="s">
        <v>58</v>
      </c>
      <c r="Q7" s="34" t="s">
        <v>63</v>
      </c>
      <c r="R7" s="34" t="s">
        <v>64</v>
      </c>
      <c r="S7" s="34" t="s">
        <v>69</v>
      </c>
      <c r="T7" s="34" t="s">
        <v>65</v>
      </c>
      <c r="V7" s="34"/>
    </row>
    <row r="8" spans="2:22" x14ac:dyDescent="0.25">
      <c r="H8" s="24" t="s">
        <v>54</v>
      </c>
      <c r="I8" s="24" t="s">
        <v>51</v>
      </c>
      <c r="J8" s="24" t="s">
        <v>52</v>
      </c>
      <c r="K8" s="24" t="s">
        <v>53</v>
      </c>
      <c r="M8" s="24" t="s">
        <v>56</v>
      </c>
      <c r="O8" s="24" t="s">
        <v>59</v>
      </c>
      <c r="Q8" s="24" t="s">
        <v>4</v>
      </c>
      <c r="R8" s="24" t="s">
        <v>4</v>
      </c>
      <c r="S8" s="24" t="s">
        <v>4</v>
      </c>
      <c r="T8" s="24" t="s">
        <v>60</v>
      </c>
    </row>
    <row r="9" spans="2:22" x14ac:dyDescent="0.25">
      <c r="M9" s="33"/>
    </row>
    <row r="10" spans="2:22" ht="12.75" customHeight="1" x14ac:dyDescent="0.25">
      <c r="M10" s="33"/>
    </row>
    <row r="11" spans="2:22" ht="23.25" customHeight="1" x14ac:dyDescent="0.25">
      <c r="C11" s="31" t="s">
        <v>104</v>
      </c>
      <c r="D11" s="31"/>
      <c r="E11" s="38">
        <v>9</v>
      </c>
      <c r="F11" s="31"/>
      <c r="G11" s="55" t="s">
        <v>68</v>
      </c>
      <c r="H11" s="33">
        <f>1*1.8*0.035*68/1000^3</f>
        <v>4.2840000000000005E-9</v>
      </c>
      <c r="I11" s="24">
        <v>8960</v>
      </c>
      <c r="J11" s="24">
        <v>400</v>
      </c>
      <c r="K11" s="38">
        <v>342</v>
      </c>
      <c r="M11" s="59">
        <f t="shared" ref="M11" si="0">H11*I11</f>
        <v>3.8384640000000008E-5</v>
      </c>
      <c r="O11" s="32">
        <f t="shared" ref="O11" si="1">K11*M11</f>
        <v>1.3127546880000002E-2</v>
      </c>
      <c r="Q11" s="24">
        <f>1.8/1000</f>
        <v>1.8E-3</v>
      </c>
      <c r="R11" s="60">
        <f>0.035/1000</f>
        <v>3.5000000000000004E-5</v>
      </c>
      <c r="S11" s="24">
        <f>68/1000</f>
        <v>6.8000000000000005E-2</v>
      </c>
      <c r="T11" s="57">
        <f>S11/(J11*Q11*R11)</f>
        <v>2698.4126984126983</v>
      </c>
    </row>
    <row r="12" spans="2:22" ht="12.75" customHeight="1" x14ac:dyDescent="0.25">
      <c r="C12" s="31"/>
      <c r="D12" s="31"/>
      <c r="E12"/>
      <c r="F12" s="31"/>
      <c r="G12" s="55"/>
      <c r="H12" s="33"/>
      <c r="K12"/>
      <c r="M12"/>
      <c r="O12" s="32"/>
      <c r="T12"/>
    </row>
    <row r="13" spans="2:22" ht="23.25" customHeight="1" x14ac:dyDescent="0.25">
      <c r="C13" s="31" t="s">
        <v>104</v>
      </c>
      <c r="D13" s="31"/>
      <c r="E13" s="38">
        <v>9</v>
      </c>
      <c r="F13" s="31"/>
      <c r="G13" s="55" t="s">
        <v>68</v>
      </c>
      <c r="H13" s="33">
        <f>(35*0.2*0.035*68)/1000^3</f>
        <v>1.6660000000000002E-8</v>
      </c>
      <c r="I13" s="24">
        <v>8960</v>
      </c>
      <c r="J13" s="24">
        <v>400</v>
      </c>
      <c r="K13" s="38">
        <v>342</v>
      </c>
      <c r="M13" s="59">
        <f t="shared" ref="M13" si="2">H13*I13</f>
        <v>1.4927360000000002E-4</v>
      </c>
      <c r="O13" s="32">
        <f t="shared" ref="O13" si="3">K13*M13</f>
        <v>5.1051571200000007E-2</v>
      </c>
      <c r="Q13" s="24">
        <f>0.2/1000</f>
        <v>2.0000000000000001E-4</v>
      </c>
      <c r="R13" s="60">
        <f>0.035/1000</f>
        <v>3.5000000000000004E-5</v>
      </c>
      <c r="S13" s="24">
        <f>68/1000</f>
        <v>6.8000000000000005E-2</v>
      </c>
      <c r="T13" s="57">
        <f>(1/35)*S13/(J13*Q13*R13)</f>
        <v>693.87755102040808</v>
      </c>
    </row>
    <row r="14" spans="2:22" ht="12.75" customHeight="1" x14ac:dyDescent="0.25">
      <c r="C14" s="31"/>
      <c r="D14" s="31"/>
      <c r="E14"/>
      <c r="F14" s="31"/>
      <c r="G14" s="55"/>
      <c r="H14" s="33"/>
      <c r="K14"/>
      <c r="M14"/>
      <c r="O14" s="32"/>
      <c r="T14"/>
    </row>
    <row r="15" spans="2:22" ht="19.5" customHeight="1" x14ac:dyDescent="0.25">
      <c r="C15" s="31" t="s">
        <v>105</v>
      </c>
      <c r="D15" s="31"/>
      <c r="E15" s="38">
        <v>9</v>
      </c>
      <c r="F15" s="31"/>
      <c r="G15" s="55" t="s">
        <v>101</v>
      </c>
      <c r="H15" s="33">
        <f>(12.5*0.15*68)/1000^3</f>
        <v>1.275E-7</v>
      </c>
      <c r="I15" s="24">
        <v>1420</v>
      </c>
      <c r="J15" s="24">
        <v>0.12</v>
      </c>
      <c r="K15" s="38">
        <v>1090</v>
      </c>
      <c r="M15" s="59">
        <f t="shared" ref="M15" si="4">H15*I15</f>
        <v>1.8104999999999998E-4</v>
      </c>
      <c r="O15" s="32">
        <f t="shared" ref="O15" si="5">K15*M15</f>
        <v>0.19734449999999998</v>
      </c>
      <c r="Q15" s="24">
        <f>12.5/1000</f>
        <v>1.2500000000000001E-2</v>
      </c>
      <c r="R15" s="24">
        <f>0.15/1000</f>
        <v>1.4999999999999999E-4</v>
      </c>
      <c r="S15" s="24">
        <v>6.8000000000000005E-2</v>
      </c>
      <c r="T15" s="57">
        <f>S15/(J15*Q15*R15)</f>
        <v>302222.22222222225</v>
      </c>
    </row>
    <row r="16" spans="2:22" ht="13.5" customHeight="1" x14ac:dyDescent="0.25">
      <c r="C16" s="31"/>
      <c r="D16" s="31"/>
      <c r="E16"/>
      <c r="F16" s="31"/>
      <c r="G16" s="55"/>
      <c r="H16" s="33"/>
      <c r="K16"/>
      <c r="M16"/>
      <c r="O16" s="32"/>
      <c r="T16"/>
      <c r="V16" s="34" t="s">
        <v>107</v>
      </c>
    </row>
    <row r="17" spans="3:22" ht="21.75" customHeight="1" x14ac:dyDescent="0.25">
      <c r="C17" s="31" t="s">
        <v>103</v>
      </c>
      <c r="D17" s="31"/>
      <c r="E17" s="38">
        <v>9</v>
      </c>
      <c r="F17" s="31"/>
      <c r="G17" s="55" t="s">
        <v>102</v>
      </c>
      <c r="H17" s="33">
        <f>H13+H15</f>
        <v>1.4415999999999999E-7</v>
      </c>
      <c r="I17" s="24" t="s">
        <v>5</v>
      </c>
      <c r="J17" s="24" t="s">
        <v>5</v>
      </c>
      <c r="K17" s="38" t="s">
        <v>5</v>
      </c>
      <c r="M17" s="58">
        <f>M13+M15</f>
        <v>3.3032359999999998E-4</v>
      </c>
      <c r="O17" s="32">
        <f>O13+O15</f>
        <v>0.24839607119999998</v>
      </c>
      <c r="Q17" s="24" t="s">
        <v>5</v>
      </c>
      <c r="R17" s="24" t="s">
        <v>5</v>
      </c>
      <c r="S17" s="24" t="s">
        <v>5</v>
      </c>
      <c r="T17" s="57">
        <f>1/(1/T13+1/T15+1/T11)</f>
        <v>550.94186753088923</v>
      </c>
      <c r="V17" s="61">
        <f>S15/(T17*Q15*0.00022)</f>
        <v>44.881818181818176</v>
      </c>
    </row>
    <row r="19" spans="3:22" x14ac:dyDescent="0.25">
      <c r="C19" s="31" t="s">
        <v>106</v>
      </c>
      <c r="D19" s="31"/>
      <c r="E19" s="38">
        <v>3</v>
      </c>
      <c r="F19" s="31"/>
      <c r="G19" s="24" t="s">
        <v>68</v>
      </c>
      <c r="H19" s="40">
        <f>4*0.012*0.011*0.35</f>
        <v>1.8479999999999997E-4</v>
      </c>
      <c r="I19" s="24">
        <v>8960</v>
      </c>
      <c r="J19" s="24">
        <v>400</v>
      </c>
      <c r="K19" s="36">
        <v>342</v>
      </c>
      <c r="M19" s="37">
        <f>H19*I19</f>
        <v>1.6558079999999997</v>
      </c>
      <c r="O19" s="32">
        <f t="shared" ref="O19" si="6">K19*M19</f>
        <v>566.28633599999989</v>
      </c>
      <c r="Q19" s="40">
        <v>1.2E-2</v>
      </c>
      <c r="R19" s="24">
        <v>1.0999999999999999E-2</v>
      </c>
      <c r="S19" s="24">
        <v>0.35</v>
      </c>
      <c r="T19" s="56">
        <f>S19/(J19*(H19/S19))</f>
        <v>1.6571969696969697</v>
      </c>
    </row>
    <row r="21" spans="3:22" x14ac:dyDescent="0.25">
      <c r="C21" s="31"/>
      <c r="D21" s="31"/>
      <c r="E21" s="38"/>
      <c r="F21" s="31"/>
      <c r="H21" s="33"/>
      <c r="K21" s="36"/>
      <c r="M21" s="37"/>
      <c r="O21" s="32"/>
      <c r="T21" s="37"/>
    </row>
    <row r="23" spans="3:22" x14ac:dyDescent="0.25">
      <c r="C23" s="31"/>
      <c r="D23" s="31"/>
      <c r="E23" s="38"/>
      <c r="F23" s="31"/>
      <c r="H23" s="33"/>
      <c r="K23" s="36"/>
      <c r="M23" s="37"/>
      <c r="O23" s="32"/>
      <c r="T23" s="37"/>
    </row>
    <row r="25" spans="3:22" x14ac:dyDescent="0.25">
      <c r="C25" s="31"/>
      <c r="D25" s="31"/>
      <c r="E25" s="38"/>
      <c r="F25" s="31"/>
      <c r="H25" s="33"/>
      <c r="K25" s="36"/>
      <c r="M25" s="37"/>
      <c r="O25" s="32"/>
      <c r="T25" s="37"/>
    </row>
    <row r="27" spans="3:22" x14ac:dyDescent="0.25">
      <c r="C27" s="31"/>
      <c r="D27" s="31"/>
      <c r="E27" s="38"/>
      <c r="F27" s="31"/>
      <c r="H27" s="33"/>
      <c r="K27" s="36"/>
      <c r="M27" s="37"/>
      <c r="O27" s="32"/>
      <c r="T27" s="3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15" sqref="I15"/>
    </sheetView>
  </sheetViews>
  <sheetFormatPr defaultRowHeight="15" x14ac:dyDescent="0.25"/>
  <cols>
    <col min="1" max="1" width="13.85546875" style="24" customWidth="1"/>
    <col min="2" max="2" width="9.140625" style="24"/>
    <col min="3" max="3" width="10.28515625" style="24" bestFit="1" customWidth="1"/>
    <col min="4" max="4" width="9.140625" style="24"/>
    <col min="5" max="5" width="10.85546875" style="24" customWidth="1"/>
    <col min="6" max="6" width="10.5703125" style="24" customWidth="1"/>
    <col min="7" max="7" width="9.140625" style="183"/>
  </cols>
  <sheetData>
    <row r="1" spans="1:8" s="31" customFormat="1" x14ac:dyDescent="0.25">
      <c r="A1" s="34" t="s">
        <v>25</v>
      </c>
      <c r="B1" s="34" t="s">
        <v>86</v>
      </c>
      <c r="C1" s="34" t="s">
        <v>87</v>
      </c>
      <c r="D1" s="34" t="s">
        <v>8</v>
      </c>
      <c r="E1" s="34" t="s">
        <v>136</v>
      </c>
      <c r="F1" s="34" t="s">
        <v>93</v>
      </c>
      <c r="G1" s="183" t="s">
        <v>134</v>
      </c>
    </row>
    <row r="2" spans="1:8" s="31" customFormat="1" x14ac:dyDescent="0.25">
      <c r="A2" s="34"/>
      <c r="B2" s="34" t="s">
        <v>88</v>
      </c>
      <c r="C2" s="34" t="s">
        <v>62</v>
      </c>
      <c r="D2" s="34" t="s">
        <v>5</v>
      </c>
      <c r="E2" s="34" t="s">
        <v>62</v>
      </c>
      <c r="F2" s="34" t="s">
        <v>89</v>
      </c>
      <c r="G2" s="184"/>
    </row>
    <row r="3" spans="1:8" x14ac:dyDescent="0.25">
      <c r="A3" s="24" t="s">
        <v>90</v>
      </c>
      <c r="B3" s="174">
        <v>2421900</v>
      </c>
      <c r="C3" s="175"/>
      <c r="D3" s="175"/>
      <c r="E3" s="175">
        <v>1.4864000000000001E-6</v>
      </c>
      <c r="F3" s="176">
        <f>B3*E3</f>
        <v>3.5999121600000001</v>
      </c>
      <c r="G3" s="198" t="s">
        <v>138</v>
      </c>
    </row>
    <row r="4" spans="1:8" x14ac:dyDescent="0.25">
      <c r="A4" s="24" t="s">
        <v>91</v>
      </c>
      <c r="B4" s="177">
        <v>15.117000000000001</v>
      </c>
      <c r="C4" s="185"/>
      <c r="D4" s="185"/>
      <c r="E4" s="178">
        <v>1.5807999999999999E-2</v>
      </c>
      <c r="F4" s="179">
        <f t="shared" ref="F4:F5" si="0">B4*E4</f>
        <v>0.23896953600000001</v>
      </c>
      <c r="G4" s="199"/>
    </row>
    <row r="5" spans="1:8" x14ac:dyDescent="0.25">
      <c r="A5" s="24" t="s">
        <v>92</v>
      </c>
      <c r="B5" s="180">
        <v>219.95</v>
      </c>
      <c r="C5" s="186"/>
      <c r="D5" s="186"/>
      <c r="E5" s="181">
        <v>1.5807999999999999E-2</v>
      </c>
      <c r="F5" s="182">
        <f t="shared" si="0"/>
        <v>3.4769695999999994</v>
      </c>
      <c r="G5" s="200"/>
      <c r="H5" s="189">
        <f>SUM(F3:F5)</f>
        <v>7.3158512959999999</v>
      </c>
    </row>
    <row r="6" spans="1:8" x14ac:dyDescent="0.25">
      <c r="A6" s="24" t="s">
        <v>94</v>
      </c>
      <c r="B6" s="187">
        <f>F6/E6</f>
        <v>2799.9999999999995</v>
      </c>
      <c r="C6" s="60">
        <v>7.5000000000000002E-4</v>
      </c>
      <c r="D6" s="24">
        <v>6</v>
      </c>
      <c r="E6" s="54">
        <f>C6*D6</f>
        <v>4.5000000000000005E-3</v>
      </c>
      <c r="F6" s="25">
        <v>12.6</v>
      </c>
      <c r="G6" s="183">
        <v>2</v>
      </c>
    </row>
    <row r="7" spans="1:8" x14ac:dyDescent="0.25">
      <c r="A7" s="24" t="s">
        <v>95</v>
      </c>
      <c r="B7" s="187">
        <f t="shared" ref="B7:B12" si="1">F7/E7</f>
        <v>960</v>
      </c>
      <c r="C7" s="60">
        <v>2.5000000000000001E-4</v>
      </c>
      <c r="D7" s="24">
        <v>18</v>
      </c>
      <c r="E7" s="54">
        <f t="shared" ref="E7:E12" si="2">C7*D7</f>
        <v>4.5000000000000005E-3</v>
      </c>
      <c r="F7" s="25">
        <f>0.24*18</f>
        <v>4.32</v>
      </c>
      <c r="G7" s="183">
        <v>3</v>
      </c>
    </row>
    <row r="8" spans="1:8" x14ac:dyDescent="0.25">
      <c r="A8" s="24" t="s">
        <v>96</v>
      </c>
      <c r="B8" s="187">
        <f t="shared" si="1"/>
        <v>1999.9999999999998</v>
      </c>
      <c r="C8" s="60">
        <v>2.5000000000000001E-4</v>
      </c>
      <c r="D8" s="24">
        <v>18</v>
      </c>
      <c r="E8" s="54">
        <f t="shared" si="2"/>
        <v>4.5000000000000005E-3</v>
      </c>
      <c r="F8" s="25">
        <f>0.5*18</f>
        <v>9</v>
      </c>
      <c r="G8" s="183">
        <v>4</v>
      </c>
    </row>
    <row r="9" spans="1:8" x14ac:dyDescent="0.25">
      <c r="A9" s="24" t="s">
        <v>97</v>
      </c>
      <c r="B9" s="187">
        <f t="shared" si="1"/>
        <v>44.44444444444445</v>
      </c>
      <c r="C9" s="60">
        <v>1.4999999999999999E-4</v>
      </c>
      <c r="D9" s="24">
        <v>18</v>
      </c>
      <c r="E9" s="54">
        <f t="shared" si="2"/>
        <v>2.6999999999999997E-3</v>
      </c>
      <c r="F9" s="25">
        <v>0.12</v>
      </c>
      <c r="G9" s="183">
        <v>7</v>
      </c>
    </row>
    <row r="10" spans="1:8" x14ac:dyDescent="0.25">
      <c r="A10" s="24" t="s">
        <v>98</v>
      </c>
      <c r="B10" s="187">
        <f t="shared" si="1"/>
        <v>37.037037037037045</v>
      </c>
      <c r="C10" s="60">
        <v>1.4999999999999999E-4</v>
      </c>
      <c r="D10" s="24">
        <v>18</v>
      </c>
      <c r="E10" s="54">
        <f t="shared" si="2"/>
        <v>2.6999999999999997E-3</v>
      </c>
      <c r="F10" s="25">
        <v>0.1</v>
      </c>
      <c r="G10" s="183">
        <v>8</v>
      </c>
    </row>
    <row r="11" spans="1:8" x14ac:dyDescent="0.25">
      <c r="A11" s="24" t="s">
        <v>99</v>
      </c>
      <c r="B11" s="187">
        <f t="shared" si="1"/>
        <v>3407.4074074074074</v>
      </c>
      <c r="C11" s="60">
        <v>1.4999999999999999E-4</v>
      </c>
      <c r="D11" s="24">
        <v>18</v>
      </c>
      <c r="E11" s="54">
        <f t="shared" si="2"/>
        <v>2.6999999999999997E-3</v>
      </c>
      <c r="F11" s="25">
        <v>9.1999999999999993</v>
      </c>
      <c r="G11" s="183">
        <v>9</v>
      </c>
    </row>
    <row r="12" spans="1:8" x14ac:dyDescent="0.25">
      <c r="A12" s="24" t="s">
        <v>100</v>
      </c>
      <c r="B12" s="187">
        <f t="shared" si="1"/>
        <v>3749.9999999999995</v>
      </c>
      <c r="C12" s="60">
        <v>4.0000000000000002E-4</v>
      </c>
      <c r="D12" s="24">
        <v>3</v>
      </c>
      <c r="E12" s="54">
        <f t="shared" si="2"/>
        <v>1.2000000000000001E-3</v>
      </c>
      <c r="F12" s="25">
        <v>4.5</v>
      </c>
      <c r="G12" s="183">
        <v>10</v>
      </c>
      <c r="H12" s="189">
        <f>SUM(F6:F12)</f>
        <v>39.840000000000003</v>
      </c>
    </row>
    <row r="13" spans="1:8" x14ac:dyDescent="0.25">
      <c r="F13" s="188">
        <f>SUM(F3:F12)</f>
        <v>47.155851295999994</v>
      </c>
    </row>
    <row r="14" spans="1:8" ht="26.25" x14ac:dyDescent="0.4">
      <c r="A14" s="121" t="s">
        <v>111</v>
      </c>
      <c r="B14" s="54"/>
      <c r="C14" s="54"/>
      <c r="D14" s="54"/>
      <c r="E14" s="54"/>
      <c r="F14" s="25"/>
    </row>
    <row r="15" spans="1:8" x14ac:dyDescent="0.25">
      <c r="F15" s="25"/>
    </row>
  </sheetData>
  <mergeCells count="1">
    <mergeCell ref="G3:G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zoomScale="85" zoomScaleNormal="85" workbookViewId="0">
      <selection activeCell="I29" sqref="I29"/>
    </sheetView>
  </sheetViews>
  <sheetFormatPr defaultRowHeight="15" x14ac:dyDescent="0.25"/>
  <cols>
    <col min="1" max="1" width="9.42578125" style="31" customWidth="1"/>
    <col min="2" max="2" width="3.7109375" hidden="1" customWidth="1"/>
    <col min="3" max="3" width="30.42578125" customWidth="1"/>
    <col min="4" max="4" width="2.140625" customWidth="1"/>
    <col min="5" max="5" width="8.5703125" style="24" customWidth="1"/>
    <col min="6" max="6" width="1.7109375" customWidth="1"/>
    <col min="7" max="7" width="10.85546875" style="24" customWidth="1"/>
    <col min="8" max="8" width="12" style="24" bestFit="1" customWidth="1"/>
    <col min="9" max="10" width="9.140625" style="24"/>
    <col min="11" max="11" width="10.5703125" style="24" bestFit="1" customWidth="1"/>
    <col min="12" max="12" width="6.7109375" customWidth="1"/>
    <col min="13" max="13" width="10.28515625" style="24" bestFit="1" customWidth="1"/>
    <col min="14" max="14" width="3.42578125" customWidth="1"/>
    <col min="15" max="15" width="11.5703125" customWidth="1"/>
    <col min="16" max="16" width="4" customWidth="1"/>
    <col min="17" max="17" width="10.7109375" style="24" customWidth="1"/>
    <col min="18" max="18" width="8" style="24" customWidth="1"/>
    <col min="19" max="19" width="7.140625" style="24" customWidth="1"/>
    <col min="20" max="20" width="10.5703125" style="24" bestFit="1" customWidth="1"/>
    <col min="21" max="21" width="8.7109375" customWidth="1"/>
    <col min="22" max="22" width="27.5703125" style="34" customWidth="1"/>
  </cols>
  <sheetData>
    <row r="1" spans="2:22" ht="409.5" customHeight="1" x14ac:dyDescent="0.25"/>
    <row r="7" spans="2:22" s="31" customFormat="1" x14ac:dyDescent="0.25">
      <c r="B7" s="35" t="s">
        <v>30</v>
      </c>
      <c r="C7" s="31" t="s">
        <v>25</v>
      </c>
      <c r="E7" s="34" t="s">
        <v>70</v>
      </c>
      <c r="G7" s="34" t="s">
        <v>26</v>
      </c>
      <c r="H7" s="34" t="s">
        <v>27</v>
      </c>
      <c r="I7" s="34" t="s">
        <v>28</v>
      </c>
      <c r="J7" s="34" t="s">
        <v>0</v>
      </c>
      <c r="K7" s="34" t="s">
        <v>29</v>
      </c>
      <c r="M7" s="34" t="s">
        <v>55</v>
      </c>
      <c r="O7" s="31" t="s">
        <v>58</v>
      </c>
      <c r="Q7" s="34" t="s">
        <v>63</v>
      </c>
      <c r="R7" s="34" t="s">
        <v>64</v>
      </c>
      <c r="S7" s="34" t="s">
        <v>69</v>
      </c>
      <c r="T7" s="34" t="s">
        <v>65</v>
      </c>
      <c r="V7" s="34"/>
    </row>
    <row r="8" spans="2:22" x14ac:dyDescent="0.25">
      <c r="H8" s="24" t="s">
        <v>54</v>
      </c>
      <c r="I8" s="24" t="s">
        <v>51</v>
      </c>
      <c r="J8" s="24" t="s">
        <v>52</v>
      </c>
      <c r="K8" s="24" t="s">
        <v>53</v>
      </c>
      <c r="M8" s="24" t="s">
        <v>56</v>
      </c>
      <c r="O8" s="24" t="s">
        <v>59</v>
      </c>
      <c r="Q8" s="24" t="s">
        <v>4</v>
      </c>
      <c r="R8" s="24" t="s">
        <v>4</v>
      </c>
      <c r="S8" s="24" t="s">
        <v>4</v>
      </c>
      <c r="T8" s="24" t="s">
        <v>60</v>
      </c>
    </row>
    <row r="9" spans="2:22" x14ac:dyDescent="0.25">
      <c r="M9" s="33"/>
    </row>
    <row r="10" spans="2:22" ht="12.75" customHeight="1" x14ac:dyDescent="0.25">
      <c r="M10" s="33"/>
    </row>
    <row r="11" spans="2:22" ht="23.25" customHeight="1" x14ac:dyDescent="0.25">
      <c r="C11" s="31" t="s">
        <v>104</v>
      </c>
      <c r="D11" s="31"/>
      <c r="E11" s="38">
        <v>9</v>
      </c>
      <c r="F11" s="31"/>
      <c r="G11" s="55" t="s">
        <v>68</v>
      </c>
      <c r="H11" s="33">
        <f>1*1.8*0.035*68/1000^3</f>
        <v>4.2840000000000005E-9</v>
      </c>
      <c r="I11" s="24">
        <v>8960</v>
      </c>
      <c r="J11" s="24">
        <v>400</v>
      </c>
      <c r="K11" s="38">
        <v>342</v>
      </c>
      <c r="M11" s="59">
        <f t="shared" ref="M11" si="0">H11*I11</f>
        <v>3.8384640000000008E-5</v>
      </c>
      <c r="O11" s="32">
        <f t="shared" ref="O11" si="1">K11*M11</f>
        <v>1.3127546880000002E-2</v>
      </c>
      <c r="Q11" s="24">
        <f>1.8/1000</f>
        <v>1.8E-3</v>
      </c>
      <c r="R11" s="60">
        <f>0.035/1000</f>
        <v>3.5000000000000004E-5</v>
      </c>
      <c r="S11" s="24">
        <f>68/1000</f>
        <v>6.8000000000000005E-2</v>
      </c>
      <c r="T11" s="57">
        <f>S11/(J11*Q11*R11)</f>
        <v>2698.4126984126983</v>
      </c>
    </row>
    <row r="12" spans="2:22" ht="12.75" customHeight="1" x14ac:dyDescent="0.25">
      <c r="C12" s="31"/>
      <c r="D12" s="31"/>
      <c r="E12"/>
      <c r="F12" s="31"/>
      <c r="G12" s="55"/>
      <c r="H12" s="33"/>
      <c r="K12"/>
      <c r="M12"/>
      <c r="O12" s="32"/>
      <c r="T12"/>
    </row>
    <row r="13" spans="2:22" ht="23.25" customHeight="1" x14ac:dyDescent="0.25">
      <c r="C13" s="31" t="s">
        <v>104</v>
      </c>
      <c r="D13" s="31"/>
      <c r="E13" s="38">
        <v>9</v>
      </c>
      <c r="F13" s="31"/>
      <c r="G13" s="55" t="s">
        <v>68</v>
      </c>
      <c r="H13" s="33">
        <f>(35*0.2*0.035*68)/1000^3</f>
        <v>1.6660000000000002E-8</v>
      </c>
      <c r="I13" s="24">
        <v>8960</v>
      </c>
      <c r="J13" s="24">
        <v>400</v>
      </c>
      <c r="K13" s="38">
        <v>342</v>
      </c>
      <c r="M13" s="59">
        <f t="shared" ref="M13" si="2">H13*I13</f>
        <v>1.4927360000000002E-4</v>
      </c>
      <c r="O13" s="32">
        <f t="shared" ref="O13" si="3">K13*M13</f>
        <v>5.1051571200000007E-2</v>
      </c>
      <c r="Q13" s="24">
        <f>0.2/1000</f>
        <v>2.0000000000000001E-4</v>
      </c>
      <c r="R13" s="60">
        <f>0.035/1000</f>
        <v>3.5000000000000004E-5</v>
      </c>
      <c r="S13" s="24">
        <f>68/1000</f>
        <v>6.8000000000000005E-2</v>
      </c>
      <c r="T13" s="57">
        <f>(1/35)*S13/(J13*Q13*R13)</f>
        <v>693.87755102040808</v>
      </c>
    </row>
    <row r="14" spans="2:22" ht="12.75" customHeight="1" x14ac:dyDescent="0.25">
      <c r="C14" s="31"/>
      <c r="D14" s="31"/>
      <c r="E14"/>
      <c r="F14" s="31"/>
      <c r="G14" s="55"/>
      <c r="H14" s="33"/>
      <c r="K14"/>
      <c r="M14"/>
      <c r="O14" s="32"/>
      <c r="T14"/>
    </row>
    <row r="15" spans="2:22" ht="19.5" customHeight="1" x14ac:dyDescent="0.25">
      <c r="C15" s="31" t="s">
        <v>105</v>
      </c>
      <c r="D15" s="31"/>
      <c r="E15" s="38">
        <v>9</v>
      </c>
      <c r="F15" s="31"/>
      <c r="G15" s="55" t="s">
        <v>101</v>
      </c>
      <c r="H15" s="33">
        <f>(12.5*0.15*68)/1000^3</f>
        <v>1.275E-7</v>
      </c>
      <c r="I15" s="24">
        <v>1420</v>
      </c>
      <c r="J15" s="24">
        <v>0.12</v>
      </c>
      <c r="K15" s="38">
        <v>1090</v>
      </c>
      <c r="M15" s="59">
        <f t="shared" ref="M15" si="4">H15*I15</f>
        <v>1.8104999999999998E-4</v>
      </c>
      <c r="O15" s="32">
        <f t="shared" ref="O15" si="5">K15*M15</f>
        <v>0.19734449999999998</v>
      </c>
      <c r="Q15" s="24">
        <f>12.5/1000</f>
        <v>1.2500000000000001E-2</v>
      </c>
      <c r="R15" s="24">
        <f>0.15/1000</f>
        <v>1.4999999999999999E-4</v>
      </c>
      <c r="S15" s="24">
        <v>6.8000000000000005E-2</v>
      </c>
      <c r="T15" s="57">
        <f>S15/(J15*Q15*R15)</f>
        <v>302222.22222222225</v>
      </c>
    </row>
    <row r="16" spans="2:22" ht="13.5" customHeight="1" x14ac:dyDescent="0.25">
      <c r="C16" s="31"/>
      <c r="D16" s="31"/>
      <c r="E16"/>
      <c r="F16" s="31"/>
      <c r="G16" s="55"/>
      <c r="H16" s="33"/>
      <c r="K16"/>
      <c r="M16"/>
      <c r="O16" s="32"/>
      <c r="T16"/>
      <c r="V16" s="34" t="s">
        <v>107</v>
      </c>
    </row>
    <row r="17" spans="3:22" ht="21.75" customHeight="1" x14ac:dyDescent="0.25">
      <c r="C17" s="31" t="s">
        <v>103</v>
      </c>
      <c r="D17" s="31"/>
      <c r="E17" s="38">
        <v>9</v>
      </c>
      <c r="F17" s="31"/>
      <c r="G17" s="55" t="s">
        <v>102</v>
      </c>
      <c r="H17" s="33">
        <f>H13+H15</f>
        <v>1.4415999999999999E-7</v>
      </c>
      <c r="I17" s="24" t="s">
        <v>5</v>
      </c>
      <c r="J17" s="24" t="s">
        <v>5</v>
      </c>
      <c r="K17" s="38" t="s">
        <v>5</v>
      </c>
      <c r="M17" s="58">
        <f>M13+M15</f>
        <v>3.3032359999999998E-4</v>
      </c>
      <c r="O17" s="32">
        <f>O13+O15</f>
        <v>0.24839607119999998</v>
      </c>
      <c r="Q17" s="24" t="s">
        <v>5</v>
      </c>
      <c r="R17" s="24" t="s">
        <v>5</v>
      </c>
      <c r="S17" s="24" t="s">
        <v>5</v>
      </c>
      <c r="T17" s="57">
        <f>1/(1/T13+1/T15+1/T11)</f>
        <v>550.94186753088923</v>
      </c>
      <c r="V17" s="61">
        <f>S15/(T17*Q15*0.00022)</f>
        <v>44.881818181818176</v>
      </c>
    </row>
    <row r="19" spans="3:22" x14ac:dyDescent="0.25">
      <c r="C19" s="31" t="s">
        <v>106</v>
      </c>
      <c r="D19" s="31"/>
      <c r="E19" s="38">
        <v>3</v>
      </c>
      <c r="F19" s="31"/>
      <c r="G19" s="24" t="s">
        <v>68</v>
      </c>
      <c r="H19" s="40">
        <f>4*0.012*0.011*0.35</f>
        <v>1.8479999999999997E-4</v>
      </c>
      <c r="I19" s="24">
        <v>8960</v>
      </c>
      <c r="J19" s="24">
        <v>400</v>
      </c>
      <c r="K19" s="36">
        <v>342</v>
      </c>
      <c r="M19" s="37">
        <f>H19*I19</f>
        <v>1.6558079999999997</v>
      </c>
      <c r="O19" s="32">
        <f t="shared" ref="O19" si="6">K19*M19</f>
        <v>566.28633599999989</v>
      </c>
      <c r="Q19" s="40">
        <v>1.2E-2</v>
      </c>
      <c r="R19" s="24">
        <v>1.0999999999999999E-2</v>
      </c>
      <c r="S19" s="24">
        <v>0.35</v>
      </c>
      <c r="T19" s="56">
        <f>S19/(J19*(H19/S19))</f>
        <v>1.6571969696969697</v>
      </c>
    </row>
    <row r="21" spans="3:22" x14ac:dyDescent="0.25">
      <c r="C21" s="31"/>
      <c r="D21" s="31"/>
      <c r="E21" s="38"/>
      <c r="F21" s="31"/>
      <c r="H21" s="33"/>
      <c r="K21" s="36"/>
      <c r="M21" s="37"/>
      <c r="O21" s="32"/>
      <c r="T21" s="37"/>
    </row>
    <row r="23" spans="3:22" x14ac:dyDescent="0.25">
      <c r="C23" s="31"/>
      <c r="D23" s="31"/>
      <c r="E23" s="38"/>
      <c r="F23" s="31"/>
      <c r="H23" s="33"/>
      <c r="K23" s="36"/>
      <c r="M23" s="37"/>
      <c r="O23" s="32"/>
      <c r="T23" s="37"/>
    </row>
    <row r="25" spans="3:22" x14ac:dyDescent="0.25">
      <c r="C25" s="31"/>
      <c r="D25" s="31"/>
      <c r="E25" s="38"/>
      <c r="F25" s="31"/>
      <c r="H25" s="33"/>
      <c r="K25" s="36"/>
      <c r="M25" s="37"/>
      <c r="O25" s="32"/>
      <c r="T25" s="37"/>
    </row>
    <row r="27" spans="3:22" x14ac:dyDescent="0.25">
      <c r="C27" s="31"/>
      <c r="D27" s="31"/>
      <c r="E27" s="38"/>
      <c r="F27" s="31"/>
      <c r="H27" s="33"/>
      <c r="K27" s="36"/>
      <c r="M27" s="37"/>
      <c r="O27" s="32"/>
      <c r="T27" s="37"/>
    </row>
  </sheetData>
  <pageMargins left="0.7" right="0.7" top="0.75" bottom="0.75" header="0.3" footer="0.3"/>
  <pageSetup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115" zoomScaleNormal="115" workbookViewId="0">
      <selection activeCell="G1" sqref="G1"/>
    </sheetView>
  </sheetViews>
  <sheetFormatPr defaultRowHeight="15" x14ac:dyDescent="0.25"/>
  <cols>
    <col min="1" max="1" width="9.42578125" style="31" customWidth="1"/>
    <col min="2" max="2" width="3.7109375" hidden="1" customWidth="1"/>
    <col min="3" max="3" width="30.42578125" customWidth="1"/>
    <col min="4" max="4" width="2.140625" customWidth="1"/>
    <col min="5" max="5" width="8.5703125" style="24" customWidth="1"/>
    <col min="6" max="6" width="1.7109375" customWidth="1"/>
    <col min="7" max="7" width="10.85546875" style="24" customWidth="1"/>
    <col min="8" max="8" width="12" style="24" bestFit="1" customWidth="1"/>
    <col min="9" max="10" width="9.140625" style="24"/>
    <col min="11" max="11" width="10.5703125" style="24" bestFit="1" customWidth="1"/>
    <col min="12" max="12" width="6.7109375" customWidth="1"/>
    <col min="13" max="13" width="10.28515625" style="24" bestFit="1" customWidth="1"/>
    <col min="14" max="14" width="3.42578125" customWidth="1"/>
    <col min="15" max="15" width="11.5703125" customWidth="1"/>
    <col min="16" max="16" width="4" customWidth="1"/>
    <col min="17" max="17" width="10.7109375" style="24" customWidth="1"/>
    <col min="18" max="18" width="8" style="24" customWidth="1"/>
    <col min="19" max="19" width="7.140625" style="24" customWidth="1"/>
    <col min="20" max="20" width="10.5703125" style="24" bestFit="1" customWidth="1"/>
    <col min="21" max="21" width="8.7109375" customWidth="1"/>
    <col min="22" max="22" width="27.5703125" style="34" customWidth="1"/>
  </cols>
  <sheetData>
    <row r="1" spans="2:22" ht="409.5" customHeight="1" x14ac:dyDescent="0.25"/>
    <row r="7" spans="2:22" s="31" customFormat="1" x14ac:dyDescent="0.25">
      <c r="B7" s="35" t="s">
        <v>30</v>
      </c>
      <c r="C7" s="31" t="s">
        <v>25</v>
      </c>
      <c r="E7" s="34" t="s">
        <v>70</v>
      </c>
      <c r="G7" s="34" t="s">
        <v>26</v>
      </c>
      <c r="H7" s="34" t="s">
        <v>27</v>
      </c>
      <c r="I7" s="34" t="s">
        <v>28</v>
      </c>
      <c r="J7" s="34" t="s">
        <v>0</v>
      </c>
      <c r="K7" s="34" t="s">
        <v>29</v>
      </c>
      <c r="M7" s="34" t="s">
        <v>55</v>
      </c>
      <c r="O7" s="31" t="s">
        <v>58</v>
      </c>
      <c r="Q7" s="34" t="s">
        <v>63</v>
      </c>
      <c r="R7" s="34" t="s">
        <v>64</v>
      </c>
      <c r="S7" s="34" t="s">
        <v>69</v>
      </c>
      <c r="T7" s="34" t="s">
        <v>65</v>
      </c>
      <c r="V7" s="34"/>
    </row>
    <row r="8" spans="2:22" x14ac:dyDescent="0.25">
      <c r="H8" s="24" t="s">
        <v>54</v>
      </c>
      <c r="I8" s="24" t="s">
        <v>51</v>
      </c>
      <c r="J8" s="24" t="s">
        <v>52</v>
      </c>
      <c r="K8" s="24" t="s">
        <v>53</v>
      </c>
      <c r="M8" s="24" t="s">
        <v>56</v>
      </c>
      <c r="O8" s="24" t="s">
        <v>59</v>
      </c>
      <c r="Q8" s="24" t="s">
        <v>4</v>
      </c>
      <c r="R8" s="24" t="s">
        <v>4</v>
      </c>
      <c r="S8" s="24" t="s">
        <v>4</v>
      </c>
      <c r="T8" s="24" t="s">
        <v>60</v>
      </c>
    </row>
    <row r="9" spans="2:22" x14ac:dyDescent="0.25">
      <c r="M9" s="33"/>
    </row>
    <row r="10" spans="2:22" ht="12.75" customHeight="1" x14ac:dyDescent="0.25">
      <c r="M10" s="33"/>
    </row>
    <row r="11" spans="2:22" ht="23.25" customHeight="1" x14ac:dyDescent="0.25">
      <c r="C11" s="31" t="s">
        <v>104</v>
      </c>
      <c r="D11" s="31"/>
      <c r="E11" s="38">
        <v>9</v>
      </c>
      <c r="F11" s="31"/>
      <c r="G11" s="55" t="s">
        <v>68</v>
      </c>
      <c r="H11" s="33">
        <f>1*1.8*0.0175*68/1000^3</f>
        <v>2.1420000000000003E-9</v>
      </c>
      <c r="I11" s="24">
        <v>8960</v>
      </c>
      <c r="J11" s="24">
        <v>400</v>
      </c>
      <c r="K11" s="38">
        <v>342</v>
      </c>
      <c r="M11" s="59">
        <f t="shared" ref="M11" si="0">H11*I11</f>
        <v>1.9192320000000004E-5</v>
      </c>
      <c r="O11" s="32">
        <f t="shared" ref="O11" si="1">K11*M11</f>
        <v>6.563773440000001E-3</v>
      </c>
      <c r="Q11" s="24">
        <f>1.8/1000</f>
        <v>1.8E-3</v>
      </c>
      <c r="R11" s="60">
        <f>0.01755/1000</f>
        <v>1.755E-5</v>
      </c>
      <c r="S11" s="24">
        <f>68/1000</f>
        <v>6.8000000000000005E-2</v>
      </c>
      <c r="T11" s="57">
        <f>S11/(J11*Q11*R11)</f>
        <v>5381.4498258942713</v>
      </c>
    </row>
    <row r="12" spans="2:22" ht="12.75" customHeight="1" x14ac:dyDescent="0.25">
      <c r="C12" s="31"/>
      <c r="D12" s="31"/>
      <c r="E12"/>
      <c r="F12" s="31"/>
      <c r="G12" s="55"/>
      <c r="H12" s="33"/>
      <c r="K12"/>
      <c r="M12"/>
      <c r="O12" s="32"/>
      <c r="T12"/>
    </row>
    <row r="13" spans="2:22" ht="23.25" customHeight="1" x14ac:dyDescent="0.25">
      <c r="C13" s="31" t="s">
        <v>104</v>
      </c>
      <c r="D13" s="31"/>
      <c r="E13" s="38">
        <v>9</v>
      </c>
      <c r="F13" s="31"/>
      <c r="G13" s="55" t="s">
        <v>68</v>
      </c>
      <c r="H13" s="33">
        <f>(35*0.2*0.0175*68)/1000^3</f>
        <v>8.3300000000000008E-9</v>
      </c>
      <c r="I13" s="24">
        <v>8960</v>
      </c>
      <c r="J13" s="24">
        <v>400</v>
      </c>
      <c r="K13" s="38">
        <v>342</v>
      </c>
      <c r="M13" s="59">
        <f t="shared" ref="M13" si="2">H13*I13</f>
        <v>7.463680000000001E-5</v>
      </c>
      <c r="O13" s="32">
        <f t="shared" ref="O13" si="3">K13*M13</f>
        <v>2.5525785600000003E-2</v>
      </c>
      <c r="Q13" s="24">
        <f>0.2/1000</f>
        <v>2.0000000000000001E-4</v>
      </c>
      <c r="R13" s="60">
        <f>0.01755/1000</f>
        <v>1.755E-5</v>
      </c>
      <c r="S13" s="24">
        <f>68/1000</f>
        <v>6.8000000000000005E-2</v>
      </c>
      <c r="T13" s="57">
        <f>(1/35)*S13/(J13*Q13*R13)</f>
        <v>1383.8013838013837</v>
      </c>
    </row>
    <row r="14" spans="2:22" ht="12.75" customHeight="1" x14ac:dyDescent="0.25">
      <c r="C14" s="31"/>
      <c r="D14" s="31"/>
      <c r="E14"/>
      <c r="F14" s="31"/>
      <c r="G14" s="55"/>
      <c r="H14" s="33"/>
      <c r="K14"/>
      <c r="M14"/>
      <c r="O14" s="32"/>
      <c r="T14"/>
    </row>
    <row r="15" spans="2:22" ht="19.5" customHeight="1" x14ac:dyDescent="0.25">
      <c r="C15" s="31" t="s">
        <v>105</v>
      </c>
      <c r="D15" s="31"/>
      <c r="E15" s="38">
        <v>9</v>
      </c>
      <c r="F15" s="31"/>
      <c r="G15" s="55" t="s">
        <v>101</v>
      </c>
      <c r="H15" s="33">
        <f>(12.5*0.15*68)/1000^3</f>
        <v>1.275E-7</v>
      </c>
      <c r="I15" s="24">
        <v>1420</v>
      </c>
      <c r="J15" s="24">
        <v>0.12</v>
      </c>
      <c r="K15" s="38">
        <v>1090</v>
      </c>
      <c r="M15" s="59">
        <f t="shared" ref="M15" si="4">H15*I15</f>
        <v>1.8104999999999998E-4</v>
      </c>
      <c r="O15" s="32">
        <f t="shared" ref="O15" si="5">K15*M15</f>
        <v>0.19734449999999998</v>
      </c>
      <c r="Q15" s="24">
        <f>12.5/1000</f>
        <v>1.2500000000000001E-2</v>
      </c>
      <c r="R15" s="24">
        <f>0.15/1000</f>
        <v>1.4999999999999999E-4</v>
      </c>
      <c r="S15" s="24">
        <v>6.8000000000000005E-2</v>
      </c>
      <c r="T15" s="57">
        <f>S15/(J15*Q15*R15)</f>
        <v>302222.22222222225</v>
      </c>
    </row>
    <row r="16" spans="2:22" ht="13.5" customHeight="1" x14ac:dyDescent="0.25">
      <c r="C16" s="31"/>
      <c r="D16" s="31"/>
      <c r="E16"/>
      <c r="F16" s="31"/>
      <c r="G16" s="55"/>
      <c r="H16" s="33"/>
      <c r="K16"/>
      <c r="M16"/>
      <c r="O16" s="32"/>
      <c r="T16"/>
      <c r="V16" s="34" t="s">
        <v>107</v>
      </c>
    </row>
    <row r="17" spans="3:22" ht="21.75" customHeight="1" x14ac:dyDescent="0.25">
      <c r="C17" s="31" t="s">
        <v>103</v>
      </c>
      <c r="D17" s="31"/>
      <c r="E17" s="38">
        <v>9</v>
      </c>
      <c r="F17" s="31"/>
      <c r="G17" s="55" t="s">
        <v>102</v>
      </c>
      <c r="H17" s="33">
        <f>H13+H15</f>
        <v>1.3582999999999999E-7</v>
      </c>
      <c r="I17" s="24" t="s">
        <v>5</v>
      </c>
      <c r="J17" s="24" t="s">
        <v>5</v>
      </c>
      <c r="K17" s="38" t="s">
        <v>5</v>
      </c>
      <c r="M17" s="58">
        <f>M13+M15</f>
        <v>2.5568679999999998E-4</v>
      </c>
      <c r="O17" s="32">
        <f>O13+O15</f>
        <v>0.2228702856</v>
      </c>
      <c r="Q17" s="24" t="s">
        <v>5</v>
      </c>
      <c r="R17" s="24" t="s">
        <v>5</v>
      </c>
      <c r="S17" s="24" t="s">
        <v>5</v>
      </c>
      <c r="T17" s="57">
        <f>1/(1/T13+1/T15+1/T11)</f>
        <v>1096.7565039273559</v>
      </c>
      <c r="V17" s="61">
        <f>S15/(T17*Q15*0.00022)</f>
        <v>22.545818181818184</v>
      </c>
    </row>
    <row r="19" spans="3:22" x14ac:dyDescent="0.25">
      <c r="C19" s="31" t="s">
        <v>106</v>
      </c>
      <c r="D19" s="31"/>
      <c r="E19" s="38">
        <v>3</v>
      </c>
      <c r="F19" s="31"/>
      <c r="G19" s="24" t="s">
        <v>68</v>
      </c>
      <c r="H19" s="40">
        <f>4*0.012*0.011*0.35</f>
        <v>1.8479999999999997E-4</v>
      </c>
      <c r="I19" s="24">
        <v>8960</v>
      </c>
      <c r="J19" s="24">
        <v>400</v>
      </c>
      <c r="K19" s="36">
        <v>342</v>
      </c>
      <c r="M19" s="37">
        <f>H19*I19</f>
        <v>1.6558079999999997</v>
      </c>
      <c r="O19" s="32">
        <f t="shared" ref="O19" si="6">K19*M19</f>
        <v>566.28633599999989</v>
      </c>
      <c r="Q19" s="40">
        <v>1.2E-2</v>
      </c>
      <c r="R19" s="24">
        <v>1.0999999999999999E-2</v>
      </c>
      <c r="S19" s="24">
        <v>0.35</v>
      </c>
      <c r="T19" s="56">
        <f>S19/(J19*(H19/S19))</f>
        <v>1.6571969696969697</v>
      </c>
    </row>
    <row r="21" spans="3:22" x14ac:dyDescent="0.25">
      <c r="C21" s="31"/>
      <c r="D21" s="31"/>
      <c r="E21" s="38"/>
      <c r="F21" s="31"/>
      <c r="H21" s="33"/>
      <c r="K21" s="36"/>
      <c r="M21" s="37"/>
      <c r="O21" s="32"/>
      <c r="T21" s="37"/>
    </row>
    <row r="23" spans="3:22" x14ac:dyDescent="0.25">
      <c r="C23" s="31"/>
      <c r="D23" s="31"/>
      <c r="E23" s="38"/>
      <c r="F23" s="31"/>
      <c r="H23" s="33"/>
      <c r="K23" s="36"/>
      <c r="M23" s="37"/>
      <c r="O23" s="32"/>
      <c r="T23" s="37"/>
    </row>
    <row r="25" spans="3:22" x14ac:dyDescent="0.25">
      <c r="C25" s="31"/>
      <c r="D25" s="31"/>
      <c r="E25" s="38"/>
      <c r="F25" s="31"/>
      <c r="H25" s="33"/>
      <c r="K25" s="36"/>
      <c r="M25" s="37"/>
      <c r="O25" s="32"/>
      <c r="T25" s="37"/>
    </row>
    <row r="27" spans="3:22" x14ac:dyDescent="0.25">
      <c r="C27" s="31"/>
      <c r="D27" s="31"/>
      <c r="E27" s="38"/>
      <c r="F27" s="31"/>
      <c r="H27" s="33"/>
      <c r="K27" s="36"/>
      <c r="M27" s="37"/>
      <c r="O27" s="32"/>
      <c r="T27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Cryo-to-CCD_Circuit</vt:lpstr>
      <vt:lpstr>Cryo_Lumped Parameters</vt:lpstr>
      <vt:lpstr>Cold-to-CCD_Circuit</vt:lpstr>
      <vt:lpstr>Cold_Lumped_Parameters</vt:lpstr>
      <vt:lpstr>Heat_Sources</vt:lpstr>
      <vt:lpstr>CCD_Flex_Circuit_baseline</vt:lpstr>
      <vt:lpstr>CCD_Flex_Circuit_alternative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Bellavia</dc:creator>
  <cp:lastModifiedBy>Innes, Walter R.</cp:lastModifiedBy>
  <cp:lastPrinted>2014-02-20T22:11:09Z</cp:lastPrinted>
  <dcterms:created xsi:type="dcterms:W3CDTF">2012-09-11T13:48:05Z</dcterms:created>
  <dcterms:modified xsi:type="dcterms:W3CDTF">2014-07-10T01:25:41Z</dcterms:modified>
</cp:coreProperties>
</file>