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wvanesse\AppData\Roaming\3Di\QGIS3\profiles\default\python\plugins\legger\utils\"/>
    </mc:Choice>
  </mc:AlternateContent>
  <xr:revisionPtr revIDLastSave="0" documentId="8_{2F73023F-A103-4E18-9665-7D77CF9D146E}" xr6:coauthVersionLast="47" xr6:coauthVersionMax="47" xr10:uidLastSave="{00000000-0000-0000-0000-000000000000}"/>
  <bookViews>
    <workbookView xWindow="28680" yWindow="-120" windowWidth="29040" windowHeight="15990" tabRatio="717" xr2:uid="{C64D9365-FE54-4986-9F2A-A73A73CE531F}"/>
  </bookViews>
  <sheets>
    <sheet name="CSV" sheetId="13" r:id="rId1"/>
    <sheet name="ZandKlei" sheetId="12" r:id="rId2"/>
    <sheet name="Veen" sheetId="6" r:id="rId3"/>
    <sheet name="taludvoorkeur" sheetId="7" r:id="rId4"/>
  </sheets>
  <definedNames>
    <definedName name="_xlnm._FilterDatabase" localSheetId="2" hidden="1">Veen!$AA$7:$AC$47</definedName>
    <definedName name="_xlnm._FilterDatabase" localSheetId="1" hidden="1">ZandKlei!$AA$7:$AC$32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7" i="6" l="1"/>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6" i="6"/>
  <c r="Q15" i="6"/>
  <c r="Q13" i="6"/>
  <c r="Q12" i="6"/>
  <c r="Q11" i="6"/>
  <c r="Q32" i="12"/>
  <c r="K12" i="12" l="1"/>
  <c r="K15" i="12"/>
  <c r="AE13" i="12"/>
  <c r="K17" i="6" l="1"/>
  <c r="K21" i="6"/>
  <c r="K23" i="6"/>
  <c r="K46" i="6"/>
  <c r="K45" i="6"/>
  <c r="K44" i="6"/>
  <c r="K43" i="6"/>
  <c r="K42" i="6"/>
  <c r="K41" i="6"/>
  <c r="K40" i="6"/>
  <c r="K39" i="6"/>
  <c r="K38" i="6"/>
  <c r="K34" i="6"/>
  <c r="K33" i="6"/>
  <c r="K32" i="6"/>
  <c r="K31" i="6"/>
  <c r="K30" i="6"/>
  <c r="K28" i="6"/>
  <c r="K26" i="6"/>
  <c r="K25" i="6"/>
  <c r="K24" i="6"/>
  <c r="K22" i="6"/>
  <c r="K20" i="6"/>
  <c r="K19" i="6"/>
  <c r="K18" i="6"/>
  <c r="K16" i="6"/>
  <c r="K14" i="6"/>
  <c r="K13" i="6"/>
  <c r="K12" i="6"/>
  <c r="K10" i="6"/>
  <c r="K8" i="6"/>
  <c r="K31" i="12"/>
  <c r="K30" i="12"/>
  <c r="K29" i="12"/>
  <c r="K28" i="12"/>
  <c r="K27" i="12"/>
  <c r="K26" i="12"/>
  <c r="K25" i="12"/>
  <c r="K24" i="12"/>
  <c r="K23" i="12"/>
  <c r="K19" i="12"/>
  <c r="K18" i="12"/>
  <c r="K17" i="12"/>
  <c r="K16" i="12"/>
  <c r="K14" i="12"/>
  <c r="K13" i="12"/>
  <c r="K11" i="12"/>
  <c r="K10" i="12"/>
  <c r="K9" i="12"/>
  <c r="K8" i="12"/>
  <c r="A27" i="13" l="1"/>
  <c r="B27" i="13"/>
  <c r="C27" i="13"/>
  <c r="D27" i="13"/>
  <c r="E27" i="13"/>
  <c r="F27" i="13"/>
  <c r="H27" i="13"/>
  <c r="J27" i="13"/>
  <c r="N27" i="13"/>
  <c r="A28" i="13"/>
  <c r="B28" i="13"/>
  <c r="C28" i="13"/>
  <c r="D28" i="13"/>
  <c r="E28" i="13"/>
  <c r="F28" i="13"/>
  <c r="H28" i="13"/>
  <c r="J28" i="13"/>
  <c r="L28" i="13"/>
  <c r="N28" i="13"/>
  <c r="A29" i="13"/>
  <c r="B29" i="13"/>
  <c r="C29" i="13"/>
  <c r="D29" i="13"/>
  <c r="E29" i="13"/>
  <c r="F29" i="13"/>
  <c r="H29" i="13"/>
  <c r="J29" i="13"/>
  <c r="N29" i="13"/>
  <c r="A30" i="13"/>
  <c r="B30" i="13"/>
  <c r="C30" i="13"/>
  <c r="D30" i="13"/>
  <c r="E30" i="13"/>
  <c r="F30" i="13"/>
  <c r="H30" i="13"/>
  <c r="J30" i="13"/>
  <c r="L30" i="13"/>
  <c r="N30" i="13"/>
  <c r="A31" i="13"/>
  <c r="B31" i="13"/>
  <c r="C31" i="13"/>
  <c r="D31" i="13"/>
  <c r="E31" i="13"/>
  <c r="F31" i="13"/>
  <c r="H31" i="13"/>
  <c r="J31" i="13"/>
  <c r="L31" i="13"/>
  <c r="N31" i="13"/>
  <c r="A32" i="13"/>
  <c r="B32" i="13"/>
  <c r="C32" i="13"/>
  <c r="D32" i="13"/>
  <c r="E32" i="13"/>
  <c r="F32" i="13"/>
  <c r="H32" i="13"/>
  <c r="J32" i="13"/>
  <c r="L32" i="13"/>
  <c r="N32" i="13"/>
  <c r="A33" i="13"/>
  <c r="B33" i="13"/>
  <c r="C33" i="13"/>
  <c r="D33" i="13"/>
  <c r="E33" i="13"/>
  <c r="F33" i="13"/>
  <c r="H33" i="13"/>
  <c r="J33" i="13"/>
  <c r="N33" i="13"/>
  <c r="A34" i="13"/>
  <c r="B34" i="13"/>
  <c r="C34" i="13"/>
  <c r="D34" i="13"/>
  <c r="E34" i="13"/>
  <c r="F34" i="13"/>
  <c r="H34" i="13"/>
  <c r="J34" i="13"/>
  <c r="L34" i="13"/>
  <c r="N34" i="13"/>
  <c r="A35" i="13"/>
  <c r="B35" i="13"/>
  <c r="C35" i="13"/>
  <c r="D35" i="13"/>
  <c r="E35" i="13"/>
  <c r="F35" i="13"/>
  <c r="H35" i="13"/>
  <c r="J35" i="13"/>
  <c r="L35" i="13"/>
  <c r="N35" i="13"/>
  <c r="A36" i="13"/>
  <c r="B36" i="13"/>
  <c r="C36" i="13"/>
  <c r="D36" i="13"/>
  <c r="E36" i="13"/>
  <c r="F36" i="13"/>
  <c r="H36" i="13"/>
  <c r="J36" i="13"/>
  <c r="L36" i="13"/>
  <c r="N36" i="13"/>
  <c r="A37" i="13"/>
  <c r="B37" i="13"/>
  <c r="C37" i="13"/>
  <c r="D37" i="13"/>
  <c r="E37" i="13"/>
  <c r="F37" i="13"/>
  <c r="H37" i="13"/>
  <c r="J37" i="13"/>
  <c r="L37" i="13"/>
  <c r="N37" i="13"/>
  <c r="A38" i="13"/>
  <c r="D38" i="13"/>
  <c r="E38" i="13"/>
  <c r="F38" i="13"/>
  <c r="H38" i="13"/>
  <c r="J38" i="13"/>
  <c r="N38" i="13"/>
  <c r="A39" i="13"/>
  <c r="D39" i="13"/>
  <c r="E39" i="13"/>
  <c r="F39" i="13"/>
  <c r="H39" i="13"/>
  <c r="J39" i="13"/>
  <c r="N39" i="13"/>
  <c r="A40" i="13"/>
  <c r="C40" i="13"/>
  <c r="D40" i="13"/>
  <c r="E40" i="13"/>
  <c r="F40" i="13"/>
  <c r="H40" i="13"/>
  <c r="J40" i="13"/>
  <c r="N40" i="13"/>
  <c r="A41" i="13"/>
  <c r="D41" i="13"/>
  <c r="E41" i="13"/>
  <c r="F41" i="13"/>
  <c r="H41" i="13"/>
  <c r="J41" i="13"/>
  <c r="N41" i="13"/>
  <c r="A42" i="13"/>
  <c r="D42" i="13"/>
  <c r="E42" i="13"/>
  <c r="F42" i="13"/>
  <c r="H42" i="13"/>
  <c r="J42" i="13"/>
  <c r="N42" i="13"/>
  <c r="A43" i="13"/>
  <c r="C43" i="13"/>
  <c r="D43" i="13"/>
  <c r="E43" i="13"/>
  <c r="F43" i="13"/>
  <c r="H43" i="13"/>
  <c r="J43" i="13"/>
  <c r="N43" i="13"/>
  <c r="A44" i="13"/>
  <c r="D44" i="13"/>
  <c r="E44" i="13"/>
  <c r="F44" i="13"/>
  <c r="H44" i="13"/>
  <c r="J44" i="13"/>
  <c r="N44" i="13"/>
  <c r="A45" i="13"/>
  <c r="D45" i="13"/>
  <c r="E45" i="13"/>
  <c r="F45" i="13"/>
  <c r="H45" i="13"/>
  <c r="J45" i="13"/>
  <c r="N45" i="13"/>
  <c r="A46" i="13"/>
  <c r="C46" i="13"/>
  <c r="D46" i="13"/>
  <c r="E46" i="13"/>
  <c r="F46" i="13"/>
  <c r="H46" i="13"/>
  <c r="J46" i="13"/>
  <c r="N46" i="13"/>
  <c r="A47" i="13"/>
  <c r="D47" i="13"/>
  <c r="E47" i="13"/>
  <c r="F47" i="13"/>
  <c r="H47" i="13"/>
  <c r="J47" i="13"/>
  <c r="N47" i="13"/>
  <c r="A48" i="13"/>
  <c r="D48" i="13"/>
  <c r="E48" i="13"/>
  <c r="F48" i="13"/>
  <c r="H48" i="13"/>
  <c r="J48" i="13"/>
  <c r="N48" i="13"/>
  <c r="A49" i="13"/>
  <c r="C49" i="13"/>
  <c r="D49" i="13"/>
  <c r="E49" i="13"/>
  <c r="F49" i="13"/>
  <c r="H49" i="13"/>
  <c r="J49" i="13"/>
  <c r="N49" i="13"/>
  <c r="A50" i="13"/>
  <c r="D50" i="13"/>
  <c r="E50" i="13"/>
  <c r="F50" i="13"/>
  <c r="H50" i="13"/>
  <c r="J50" i="13"/>
  <c r="N50" i="13"/>
  <c r="A51" i="13"/>
  <c r="C51" i="13"/>
  <c r="D51" i="13"/>
  <c r="E51" i="13"/>
  <c r="F51" i="13"/>
  <c r="H51" i="13"/>
  <c r="J51" i="13"/>
  <c r="L51" i="13"/>
  <c r="N51" i="13"/>
  <c r="A52" i="13"/>
  <c r="C52" i="13"/>
  <c r="D52" i="13"/>
  <c r="E52" i="13"/>
  <c r="F52" i="13"/>
  <c r="H52" i="13"/>
  <c r="J52" i="13"/>
  <c r="L52" i="13"/>
  <c r="N52" i="13"/>
  <c r="A53" i="13"/>
  <c r="B53" i="13"/>
  <c r="C53" i="13"/>
  <c r="D53" i="13"/>
  <c r="E53" i="13"/>
  <c r="F53" i="13"/>
  <c r="H53" i="13"/>
  <c r="J53" i="13"/>
  <c r="N53" i="13"/>
  <c r="A54" i="13"/>
  <c r="B54" i="13"/>
  <c r="C54" i="13"/>
  <c r="D54" i="13"/>
  <c r="E54" i="13"/>
  <c r="F54" i="13"/>
  <c r="H54" i="13"/>
  <c r="J54" i="13"/>
  <c r="N54" i="13"/>
  <c r="A55" i="13"/>
  <c r="B55" i="13"/>
  <c r="C55" i="13"/>
  <c r="D55" i="13"/>
  <c r="E55" i="13"/>
  <c r="F55" i="13"/>
  <c r="H55" i="13"/>
  <c r="J55" i="13"/>
  <c r="K55" i="13"/>
  <c r="N55" i="13"/>
  <c r="A56" i="13"/>
  <c r="B56" i="13"/>
  <c r="C56" i="13"/>
  <c r="D56" i="13"/>
  <c r="E56" i="13"/>
  <c r="F56" i="13"/>
  <c r="H56" i="13"/>
  <c r="J56" i="13"/>
  <c r="L56" i="13"/>
  <c r="N56" i="13"/>
  <c r="A57" i="13"/>
  <c r="B57" i="13"/>
  <c r="C57" i="13"/>
  <c r="D57" i="13"/>
  <c r="E57" i="13"/>
  <c r="F57" i="13"/>
  <c r="H57" i="13"/>
  <c r="J57" i="13"/>
  <c r="L57" i="13"/>
  <c r="N57" i="13"/>
  <c r="A58" i="13"/>
  <c r="B58" i="13"/>
  <c r="C58" i="13"/>
  <c r="D58" i="13"/>
  <c r="E58" i="13"/>
  <c r="F58" i="13"/>
  <c r="H58" i="13"/>
  <c r="J58" i="13"/>
  <c r="L58" i="13"/>
  <c r="N58" i="13"/>
  <c r="A59" i="13"/>
  <c r="B59" i="13"/>
  <c r="C59" i="13"/>
  <c r="D59" i="13"/>
  <c r="E59" i="13"/>
  <c r="F59" i="13"/>
  <c r="H59" i="13"/>
  <c r="J59" i="13"/>
  <c r="L59" i="13"/>
  <c r="N59" i="13"/>
  <c r="A60" i="13"/>
  <c r="B60" i="13"/>
  <c r="C60" i="13"/>
  <c r="D60" i="13"/>
  <c r="E60" i="13"/>
  <c r="F60" i="13"/>
  <c r="H60" i="13"/>
  <c r="J60" i="13"/>
  <c r="L60" i="13"/>
  <c r="N60" i="13"/>
  <c r="A61" i="13"/>
  <c r="B61" i="13"/>
  <c r="C61" i="13"/>
  <c r="D61" i="13"/>
  <c r="E61" i="13"/>
  <c r="F61" i="13"/>
  <c r="H61" i="13"/>
  <c r="J61" i="13"/>
  <c r="L61" i="13"/>
  <c r="N61" i="13"/>
  <c r="A62" i="13"/>
  <c r="B62" i="13"/>
  <c r="C62" i="13"/>
  <c r="D62" i="13"/>
  <c r="E62" i="13"/>
  <c r="F62" i="13"/>
  <c r="H62" i="13"/>
  <c r="J62" i="13"/>
  <c r="L62" i="13"/>
  <c r="N62" i="13"/>
  <c r="A63" i="13"/>
  <c r="B63" i="13"/>
  <c r="C63" i="13"/>
  <c r="D63" i="13"/>
  <c r="E63" i="13"/>
  <c r="F63" i="13"/>
  <c r="H63" i="13"/>
  <c r="J63" i="13"/>
  <c r="L63" i="13"/>
  <c r="N63" i="13"/>
  <c r="A64" i="13"/>
  <c r="B64" i="13"/>
  <c r="C64" i="13"/>
  <c r="D64" i="13"/>
  <c r="E64" i="13"/>
  <c r="F64" i="13"/>
  <c r="H64" i="13"/>
  <c r="J64" i="13"/>
  <c r="L64" i="13"/>
  <c r="N64" i="13"/>
  <c r="A3" i="13"/>
  <c r="D3" i="13"/>
  <c r="E3" i="13"/>
  <c r="F3" i="13"/>
  <c r="H3" i="13"/>
  <c r="J3" i="13"/>
  <c r="L3" i="13"/>
  <c r="N3" i="13"/>
  <c r="A4" i="13"/>
  <c r="D4" i="13"/>
  <c r="E4" i="13"/>
  <c r="F4" i="13"/>
  <c r="H4" i="13"/>
  <c r="J4" i="13"/>
  <c r="L4" i="13"/>
  <c r="N4" i="13"/>
  <c r="A5" i="13"/>
  <c r="D5" i="13"/>
  <c r="E5" i="13"/>
  <c r="F5" i="13"/>
  <c r="H5" i="13"/>
  <c r="J5" i="13"/>
  <c r="L5" i="13"/>
  <c r="N5" i="13"/>
  <c r="A6" i="13"/>
  <c r="D6" i="13"/>
  <c r="E6" i="13"/>
  <c r="F6" i="13"/>
  <c r="H6" i="13"/>
  <c r="J6" i="13"/>
  <c r="L6" i="13"/>
  <c r="N6" i="13"/>
  <c r="A7" i="13"/>
  <c r="B7" i="13"/>
  <c r="D7" i="13"/>
  <c r="E7" i="13"/>
  <c r="F7" i="13"/>
  <c r="H7" i="13"/>
  <c r="J7" i="13"/>
  <c r="L7" i="13"/>
  <c r="N7" i="13"/>
  <c r="A8" i="13"/>
  <c r="D8" i="13"/>
  <c r="E8" i="13"/>
  <c r="F8" i="13"/>
  <c r="H8" i="13"/>
  <c r="J8" i="13"/>
  <c r="L8" i="13"/>
  <c r="N8" i="13"/>
  <c r="A9" i="13"/>
  <c r="C9" i="13"/>
  <c r="D9" i="13"/>
  <c r="E9" i="13"/>
  <c r="F9" i="13"/>
  <c r="H9" i="13"/>
  <c r="J9" i="13"/>
  <c r="L9" i="13"/>
  <c r="N9" i="13"/>
  <c r="A10" i="13"/>
  <c r="D10" i="13"/>
  <c r="E10" i="13"/>
  <c r="F10" i="13"/>
  <c r="H10" i="13"/>
  <c r="J10" i="13"/>
  <c r="L10" i="13"/>
  <c r="N10" i="13"/>
  <c r="A11" i="13"/>
  <c r="D11" i="13"/>
  <c r="E11" i="13"/>
  <c r="F11" i="13"/>
  <c r="H11" i="13"/>
  <c r="J11" i="13"/>
  <c r="L11" i="13"/>
  <c r="N11" i="13"/>
  <c r="A12" i="13"/>
  <c r="D12" i="13"/>
  <c r="E12" i="13"/>
  <c r="F12" i="13"/>
  <c r="H12" i="13"/>
  <c r="J12" i="13"/>
  <c r="L12" i="13"/>
  <c r="N12" i="13"/>
  <c r="A13" i="13"/>
  <c r="D13" i="13"/>
  <c r="E13" i="13"/>
  <c r="F13" i="13"/>
  <c r="H13" i="13"/>
  <c r="J13" i="13"/>
  <c r="L13" i="13"/>
  <c r="N13" i="13"/>
  <c r="A14" i="13"/>
  <c r="B14" i="13"/>
  <c r="D14" i="13"/>
  <c r="E14" i="13"/>
  <c r="F14" i="13"/>
  <c r="H14" i="13"/>
  <c r="J14" i="13"/>
  <c r="N14" i="13"/>
  <c r="A15" i="13"/>
  <c r="D15" i="13"/>
  <c r="E15" i="13"/>
  <c r="F15" i="13"/>
  <c r="H15" i="13"/>
  <c r="J15" i="13"/>
  <c r="N15" i="13"/>
  <c r="A16" i="13"/>
  <c r="D16" i="13"/>
  <c r="E16" i="13"/>
  <c r="F16" i="13"/>
  <c r="H16" i="13"/>
  <c r="J16" i="13"/>
  <c r="N16" i="13"/>
  <c r="A17" i="13"/>
  <c r="D17" i="13"/>
  <c r="E17" i="13"/>
  <c r="F17" i="13"/>
  <c r="H17" i="13"/>
  <c r="J17" i="13"/>
  <c r="L17" i="13"/>
  <c r="N17" i="13"/>
  <c r="A18" i="13"/>
  <c r="D18" i="13"/>
  <c r="E18" i="13"/>
  <c r="F18" i="13"/>
  <c r="H18" i="13"/>
  <c r="J18" i="13"/>
  <c r="L18" i="13"/>
  <c r="N18" i="13"/>
  <c r="A19" i="13"/>
  <c r="D19" i="13"/>
  <c r="E19" i="13"/>
  <c r="F19" i="13"/>
  <c r="H19" i="13"/>
  <c r="J19" i="13"/>
  <c r="L19" i="13"/>
  <c r="N19" i="13"/>
  <c r="A20" i="13"/>
  <c r="D20" i="13"/>
  <c r="E20" i="13"/>
  <c r="F20" i="13"/>
  <c r="H20" i="13"/>
  <c r="J20" i="13"/>
  <c r="L20" i="13"/>
  <c r="N20" i="13"/>
  <c r="A21" i="13"/>
  <c r="D21" i="13"/>
  <c r="E21" i="13"/>
  <c r="F21" i="13"/>
  <c r="H21" i="13"/>
  <c r="J21" i="13"/>
  <c r="L21" i="13"/>
  <c r="N21" i="13"/>
  <c r="A22" i="13"/>
  <c r="D22" i="13"/>
  <c r="E22" i="13"/>
  <c r="F22" i="13"/>
  <c r="H22" i="13"/>
  <c r="J22" i="13"/>
  <c r="L22" i="13"/>
  <c r="N22" i="13"/>
  <c r="A23" i="13"/>
  <c r="D23" i="13"/>
  <c r="E23" i="13"/>
  <c r="F23" i="13"/>
  <c r="H23" i="13"/>
  <c r="J23" i="13"/>
  <c r="L23" i="13"/>
  <c r="N23" i="13"/>
  <c r="A24" i="13"/>
  <c r="D24" i="13"/>
  <c r="E24" i="13"/>
  <c r="F24" i="13"/>
  <c r="H24" i="13"/>
  <c r="J24" i="13"/>
  <c r="L24" i="13"/>
  <c r="N24" i="13"/>
  <c r="A25" i="13"/>
  <c r="D25" i="13"/>
  <c r="E25" i="13"/>
  <c r="F25" i="13"/>
  <c r="H25" i="13"/>
  <c r="J25" i="13"/>
  <c r="L25" i="13"/>
  <c r="N25" i="13"/>
  <c r="AP9" i="12"/>
  <c r="C3" i="13" s="1"/>
  <c r="AP10" i="12"/>
  <c r="C4" i="13" s="1"/>
  <c r="AP11" i="12"/>
  <c r="C5" i="13" s="1"/>
  <c r="AP12" i="12"/>
  <c r="C6" i="13" s="1"/>
  <c r="AP13" i="12"/>
  <c r="C7" i="13" s="1"/>
  <c r="AP14" i="12"/>
  <c r="C8" i="13" s="1"/>
  <c r="AP15" i="12"/>
  <c r="AP16" i="12"/>
  <c r="C10" i="13" s="1"/>
  <c r="AP17" i="12"/>
  <c r="C11" i="13" s="1"/>
  <c r="AP18" i="12"/>
  <c r="C12" i="13" s="1"/>
  <c r="AP19" i="12"/>
  <c r="C13" i="13" s="1"/>
  <c r="AP20" i="12"/>
  <c r="C14" i="13" s="1"/>
  <c r="AP21" i="12"/>
  <c r="C15" i="13" s="1"/>
  <c r="AP22" i="12"/>
  <c r="C16" i="13" s="1"/>
  <c r="AP23" i="12"/>
  <c r="C17" i="13" s="1"/>
  <c r="AP24" i="12"/>
  <c r="C18" i="13" s="1"/>
  <c r="AP25" i="12"/>
  <c r="C19" i="13" s="1"/>
  <c r="AP26" i="12"/>
  <c r="C20" i="13" s="1"/>
  <c r="AP27" i="12"/>
  <c r="C21" i="13" s="1"/>
  <c r="AP28" i="12"/>
  <c r="C22" i="13" s="1"/>
  <c r="AP29" i="12"/>
  <c r="C23" i="13" s="1"/>
  <c r="AP30" i="12"/>
  <c r="C24" i="13" s="1"/>
  <c r="AP31" i="12"/>
  <c r="C25" i="13" s="1"/>
  <c r="AP8" i="12"/>
  <c r="AP9" i="6"/>
  <c r="AP10" i="6"/>
  <c r="AP11" i="6"/>
  <c r="AP12" i="6"/>
  <c r="AP13" i="6"/>
  <c r="AP14" i="6"/>
  <c r="AP15" i="6"/>
  <c r="AP16" i="6"/>
  <c r="AP17" i="6"/>
  <c r="AP18" i="6"/>
  <c r="AP19" i="6"/>
  <c r="AP20" i="6"/>
  <c r="C38" i="13" s="1"/>
  <c r="AP21" i="6"/>
  <c r="C39" i="13" s="1"/>
  <c r="AP22" i="6"/>
  <c r="AP23" i="6"/>
  <c r="C41" i="13" s="1"/>
  <c r="AP24" i="6"/>
  <c r="C42" i="13" s="1"/>
  <c r="AP25" i="6"/>
  <c r="AP26" i="6"/>
  <c r="C44" i="13" s="1"/>
  <c r="AP27" i="6"/>
  <c r="C45" i="13" s="1"/>
  <c r="AP28" i="6"/>
  <c r="AP29" i="6"/>
  <c r="C47" i="13" s="1"/>
  <c r="AP30" i="6"/>
  <c r="C48" i="13" s="1"/>
  <c r="AP31" i="6"/>
  <c r="AP32" i="6"/>
  <c r="C50" i="13" s="1"/>
  <c r="AP33" i="6"/>
  <c r="AP34" i="6"/>
  <c r="AP35" i="6"/>
  <c r="AP36" i="6"/>
  <c r="AP37" i="6"/>
  <c r="AP38" i="6"/>
  <c r="AP39" i="6"/>
  <c r="AP40" i="6"/>
  <c r="AP41" i="6"/>
  <c r="AP42" i="6"/>
  <c r="AP43" i="6"/>
  <c r="AP44" i="6"/>
  <c r="AP45" i="6"/>
  <c r="AP46" i="6"/>
  <c r="AP8" i="6"/>
  <c r="AH37" i="6"/>
  <c r="AE37" i="6"/>
  <c r="K37" i="6"/>
  <c r="C37" i="6" s="1"/>
  <c r="AH36" i="6"/>
  <c r="AE36" i="6"/>
  <c r="K54" i="13"/>
  <c r="K36" i="6"/>
  <c r="U36" i="6" s="1"/>
  <c r="W36" i="6" s="1"/>
  <c r="AH35" i="6"/>
  <c r="AE35" i="6"/>
  <c r="K53" i="13"/>
  <c r="K35" i="6"/>
  <c r="U35" i="6" s="1"/>
  <c r="W35" i="6" s="1"/>
  <c r="F35" i="6"/>
  <c r="AH22" i="12"/>
  <c r="AE22" i="12"/>
  <c r="B16" i="13" s="1"/>
  <c r="K22" i="12"/>
  <c r="C22" i="12" s="1"/>
  <c r="AH21" i="12"/>
  <c r="AE21" i="12"/>
  <c r="B15" i="13" s="1"/>
  <c r="K21" i="12"/>
  <c r="AM21" i="12" s="1"/>
  <c r="AH20" i="12"/>
  <c r="AE20" i="12"/>
  <c r="K20" i="12"/>
  <c r="F20" i="12"/>
  <c r="L53" i="13" l="1"/>
  <c r="L54" i="13"/>
  <c r="L55" i="13"/>
  <c r="L16" i="13"/>
  <c r="L15" i="13"/>
  <c r="L14" i="13"/>
  <c r="AL37" i="6"/>
  <c r="AM37" i="6"/>
  <c r="M37" i="6"/>
  <c r="P37" i="6" s="1"/>
  <c r="C35" i="6"/>
  <c r="AM35" i="6"/>
  <c r="M35" i="6"/>
  <c r="P35" i="6" s="1"/>
  <c r="AM36" i="6"/>
  <c r="AL35" i="6"/>
  <c r="C36" i="6"/>
  <c r="U37" i="6"/>
  <c r="W37" i="6" s="1"/>
  <c r="M36" i="6"/>
  <c r="P36" i="6" s="1"/>
  <c r="AL36" i="6"/>
  <c r="M21" i="12"/>
  <c r="P21" i="12" s="1"/>
  <c r="Q21" i="12" s="1"/>
  <c r="K15" i="13" s="1"/>
  <c r="C21" i="12"/>
  <c r="AM20" i="12"/>
  <c r="C20" i="12"/>
  <c r="AL20" i="12"/>
  <c r="M20" i="12"/>
  <c r="P20" i="12" s="1"/>
  <c r="Q20" i="12" s="1"/>
  <c r="K14" i="13" s="1"/>
  <c r="M22" i="12"/>
  <c r="P22" i="12" s="1"/>
  <c r="Q22" i="12" s="1"/>
  <c r="K16" i="13" s="1"/>
  <c r="AL22" i="12"/>
  <c r="AM22" i="12"/>
  <c r="AL21" i="12"/>
  <c r="AE29" i="6"/>
  <c r="B47" i="13" s="1"/>
  <c r="AE27" i="6"/>
  <c r="B45" i="13" s="1"/>
  <c r="AH29" i="6"/>
  <c r="K47" i="13"/>
  <c r="K29" i="6"/>
  <c r="AH27" i="6"/>
  <c r="K45" i="13"/>
  <c r="K27" i="6"/>
  <c r="AE23" i="6"/>
  <c r="B41" i="13" s="1"/>
  <c r="AE21" i="6"/>
  <c r="B39" i="13" s="1"/>
  <c r="AH23" i="6"/>
  <c r="K41" i="13"/>
  <c r="AH21" i="6"/>
  <c r="K39" i="13"/>
  <c r="AE17" i="6"/>
  <c r="AE15" i="6"/>
  <c r="AH17" i="6"/>
  <c r="K35" i="13"/>
  <c r="C17" i="6"/>
  <c r="AH15" i="6"/>
  <c r="K33" i="13"/>
  <c r="K15" i="6"/>
  <c r="K29" i="13"/>
  <c r="K11" i="6"/>
  <c r="AE11" i="6"/>
  <c r="AH11" i="6"/>
  <c r="AE9" i="6"/>
  <c r="AH9" i="6"/>
  <c r="K9" i="6"/>
  <c r="C15" i="6" l="1"/>
  <c r="L33" i="13"/>
  <c r="C11" i="6"/>
  <c r="L29" i="13"/>
  <c r="AL11" i="6"/>
  <c r="M9" i="6"/>
  <c r="P9" i="6" s="1"/>
  <c r="L27" i="13"/>
  <c r="AN35" i="6"/>
  <c r="AN36" i="6"/>
  <c r="AF36" i="6" s="1"/>
  <c r="A36" i="6" s="1"/>
  <c r="B36" i="6" s="1"/>
  <c r="AN37" i="6"/>
  <c r="AF37" i="6" s="1"/>
  <c r="A37" i="6" s="1"/>
  <c r="B37" i="6" s="1"/>
  <c r="R35" i="6"/>
  <c r="M53" i="13" s="1"/>
  <c r="I53" i="13"/>
  <c r="R37" i="6"/>
  <c r="M55" i="13" s="1"/>
  <c r="I55" i="13"/>
  <c r="X36" i="6"/>
  <c r="I54" i="13"/>
  <c r="R22" i="12"/>
  <c r="M16" i="13" s="1"/>
  <c r="I16" i="13"/>
  <c r="AN22" i="12"/>
  <c r="R21" i="12"/>
  <c r="D21" i="12" s="1"/>
  <c r="I15" i="13"/>
  <c r="AN21" i="12"/>
  <c r="AF21" i="12" s="1"/>
  <c r="A21" i="12" s="1"/>
  <c r="B21" i="12" s="1"/>
  <c r="R20" i="12"/>
  <c r="M14" i="13" s="1"/>
  <c r="I14" i="13"/>
  <c r="AN20" i="12"/>
  <c r="AF20" i="12" s="1"/>
  <c r="A20" i="12" s="1"/>
  <c r="B20" i="12" s="1"/>
  <c r="C21" i="6"/>
  <c r="L39" i="13"/>
  <c r="C29" i="6"/>
  <c r="L47" i="13"/>
  <c r="C27" i="6"/>
  <c r="L45" i="13"/>
  <c r="C23" i="6"/>
  <c r="L41" i="13"/>
  <c r="X37" i="6"/>
  <c r="R36" i="6"/>
  <c r="M54" i="13" s="1"/>
  <c r="X35" i="6"/>
  <c r="AF35" i="6"/>
  <c r="A35" i="6" s="1"/>
  <c r="B35" i="6" s="1"/>
  <c r="AF22" i="12"/>
  <c r="A22" i="12" s="1"/>
  <c r="B22" i="12" s="1"/>
  <c r="U21" i="6"/>
  <c r="W21" i="6" s="1"/>
  <c r="AL29" i="6"/>
  <c r="AN29" i="6" s="1"/>
  <c r="U29" i="6"/>
  <c r="W29" i="6" s="1"/>
  <c r="M29" i="6"/>
  <c r="P29" i="6" s="1"/>
  <c r="AM29" i="6"/>
  <c r="M27" i="6"/>
  <c r="P27" i="6" s="1"/>
  <c r="U27" i="6"/>
  <c r="AL27" i="6"/>
  <c r="AM27" i="6"/>
  <c r="AL23" i="6"/>
  <c r="AM23" i="6"/>
  <c r="U23" i="6"/>
  <c r="W23" i="6" s="1"/>
  <c r="M23" i="6"/>
  <c r="P23" i="6" s="1"/>
  <c r="M21" i="6"/>
  <c r="P21" i="6" s="1"/>
  <c r="AL21" i="6"/>
  <c r="AM21" i="6"/>
  <c r="U17" i="6"/>
  <c r="W17" i="6" s="1"/>
  <c r="M17" i="6"/>
  <c r="P17" i="6" s="1"/>
  <c r="AM17" i="6"/>
  <c r="AL17" i="6"/>
  <c r="U15" i="6"/>
  <c r="M15" i="6"/>
  <c r="P15" i="6" s="1"/>
  <c r="AL15" i="6"/>
  <c r="AM15" i="6"/>
  <c r="U11" i="6"/>
  <c r="M11" i="6"/>
  <c r="P11" i="6" s="1"/>
  <c r="AM11" i="6"/>
  <c r="AM9" i="6"/>
  <c r="AL9" i="6"/>
  <c r="C9" i="6"/>
  <c r="U9" i="6"/>
  <c r="I27" i="13" l="1"/>
  <c r="Q9" i="6"/>
  <c r="D20" i="12"/>
  <c r="S20" i="12"/>
  <c r="G14" i="13" s="1"/>
  <c r="Y22" i="12"/>
  <c r="Y20" i="12"/>
  <c r="AN23" i="6"/>
  <c r="AN17" i="6"/>
  <c r="AN15" i="6"/>
  <c r="AN11" i="6"/>
  <c r="AF11" i="6" s="1"/>
  <c r="A11" i="6" s="1"/>
  <c r="B11" i="6" s="1"/>
  <c r="AN9" i="6"/>
  <c r="AN21" i="6"/>
  <c r="AF21" i="6" s="1"/>
  <c r="A21" i="6" s="1"/>
  <c r="B21" i="6" s="1"/>
  <c r="AN27" i="6"/>
  <c r="Y35" i="6"/>
  <c r="Z35" i="6" s="1"/>
  <c r="S35" i="6"/>
  <c r="G53" i="13" s="1"/>
  <c r="D35" i="6"/>
  <c r="Y37" i="6"/>
  <c r="R17" i="6"/>
  <c r="D17" i="6" s="1"/>
  <c r="I35" i="13"/>
  <c r="Z37" i="6"/>
  <c r="D37" i="6"/>
  <c r="R11" i="6"/>
  <c r="M29" i="13" s="1"/>
  <c r="I29" i="13"/>
  <c r="S36" i="6"/>
  <c r="G54" i="13" s="1"/>
  <c r="R15" i="6"/>
  <c r="D15" i="6" s="1"/>
  <c r="I33" i="13"/>
  <c r="Y36" i="6"/>
  <c r="Z36" i="6" s="1"/>
  <c r="D36" i="6"/>
  <c r="S37" i="6"/>
  <c r="G55" i="13" s="1"/>
  <c r="S22" i="12"/>
  <c r="G16" i="13" s="1"/>
  <c r="D22" i="12"/>
  <c r="S21" i="12"/>
  <c r="G15" i="13" s="1"/>
  <c r="M15" i="13"/>
  <c r="Y21" i="12"/>
  <c r="R21" i="6"/>
  <c r="S21" i="6" s="1"/>
  <c r="G39" i="13" s="1"/>
  <c r="I39" i="13"/>
  <c r="R27" i="6"/>
  <c r="S27" i="6" s="1"/>
  <c r="G45" i="13" s="1"/>
  <c r="I45" i="13"/>
  <c r="R23" i="6"/>
  <c r="S23" i="6" s="1"/>
  <c r="G41" i="13" s="1"/>
  <c r="I41" i="13"/>
  <c r="R29" i="6"/>
  <c r="S29" i="6" s="1"/>
  <c r="G47" i="13" s="1"/>
  <c r="I47" i="13"/>
  <c r="W27" i="6"/>
  <c r="X27" i="6" s="1"/>
  <c r="X17" i="6"/>
  <c r="W11" i="6"/>
  <c r="X11" i="6" s="1"/>
  <c r="W9" i="6"/>
  <c r="X9" i="6" s="1"/>
  <c r="W15" i="6"/>
  <c r="X15" i="6" s="1"/>
  <c r="X29" i="6"/>
  <c r="X21" i="6"/>
  <c r="X23" i="6"/>
  <c r="AF29" i="6"/>
  <c r="A29" i="6" s="1"/>
  <c r="B29" i="6" s="1"/>
  <c r="AF27" i="6"/>
  <c r="A27" i="6" s="1"/>
  <c r="B27" i="6" s="1"/>
  <c r="AF17" i="6"/>
  <c r="A17" i="6" s="1"/>
  <c r="B17" i="6" s="1"/>
  <c r="AF23" i="6"/>
  <c r="A23" i="6" s="1"/>
  <c r="B23" i="6" s="1"/>
  <c r="AF15" i="6"/>
  <c r="A15" i="6" s="1"/>
  <c r="B15" i="6" s="1"/>
  <c r="AF9" i="6"/>
  <c r="A9" i="6" s="1"/>
  <c r="B9" i="6" s="1"/>
  <c r="K27" i="13" l="1"/>
  <c r="R9" i="6"/>
  <c r="S17" i="6"/>
  <c r="G35" i="13" s="1"/>
  <c r="S15" i="6"/>
  <c r="G33" i="13" s="1"/>
  <c r="Y11" i="6"/>
  <c r="Z11" i="6" s="1"/>
  <c r="D21" i="6"/>
  <c r="D29" i="6"/>
  <c r="S11" i="6"/>
  <c r="G29" i="13" s="1"/>
  <c r="D27" i="6"/>
  <c r="Y15" i="6"/>
  <c r="Z15" i="6" s="1"/>
  <c r="M33" i="13"/>
  <c r="Y17" i="6"/>
  <c r="Z17" i="6" s="1"/>
  <c r="M35" i="13"/>
  <c r="Y27" i="6"/>
  <c r="Z27" i="6" s="1"/>
  <c r="M45" i="13"/>
  <c r="Y23" i="6"/>
  <c r="Z23" i="6" s="1"/>
  <c r="M41" i="13"/>
  <c r="D23" i="6"/>
  <c r="Y29" i="6"/>
  <c r="Z29" i="6" s="1"/>
  <c r="M47" i="13"/>
  <c r="Y21" i="6"/>
  <c r="Z21" i="6" s="1"/>
  <c r="M39" i="13"/>
  <c r="M27" i="13" l="1"/>
  <c r="S9" i="6"/>
  <c r="G27" i="13" s="1"/>
  <c r="Y9" i="6"/>
  <c r="Z9" i="6" s="1"/>
  <c r="AE28" i="12"/>
  <c r="B22" i="13" s="1"/>
  <c r="AE27" i="12"/>
  <c r="B21" i="13" s="1"/>
  <c r="AE26" i="12"/>
  <c r="B20" i="13" s="1"/>
  <c r="AE25" i="12"/>
  <c r="B19" i="13" s="1"/>
  <c r="AE24" i="12"/>
  <c r="B18" i="13" s="1"/>
  <c r="AE23" i="12"/>
  <c r="B17" i="13" s="1"/>
  <c r="AE19" i="12"/>
  <c r="B13" i="13" s="1"/>
  <c r="AE18" i="12"/>
  <c r="B12" i="13" s="1"/>
  <c r="AE17" i="12"/>
  <c r="B11" i="13" s="1"/>
  <c r="AE16" i="12"/>
  <c r="B10" i="13" s="1"/>
  <c r="AE15" i="12"/>
  <c r="B9" i="13" s="1"/>
  <c r="AE14" i="12"/>
  <c r="B8" i="13" s="1"/>
  <c r="F14" i="12"/>
  <c r="F17" i="12"/>
  <c r="F23" i="12"/>
  <c r="F26" i="12"/>
  <c r="F29" i="12"/>
  <c r="N26" i="13"/>
  <c r="J26" i="13"/>
  <c r="H26" i="13"/>
  <c r="F26" i="13"/>
  <c r="E26" i="13"/>
  <c r="D26" i="13"/>
  <c r="A26" i="13"/>
  <c r="N2" i="13"/>
  <c r="J2" i="13"/>
  <c r="H2" i="13"/>
  <c r="F2" i="13"/>
  <c r="E2" i="13"/>
  <c r="D2" i="13"/>
  <c r="A2" i="13"/>
  <c r="C2" i="13"/>
  <c r="C26" i="13"/>
  <c r="AE8" i="6"/>
  <c r="B26" i="13" s="1"/>
  <c r="AE14" i="6"/>
  <c r="AH13" i="6"/>
  <c r="AE13" i="6"/>
  <c r="K31" i="13"/>
  <c r="M13" i="6"/>
  <c r="AH12" i="6"/>
  <c r="AE12" i="6"/>
  <c r="K30" i="13"/>
  <c r="C12" i="6"/>
  <c r="AH10" i="6"/>
  <c r="AE10" i="6"/>
  <c r="AH8" i="6"/>
  <c r="L26" i="13"/>
  <c r="F8" i="6"/>
  <c r="AE30" i="6"/>
  <c r="B48" i="13" s="1"/>
  <c r="AH30" i="6"/>
  <c r="K48" i="13"/>
  <c r="L42" i="13"/>
  <c r="K42" i="13"/>
  <c r="AE24" i="6"/>
  <c r="B42" i="13" s="1"/>
  <c r="AH24" i="6"/>
  <c r="AE18" i="6"/>
  <c r="AH18" i="6"/>
  <c r="C18" i="6"/>
  <c r="K36" i="13"/>
  <c r="AE31" i="12"/>
  <c r="B25" i="13" s="1"/>
  <c r="AE30" i="12"/>
  <c r="B24" i="13" s="1"/>
  <c r="AE29" i="12"/>
  <c r="B23" i="13" s="1"/>
  <c r="C30" i="6" l="1"/>
  <c r="L48" i="13"/>
  <c r="AM13" i="6"/>
  <c r="P13" i="6"/>
  <c r="I31" i="13" s="1"/>
  <c r="C10" i="6"/>
  <c r="AM8" i="6"/>
  <c r="AL8" i="6"/>
  <c r="AN8" i="6" s="1"/>
  <c r="AL10" i="6"/>
  <c r="AL24" i="6"/>
  <c r="AN24" i="6" s="1"/>
  <c r="C13" i="6"/>
  <c r="AM10" i="6"/>
  <c r="U8" i="6"/>
  <c r="AL12" i="6"/>
  <c r="U13" i="6"/>
  <c r="U12" i="6"/>
  <c r="AM12" i="6"/>
  <c r="U10" i="6"/>
  <c r="W10" i="6" s="1"/>
  <c r="AL13" i="6"/>
  <c r="C8" i="6"/>
  <c r="U30" i="6"/>
  <c r="W30" i="6" s="1"/>
  <c r="AM30" i="6"/>
  <c r="AL30" i="6"/>
  <c r="AN30" i="6" s="1"/>
  <c r="U24" i="6"/>
  <c r="W24" i="6" s="1"/>
  <c r="C24" i="6"/>
  <c r="AM24" i="6"/>
  <c r="AM18" i="6"/>
  <c r="U18" i="6"/>
  <c r="W18" i="6" s="1"/>
  <c r="AL18" i="6"/>
  <c r="AN18" i="6" s="1"/>
  <c r="AN10" i="6" l="1"/>
  <c r="AF10" i="6" s="1"/>
  <c r="A10" i="6" s="1"/>
  <c r="B10" i="6" s="1"/>
  <c r="AN12" i="6"/>
  <c r="R13" i="6"/>
  <c r="D13" i="6" s="1"/>
  <c r="AN13" i="6"/>
  <c r="W8" i="6"/>
  <c r="W13" i="6"/>
  <c r="X13" i="6" s="1"/>
  <c r="W12" i="6"/>
  <c r="AF8" i="6"/>
  <c r="A8" i="6" s="1"/>
  <c r="B8" i="6" s="1"/>
  <c r="AF30" i="6"/>
  <c r="A30" i="6" s="1"/>
  <c r="B30" i="6" s="1"/>
  <c r="AF18" i="6"/>
  <c r="A18" i="6" s="1"/>
  <c r="B18" i="6" s="1"/>
  <c r="AF24" i="6"/>
  <c r="A24" i="6" s="1"/>
  <c r="B24" i="6" s="1"/>
  <c r="AF12" i="6"/>
  <c r="A12" i="6" s="1"/>
  <c r="B12" i="6" s="1"/>
  <c r="AF13" i="6"/>
  <c r="A13" i="6" s="1"/>
  <c r="B13" i="6" s="1"/>
  <c r="Y13" i="6" l="1"/>
  <c r="Z13" i="6" s="1"/>
  <c r="M31" i="13"/>
  <c r="S13" i="6"/>
  <c r="G31" i="13" s="1"/>
  <c r="AM15" i="12"/>
  <c r="AM16" i="12"/>
  <c r="AM14" i="12"/>
  <c r="AL16" i="12"/>
  <c r="AL15" i="12"/>
  <c r="AL14" i="12"/>
  <c r="AN16" i="12" l="1"/>
  <c r="AN15" i="12"/>
  <c r="AN14" i="12"/>
  <c r="R32" i="12"/>
  <c r="P32" i="12"/>
  <c r="AH31" i="12"/>
  <c r="AH30" i="12"/>
  <c r="AH29" i="12"/>
  <c r="AH28" i="12"/>
  <c r="AH27" i="12"/>
  <c r="AH26" i="12"/>
  <c r="AH25" i="12"/>
  <c r="AH24" i="12"/>
  <c r="AH23" i="12"/>
  <c r="AH19" i="12"/>
  <c r="AH18" i="12"/>
  <c r="AH17" i="12"/>
  <c r="AH16" i="12"/>
  <c r="AF16" i="12" s="1"/>
  <c r="AH15" i="12"/>
  <c r="C15" i="12"/>
  <c r="AH14" i="12"/>
  <c r="C14" i="12"/>
  <c r="AH13" i="12"/>
  <c r="AH12" i="12"/>
  <c r="AE12" i="12"/>
  <c r="B6" i="13" s="1"/>
  <c r="AH11" i="12"/>
  <c r="AE11" i="12"/>
  <c r="B5" i="13" s="1"/>
  <c r="F11" i="12"/>
  <c r="AH10" i="12"/>
  <c r="AE10" i="12"/>
  <c r="B4" i="13" s="1"/>
  <c r="AH9" i="12"/>
  <c r="AE9" i="12"/>
  <c r="B3" i="13" s="1"/>
  <c r="AH8" i="12"/>
  <c r="AE8" i="12"/>
  <c r="L2" i="13"/>
  <c r="F8" i="12"/>
  <c r="O3" i="12"/>
  <c r="O1" i="12"/>
  <c r="F26" i="6"/>
  <c r="F32" i="6"/>
  <c r="F38" i="6"/>
  <c r="F41" i="6"/>
  <c r="F44" i="6"/>
  <c r="F14" i="6"/>
  <c r="F20" i="6"/>
  <c r="U20" i="12" l="1"/>
  <c r="W20" i="12" s="1"/>
  <c r="U22" i="12"/>
  <c r="W22" i="12" s="1"/>
  <c r="U21" i="12"/>
  <c r="W21" i="12" s="1"/>
  <c r="AF15" i="12"/>
  <c r="AF14" i="12"/>
  <c r="AF38" i="12"/>
  <c r="AF39" i="12"/>
  <c r="AF37" i="12"/>
  <c r="AF36" i="12"/>
  <c r="B2" i="13"/>
  <c r="U8" i="12"/>
  <c r="W8" i="12" s="1"/>
  <c r="AM12" i="12"/>
  <c r="AL12" i="12"/>
  <c r="AM24" i="12"/>
  <c r="AL24" i="12"/>
  <c r="AN24" i="12" s="1"/>
  <c r="C23" i="12"/>
  <c r="AM23" i="12"/>
  <c r="AL23" i="12"/>
  <c r="M30" i="12"/>
  <c r="P30" i="12" s="1"/>
  <c r="AM30" i="12"/>
  <c r="AL30" i="12"/>
  <c r="AM28" i="12"/>
  <c r="AL28" i="12"/>
  <c r="AM29" i="12"/>
  <c r="AL29" i="12"/>
  <c r="AM31" i="12"/>
  <c r="AL31" i="12"/>
  <c r="AM18" i="12"/>
  <c r="AL18" i="12"/>
  <c r="AM17" i="12"/>
  <c r="AL17" i="12"/>
  <c r="C27" i="12"/>
  <c r="AM27" i="12"/>
  <c r="AL27" i="12"/>
  <c r="AN27" i="12" s="1"/>
  <c r="AM19" i="12"/>
  <c r="AL19" i="12"/>
  <c r="C13" i="12"/>
  <c r="AM13" i="12"/>
  <c r="AL13" i="12"/>
  <c r="AM25" i="12"/>
  <c r="AL25" i="12"/>
  <c r="C26" i="12"/>
  <c r="AM26" i="12"/>
  <c r="AL26" i="12"/>
  <c r="AM11" i="12"/>
  <c r="AL11" i="12"/>
  <c r="AN11" i="12" s="1"/>
  <c r="AM10" i="12"/>
  <c r="AL10" i="12"/>
  <c r="C9" i="12"/>
  <c r="AM9" i="12"/>
  <c r="AL9" i="12"/>
  <c r="C8" i="12"/>
  <c r="AL8" i="12"/>
  <c r="AM8" i="12"/>
  <c r="M12" i="12"/>
  <c r="P12" i="12" s="1"/>
  <c r="C31" i="12"/>
  <c r="C28" i="12"/>
  <c r="C25" i="12"/>
  <c r="C24" i="12"/>
  <c r="C19" i="12"/>
  <c r="C17" i="12"/>
  <c r="C18" i="12"/>
  <c r="M18" i="12"/>
  <c r="P18" i="12" s="1"/>
  <c r="U15" i="12"/>
  <c r="W15" i="12" s="1"/>
  <c r="M29" i="12"/>
  <c r="P29" i="12" s="1"/>
  <c r="C11" i="12"/>
  <c r="M25" i="12"/>
  <c r="P25" i="12" s="1"/>
  <c r="U27" i="12"/>
  <c r="W27" i="12" s="1"/>
  <c r="U26" i="12"/>
  <c r="W26" i="12" s="1"/>
  <c r="M11" i="12"/>
  <c r="P11" i="12" s="1"/>
  <c r="M17" i="12"/>
  <c r="P17" i="12" s="1"/>
  <c r="M24" i="12"/>
  <c r="P24" i="12" s="1"/>
  <c r="M26" i="12"/>
  <c r="P26" i="12" s="1"/>
  <c r="U31" i="12"/>
  <c r="W31" i="12" s="1"/>
  <c r="U13" i="12"/>
  <c r="W13" i="12" s="1"/>
  <c r="U14" i="12"/>
  <c r="W14" i="12" s="1"/>
  <c r="U19" i="12"/>
  <c r="W19" i="12" s="1"/>
  <c r="M31" i="12"/>
  <c r="P31" i="12" s="1"/>
  <c r="M8" i="12"/>
  <c r="C10" i="12"/>
  <c r="M13" i="12"/>
  <c r="P13" i="12" s="1"/>
  <c r="M14" i="12"/>
  <c r="P14" i="12" s="1"/>
  <c r="C16" i="12"/>
  <c r="M19" i="12"/>
  <c r="P19" i="12" s="1"/>
  <c r="C29" i="12"/>
  <c r="U9" i="12"/>
  <c r="W9" i="12" s="1"/>
  <c r="M9" i="12"/>
  <c r="P9" i="12" s="1"/>
  <c r="U10" i="12"/>
  <c r="W10" i="12" s="1"/>
  <c r="M15" i="12"/>
  <c r="P15" i="12" s="1"/>
  <c r="U16" i="12"/>
  <c r="W16" i="12" s="1"/>
  <c r="U23" i="12"/>
  <c r="W23" i="12" s="1"/>
  <c r="M27" i="12"/>
  <c r="P27" i="12" s="1"/>
  <c r="U28" i="12"/>
  <c r="W28" i="12" s="1"/>
  <c r="M10" i="12"/>
  <c r="P10" i="12" s="1"/>
  <c r="M16" i="12"/>
  <c r="P16" i="12" s="1"/>
  <c r="M23" i="12"/>
  <c r="P23" i="12" s="1"/>
  <c r="U24" i="12"/>
  <c r="W24" i="12" s="1"/>
  <c r="M28" i="12"/>
  <c r="P28" i="12" s="1"/>
  <c r="U11" i="12"/>
  <c r="W11" i="12" s="1"/>
  <c r="C12" i="12"/>
  <c r="U17" i="12"/>
  <c r="W17" i="12" s="1"/>
  <c r="U25" i="12"/>
  <c r="W25" i="12" s="1"/>
  <c r="U29" i="12"/>
  <c r="W29" i="12" s="1"/>
  <c r="C30" i="12"/>
  <c r="U12" i="12"/>
  <c r="W12" i="12" s="1"/>
  <c r="U18" i="12"/>
  <c r="W18" i="12" s="1"/>
  <c r="U30" i="12"/>
  <c r="W30" i="12" s="1"/>
  <c r="AN8" i="12" l="1"/>
  <c r="AN13" i="12"/>
  <c r="AF13" i="12" s="1"/>
  <c r="X21" i="12"/>
  <c r="Z21" i="12" s="1"/>
  <c r="X22" i="12"/>
  <c r="Z22" i="12" s="1"/>
  <c r="X20" i="12"/>
  <c r="Z20" i="12" s="1"/>
  <c r="I8" i="13"/>
  <c r="Q14" i="12"/>
  <c r="K8" i="13" s="1"/>
  <c r="I10" i="13"/>
  <c r="Q16" i="12"/>
  <c r="K10" i="13" s="1"/>
  <c r="I9" i="13"/>
  <c r="Q15" i="12"/>
  <c r="K9" i="13" s="1"/>
  <c r="I11" i="13"/>
  <c r="Q17" i="12"/>
  <c r="K11" i="13" s="1"/>
  <c r="I23" i="13"/>
  <c r="Q29" i="12"/>
  <c r="K23" i="13" s="1"/>
  <c r="I4" i="13"/>
  <c r="Q10" i="12"/>
  <c r="K4" i="13" s="1"/>
  <c r="I3" i="13"/>
  <c r="Q9" i="12"/>
  <c r="K3" i="13" s="1"/>
  <c r="I7" i="13"/>
  <c r="Q13" i="12"/>
  <c r="K7" i="13" s="1"/>
  <c r="I12" i="13"/>
  <c r="Q18" i="12"/>
  <c r="K12" i="13" s="1"/>
  <c r="I22" i="13"/>
  <c r="Q28" i="12"/>
  <c r="K22" i="13" s="1"/>
  <c r="I21" i="13"/>
  <c r="Q27" i="12"/>
  <c r="K21" i="13" s="1"/>
  <c r="I20" i="13"/>
  <c r="Q26" i="12"/>
  <c r="K20" i="13" s="1"/>
  <c r="I19" i="13"/>
  <c r="Q25" i="12"/>
  <c r="I6" i="13"/>
  <c r="Q12" i="12"/>
  <c r="K6" i="13" s="1"/>
  <c r="I24" i="13"/>
  <c r="Q30" i="12"/>
  <c r="K24" i="13" s="1"/>
  <c r="I5" i="13"/>
  <c r="Q11" i="12"/>
  <c r="K5" i="13" s="1"/>
  <c r="I17" i="13"/>
  <c r="Q23" i="12"/>
  <c r="K17" i="13" s="1"/>
  <c r="I13" i="13"/>
  <c r="Q19" i="12"/>
  <c r="K13" i="13" s="1"/>
  <c r="I25" i="13"/>
  <c r="Q31" i="12"/>
  <c r="K25" i="13" s="1"/>
  <c r="I18" i="13"/>
  <c r="Q24" i="12"/>
  <c r="K18" i="13" s="1"/>
  <c r="AN23" i="12"/>
  <c r="AF23" i="12" s="1"/>
  <c r="AN18" i="12"/>
  <c r="AF18" i="12" s="1"/>
  <c r="AN25" i="12"/>
  <c r="AF25" i="12" s="1"/>
  <c r="A25" i="12" s="1"/>
  <c r="B25" i="12" s="1"/>
  <c r="AN28" i="12"/>
  <c r="AF28" i="12" s="1"/>
  <c r="AN29" i="12"/>
  <c r="AF29" i="12" s="1"/>
  <c r="AN31" i="12"/>
  <c r="AF31" i="12" s="1"/>
  <c r="AN30" i="12"/>
  <c r="AF30" i="12" s="1"/>
  <c r="A30" i="12" s="1"/>
  <c r="B30" i="12" s="1"/>
  <c r="AN26" i="12"/>
  <c r="AF26" i="12" s="1"/>
  <c r="AN10" i="12"/>
  <c r="AN19" i="12"/>
  <c r="AF19" i="12" s="1"/>
  <c r="AN9" i="12"/>
  <c r="AF9" i="12" s="1"/>
  <c r="AN17" i="12"/>
  <c r="AF17" i="12" s="1"/>
  <c r="AN12" i="12"/>
  <c r="AF12" i="12" s="1"/>
  <c r="A12" i="12" s="1"/>
  <c r="B12" i="12" s="1"/>
  <c r="AF10" i="12"/>
  <c r="AF27" i="12"/>
  <c r="AF24" i="12"/>
  <c r="A24" i="12" s="1"/>
  <c r="B24" i="12" s="1"/>
  <c r="AF11" i="12"/>
  <c r="AF8" i="12"/>
  <c r="A8" i="12" s="1"/>
  <c r="B8" i="12" s="1"/>
  <c r="R9" i="12"/>
  <c r="M3" i="13" s="1"/>
  <c r="R14" i="12"/>
  <c r="M8" i="13" s="1"/>
  <c r="R16" i="12"/>
  <c r="M10" i="13" s="1"/>
  <c r="R31" i="12"/>
  <c r="M25" i="13" s="1"/>
  <c r="R17" i="12"/>
  <c r="M11" i="13" s="1"/>
  <c r="A16" i="12"/>
  <c r="B16" i="12" s="1"/>
  <c r="M18" i="6"/>
  <c r="P18" i="6" s="1"/>
  <c r="M10" i="6"/>
  <c r="P10" i="6" s="1"/>
  <c r="Q10" i="6" s="1"/>
  <c r="K28" i="13" s="1"/>
  <c r="M12" i="6"/>
  <c r="P12" i="6" s="1"/>
  <c r="M8" i="6"/>
  <c r="P8" i="6" s="1"/>
  <c r="P8" i="12"/>
  <c r="Q8" i="12" s="1"/>
  <c r="M24" i="6"/>
  <c r="P24" i="6" s="1"/>
  <c r="M30" i="6"/>
  <c r="P30" i="6" s="1"/>
  <c r="Q8" i="6" l="1"/>
  <c r="R8" i="12"/>
  <c r="Y8" i="12" s="1"/>
  <c r="X8" i="12"/>
  <c r="R27" i="12"/>
  <c r="M21" i="13" s="1"/>
  <c r="R19" i="12"/>
  <c r="M13" i="13" s="1"/>
  <c r="R13" i="12"/>
  <c r="M7" i="13" s="1"/>
  <c r="R23" i="12"/>
  <c r="M17" i="13" s="1"/>
  <c r="R11" i="12"/>
  <c r="M5" i="13" s="1"/>
  <c r="R28" i="12"/>
  <c r="M22" i="13" s="1"/>
  <c r="R10" i="12"/>
  <c r="M4" i="13" s="1"/>
  <c r="R18" i="12"/>
  <c r="M12" i="13" s="1"/>
  <c r="R12" i="12"/>
  <c r="M6" i="13" s="1"/>
  <c r="R24" i="12"/>
  <c r="M18" i="13" s="1"/>
  <c r="R25" i="12"/>
  <c r="M19" i="13" s="1"/>
  <c r="K19" i="13"/>
  <c r="R30" i="12"/>
  <c r="M24" i="13" s="1"/>
  <c r="K2" i="13"/>
  <c r="R26" i="12"/>
  <c r="M20" i="13" s="1"/>
  <c r="R29" i="12"/>
  <c r="M23" i="13" s="1"/>
  <c r="R15" i="12"/>
  <c r="M9" i="13" s="1"/>
  <c r="S9" i="12"/>
  <c r="G3" i="13" s="1"/>
  <c r="X18" i="6"/>
  <c r="I36" i="13"/>
  <c r="X12" i="6"/>
  <c r="I30" i="13"/>
  <c r="X10" i="6"/>
  <c r="I28" i="13"/>
  <c r="X30" i="6"/>
  <c r="I48" i="13"/>
  <c r="X24" i="6"/>
  <c r="I42" i="13"/>
  <c r="Y15" i="12"/>
  <c r="X15" i="12" s="1"/>
  <c r="Y19" i="12"/>
  <c r="X19" i="12" s="1"/>
  <c r="Y16" i="12"/>
  <c r="X16" i="12" s="1"/>
  <c r="Y10" i="12"/>
  <c r="X10" i="12" s="1"/>
  <c r="Y27" i="12"/>
  <c r="X27" i="12" s="1"/>
  <c r="Y26" i="12"/>
  <c r="X26" i="12" s="1"/>
  <c r="Y17" i="12"/>
  <c r="X17" i="12" s="1"/>
  <c r="Y9" i="12"/>
  <c r="X9" i="12" s="1"/>
  <c r="Y30" i="12"/>
  <c r="X30" i="12" s="1"/>
  <c r="Y13" i="12"/>
  <c r="X13" i="12" s="1"/>
  <c r="Y12" i="12"/>
  <c r="X12" i="12" s="1"/>
  <c r="Y11" i="12"/>
  <c r="X11" i="12" s="1"/>
  <c r="Y31" i="12"/>
  <c r="X31" i="12" s="1"/>
  <c r="Y14" i="12"/>
  <c r="X14" i="12" s="1"/>
  <c r="Y24" i="12"/>
  <c r="X24" i="12" s="1"/>
  <c r="Y25" i="12"/>
  <c r="X25" i="12" s="1"/>
  <c r="Y28" i="12"/>
  <c r="X28" i="12" s="1"/>
  <c r="Y18" i="12"/>
  <c r="X18" i="12" s="1"/>
  <c r="D27" i="12"/>
  <c r="I26" i="13"/>
  <c r="R30" i="6"/>
  <c r="M48" i="13" s="1"/>
  <c r="R12" i="6"/>
  <c r="M30" i="13" s="1"/>
  <c r="R10" i="6"/>
  <c r="M28" i="13" s="1"/>
  <c r="R24" i="6"/>
  <c r="M42" i="13" s="1"/>
  <c r="R18" i="6"/>
  <c r="M36" i="13" s="1"/>
  <c r="S27" i="12"/>
  <c r="G21" i="13" s="1"/>
  <c r="D13" i="12"/>
  <c r="S10" i="12"/>
  <c r="G4" i="13" s="1"/>
  <c r="D16" i="12"/>
  <c r="D24" i="12"/>
  <c r="S11" i="12"/>
  <c r="G5" i="13" s="1"/>
  <c r="S23" i="12"/>
  <c r="G17" i="13" s="1"/>
  <c r="S16" i="12"/>
  <c r="G10" i="13" s="1"/>
  <c r="D31" i="12"/>
  <c r="D17" i="12"/>
  <c r="S31" i="12"/>
  <c r="G25" i="13" s="1"/>
  <c r="S17" i="12"/>
  <c r="G11" i="13" s="1"/>
  <c r="S14" i="12"/>
  <c r="G8" i="13" s="1"/>
  <c r="D9" i="12"/>
  <c r="S19" i="12"/>
  <c r="G13" i="13" s="1"/>
  <c r="S18" i="12"/>
  <c r="G12" i="13" s="1"/>
  <c r="D14" i="12"/>
  <c r="D30" i="12"/>
  <c r="S30" i="12"/>
  <c r="G24" i="13" s="1"/>
  <c r="D23" i="12"/>
  <c r="D18" i="12"/>
  <c r="D19" i="12"/>
  <c r="D10" i="12"/>
  <c r="I2" i="13"/>
  <c r="A31" i="12"/>
  <c r="B31" i="12" s="1"/>
  <c r="A29" i="12"/>
  <c r="B29" i="12" s="1"/>
  <c r="A13" i="12"/>
  <c r="B13" i="12" s="1"/>
  <c r="A14" i="12"/>
  <c r="B14" i="12" s="1"/>
  <c r="A18" i="12"/>
  <c r="B18" i="12" s="1"/>
  <c r="A28" i="12"/>
  <c r="B28" i="12" s="1"/>
  <c r="A17" i="12"/>
  <c r="B17" i="12" s="1"/>
  <c r="A10" i="12"/>
  <c r="B10" i="12" s="1"/>
  <c r="A15" i="12"/>
  <c r="B15" i="12" s="1"/>
  <c r="A23" i="12"/>
  <c r="B23" i="12" s="1"/>
  <c r="A27" i="12"/>
  <c r="B27" i="12" s="1"/>
  <c r="A9" i="12"/>
  <c r="B9" i="12" s="1"/>
  <c r="A11" i="12"/>
  <c r="B11" i="12" s="1"/>
  <c r="A19" i="12"/>
  <c r="B19" i="12" s="1"/>
  <c r="A26" i="12"/>
  <c r="B26" i="12" s="1"/>
  <c r="R8" i="6" l="1"/>
  <c r="K26" i="13"/>
  <c r="X8" i="6"/>
  <c r="Y23" i="12"/>
  <c r="X23" i="12" s="1"/>
  <c r="S13" i="12"/>
  <c r="G7" i="13" s="1"/>
  <c r="D11" i="12"/>
  <c r="S15" i="12"/>
  <c r="G9" i="13" s="1"/>
  <c r="S29" i="12"/>
  <c r="G23" i="13" s="1"/>
  <c r="S28" i="12"/>
  <c r="G22" i="13" s="1"/>
  <c r="D28" i="12"/>
  <c r="S12" i="12"/>
  <c r="G6" i="13" s="1"/>
  <c r="D12" i="12"/>
  <c r="Y29" i="12"/>
  <c r="X29" i="12" s="1"/>
  <c r="Z29" i="12" s="1"/>
  <c r="D15" i="12"/>
  <c r="S26" i="12"/>
  <c r="G20" i="13" s="1"/>
  <c r="D26" i="12"/>
  <c r="D25" i="12"/>
  <c r="S25" i="12"/>
  <c r="G19" i="13" s="1"/>
  <c r="S24" i="12"/>
  <c r="G18" i="13" s="1"/>
  <c r="D29" i="12"/>
  <c r="Z15" i="12"/>
  <c r="Z26" i="12"/>
  <c r="Z27" i="12"/>
  <c r="Z14" i="12"/>
  <c r="Z10" i="12"/>
  <c r="Z25" i="12"/>
  <c r="Z17" i="12"/>
  <c r="Z24" i="12"/>
  <c r="Z13" i="12"/>
  <c r="Z18" i="12"/>
  <c r="Z31" i="12"/>
  <c r="Z30" i="12"/>
  <c r="Z16" i="12"/>
  <c r="Z12" i="12"/>
  <c r="Z23" i="12"/>
  <c r="Z28" i="12"/>
  <c r="Z11" i="12"/>
  <c r="Z9" i="12"/>
  <c r="Z19" i="12"/>
  <c r="Z8" i="12"/>
  <c r="Y12" i="6"/>
  <c r="Z12" i="6" s="1"/>
  <c r="M26" i="13"/>
  <c r="Y8" i="6"/>
  <c r="Z8" i="6" s="1"/>
  <c r="Y10" i="6"/>
  <c r="Z10" i="6" s="1"/>
  <c r="M2" i="13"/>
  <c r="D18" i="6"/>
  <c r="Y18" i="6"/>
  <c r="Z18" i="6" s="1"/>
  <c r="S24" i="6"/>
  <c r="G42" i="13" s="1"/>
  <c r="Y24" i="6"/>
  <c r="Z24" i="6" s="1"/>
  <c r="Y30" i="6"/>
  <c r="Z30" i="6" s="1"/>
  <c r="S30" i="6"/>
  <c r="G48" i="13" s="1"/>
  <c r="D30" i="6"/>
  <c r="S10" i="6"/>
  <c r="G28" i="13" s="1"/>
  <c r="D10" i="6"/>
  <c r="S18" i="6"/>
  <c r="G36" i="13" s="1"/>
  <c r="D12" i="6"/>
  <c r="S12" i="6"/>
  <c r="G30" i="13" s="1"/>
  <c r="D24" i="6"/>
  <c r="D8" i="12"/>
  <c r="S8" i="12"/>
  <c r="G2" i="13" s="1"/>
  <c r="S8" i="6" l="1"/>
  <c r="G26" i="13" s="1"/>
  <c r="D8" i="6"/>
  <c r="AH14" i="6"/>
  <c r="AH46" i="6"/>
  <c r="AH45" i="6"/>
  <c r="AH44" i="6"/>
  <c r="AH43" i="6"/>
  <c r="AH42" i="6"/>
  <c r="AH41" i="6"/>
  <c r="AH40" i="6"/>
  <c r="AH39" i="6"/>
  <c r="AH38" i="6"/>
  <c r="AH34" i="6"/>
  <c r="AH33" i="6"/>
  <c r="AH32" i="6"/>
  <c r="AH31" i="6"/>
  <c r="AH28" i="6"/>
  <c r="AH26" i="6"/>
  <c r="AH25" i="6"/>
  <c r="AH22" i="6"/>
  <c r="AH20" i="6"/>
  <c r="AH19" i="6"/>
  <c r="AH16" i="6"/>
  <c r="AM14" i="6" l="1"/>
  <c r="AL14" i="6"/>
  <c r="AN14" i="6" s="1"/>
  <c r="U14" i="6"/>
  <c r="W14" i="6" s="1"/>
  <c r="C14" i="6"/>
  <c r="AF14" i="6" l="1"/>
  <c r="A14" i="6" s="1"/>
  <c r="R47" i="6"/>
  <c r="P47" i="6"/>
  <c r="AE46" i="6"/>
  <c r="K64" i="13"/>
  <c r="AE45" i="6"/>
  <c r="K63" i="13"/>
  <c r="AE44" i="6"/>
  <c r="K62" i="13"/>
  <c r="AE43" i="6"/>
  <c r="K61" i="13"/>
  <c r="AE42" i="6"/>
  <c r="K60" i="13"/>
  <c r="AE41" i="6"/>
  <c r="K59" i="13"/>
  <c r="AE40" i="6"/>
  <c r="K58" i="13"/>
  <c r="AE39" i="6"/>
  <c r="K57" i="13"/>
  <c r="AE38" i="6"/>
  <c r="K56" i="13"/>
  <c r="AE34" i="6"/>
  <c r="B52" i="13" s="1"/>
  <c r="K52" i="13"/>
  <c r="AE33" i="6"/>
  <c r="B51" i="13" s="1"/>
  <c r="K51" i="13"/>
  <c r="AE32" i="6"/>
  <c r="B50" i="13" s="1"/>
  <c r="K50" i="13"/>
  <c r="L50" i="13"/>
  <c r="AE31" i="6"/>
  <c r="B49" i="13" s="1"/>
  <c r="K49" i="13"/>
  <c r="L49" i="13"/>
  <c r="AE28" i="6"/>
  <c r="B46" i="13" s="1"/>
  <c r="K46" i="13"/>
  <c r="L46" i="13"/>
  <c r="AE26" i="6"/>
  <c r="B44" i="13" s="1"/>
  <c r="K44" i="13"/>
  <c r="L44" i="13"/>
  <c r="AE25" i="6"/>
  <c r="B43" i="13" s="1"/>
  <c r="K43" i="13"/>
  <c r="L43" i="13"/>
  <c r="AE22" i="6"/>
  <c r="B40" i="13" s="1"/>
  <c r="K40" i="13"/>
  <c r="L40" i="13"/>
  <c r="AE20" i="6"/>
  <c r="B38" i="13" s="1"/>
  <c r="K38" i="13"/>
  <c r="L38" i="13"/>
  <c r="AE19" i="6"/>
  <c r="K37" i="13"/>
  <c r="AE16" i="6"/>
  <c r="K34" i="13"/>
  <c r="B14" i="6"/>
  <c r="M14" i="6"/>
  <c r="P14" i="6" s="1"/>
  <c r="Q14" i="6" s="1"/>
  <c r="K32" i="13" s="1"/>
  <c r="O2" i="6"/>
  <c r="X14" i="6" l="1"/>
  <c r="I32" i="13"/>
  <c r="M19" i="6"/>
  <c r="U28" i="6"/>
  <c r="W28" i="6" s="1"/>
  <c r="R14" i="6"/>
  <c r="M32" i="13" s="1"/>
  <c r="U43" i="6"/>
  <c r="W43" i="6" s="1"/>
  <c r="AM43" i="6"/>
  <c r="AL43" i="6"/>
  <c r="AN43" i="6" s="1"/>
  <c r="U42" i="6"/>
  <c r="W42" i="6" s="1"/>
  <c r="AM42" i="6"/>
  <c r="AL42" i="6"/>
  <c r="AL41" i="6"/>
  <c r="AN41" i="6" s="1"/>
  <c r="AM41" i="6"/>
  <c r="U40" i="6"/>
  <c r="W40" i="6" s="1"/>
  <c r="AL40" i="6"/>
  <c r="AM40" i="6"/>
  <c r="U39" i="6"/>
  <c r="W39" i="6" s="1"/>
  <c r="AL39" i="6"/>
  <c r="AN39" i="6" s="1"/>
  <c r="AM39" i="6"/>
  <c r="U38" i="6"/>
  <c r="W38" i="6" s="1"/>
  <c r="AM38" i="6"/>
  <c r="AL38" i="6"/>
  <c r="AN38" i="6" s="1"/>
  <c r="AL34" i="6"/>
  <c r="AM34" i="6"/>
  <c r="U33" i="6"/>
  <c r="W33" i="6" s="1"/>
  <c r="AM33" i="6"/>
  <c r="AL33" i="6"/>
  <c r="AN33" i="6" s="1"/>
  <c r="U32" i="6"/>
  <c r="W32" i="6" s="1"/>
  <c r="AL32" i="6"/>
  <c r="AM32" i="6"/>
  <c r="U31" i="6"/>
  <c r="W31" i="6" s="1"/>
  <c r="AM31" i="6"/>
  <c r="AL31" i="6"/>
  <c r="AN31" i="6" s="1"/>
  <c r="AM28" i="6"/>
  <c r="AL28" i="6"/>
  <c r="U26" i="6"/>
  <c r="W26" i="6" s="1"/>
  <c r="AM26" i="6"/>
  <c r="AL26" i="6"/>
  <c r="AN26" i="6" s="1"/>
  <c r="U25" i="6"/>
  <c r="W25" i="6" s="1"/>
  <c r="AM25" i="6"/>
  <c r="AL25" i="6"/>
  <c r="AN25" i="6" s="1"/>
  <c r="U22" i="6"/>
  <c r="W22" i="6" s="1"/>
  <c r="AM22" i="6"/>
  <c r="AL22" i="6"/>
  <c r="U20" i="6"/>
  <c r="W20" i="6" s="1"/>
  <c r="AM20" i="6"/>
  <c r="AL20" i="6"/>
  <c r="AN20" i="6" s="1"/>
  <c r="U44" i="6"/>
  <c r="W44" i="6" s="1"/>
  <c r="AL44" i="6"/>
  <c r="AM44" i="6"/>
  <c r="U46" i="6"/>
  <c r="W46" i="6" s="1"/>
  <c r="AL46" i="6"/>
  <c r="AM46" i="6"/>
  <c r="U45" i="6"/>
  <c r="W45" i="6" s="1"/>
  <c r="AM45" i="6"/>
  <c r="AL45" i="6"/>
  <c r="AN45" i="6" s="1"/>
  <c r="U19" i="6"/>
  <c r="W19" i="6" s="1"/>
  <c r="AM19" i="6"/>
  <c r="AL19" i="6"/>
  <c r="AN19" i="6" s="1"/>
  <c r="U16" i="6"/>
  <c r="W16" i="6" s="1"/>
  <c r="AM16" i="6"/>
  <c r="AL16" i="6"/>
  <c r="AN16" i="6" s="1"/>
  <c r="C41" i="6"/>
  <c r="U41" i="6"/>
  <c r="W41" i="6" s="1"/>
  <c r="C34" i="6"/>
  <c r="U34" i="6"/>
  <c r="W34" i="6" s="1"/>
  <c r="C32" i="6"/>
  <c r="C20" i="6"/>
  <c r="M38" i="6"/>
  <c r="C38" i="6"/>
  <c r="C40" i="6"/>
  <c r="C31" i="6"/>
  <c r="C19" i="6"/>
  <c r="M25" i="6"/>
  <c r="C25" i="6"/>
  <c r="C16" i="6"/>
  <c r="C22" i="6"/>
  <c r="C28" i="6"/>
  <c r="C33" i="6"/>
  <c r="C39" i="6"/>
  <c r="M26" i="6"/>
  <c r="C26" i="6"/>
  <c r="C46" i="6"/>
  <c r="C45" i="6"/>
  <c r="M44" i="6"/>
  <c r="C44" i="6"/>
  <c r="C43" i="6"/>
  <c r="C42" i="6"/>
  <c r="M34" i="6"/>
  <c r="M31" i="6"/>
  <c r="M28" i="6"/>
  <c r="P28" i="6" s="1"/>
  <c r="I46" i="13" s="1"/>
  <c r="M40" i="6"/>
  <c r="M39" i="6"/>
  <c r="M42" i="6"/>
  <c r="M20" i="6"/>
  <c r="M32" i="6"/>
  <c r="M41" i="6"/>
  <c r="M45" i="6"/>
  <c r="M46" i="6"/>
  <c r="M33" i="6"/>
  <c r="M43" i="6"/>
  <c r="M16" i="6"/>
  <c r="M22" i="6"/>
  <c r="AN22" i="6" l="1"/>
  <c r="AN28" i="6"/>
  <c r="AN42" i="6"/>
  <c r="AN46" i="6"/>
  <c r="AF46" i="6" s="1"/>
  <c r="A46" i="6" s="1"/>
  <c r="B46" i="6" s="1"/>
  <c r="AN40" i="6"/>
  <c r="AN44" i="6"/>
  <c r="AN34" i="6"/>
  <c r="AN32" i="6"/>
  <c r="D14" i="6"/>
  <c r="S14" i="6"/>
  <c r="G32" i="13" s="1"/>
  <c r="Y14" i="6"/>
  <c r="Z14" i="6" s="1"/>
  <c r="AF16" i="6"/>
  <c r="A16" i="6" s="1"/>
  <c r="B16" i="6" s="1"/>
  <c r="AF45" i="6"/>
  <c r="A45" i="6" s="1"/>
  <c r="B45" i="6" s="1"/>
  <c r="AF22" i="6"/>
  <c r="A22" i="6" s="1"/>
  <c r="B22" i="6" s="1"/>
  <c r="AF19" i="6"/>
  <c r="A19" i="6" s="1"/>
  <c r="B19" i="6" s="1"/>
  <c r="AF20" i="6"/>
  <c r="A20" i="6" s="1"/>
  <c r="B20" i="6" s="1"/>
  <c r="AF25" i="6"/>
  <c r="A25" i="6" s="1"/>
  <c r="B25" i="6" s="1"/>
  <c r="AF28" i="6"/>
  <c r="A28" i="6" s="1"/>
  <c r="B28" i="6" s="1"/>
  <c r="AF31" i="6"/>
  <c r="A31" i="6" s="1"/>
  <c r="B31" i="6" s="1"/>
  <c r="AF33" i="6"/>
  <c r="A33" i="6" s="1"/>
  <c r="B33" i="6" s="1"/>
  <c r="AF43" i="6"/>
  <c r="A43" i="6" s="1"/>
  <c r="B43" i="6" s="1"/>
  <c r="AF42" i="6"/>
  <c r="A42" i="6" s="1"/>
  <c r="B42" i="6" s="1"/>
  <c r="AF40" i="6"/>
  <c r="A40" i="6" s="1"/>
  <c r="B40" i="6" s="1"/>
  <c r="AF39" i="6"/>
  <c r="A39" i="6" s="1"/>
  <c r="B39" i="6" s="1"/>
  <c r="AF38" i="6"/>
  <c r="A38" i="6" s="1"/>
  <c r="B38" i="6" s="1"/>
  <c r="AF41" i="6"/>
  <c r="A41" i="6" s="1"/>
  <c r="B41" i="6" s="1"/>
  <c r="AF34" i="6"/>
  <c r="A34" i="6" s="1"/>
  <c r="B34" i="6" s="1"/>
  <c r="AF32" i="6"/>
  <c r="A32" i="6" s="1"/>
  <c r="B32" i="6" s="1"/>
  <c r="AF26" i="6"/>
  <c r="A26" i="6" s="1"/>
  <c r="B26" i="6" s="1"/>
  <c r="R28" i="6"/>
  <c r="M46" i="13" s="1"/>
  <c r="P25" i="6"/>
  <c r="I43" i="13" s="1"/>
  <c r="X28" i="6"/>
  <c r="P44" i="6"/>
  <c r="I62" i="13" s="1"/>
  <c r="P41" i="6"/>
  <c r="P34" i="6"/>
  <c r="P31" i="6"/>
  <c r="P26" i="6"/>
  <c r="I44" i="13" s="1"/>
  <c r="P20" i="6"/>
  <c r="I38" i="13" s="1"/>
  <c r="P46" i="6"/>
  <c r="P16" i="6"/>
  <c r="P38" i="6"/>
  <c r="P45" i="6"/>
  <c r="P19" i="6"/>
  <c r="P42" i="6"/>
  <c r="P40" i="6"/>
  <c r="P39" i="6"/>
  <c r="P33" i="6"/>
  <c r="P32" i="6"/>
  <c r="P43" i="6"/>
  <c r="P22" i="6"/>
  <c r="I40" i="13" s="1"/>
  <c r="X42" i="6" l="1"/>
  <c r="I60" i="13"/>
  <c r="X46" i="6"/>
  <c r="I64" i="13"/>
  <c r="X33" i="6"/>
  <c r="I51" i="13"/>
  <c r="X40" i="6"/>
  <c r="I58" i="13"/>
  <c r="X34" i="6"/>
  <c r="I52" i="13"/>
  <c r="X41" i="6"/>
  <c r="I59" i="13"/>
  <c r="X43" i="6"/>
  <c r="I61" i="13"/>
  <c r="X45" i="6"/>
  <c r="I63" i="13"/>
  <c r="X44" i="6"/>
  <c r="X38" i="6"/>
  <c r="I56" i="13"/>
  <c r="X39" i="6"/>
  <c r="I57" i="13"/>
  <c r="X19" i="6"/>
  <c r="I37" i="13"/>
  <c r="X16" i="6"/>
  <c r="I34" i="13"/>
  <c r="X31" i="6"/>
  <c r="I49" i="13"/>
  <c r="X32" i="6"/>
  <c r="I50" i="13"/>
  <c r="X20" i="6"/>
  <c r="Y28" i="6"/>
  <c r="Z28" i="6" s="1"/>
  <c r="X26" i="6"/>
  <c r="X22" i="6"/>
  <c r="X25" i="6"/>
  <c r="S28" i="6"/>
  <c r="G46" i="13" s="1"/>
  <c r="AF44" i="6"/>
  <c r="A44" i="6" s="1"/>
  <c r="B44" i="6" s="1"/>
  <c r="AF48" i="6"/>
  <c r="D28" i="6"/>
  <c r="R33" i="6"/>
  <c r="M51" i="13" s="1"/>
  <c r="R38" i="6"/>
  <c r="M56" i="13" s="1"/>
  <c r="R45" i="6"/>
  <c r="M63" i="13" s="1"/>
  <c r="R34" i="6"/>
  <c r="M52" i="13" s="1"/>
  <c r="R39" i="6"/>
  <c r="M57" i="13" s="1"/>
  <c r="R43" i="6"/>
  <c r="M61" i="13" s="1"/>
  <c r="R40" i="6"/>
  <c r="M58" i="13" s="1"/>
  <c r="R41" i="6"/>
  <c r="M59" i="13" s="1"/>
  <c r="R42" i="6"/>
  <c r="M60" i="13" s="1"/>
  <c r="R44" i="6"/>
  <c r="M62" i="13" s="1"/>
  <c r="R32" i="6"/>
  <c r="M50" i="13" s="1"/>
  <c r="R46" i="6"/>
  <c r="M64" i="13" s="1"/>
  <c r="R16" i="6"/>
  <c r="M34" i="13" s="1"/>
  <c r="R31" i="6"/>
  <c r="M49" i="13" s="1"/>
  <c r="R19" i="6"/>
  <c r="M37" i="13" s="1"/>
  <c r="R20" i="6"/>
  <c r="M38" i="13" s="1"/>
  <c r="R26" i="6"/>
  <c r="M44" i="13" s="1"/>
  <c r="R25" i="6"/>
  <c r="M43" i="13" s="1"/>
  <c r="R22" i="6"/>
  <c r="M40" i="13" s="1"/>
  <c r="Y40" i="6" l="1"/>
  <c r="Y34" i="6"/>
  <c r="Z34" i="6" s="1"/>
  <c r="Y43" i="6"/>
  <c r="Y44" i="6"/>
  <c r="Z44" i="6" s="1"/>
  <c r="Y33" i="6"/>
  <c r="Z33" i="6" s="1"/>
  <c r="Y19" i="6"/>
  <c r="Z19" i="6" s="1"/>
  <c r="Y42" i="6"/>
  <c r="Y16" i="6"/>
  <c r="Z16" i="6" s="1"/>
  <c r="Y46" i="6"/>
  <c r="Y45" i="6"/>
  <c r="Y41" i="6"/>
  <c r="Z41" i="6" s="1"/>
  <c r="Y39" i="6"/>
  <c r="Z39" i="6" s="1"/>
  <c r="Y38" i="6"/>
  <c r="Z38" i="6" s="1"/>
  <c r="Y26" i="6"/>
  <c r="Z26" i="6" s="1"/>
  <c r="Y22" i="6"/>
  <c r="Z22" i="6" s="1"/>
  <c r="Y20" i="6"/>
  <c r="Z20" i="6" s="1"/>
  <c r="Y32" i="6"/>
  <c r="Z32" i="6" s="1"/>
  <c r="Y25" i="6"/>
  <c r="Z25" i="6" s="1"/>
  <c r="Y31" i="6"/>
  <c r="Z31" i="6" s="1"/>
  <c r="D34" i="6"/>
  <c r="S34" i="6"/>
  <c r="G52" i="13" s="1"/>
  <c r="D16" i="6"/>
  <c r="D26" i="6"/>
  <c r="S16" i="6"/>
  <c r="G34" i="13" s="1"/>
  <c r="D20" i="6"/>
  <c r="S20" i="6"/>
  <c r="G38" i="13" s="1"/>
  <c r="D22" i="6"/>
  <c r="S22" i="6"/>
  <c r="G40" i="13" s="1"/>
  <c r="D44" i="6"/>
  <c r="S44" i="6"/>
  <c r="G62" i="13" s="1"/>
  <c r="D40" i="6"/>
  <c r="S40" i="6"/>
  <c r="G58" i="13" s="1"/>
  <c r="D39" i="6"/>
  <c r="S39" i="6"/>
  <c r="G57" i="13" s="1"/>
  <c r="D41" i="6"/>
  <c r="S41" i="6"/>
  <c r="G59" i="13" s="1"/>
  <c r="D38" i="6"/>
  <c r="S38" i="6"/>
  <c r="G56" i="13" s="1"/>
  <c r="S33" i="6"/>
  <c r="G51" i="13" s="1"/>
  <c r="D33" i="6"/>
  <c r="D32" i="6"/>
  <c r="S32" i="6"/>
  <c r="G50" i="13" s="1"/>
  <c r="D31" i="6"/>
  <c r="S26" i="6"/>
  <c r="G44" i="13" s="1"/>
  <c r="S31" i="6"/>
  <c r="G49" i="13" s="1"/>
  <c r="D42" i="6"/>
  <c r="D45" i="6"/>
  <c r="D43" i="6"/>
  <c r="D46" i="6"/>
  <c r="S42" i="6"/>
  <c r="G60" i="13" s="1"/>
  <c r="S45" i="6"/>
  <c r="G63" i="13" s="1"/>
  <c r="S43" i="6"/>
  <c r="G61" i="13" s="1"/>
  <c r="S46" i="6"/>
  <c r="G64" i="13" s="1"/>
  <c r="D19" i="6"/>
  <c r="D25" i="6"/>
  <c r="S19" i="6"/>
  <c r="G37" i="13" s="1"/>
  <c r="S25" i="6"/>
  <c r="G43" i="13" s="1"/>
  <c r="Z43" i="6"/>
  <c r="Z42" i="6"/>
  <c r="Z40" i="6"/>
  <c r="Z46" i="6" l="1"/>
  <c r="Z4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tc={F9EF5BDB-B19F-4DC6-A413-DAA521008E5B}</author>
    <author>tc={AD75114F-B42F-4A99-94C8-DD02FD8ACA2D}</author>
  </authors>
  <commentList>
    <comment ref="P4" authorId="0" shapeId="0" xr:uid="{F9EF5BDB-B19F-4DC6-A413-DAA521008E5B}">
      <text>
        <t>[Threaded comment]
Your version of Excel allows you to read this threaded comment; however, any edits to it will get removed if the file is opened in a newer version of Excel. Learn more: https://go.microsoft.com/fwlink/?linkid=870924
Comment:
    Wicher gaf max 80 aan. Maar dan kan de maaiboot toch nergen?</t>
      </text>
    </comment>
    <comment ref="B51" authorId="1" shapeId="0" xr:uid="{AD75114F-B42F-4A99-94C8-DD02FD8ACA2D}">
      <text>
        <t>[Threaded comment]
Your version of Excel allows you to read this threaded comment; however, any edits to it will get removed if the file is opened in a newer version of Excel. Learn more: https://go.microsoft.com/fwlink/?linkid=870924
Comment:
    Welk profiel moet op 6m uitkomen?</t>
      </text>
    </comment>
  </commentList>
</comments>
</file>

<file path=xl/sharedStrings.xml><?xml version="1.0" encoding="utf-8"?>
<sst xmlns="http://schemas.openxmlformats.org/spreadsheetml/2006/main" count="484" uniqueCount="190">
  <si>
    <t>Klasse</t>
  </si>
  <si>
    <t>Waterdiepte [m]</t>
  </si>
  <si>
    <t>Maximale begroeiings-graad</t>
  </si>
  <si>
    <t>Categorie</t>
  </si>
  <si>
    <t>Afwaterend tot [ha]</t>
  </si>
  <si>
    <t>vol</t>
  </si>
  <si>
    <t>secundair/tertiair</t>
  </si>
  <si>
    <t>half</t>
  </si>
  <si>
    <t>kwart</t>
  </si>
  <si>
    <t>landelijk: sec/tert stedelijk: primair</t>
  </si>
  <si>
    <t>primair</t>
  </si>
  <si>
    <t>afwijkend</t>
  </si>
  <si>
    <t>&gt;100ha</t>
  </si>
  <si>
    <t>Debiet tot [m3/s]</t>
  </si>
  <si>
    <t>&gt;10</t>
  </si>
  <si>
    <t>Verhang</t>
  </si>
  <si>
    <t>Nat Profiel</t>
  </si>
  <si>
    <t>Natte omtrek</t>
  </si>
  <si>
    <t>Begroeiingspercentage</t>
  </si>
  <si>
    <t>Km</t>
  </si>
  <si>
    <t>W</t>
  </si>
  <si>
    <t>Debiet Pitlo-Griffioen
[m3/s]</t>
  </si>
  <si>
    <t>Talud</t>
  </si>
  <si>
    <t>Waterbreedte</t>
  </si>
  <si>
    <t>Z</t>
  </si>
  <si>
    <t>Talud [-]</t>
  </si>
  <si>
    <t>Km-waarde indien alleen manning</t>
  </si>
  <si>
    <t>m1/3/s</t>
  </si>
  <si>
    <t>Input Begroeiingsformules</t>
  </si>
  <si>
    <t>Variant</t>
  </si>
  <si>
    <t>[type]</t>
  </si>
  <si>
    <t>Vol</t>
  </si>
  <si>
    <t>Half vol</t>
  </si>
  <si>
    <t>Basis</t>
  </si>
  <si>
    <t>Opp. Begroeid</t>
  </si>
  <si>
    <t>[%]</t>
  </si>
  <si>
    <t>Vegetatieweerstand</t>
  </si>
  <si>
    <t>[-]</t>
  </si>
  <si>
    <t>Manningweerstand</t>
  </si>
  <si>
    <t>Profielen bij nieuw aan te leggen waterlopen</t>
  </si>
  <si>
    <t>Afwaterend opp tabel [ha]</t>
  </si>
  <si>
    <t>Afwaterend opp Pitlo-Griffioen [ha]</t>
  </si>
  <si>
    <t>Verschil [ha]</t>
  </si>
  <si>
    <t>+ zomer winterpeil</t>
  </si>
  <si>
    <t>+ niet onderhoudbare breedte</t>
  </si>
  <si>
    <t>Overdiepte voor baggeraanwas [m]</t>
  </si>
  <si>
    <t xml:space="preserve">Vanaf waterbreedte: </t>
  </si>
  <si>
    <t>m overdiepte</t>
  </si>
  <si>
    <t>m</t>
  </si>
  <si>
    <t>Tot aan waterbreedte:</t>
  </si>
  <si>
    <t>Overdiepte bij aanleg [m]</t>
  </si>
  <si>
    <t>Vergunningen</t>
  </si>
  <si>
    <t>Leggertool</t>
  </si>
  <si>
    <t>Minimaal aanwezig voor afvoer</t>
  </si>
  <si>
    <t>Veen</t>
  </si>
  <si>
    <t>- Waterbreedte tot 4 m, talud 1:2</t>
  </si>
  <si>
    <t>- Waterbreedte 4-10 m, talud 1:3</t>
  </si>
  <si>
    <t>- Waterbreedte &gt;10 m, talud 1:4</t>
  </si>
  <si>
    <t>Klei/ Zand</t>
  </si>
  <si>
    <t>- Waterbreedte tot 6 m, talud 1:1,5</t>
  </si>
  <si>
    <t>- Waterbreedte &gt;6 m talud 1:2</t>
  </si>
  <si>
    <t>Klei/zand</t>
  </si>
  <si>
    <t>Taludcheck</t>
  </si>
  <si>
    <t>*overdimensionering omdat ik alleen talud heb aangepast</t>
  </si>
  <si>
    <r>
      <t>Ilse en ik hadden klasse A3 (veen tot 10 ha / 0,017 m</t>
    </r>
    <r>
      <rPr>
        <vertAlign val="superscript"/>
        <sz val="10"/>
        <color theme="1"/>
        <rFont val="Verdana"/>
        <family val="2"/>
      </rPr>
      <t>3</t>
    </r>
    <r>
      <rPr>
        <sz val="10"/>
        <color theme="1"/>
        <rFont val="Verdana"/>
        <family val="2"/>
      </rPr>
      <t>/s) aangepast naar 9 ha / 0,015 m</t>
    </r>
    <r>
      <rPr>
        <vertAlign val="superscript"/>
        <sz val="10"/>
        <color theme="1"/>
        <rFont val="Verdana"/>
        <family val="2"/>
      </rPr>
      <t>3</t>
    </r>
    <r>
      <rPr>
        <sz val="10"/>
        <color theme="1"/>
        <rFont val="Verdana"/>
        <family val="2"/>
      </rPr>
      <t>/s, zodat het profiel met volle begroeiing precies op 6 meter breedte uitkwam. Kunnen we dat hier ook weer doen? Dan kunnen we dat profiel in de tabel laten staan ipv schrijven 'niet onderhoudbare breedte'</t>
    </r>
  </si>
  <si>
    <t>Wicher gaf eerder aan dat in veengebieden de leggerprofielen eigenlijk maximaal 0,8 diep zouden moeten zijn. Dan is er nog ruimte voor baggeraanwas en lopen we het minste risico op opbarstende slootbodems. Zouden jullie willen kijken welke breedtes hier bij horen en of dit nog toepasbare profielen oplevert?</t>
  </si>
  <si>
    <t>Het voorstel van Wim is om klei &lt;4m een overdiepte voor baggeraanwas te geven van 15 cm en bij &gt;4m een overdiepte van 20cm. Dit klopt met jouw laatste tabel. Wim zou dan een overdiepte bij aanleg willen bij &lt;4m van 25cm willen en &gt;4m 35cm.</t>
  </si>
  <si>
    <t>In veengebieden wil Wim bij sloten &lt;4m de overdiepte voor aanleg 0,3 en bij sloten &gt;4m een overdiepte van 0,45 bij aanleg.</t>
  </si>
  <si>
    <t>Zou jij voor veen willen kijken of er passende leggerprofielen zijn bij 10ha met een diepte van 40cm? Wim denkt dat een diepte van 50cm + 20cm baggeraanwas niet haalbaar is.</t>
  </si>
  <si>
    <t>In veenweidesloten dient eigenlijk altijd minimaal 15 cm bagger te blijven liggen op de veenbodem. In het voorbeeld van een sloot &lt;4 meter hopen wij dat er dan minimaal 10 cm kan blijven liggen (we wijken hier dan al af van de 15 cm omdat dit wat minder gevoelig ligt in smallere waterlopen). Toch is het aan de krappe kant.</t>
  </si>
  <si>
    <t>In sloten &gt;4m meter zouden we netto op 15 cm moeten komen wat kan blijven liggen.</t>
  </si>
  <si>
    <t>Afvoerprofielen</t>
  </si>
  <si>
    <t>max 80(?)</t>
  </si>
  <si>
    <t>cm/km</t>
  </si>
  <si>
    <t>=S9*(((1-R9)*U9)/V9)^(2/3)*((1-R9)*U9)*WORTEL(Q9)+T9*(R9*U9)*Q9</t>
  </si>
  <si>
    <t>Over-breedte [%]</t>
  </si>
  <si>
    <t>Verhangnorm</t>
  </si>
  <si>
    <t>Profieldiepte [m]</t>
  </si>
  <si>
    <t>Bodem-breedte [m]</t>
  </si>
  <si>
    <t>Water-breedte [m]</t>
  </si>
  <si>
    <t>Talud 
[-]</t>
  </si>
  <si>
    <t>nob?</t>
  </si>
  <si>
    <t>overdiepte</t>
  </si>
  <si>
    <t>bij</t>
  </si>
  <si>
    <t>aanleg</t>
  </si>
  <si>
    <t>vol2</t>
  </si>
  <si>
    <t>Talud
[-]</t>
  </si>
  <si>
    <t>Water-diepte 
[m]</t>
  </si>
  <si>
    <t>Bodem-breedte 
[m]</t>
  </si>
  <si>
    <t>Water-breedte
[m]</t>
  </si>
  <si>
    <t>Over-
breedte
[%]</t>
  </si>
  <si>
    <t>Profiel-diepte
[m]</t>
  </si>
  <si>
    <t>Bodem-breedte
[m]</t>
  </si>
  <si>
    <t>Afwaterend tot
[ha]</t>
  </si>
  <si>
    <t>Debiet tot
[m3/s]</t>
  </si>
  <si>
    <t>Leggerprofielen incl. ruimte voor onderhoud</t>
  </si>
  <si>
    <t>Leggerprofielen incl ruimte voor onderhoud</t>
  </si>
  <si>
    <t>Prio</t>
  </si>
  <si>
    <t>grondsoort</t>
  </si>
  <si>
    <t>debiet</t>
  </si>
  <si>
    <t>variant</t>
  </si>
  <si>
    <t>begroeiingsgraad</t>
  </si>
  <si>
    <t>hdiepte</t>
  </si>
  <si>
    <t>ldiepte</t>
  </si>
  <si>
    <t>hbbreedte</t>
  </si>
  <si>
    <t>lbbreedte</t>
  </si>
  <si>
    <t>hwbreedte</t>
  </si>
  <si>
    <t>lwbreedte</t>
  </si>
  <si>
    <t>profiel_code</t>
  </si>
  <si>
    <t>prioriteit</t>
  </si>
  <si>
    <t>Grondsoort</t>
  </si>
  <si>
    <t>overig</t>
  </si>
  <si>
    <t>htalud</t>
  </si>
  <si>
    <t>ltalud</t>
  </si>
  <si>
    <t>B3k</t>
  </si>
  <si>
    <t>A3h</t>
  </si>
  <si>
    <t>A3k</t>
  </si>
  <si>
    <t>A3v</t>
  </si>
  <si>
    <t>A3v2</t>
  </si>
  <si>
    <t>B3h</t>
  </si>
  <si>
    <t>B3v</t>
  </si>
  <si>
    <t>D3k</t>
  </si>
  <si>
    <t>D3h</t>
  </si>
  <si>
    <t>D3v</t>
  </si>
  <si>
    <t>E3k</t>
  </si>
  <si>
    <t>E3h</t>
  </si>
  <si>
    <t>E3v</t>
  </si>
  <si>
    <t>H3k</t>
  </si>
  <si>
    <t>H3h</t>
  </si>
  <si>
    <t>H3v</t>
  </si>
  <si>
    <t>A1k</t>
  </si>
  <si>
    <t>A1h</t>
  </si>
  <si>
    <t>A1v</t>
  </si>
  <si>
    <t>B1k</t>
  </si>
  <si>
    <t>B1h</t>
  </si>
  <si>
    <t>B1v</t>
  </si>
  <si>
    <t>D1k</t>
  </si>
  <si>
    <t>D1h</t>
  </si>
  <si>
    <t>D1v</t>
  </si>
  <si>
    <t>E1k</t>
  </si>
  <si>
    <t>E1h</t>
  </si>
  <si>
    <t>E1v</t>
  </si>
  <si>
    <t>H1k</t>
  </si>
  <si>
    <t>H1h</t>
  </si>
  <si>
    <t>H1v</t>
  </si>
  <si>
    <t>Vol2 is in het beschrijvend deel geland. Matthijs heeft de vol1-profielen weggelaten ivm de enorme diepte en de verwachting dat die dan toch niet standaard worden toegepast.</t>
  </si>
  <si>
    <t xml:space="preserve">De extra overbreedte van 10% voor begroeiing is dubbelop met de begroeiing in het profiel. Deze heeft Matthijs daarom op 0% gezet. </t>
  </si>
  <si>
    <t>R</t>
  </si>
  <si>
    <t>Profiel-diepte 
[m]</t>
  </si>
  <si>
    <t>kwart2</t>
  </si>
  <si>
    <t>half2</t>
  </si>
  <si>
    <t>A3h2</t>
  </si>
  <si>
    <t>A3k2</t>
  </si>
  <si>
    <t>bij aanleg extra overdiepte</t>
  </si>
  <si>
    <t>minimale bodembreedte bij aanleg</t>
  </si>
  <si>
    <t>minimale waterbreedte bij aanleg</t>
  </si>
  <si>
    <t>C1k</t>
  </si>
  <si>
    <t>C1h</t>
  </si>
  <si>
    <t>C1v</t>
  </si>
  <si>
    <t>C3k</t>
  </si>
  <si>
    <t>C3h</t>
  </si>
  <si>
    <t>C3v</t>
  </si>
  <si>
    <t>R3k</t>
  </si>
  <si>
    <t>R3k2</t>
  </si>
  <si>
    <t>R3h</t>
  </si>
  <si>
    <t>R3v</t>
  </si>
  <si>
    <t>R3v2</t>
  </si>
  <si>
    <t>S3k</t>
  </si>
  <si>
    <t>S3k2</t>
  </si>
  <si>
    <t>S3h</t>
  </si>
  <si>
    <t>S3h2</t>
  </si>
  <si>
    <t>S3v</t>
  </si>
  <si>
    <t>S3v2</t>
  </si>
  <si>
    <t>T3k</t>
  </si>
  <si>
    <t>T3h</t>
  </si>
  <si>
    <t>T3v</t>
  </si>
  <si>
    <t>R1k</t>
  </si>
  <si>
    <t>R1h</t>
  </si>
  <si>
    <t>R1v</t>
  </si>
  <si>
    <t>T1k</t>
  </si>
  <si>
    <t>T1h</t>
  </si>
  <si>
    <t>T1v</t>
  </si>
  <si>
    <t>Onderstaande regels voor taludvoorkeur worden gebruikt. Alle hydroobjecten hebben een grondsoort. Keuze taludvoorkeur kan alleen gewijzigd worden door andere grondsoort.
Deze taludvoorkeur wordt ook gebruikt in de door de leggertool gegenereerde profielen. Bij afwijkend talud moet in de leggertool een eigen profiel gemaakt worden.</t>
  </si>
  <si>
    <t xml:space="preserve"> </t>
  </si>
  <si>
    <t>R3h2</t>
  </si>
  <si>
    <t>T3k2</t>
  </si>
  <si>
    <t>T3h2</t>
  </si>
  <si>
    <t>T3v2</t>
  </si>
  <si>
    <t>minimale waterdiepte bij aanleg</t>
  </si>
  <si>
    <t>minimale bodembreedte leggerprofiel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</si>
</sst>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16" x14ac:knownFonts="1">
    <font>
      <sz val="9"/>
      <color theme="1"/>
      <name val="Verdana"/>
      <family val="2"/>
    </font>
    <font>
      <b/>
      <sz val="7"/>
      <color rgb="FF000000"/>
      <name val="Verdana"/>
      <family val="2"/>
    </font>
    <font>
      <sz val="7"/>
      <color theme="1"/>
      <name val="Verdana"/>
      <family val="2"/>
    </font>
    <font>
      <sz val="7"/>
      <color rgb="FF000000"/>
      <name val="Verdana"/>
      <family val="2"/>
    </font>
    <font>
      <sz val="9"/>
      <color theme="1"/>
      <name val="Verdana"/>
      <family val="2"/>
    </font>
    <font>
      <sz val="7"/>
      <name val="Verdana"/>
      <family val="2"/>
    </font>
    <font>
      <sz val="10"/>
      <color theme="1"/>
      <name val="Verdana"/>
      <family val="2"/>
    </font>
    <font>
      <sz val="9"/>
      <color rgb="FF3F3F76"/>
      <name val="Verdana"/>
      <family val="2"/>
    </font>
    <font>
      <b/>
      <sz val="9"/>
      <color theme="1"/>
      <name val="Verdana"/>
      <family val="2"/>
    </font>
    <font>
      <sz val="9"/>
      <color theme="1"/>
      <name val="MS Shell Dlg 2"/>
    </font>
    <font>
      <sz val="7"/>
      <color rgb="FFFF0000"/>
      <name val="Verdana"/>
      <family val="2"/>
    </font>
    <font>
      <vertAlign val="superscript"/>
      <sz val="10"/>
      <color theme="1"/>
      <name val="Verdana"/>
      <family val="2"/>
    </font>
    <font>
      <sz val="9"/>
      <color rgb="FFFF0000"/>
      <name val="Verdana"/>
      <family val="2"/>
    </font>
    <font>
      <sz val="9"/>
      <name val="Verdana"/>
      <family val="2"/>
    </font>
    <font>
      <b/>
      <sz val="7"/>
      <name val="Verdana"/>
      <family val="2"/>
    </font>
    <font>
      <b/>
      <sz val="9"/>
      <name val="Verdana"/>
      <family val="2"/>
    </font>
  </fonts>
  <fills count="10">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99"/>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26">
    <border>
      <left/>
      <right/>
      <top/>
      <bottom/>
      <diagonal/>
    </border>
    <border>
      <left/>
      <right style="medium">
        <color indexed="64"/>
      </right>
      <top style="thick">
        <color indexed="64"/>
      </top>
      <bottom/>
      <diagonal/>
    </border>
    <border>
      <left/>
      <right style="medium">
        <color indexed="64"/>
      </right>
      <top/>
      <bottom style="thick">
        <color indexed="64"/>
      </bottom>
      <diagonal/>
    </border>
    <border>
      <left/>
      <right style="thick">
        <color indexed="64"/>
      </right>
      <top/>
      <bottom style="thick">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bottom style="dashDot">
        <color indexed="64"/>
      </bottom>
      <diagonal/>
    </border>
    <border>
      <left/>
      <right style="medium">
        <color indexed="64"/>
      </right>
      <top/>
      <bottom style="dashDot">
        <color indexed="64"/>
      </bottom>
      <diagonal/>
    </border>
    <border>
      <left/>
      <right/>
      <top/>
      <bottom style="thick">
        <color indexed="64"/>
      </bottom>
      <diagonal/>
    </border>
    <border>
      <left style="medium">
        <color indexed="64"/>
      </left>
      <right style="medium">
        <color indexed="64"/>
      </right>
      <top style="dashDot">
        <color indexed="64"/>
      </top>
      <bottom style="medium">
        <color indexed="64"/>
      </bottom>
      <diagonal/>
    </border>
    <border>
      <left/>
      <right style="medium">
        <color indexed="64"/>
      </right>
      <top style="dashDot">
        <color indexed="64"/>
      </top>
      <bottom style="medium">
        <color indexed="64"/>
      </bottom>
      <diagonal/>
    </border>
    <border>
      <left/>
      <right style="medium">
        <color indexed="64"/>
      </right>
      <top style="medium">
        <color indexed="64"/>
      </top>
      <bottom/>
      <diagonal/>
    </border>
  </borders>
  <cellStyleXfs count="3">
    <xf numFmtId="0" fontId="0" fillId="0" borderId="0"/>
    <xf numFmtId="9" fontId="4" fillId="0" borderId="0" applyFont="0" applyFill="0" applyBorder="0" applyAlignment="0" applyProtection="0"/>
    <xf numFmtId="0" fontId="7" fillId="5" borderId="19" applyNumberFormat="0" applyAlignment="0" applyProtection="0"/>
  </cellStyleXfs>
  <cellXfs count="153">
    <xf numFmtId="0" fontId="0" fillId="0" borderId="0" xfId="0"/>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3"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4" borderId="5" xfId="0" applyFont="1" applyFill="1" applyBorder="1" applyAlignment="1">
      <alignment horizontal="center" vertical="center"/>
    </xf>
    <xf numFmtId="0" fontId="3" fillId="3" borderId="11" xfId="0" applyFont="1" applyFill="1" applyBorder="1" applyAlignment="1">
      <alignment vertical="center"/>
    </xf>
    <xf numFmtId="0" fontId="3" fillId="2" borderId="13" xfId="0" applyFont="1" applyFill="1" applyBorder="1" applyAlignment="1">
      <alignment vertical="center"/>
    </xf>
    <xf numFmtId="0" fontId="3" fillId="4" borderId="11" xfId="0" applyFont="1" applyFill="1" applyBorder="1" applyAlignment="1">
      <alignment vertical="center"/>
    </xf>
    <xf numFmtId="0" fontId="2" fillId="0" borderId="14" xfId="0" applyFont="1" applyBorder="1" applyAlignment="1">
      <alignment vertical="center"/>
    </xf>
    <xf numFmtId="0" fontId="1" fillId="0" borderId="11" xfId="0" applyFont="1" applyBorder="1" applyAlignment="1">
      <alignment horizontal="center" vertical="center"/>
    </xf>
    <xf numFmtId="0" fontId="3" fillId="0" borderId="3" xfId="0" applyFont="1" applyBorder="1" applyAlignment="1">
      <alignment horizontal="left" vertical="center" wrapText="1"/>
    </xf>
    <xf numFmtId="0" fontId="3" fillId="4"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164" fontId="0" fillId="0" borderId="0" xfId="0" applyNumberFormat="1"/>
    <xf numFmtId="9" fontId="0" fillId="0" borderId="0" xfId="1" applyFont="1"/>
    <xf numFmtId="165" fontId="0" fillId="0" borderId="0" xfId="0" applyNumberFormat="1"/>
    <xf numFmtId="0" fontId="6" fillId="0" borderId="0" xfId="0" applyFont="1" applyAlignment="1">
      <alignment vertical="center"/>
    </xf>
    <xf numFmtId="1" fontId="7" fillId="5" borderId="19" xfId="2" applyNumberFormat="1"/>
    <xf numFmtId="2" fontId="0" fillId="0" borderId="0" xfId="0" applyNumberFormat="1"/>
    <xf numFmtId="0" fontId="8" fillId="0" borderId="0" xfId="0" applyFont="1"/>
    <xf numFmtId="9" fontId="7" fillId="5" borderId="19" xfId="2" applyNumberFormat="1"/>
    <xf numFmtId="0" fontId="7" fillId="5" borderId="19" xfId="2"/>
    <xf numFmtId="0" fontId="3" fillId="2" borderId="13" xfId="0" applyFont="1" applyFill="1" applyBorder="1" applyAlignment="1">
      <alignment horizontal="center" vertical="center"/>
    </xf>
    <xf numFmtId="0" fontId="0" fillId="0" borderId="6" xfId="0" applyBorder="1"/>
    <xf numFmtId="0" fontId="0" fillId="0" borderId="12" xfId="0" applyBorder="1"/>
    <xf numFmtId="0" fontId="0" fillId="0" borderId="4" xfId="0" applyBorder="1"/>
    <xf numFmtId="0" fontId="1" fillId="0" borderId="12" xfId="0" applyFont="1" applyBorder="1" applyAlignment="1">
      <alignment vertical="center" wrapText="1"/>
    </xf>
    <xf numFmtId="166" fontId="0" fillId="0" borderId="0" xfId="0" applyNumberFormat="1"/>
    <xf numFmtId="0" fontId="5" fillId="3" borderId="5" xfId="0" applyFont="1" applyFill="1" applyBorder="1" applyAlignment="1">
      <alignment horizontal="center" vertical="center"/>
    </xf>
    <xf numFmtId="0" fontId="0" fillId="0" borderId="0" xfId="0" quotePrefix="1"/>
    <xf numFmtId="9" fontId="3" fillId="4" borderId="1" xfId="1" applyFont="1" applyFill="1" applyBorder="1" applyAlignment="1">
      <alignment horizontal="center" vertical="center" wrapText="1"/>
    </xf>
    <xf numFmtId="9" fontId="3" fillId="3" borderId="5" xfId="1" applyFont="1" applyFill="1" applyBorder="1" applyAlignment="1">
      <alignment horizontal="center" vertical="center" wrapText="1"/>
    </xf>
    <xf numFmtId="9" fontId="3" fillId="2" borderId="4" xfId="1" applyFont="1" applyFill="1" applyBorder="1" applyAlignment="1">
      <alignment horizontal="center" vertical="center"/>
    </xf>
    <xf numFmtId="9" fontId="3" fillId="4" borderId="5" xfId="1" applyFont="1" applyFill="1" applyBorder="1" applyAlignment="1">
      <alignment horizontal="center" vertical="center"/>
    </xf>
    <xf numFmtId="9" fontId="3" fillId="3" borderId="5" xfId="1" applyFont="1" applyFill="1" applyBorder="1" applyAlignment="1">
      <alignment horizontal="center" vertical="center"/>
    </xf>
    <xf numFmtId="9" fontId="3" fillId="2" borderId="13" xfId="1" applyFont="1" applyFill="1" applyBorder="1" applyAlignment="1">
      <alignment horizontal="center" vertical="center"/>
    </xf>
    <xf numFmtId="2" fontId="3" fillId="2" borderId="4" xfId="0" applyNumberFormat="1" applyFont="1" applyFill="1" applyBorder="1" applyAlignment="1">
      <alignment horizontal="center" vertical="center"/>
    </xf>
    <xf numFmtId="2" fontId="3" fillId="3" borderId="5" xfId="0" applyNumberFormat="1" applyFont="1" applyFill="1" applyBorder="1" applyAlignment="1">
      <alignment horizontal="center" vertical="center" wrapText="1"/>
    </xf>
    <xf numFmtId="2" fontId="3" fillId="4" borderId="5" xfId="0" applyNumberFormat="1" applyFont="1" applyFill="1" applyBorder="1" applyAlignment="1">
      <alignment horizontal="center" vertical="center"/>
    </xf>
    <xf numFmtId="2" fontId="3" fillId="3" borderId="5" xfId="0" applyNumberFormat="1" applyFont="1" applyFill="1" applyBorder="1" applyAlignment="1">
      <alignment horizontal="center" vertical="center"/>
    </xf>
    <xf numFmtId="164" fontId="0" fillId="0" borderId="5" xfId="0" applyNumberFormat="1" applyBorder="1"/>
    <xf numFmtId="0" fontId="3" fillId="6" borderId="1" xfId="0" applyFont="1" applyFill="1" applyBorder="1" applyAlignment="1">
      <alignment horizontal="center" vertical="center" wrapText="1"/>
    </xf>
    <xf numFmtId="9" fontId="3" fillId="6" borderId="1" xfId="1" applyFont="1" applyFill="1" applyBorder="1" applyAlignment="1">
      <alignment horizontal="center" vertical="center" wrapText="1"/>
    </xf>
    <xf numFmtId="0" fontId="3" fillId="6" borderId="11" xfId="0" applyFont="1" applyFill="1" applyBorder="1" applyAlignment="1">
      <alignment vertical="center"/>
    </xf>
    <xf numFmtId="0" fontId="3" fillId="6" borderId="5" xfId="0" applyFont="1" applyFill="1" applyBorder="1" applyAlignment="1">
      <alignment horizontal="center" vertical="center"/>
    </xf>
    <xf numFmtId="9" fontId="3" fillId="6" borderId="5" xfId="1" applyFont="1" applyFill="1" applyBorder="1" applyAlignment="1">
      <alignment horizontal="center" vertical="center"/>
    </xf>
    <xf numFmtId="2" fontId="3" fillId="6" borderId="5" xfId="0" applyNumberFormat="1" applyFont="1" applyFill="1" applyBorder="1" applyAlignment="1">
      <alignment horizontal="center" vertical="center"/>
    </xf>
    <xf numFmtId="0" fontId="3" fillId="7" borderId="5" xfId="0" applyFont="1" applyFill="1" applyBorder="1" applyAlignment="1">
      <alignment horizontal="center" vertical="center" wrapText="1"/>
    </xf>
    <xf numFmtId="9" fontId="3" fillId="7" borderId="5" xfId="1" applyFont="1" applyFill="1" applyBorder="1" applyAlignment="1">
      <alignment horizontal="center" vertical="center" wrapText="1"/>
    </xf>
    <xf numFmtId="2" fontId="3" fillId="7" borderId="5" xfId="0" applyNumberFormat="1" applyFont="1" applyFill="1" applyBorder="1" applyAlignment="1">
      <alignment horizontal="center" vertical="center" wrapText="1"/>
    </xf>
    <xf numFmtId="0" fontId="3" fillId="7" borderId="11" xfId="0" applyFont="1" applyFill="1" applyBorder="1" applyAlignment="1">
      <alignment vertical="center"/>
    </xf>
    <xf numFmtId="0" fontId="3" fillId="7" borderId="5" xfId="0" applyFont="1" applyFill="1" applyBorder="1" applyAlignment="1">
      <alignment horizontal="center" vertical="center"/>
    </xf>
    <xf numFmtId="9" fontId="3" fillId="7" borderId="5" xfId="1" applyFont="1" applyFill="1" applyBorder="1" applyAlignment="1">
      <alignment horizontal="center" vertical="center"/>
    </xf>
    <xf numFmtId="2" fontId="3" fillId="7" borderId="5" xfId="0" applyNumberFormat="1" applyFont="1" applyFill="1" applyBorder="1" applyAlignment="1">
      <alignment horizontal="center" vertical="center"/>
    </xf>
    <xf numFmtId="0" fontId="3" fillId="8" borderId="4" xfId="0" applyFont="1" applyFill="1" applyBorder="1" applyAlignment="1">
      <alignment horizontal="center" vertical="center"/>
    </xf>
    <xf numFmtId="9" fontId="3" fillId="8" borderId="4" xfId="1" applyFont="1" applyFill="1" applyBorder="1" applyAlignment="1">
      <alignment horizontal="center" vertical="center"/>
    </xf>
    <xf numFmtId="2" fontId="3" fillId="8" borderId="4" xfId="0" applyNumberFormat="1" applyFont="1" applyFill="1" applyBorder="1" applyAlignment="1">
      <alignment horizontal="center" vertical="center"/>
    </xf>
    <xf numFmtId="0" fontId="3" fillId="8" borderId="13" xfId="0" applyFont="1" applyFill="1" applyBorder="1" applyAlignment="1">
      <alignment vertical="center"/>
    </xf>
    <xf numFmtId="0" fontId="3" fillId="8" borderId="13" xfId="0" applyFont="1" applyFill="1" applyBorder="1" applyAlignment="1">
      <alignment horizontal="center" vertical="center"/>
    </xf>
    <xf numFmtId="9" fontId="3" fillId="8" borderId="13" xfId="1" applyFont="1" applyFill="1" applyBorder="1" applyAlignment="1">
      <alignment horizontal="center" vertical="center"/>
    </xf>
    <xf numFmtId="0" fontId="9" fillId="0" borderId="0" xfId="0" applyFont="1"/>
    <xf numFmtId="0" fontId="3" fillId="6" borderId="7" xfId="0" applyFont="1" applyFill="1" applyBorder="1" applyAlignment="1">
      <alignment horizontal="left" vertical="center"/>
    </xf>
    <xf numFmtId="0" fontId="3" fillId="7" borderId="11" xfId="0" applyFont="1" applyFill="1" applyBorder="1" applyAlignment="1">
      <alignment horizontal="left" vertical="center"/>
    </xf>
    <xf numFmtId="0" fontId="2" fillId="0" borderId="14" xfId="0" applyFont="1" applyBorder="1" applyAlignment="1">
      <alignment horizontal="left" vertical="center"/>
    </xf>
    <xf numFmtId="0" fontId="3" fillId="2" borderId="13" xfId="0" applyFont="1" applyFill="1" applyBorder="1" applyAlignment="1">
      <alignment horizontal="left" vertical="center"/>
    </xf>
    <xf numFmtId="0" fontId="3" fillId="4" borderId="11" xfId="0" applyFont="1" applyFill="1" applyBorder="1" applyAlignment="1">
      <alignment horizontal="left" vertical="center"/>
    </xf>
    <xf numFmtId="0" fontId="3" fillId="3" borderId="11" xfId="0" applyFont="1" applyFill="1" applyBorder="1" applyAlignment="1">
      <alignment horizontal="left" vertical="center"/>
    </xf>
    <xf numFmtId="0" fontId="3" fillId="4" borderId="7" xfId="0" applyFont="1" applyFill="1" applyBorder="1" applyAlignment="1">
      <alignment horizontal="left" vertical="center"/>
    </xf>
    <xf numFmtId="0" fontId="6" fillId="0" borderId="0" xfId="0" applyFont="1"/>
    <xf numFmtId="2" fontId="3" fillId="4" borderId="1" xfId="0" applyNumberFormat="1" applyFont="1" applyFill="1" applyBorder="1" applyAlignment="1">
      <alignment horizontal="center" vertical="center" wrapText="1"/>
    </xf>
    <xf numFmtId="0" fontId="0" fillId="9" borderId="0" xfId="0" applyFill="1"/>
    <xf numFmtId="165" fontId="3" fillId="2" borderId="4" xfId="0" applyNumberFormat="1" applyFont="1" applyFill="1" applyBorder="1" applyAlignment="1">
      <alignment horizontal="center" vertical="center"/>
    </xf>
    <xf numFmtId="0" fontId="10" fillId="7" borderId="5" xfId="0" applyFont="1" applyFill="1" applyBorder="1" applyAlignment="1">
      <alignment horizontal="center" vertical="center"/>
    </xf>
    <xf numFmtId="0" fontId="10" fillId="6" borderId="5" xfId="0" applyFont="1" applyFill="1" applyBorder="1" applyAlignment="1">
      <alignment horizontal="center" vertical="center"/>
    </xf>
    <xf numFmtId="0" fontId="10" fillId="8" borderId="4" xfId="0" applyFont="1" applyFill="1" applyBorder="1" applyAlignment="1">
      <alignment horizontal="center" vertical="center"/>
    </xf>
    <xf numFmtId="0" fontId="3" fillId="8" borderId="20" xfId="0" applyFont="1" applyFill="1" applyBorder="1" applyAlignment="1">
      <alignment horizontal="center" vertical="center"/>
    </xf>
    <xf numFmtId="0" fontId="3" fillId="8" borderId="21" xfId="0" applyFont="1" applyFill="1" applyBorder="1" applyAlignment="1">
      <alignment horizontal="center" vertical="center"/>
    </xf>
    <xf numFmtId="9" fontId="3" fillId="8" borderId="21" xfId="1" applyFont="1" applyFill="1" applyBorder="1" applyAlignment="1">
      <alignment horizontal="center" vertical="center"/>
    </xf>
    <xf numFmtId="2" fontId="3" fillId="8" borderId="21" xfId="0" applyNumberFormat="1" applyFont="1" applyFill="1" applyBorder="1" applyAlignment="1">
      <alignment horizontal="center" vertical="center"/>
    </xf>
    <xf numFmtId="0" fontId="3" fillId="8" borderId="20" xfId="0" applyFont="1" applyFill="1" applyBorder="1" applyAlignment="1">
      <alignment vertical="center"/>
    </xf>
    <xf numFmtId="2" fontId="3" fillId="8" borderId="20" xfId="0" applyNumberFormat="1" applyFont="1" applyFill="1" applyBorder="1" applyAlignment="1">
      <alignment horizontal="center" vertical="center"/>
    </xf>
    <xf numFmtId="0" fontId="5" fillId="2" borderId="13" xfId="0" applyFont="1" applyFill="1" applyBorder="1" applyAlignment="1">
      <alignment horizontal="left" vertical="center"/>
    </xf>
    <xf numFmtId="0" fontId="1" fillId="0" borderId="6" xfId="0" applyFont="1" applyBorder="1" applyAlignment="1">
      <alignment vertical="center" wrapText="1"/>
    </xf>
    <xf numFmtId="0" fontId="3" fillId="6" borderId="11" xfId="0" applyFont="1" applyFill="1" applyBorder="1" applyAlignment="1">
      <alignment horizontal="left" vertical="center"/>
    </xf>
    <xf numFmtId="2" fontId="3" fillId="6" borderId="1" xfId="0" applyNumberFormat="1" applyFont="1" applyFill="1" applyBorder="1" applyAlignment="1">
      <alignment horizontal="center" vertical="center" wrapText="1"/>
    </xf>
    <xf numFmtId="2" fontId="10" fillId="6" borderId="5" xfId="0" applyNumberFormat="1" applyFont="1" applyFill="1" applyBorder="1" applyAlignment="1">
      <alignment horizontal="center" vertical="center"/>
    </xf>
    <xf numFmtId="2" fontId="10" fillId="7" borderId="5" xfId="0" applyNumberFormat="1" applyFont="1" applyFill="1" applyBorder="1" applyAlignment="1">
      <alignment horizontal="center" vertical="center"/>
    </xf>
    <xf numFmtId="2" fontId="10" fillId="8" borderId="4" xfId="0" applyNumberFormat="1" applyFont="1" applyFill="1" applyBorder="1" applyAlignment="1">
      <alignment horizontal="center" vertical="center"/>
    </xf>
    <xf numFmtId="0" fontId="3" fillId="6" borderId="5" xfId="0" applyFont="1" applyFill="1" applyBorder="1" applyAlignment="1">
      <alignment horizontal="center" vertical="center" wrapText="1"/>
    </xf>
    <xf numFmtId="9" fontId="3" fillId="6" borderId="5" xfId="1" applyFont="1" applyFill="1" applyBorder="1" applyAlignment="1">
      <alignment horizontal="center" vertical="center" wrapText="1"/>
    </xf>
    <xf numFmtId="2" fontId="3" fillId="6" borderId="5" xfId="0" applyNumberFormat="1" applyFont="1" applyFill="1" applyBorder="1" applyAlignment="1">
      <alignment horizontal="center" vertical="center" wrapText="1"/>
    </xf>
    <xf numFmtId="0" fontId="3" fillId="8" borderId="24" xfId="0" applyFont="1" applyFill="1" applyBorder="1" applyAlignment="1">
      <alignment horizontal="center" vertical="center"/>
    </xf>
    <xf numFmtId="9" fontId="3" fillId="8" borderId="24" xfId="1" applyFont="1" applyFill="1" applyBorder="1" applyAlignment="1">
      <alignment horizontal="center" vertical="center"/>
    </xf>
    <xf numFmtId="2" fontId="3" fillId="8" borderId="23" xfId="0" applyNumberFormat="1" applyFont="1" applyFill="1" applyBorder="1" applyAlignment="1">
      <alignment horizontal="center" vertical="center"/>
    </xf>
    <xf numFmtId="2" fontId="3" fillId="8" borderId="24" xfId="0" applyNumberFormat="1" applyFont="1" applyFill="1" applyBorder="1" applyAlignment="1">
      <alignment horizontal="center" vertical="center"/>
    </xf>
    <xf numFmtId="0" fontId="3" fillId="8" borderId="23" xfId="0" applyFont="1" applyFill="1" applyBorder="1" applyAlignment="1">
      <alignment vertical="center"/>
    </xf>
    <xf numFmtId="0" fontId="1" fillId="0" borderId="14" xfId="0" applyFont="1" applyBorder="1" applyAlignment="1">
      <alignment horizontal="center" vertical="center"/>
    </xf>
    <xf numFmtId="0" fontId="1" fillId="0" borderId="14" xfId="0" applyFont="1" applyBorder="1" applyAlignment="1">
      <alignment horizontal="center" vertical="center" wrapText="1"/>
    </xf>
    <xf numFmtId="0" fontId="3" fillId="6" borderId="25" xfId="0" applyFont="1" applyFill="1" applyBorder="1" applyAlignment="1">
      <alignment horizontal="center" vertical="center" wrapText="1"/>
    </xf>
    <xf numFmtId="9" fontId="3" fillId="6" borderId="25" xfId="1" applyFont="1" applyFill="1" applyBorder="1" applyAlignment="1">
      <alignment horizontal="center" vertical="center" wrapText="1"/>
    </xf>
    <xf numFmtId="2" fontId="3" fillId="6" borderId="25" xfId="0" applyNumberFormat="1" applyFont="1" applyFill="1" applyBorder="1" applyAlignment="1">
      <alignment horizontal="center" vertical="center" wrapText="1"/>
    </xf>
    <xf numFmtId="0" fontId="3" fillId="6" borderId="15" xfId="0" applyFont="1" applyFill="1" applyBorder="1" applyAlignment="1">
      <alignment horizontal="left" vertical="center"/>
    </xf>
    <xf numFmtId="0" fontId="2" fillId="0" borderId="22" xfId="0" applyFont="1" applyBorder="1" applyAlignment="1">
      <alignment horizontal="right" vertical="center"/>
    </xf>
    <xf numFmtId="0" fontId="3" fillId="6" borderId="11" xfId="0" applyFont="1" applyFill="1" applyBorder="1" applyAlignment="1">
      <alignment horizontal="center" vertical="center"/>
    </xf>
    <xf numFmtId="0" fontId="3" fillId="7" borderId="11" xfId="0" applyFont="1" applyFill="1" applyBorder="1" applyAlignment="1">
      <alignment horizontal="center" vertical="center"/>
    </xf>
    <xf numFmtId="1" fontId="3" fillId="7" borderId="5" xfId="0" applyNumberFormat="1" applyFont="1" applyFill="1" applyBorder="1" applyAlignment="1">
      <alignment horizontal="center" vertical="center" wrapText="1"/>
    </xf>
    <xf numFmtId="9" fontId="4" fillId="0" borderId="0" xfId="1" applyFont="1"/>
    <xf numFmtId="2" fontId="0" fillId="9" borderId="0" xfId="0" applyNumberFormat="1" applyFill="1"/>
    <xf numFmtId="0" fontId="12" fillId="0" borderId="0" xfId="0" applyFont="1"/>
    <xf numFmtId="0" fontId="10" fillId="0" borderId="2" xfId="0" applyFont="1" applyBorder="1" applyAlignment="1">
      <alignment horizontal="center" vertical="center"/>
    </xf>
    <xf numFmtId="0" fontId="3" fillId="3" borderId="11" xfId="0" applyFont="1" applyFill="1" applyBorder="1" applyAlignment="1">
      <alignment horizontal="center" vertical="center"/>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165" fontId="3" fillId="2" borderId="13" xfId="0" applyNumberFormat="1" applyFont="1" applyFill="1" applyBorder="1" applyAlignment="1">
      <alignment horizontal="center" vertical="center"/>
    </xf>
    <xf numFmtId="0" fontId="5" fillId="4" borderId="5" xfId="0" applyFont="1" applyFill="1" applyBorder="1" applyAlignment="1">
      <alignment horizontal="center" vertical="center"/>
    </xf>
    <xf numFmtId="0" fontId="5" fillId="0" borderId="2" xfId="0" applyFont="1" applyBorder="1" applyAlignment="1">
      <alignment horizontal="center" vertical="center"/>
    </xf>
    <xf numFmtId="0" fontId="5" fillId="0" borderId="14" xfId="0" applyFont="1" applyBorder="1" applyAlignment="1">
      <alignment horizontal="center" vertical="center"/>
    </xf>
    <xf numFmtId="0" fontId="5" fillId="7" borderId="11" xfId="0" applyFont="1" applyFill="1" applyBorder="1" applyAlignment="1">
      <alignment horizontal="center" vertical="center"/>
    </xf>
    <xf numFmtId="0" fontId="5" fillId="7" borderId="5" xfId="0" applyFont="1" applyFill="1" applyBorder="1" applyAlignment="1">
      <alignment horizontal="center" vertical="center"/>
    </xf>
    <xf numFmtId="0" fontId="5" fillId="6" borderId="5"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13" xfId="0" applyFont="1" applyFill="1" applyBorder="1" applyAlignment="1">
      <alignment horizontal="center" vertical="center"/>
    </xf>
    <xf numFmtId="0" fontId="5" fillId="6" borderId="5"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13" fillId="0" borderId="0" xfId="0" applyFont="1"/>
    <xf numFmtId="0" fontId="5" fillId="2" borderId="4" xfId="0" applyFont="1" applyFill="1" applyBorder="1" applyAlignment="1">
      <alignment horizontal="center" vertical="center"/>
    </xf>
    <xf numFmtId="0" fontId="5" fillId="2" borderId="13" xfId="0" applyFont="1" applyFill="1" applyBorder="1" applyAlignment="1">
      <alignment horizontal="center" vertical="center"/>
    </xf>
    <xf numFmtId="165" fontId="5" fillId="2" borderId="13" xfId="0" applyNumberFormat="1" applyFont="1" applyFill="1" applyBorder="1" applyAlignment="1">
      <alignment horizontal="center" vertical="center"/>
    </xf>
    <xf numFmtId="165" fontId="5" fillId="2" borderId="4" xfId="0" applyNumberFormat="1" applyFont="1" applyFill="1" applyBorder="1" applyAlignment="1">
      <alignment horizontal="center" vertical="center"/>
    </xf>
    <xf numFmtId="0" fontId="15" fillId="0" borderId="0" xfId="0" applyFont="1"/>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164" fontId="2" fillId="0" borderId="9"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0" fontId="13" fillId="0" borderId="6" xfId="0" applyFont="1" applyBorder="1" applyAlignment="1">
      <alignment horizontal="center"/>
    </xf>
    <xf numFmtId="0" fontId="0" fillId="0" borderId="6" xfId="0" applyBorder="1" applyAlignment="1">
      <alignment horizontal="center"/>
    </xf>
    <xf numFmtId="0" fontId="14" fillId="0" borderId="17"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8"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8" xfId="0" applyFont="1" applyBorder="1" applyAlignment="1">
      <alignment horizontal="center" vertical="center" wrapText="1"/>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3" xfId="0" applyFont="1" applyBorder="1" applyAlignment="1">
      <alignment horizontal="center" vertical="center" wrapText="1"/>
    </xf>
  </cellXfs>
  <cellStyles count="3">
    <cellStyle name="Input" xfId="2" builtinId="20"/>
    <cellStyle name="Normal" xfId="0" builtinId="0"/>
    <cellStyle name="Percent" xfId="1" builtinId="5"/>
  </cellStyles>
  <dxfs count="0"/>
  <tableStyles count="0" defaultTableStyle="TableStyleMedium2" defaultPivotStyle="PivotStyleLight16"/>
  <colors>
    <mruColors>
      <color rgb="FFF0F3FA"/>
      <color rgb="FFBF4845"/>
      <color rgb="FFD48280"/>
      <color rgb="FFE5B4B3"/>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34</xdr:row>
      <xdr:rowOff>44451</xdr:rowOff>
    </xdr:from>
    <xdr:to>
      <xdr:col>29</xdr:col>
      <xdr:colOff>19050</xdr:colOff>
      <xdr:row>39</xdr:row>
      <xdr:rowOff>47626</xdr:rowOff>
    </xdr:to>
    <xdr:sp macro="" textlink="">
      <xdr:nvSpPr>
        <xdr:cNvPr id="2" name="Tekstvak 1">
          <a:extLst>
            <a:ext uri="{FF2B5EF4-FFF2-40B4-BE49-F238E27FC236}">
              <a16:creationId xmlns:a16="http://schemas.microsoft.com/office/drawing/2014/main" id="{E83E0B31-2AC0-43CB-AB9E-8B4033FDFC73}"/>
            </a:ext>
          </a:extLst>
        </xdr:cNvPr>
        <xdr:cNvSpPr txBox="1"/>
      </xdr:nvSpPr>
      <xdr:spPr>
        <a:xfrm>
          <a:off x="1657350" y="6459538"/>
          <a:ext cx="14563725" cy="712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Voor de leggertool: Voor een afwaterend oppervlakte tot 100 ha wordt een leggerprofiel gekozen uit bovenstaande tabel. De afwaterende oppervlaktes/debieten zijn in 7 categoriën opgedeeld. Voor elke categorie zijn er 3 mogelijke leggerprofielen. Het leggerprofiel wat past bij binnen het</a:t>
          </a:r>
          <a:r>
            <a:rPr lang="nl-NL" sz="1100" baseline="0"/>
            <a:t> profiel onder leggerprofielen plus. Heeft een waterloop niet de werkelijke diepte bij de aangegeven breedte dan wordt getoetst of het eerstvolgende kleinere begroeiingsgraad wel past bij de werkelijke diepte van een waterloop. Als in de tabel geen passend leggerprofiel is bij de werkelijke breedte en diepte dan wordt in afstemming met de gebiedsadviseur voor een afwijkend profiel gekozen. Voor waterlopen met een afwaterend oppervlakte groter dan 100 ha wordt in afstemming met de gebiedsadviseur gekozen.</a:t>
          </a:r>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38</xdr:col>
      <xdr:colOff>0</xdr:colOff>
      <xdr:row>48</xdr:row>
      <xdr:rowOff>0</xdr:rowOff>
    </xdr:from>
    <xdr:to>
      <xdr:col>43</xdr:col>
      <xdr:colOff>57854</xdr:colOff>
      <xdr:row>57</xdr:row>
      <xdr:rowOff>77396</xdr:rowOff>
    </xdr:to>
    <xdr:pic>
      <xdr:nvPicPr>
        <xdr:cNvPr id="2" name="Afbeelding 1">
          <a:extLst>
            <a:ext uri="{FF2B5EF4-FFF2-40B4-BE49-F238E27FC236}">
              <a16:creationId xmlns:a16="http://schemas.microsoft.com/office/drawing/2014/main" id="{8644CB39-617A-4887-B9A1-C09E9E65B0F2}"/>
            </a:ext>
          </a:extLst>
        </xdr:cNvPr>
        <xdr:cNvPicPr>
          <a:picLocks noChangeAspect="1"/>
        </xdr:cNvPicPr>
      </xdr:nvPicPr>
      <xdr:blipFill>
        <a:blip xmlns:r="http://schemas.openxmlformats.org/officeDocument/2006/relationships" r:embed="rId1"/>
        <a:stretch>
          <a:fillRect/>
        </a:stretch>
      </xdr:blipFill>
      <xdr:spPr>
        <a:xfrm>
          <a:off x="21004306" y="7001435"/>
          <a:ext cx="3416898" cy="1511749"/>
        </a:xfrm>
        <a:prstGeom prst="rect">
          <a:avLst/>
        </a:prstGeom>
      </xdr:spPr>
    </xdr:pic>
    <xdr:clientData/>
  </xdr:twoCellAnchor>
  <xdr:twoCellAnchor>
    <xdr:from>
      <xdr:col>29</xdr:col>
      <xdr:colOff>259080</xdr:colOff>
      <xdr:row>0</xdr:row>
      <xdr:rowOff>0</xdr:rowOff>
    </xdr:from>
    <xdr:to>
      <xdr:col>35</xdr:col>
      <xdr:colOff>350520</xdr:colOff>
      <xdr:row>5</xdr:row>
      <xdr:rowOff>220980</xdr:rowOff>
    </xdr:to>
    <xdr:pic>
      <xdr:nvPicPr>
        <xdr:cNvPr id="3" name="Afbeelding 1">
          <a:extLst>
            <a:ext uri="{FF2B5EF4-FFF2-40B4-BE49-F238E27FC236}">
              <a16:creationId xmlns:a16="http://schemas.microsoft.com/office/drawing/2014/main" id="{E1DDDD57-005D-D0E0-0AC6-C9FB931118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53460" y="0"/>
          <a:ext cx="3147060" cy="1051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sse, Wouter van" id="{16E5BFF9-E3C0-4226-A7D2-E082CCB775BB}" userId="S::W.vanEsse@hhnk.nl::0d1aa2c3-94d9-4823-8fa5-00d27cd36cc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4" dT="2022-07-19T15:43:30.98" personId="{16E5BFF9-E3C0-4226-A7D2-E082CCB775BB}" id="{F9EF5BDB-B19F-4DC6-A413-DAA521008E5B}">
    <text>Wicher gaf max 80 aan. Maar dan kan de maaiboot toch nergen?</text>
  </threadedComment>
  <threadedComment ref="B51" dT="2022-07-19T15:30:28.53" personId="{16E5BFF9-E3C0-4226-A7D2-E082CCB775BB}" id="{AD75114F-B42F-4A99-94C8-DD02FD8ACA2D}">
    <text>Welk profiel moet op 6m uitkomen?</text>
  </threadedComment>
</ThreadedComment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FA1E8-C9CB-4B40-A595-62086E949476}">
  <dimension ref="A1:N64"/>
  <sheetViews>
    <sheetView tabSelected="1" topLeftCell="A19" workbookViewId="0">
      <selection activeCell="Q41" sqref="Q41"/>
    </sheetView>
  </sheetViews>
  <sheetFormatPr defaultRowHeight="11.25" x14ac:dyDescent="0.15"/>
  <sheetData>
    <row r="1" spans="1:14" x14ac:dyDescent="0.15">
      <c r="A1" t="s">
        <v>98</v>
      </c>
      <c r="B1" t="s">
        <v>99</v>
      </c>
      <c r="C1" t="s">
        <v>100</v>
      </c>
      <c r="D1" t="s">
        <v>109</v>
      </c>
      <c r="E1" t="s">
        <v>101</v>
      </c>
      <c r="F1" t="s">
        <v>112</v>
      </c>
      <c r="G1" t="s">
        <v>113</v>
      </c>
      <c r="H1" t="s">
        <v>102</v>
      </c>
      <c r="I1" t="s">
        <v>103</v>
      </c>
      <c r="J1" t="s">
        <v>104</v>
      </c>
      <c r="K1" t="s">
        <v>105</v>
      </c>
      <c r="L1" t="s">
        <v>106</v>
      </c>
      <c r="M1" t="s">
        <v>107</v>
      </c>
      <c r="N1" t="s">
        <v>108</v>
      </c>
    </row>
    <row r="2" spans="1:14" x14ac:dyDescent="0.15">
      <c r="A2" s="74" t="str">
        <f>ZandKlei!AO8</f>
        <v>overig</v>
      </c>
      <c r="B2" s="74">
        <f>ZandKlei!AE8/600</f>
        <v>1.6666666666666668E-3</v>
      </c>
      <c r="C2" s="74">
        <f>ZandKlei!AP8</f>
        <v>1</v>
      </c>
      <c r="D2" s="74">
        <f>ZandKlei!AB8</f>
        <v>3</v>
      </c>
      <c r="E2" s="74" t="str">
        <f>IF(ZandKlei!AI8=0.25,"kwart",IF(ZandKlei!AI8=0.5,"half",IF(ZandKlei!AI8=0.9,"vol","fout")))</f>
        <v>kwart</v>
      </c>
      <c r="F2" s="74">
        <f>ZandKlei!H8</f>
        <v>1.5</v>
      </c>
      <c r="G2" s="74">
        <f>ZandKlei!S8</f>
        <v>1.5</v>
      </c>
      <c r="H2" s="74">
        <f>ZandKlei!I8</f>
        <v>0.15</v>
      </c>
      <c r="I2" s="74">
        <f>ZandKlei!P8</f>
        <v>0.3</v>
      </c>
      <c r="J2" s="74">
        <f>ZandKlei!J8</f>
        <v>0.65</v>
      </c>
      <c r="K2" s="74">
        <f>ZandKlei!Q8</f>
        <v>0.20000000000000007</v>
      </c>
      <c r="L2" s="74">
        <f>ZandKlei!K8</f>
        <v>1.1000000000000001</v>
      </c>
      <c r="M2" s="111">
        <f>ZandKlei!R8</f>
        <v>1.1000000000000001</v>
      </c>
      <c r="N2" s="74" t="str">
        <f>ZandKlei!AA8</f>
        <v>R1k</v>
      </c>
    </row>
    <row r="3" spans="1:14" x14ac:dyDescent="0.15">
      <c r="A3" t="str">
        <f>ZandKlei!AO9</f>
        <v>overig</v>
      </c>
      <c r="B3">
        <f>ZandKlei!AE9/600</f>
        <v>1.6666666666666668E-3</v>
      </c>
      <c r="C3">
        <f>ZandKlei!AP9</f>
        <v>1</v>
      </c>
      <c r="D3">
        <f>ZandKlei!AB9</f>
        <v>2</v>
      </c>
      <c r="E3" t="str">
        <f>IF(ZandKlei!AI9=0.25,"kwart",IF(ZandKlei!AI9=0.5,"half",IF(ZandKlei!AI9=0.9,"vol","fout")))</f>
        <v>half</v>
      </c>
      <c r="F3">
        <f>ZandKlei!H9</f>
        <v>1.5</v>
      </c>
      <c r="G3">
        <f>ZandKlei!S9</f>
        <v>1.5</v>
      </c>
      <c r="H3">
        <f>ZandKlei!I9</f>
        <v>0.2</v>
      </c>
      <c r="I3">
        <f>ZandKlei!P9</f>
        <v>0.35</v>
      </c>
      <c r="J3">
        <f>ZandKlei!J9</f>
        <v>0.65</v>
      </c>
      <c r="K3">
        <f>ZandKlei!Q9</f>
        <v>0.20000000000000012</v>
      </c>
      <c r="L3">
        <f>ZandKlei!K9</f>
        <v>1.25</v>
      </c>
      <c r="M3" s="22">
        <f>ZandKlei!R9</f>
        <v>1.25</v>
      </c>
      <c r="N3" t="str">
        <f>ZandKlei!AA9</f>
        <v>R1h</v>
      </c>
    </row>
    <row r="4" spans="1:14" x14ac:dyDescent="0.15">
      <c r="A4" t="str">
        <f>ZandKlei!AO10</f>
        <v>overig</v>
      </c>
      <c r="B4">
        <f>ZandKlei!AE10/600</f>
        <v>1.6666666666666668E-3</v>
      </c>
      <c r="C4">
        <f>ZandKlei!AP10</f>
        <v>1</v>
      </c>
      <c r="D4">
        <f>ZandKlei!AB10</f>
        <v>1</v>
      </c>
      <c r="E4" t="str">
        <f>IF(ZandKlei!AI10=0.25,"kwart",IF(ZandKlei!AI10=0.5,"half",IF(ZandKlei!AI10=0.9,"vol","fout")))</f>
        <v>vol</v>
      </c>
      <c r="F4">
        <f>ZandKlei!H10</f>
        <v>1.5</v>
      </c>
      <c r="G4">
        <f>ZandKlei!S10</f>
        <v>1.5</v>
      </c>
      <c r="H4">
        <f>ZandKlei!I10</f>
        <v>0.25</v>
      </c>
      <c r="I4">
        <f>ZandKlei!P10</f>
        <v>0.4</v>
      </c>
      <c r="J4">
        <f>ZandKlei!J10</f>
        <v>1.8</v>
      </c>
      <c r="K4">
        <f>ZandKlei!Q10</f>
        <v>1.35</v>
      </c>
      <c r="L4">
        <f>ZandKlei!K10</f>
        <v>2.5499999999999998</v>
      </c>
      <c r="M4" s="22">
        <f>ZandKlei!R10</f>
        <v>2.5500000000000003</v>
      </c>
      <c r="N4" t="str">
        <f>ZandKlei!AA10</f>
        <v>R1v</v>
      </c>
    </row>
    <row r="5" spans="1:14" x14ac:dyDescent="0.15">
      <c r="A5" t="str">
        <f>ZandKlei!AO11</f>
        <v>overig</v>
      </c>
      <c r="B5">
        <f>ZandKlei!AE11/600</f>
        <v>8.3333333333333332E-3</v>
      </c>
      <c r="C5">
        <f>ZandKlei!AP11</f>
        <v>1</v>
      </c>
      <c r="D5">
        <f>ZandKlei!AB11</f>
        <v>3</v>
      </c>
      <c r="E5" t="str">
        <f>IF(ZandKlei!AI11=0.25,"kwart",IF(ZandKlei!AI11=0.5,"half",IF(ZandKlei!AI11=0.9,"vol","fout")))</f>
        <v>kwart</v>
      </c>
      <c r="F5">
        <f>ZandKlei!H11</f>
        <v>1.5</v>
      </c>
      <c r="G5">
        <f>ZandKlei!S11</f>
        <v>1.5</v>
      </c>
      <c r="H5">
        <f>ZandKlei!I11</f>
        <v>0.3</v>
      </c>
      <c r="I5">
        <f>ZandKlei!P11</f>
        <v>0.44999999999999996</v>
      </c>
      <c r="J5">
        <f>ZandKlei!J11</f>
        <v>0.65</v>
      </c>
      <c r="K5">
        <f>ZandKlei!Q11</f>
        <v>0.20000000000000012</v>
      </c>
      <c r="L5">
        <f>ZandKlei!K11</f>
        <v>1.5499999999999998</v>
      </c>
      <c r="M5" s="22">
        <f>ZandKlei!R11</f>
        <v>1.55</v>
      </c>
      <c r="N5" t="str">
        <f>ZandKlei!AA11</f>
        <v>T1k</v>
      </c>
    </row>
    <row r="6" spans="1:14" x14ac:dyDescent="0.15">
      <c r="A6" t="str">
        <f>ZandKlei!AO12</f>
        <v>overig</v>
      </c>
      <c r="B6">
        <f>ZandKlei!AE12/600</f>
        <v>8.3333333333333332E-3</v>
      </c>
      <c r="C6">
        <f>ZandKlei!AP12</f>
        <v>1</v>
      </c>
      <c r="D6">
        <f>ZandKlei!AB12</f>
        <v>2</v>
      </c>
      <c r="E6" t="str">
        <f>IF(ZandKlei!AI12=0.25,"kwart",IF(ZandKlei!AI12=0.5,"half",IF(ZandKlei!AI12=0.9,"vol","fout")))</f>
        <v>half</v>
      </c>
      <c r="F6">
        <f>ZandKlei!H12</f>
        <v>1.5</v>
      </c>
      <c r="G6">
        <f>ZandKlei!S12</f>
        <v>1.5</v>
      </c>
      <c r="H6">
        <f>ZandKlei!I12</f>
        <v>0.35</v>
      </c>
      <c r="I6">
        <f>ZandKlei!P12</f>
        <v>0.5</v>
      </c>
      <c r="J6">
        <f>ZandKlei!J12</f>
        <v>0.65</v>
      </c>
      <c r="K6">
        <f>ZandKlei!Q12</f>
        <v>0.2</v>
      </c>
      <c r="L6">
        <f>ZandKlei!K12</f>
        <v>1.6999999999999997</v>
      </c>
      <c r="M6" s="22">
        <f>ZandKlei!R12</f>
        <v>1.7</v>
      </c>
      <c r="N6" t="str">
        <f>ZandKlei!AA12</f>
        <v>T1h</v>
      </c>
    </row>
    <row r="7" spans="1:14" x14ac:dyDescent="0.15">
      <c r="A7" t="str">
        <f>ZandKlei!AO13</f>
        <v>overig</v>
      </c>
      <c r="B7">
        <f>ZandKlei!AE13/600</f>
        <v>8.3333333333333332E-3</v>
      </c>
      <c r="C7">
        <f>ZandKlei!AP13</f>
        <v>1</v>
      </c>
      <c r="D7">
        <f>ZandKlei!AB13</f>
        <v>1</v>
      </c>
      <c r="E7" t="str">
        <f>IF(ZandKlei!AI13=0.25,"kwart",IF(ZandKlei!AI13=0.5,"half",IF(ZandKlei!AI13=0.9,"vol","fout")))</f>
        <v>vol</v>
      </c>
      <c r="F7">
        <f>ZandKlei!H13</f>
        <v>1.5</v>
      </c>
      <c r="G7">
        <f>ZandKlei!S13</f>
        <v>1.5</v>
      </c>
      <c r="H7">
        <f>ZandKlei!I13</f>
        <v>0.5</v>
      </c>
      <c r="I7">
        <f>ZandKlei!P13</f>
        <v>0.65</v>
      </c>
      <c r="J7">
        <f>ZandKlei!J13</f>
        <v>3.3</v>
      </c>
      <c r="K7">
        <f>ZandKlei!Q13</f>
        <v>2.8499999999999996</v>
      </c>
      <c r="L7">
        <f>ZandKlei!K13</f>
        <v>4.8</v>
      </c>
      <c r="M7" s="22">
        <f>ZandKlei!R13</f>
        <v>4.8</v>
      </c>
      <c r="N7" t="str">
        <f>ZandKlei!AA13</f>
        <v>T1v</v>
      </c>
    </row>
    <row r="8" spans="1:14" x14ac:dyDescent="0.15">
      <c r="A8" t="str">
        <f>ZandKlei!AO14</f>
        <v>overig</v>
      </c>
      <c r="B8">
        <f>ZandKlei!AE14/600</f>
        <v>1.6666666666666666E-2</v>
      </c>
      <c r="C8">
        <f>ZandKlei!AP14</f>
        <v>1</v>
      </c>
      <c r="D8">
        <f>ZandKlei!AB14</f>
        <v>3</v>
      </c>
      <c r="E8" t="str">
        <f>IF(ZandKlei!AI14=0.25,"kwart",IF(ZandKlei!AI14=0.5,"half",IF(ZandKlei!AI14=0.9,"vol","fout")))</f>
        <v>kwart</v>
      </c>
      <c r="F8">
        <f>ZandKlei!H14</f>
        <v>1.5</v>
      </c>
      <c r="G8">
        <f>ZandKlei!S14</f>
        <v>1.5</v>
      </c>
      <c r="H8">
        <f>ZandKlei!I14</f>
        <v>0.35</v>
      </c>
      <c r="I8">
        <f>ZandKlei!P14</f>
        <v>0.5</v>
      </c>
      <c r="J8">
        <f>ZandKlei!J14</f>
        <v>0.75</v>
      </c>
      <c r="K8">
        <f>ZandKlei!Q14</f>
        <v>0.29999999999999993</v>
      </c>
      <c r="L8">
        <f>ZandKlei!K14</f>
        <v>1.7999999999999998</v>
      </c>
      <c r="M8" s="22">
        <f>ZandKlei!R14</f>
        <v>1.7999999999999998</v>
      </c>
      <c r="N8" t="str">
        <f>ZandKlei!AA14</f>
        <v>A1k</v>
      </c>
    </row>
    <row r="9" spans="1:14" x14ac:dyDescent="0.15">
      <c r="A9" t="str">
        <f>ZandKlei!AO15</f>
        <v>overig</v>
      </c>
      <c r="B9">
        <f>ZandKlei!AE15/600</f>
        <v>1.6666666666666666E-2</v>
      </c>
      <c r="C9">
        <f>ZandKlei!AP15</f>
        <v>1</v>
      </c>
      <c r="D9">
        <f>ZandKlei!AB15</f>
        <v>2</v>
      </c>
      <c r="E9" t="str">
        <f>IF(ZandKlei!AI15=0.25,"kwart",IF(ZandKlei!AI15=0.5,"half",IF(ZandKlei!AI15=0.9,"vol","fout")))</f>
        <v>half</v>
      </c>
      <c r="F9">
        <f>ZandKlei!H15</f>
        <v>1.5</v>
      </c>
      <c r="G9">
        <f>ZandKlei!S15</f>
        <v>1.5</v>
      </c>
      <c r="H9">
        <f>ZandKlei!I15</f>
        <v>0.4</v>
      </c>
      <c r="I9">
        <f>ZandKlei!P15</f>
        <v>0.55000000000000004</v>
      </c>
      <c r="J9">
        <f>ZandKlei!J15</f>
        <v>1.1499999999999999</v>
      </c>
      <c r="K9">
        <f>ZandKlei!Q15</f>
        <v>0.69999999999999984</v>
      </c>
      <c r="L9">
        <f>ZandKlei!K15</f>
        <v>2.35</v>
      </c>
      <c r="M9" s="22">
        <f>ZandKlei!R15</f>
        <v>2.35</v>
      </c>
      <c r="N9" t="str">
        <f>ZandKlei!AA15</f>
        <v>A1h</v>
      </c>
    </row>
    <row r="10" spans="1:14" x14ac:dyDescent="0.15">
      <c r="A10" t="str">
        <f>ZandKlei!AO16</f>
        <v>overig</v>
      </c>
      <c r="B10">
        <f>ZandKlei!AE16/600</f>
        <v>1.6666666666666666E-2</v>
      </c>
      <c r="C10">
        <f>ZandKlei!AP16</f>
        <v>1</v>
      </c>
      <c r="D10">
        <f>ZandKlei!AB16</f>
        <v>1</v>
      </c>
      <c r="E10" t="str">
        <f>IF(ZandKlei!AI16=0.25,"kwart",IF(ZandKlei!AI16=0.5,"half",IF(ZandKlei!AI16=0.9,"vol","fout")))</f>
        <v>vol</v>
      </c>
      <c r="F10">
        <f>ZandKlei!H16</f>
        <v>2</v>
      </c>
      <c r="G10">
        <f>ZandKlei!S16</f>
        <v>2</v>
      </c>
      <c r="H10">
        <f>ZandKlei!I16</f>
        <v>0.8</v>
      </c>
      <c r="I10">
        <f>ZandKlei!P16</f>
        <v>1</v>
      </c>
      <c r="J10">
        <f>ZandKlei!J16</f>
        <v>3</v>
      </c>
      <c r="K10">
        <f>ZandKlei!Q16</f>
        <v>2.2000000000000002</v>
      </c>
      <c r="L10">
        <f>ZandKlei!K16</f>
        <v>6.2</v>
      </c>
      <c r="M10" s="22">
        <f>ZandKlei!R16</f>
        <v>6.2</v>
      </c>
      <c r="N10" t="str">
        <f>ZandKlei!AA16</f>
        <v>A1v</v>
      </c>
    </row>
    <row r="11" spans="1:14" x14ac:dyDescent="0.15">
      <c r="A11" t="str">
        <f>ZandKlei!AO17</f>
        <v>overig</v>
      </c>
      <c r="B11">
        <f>ZandKlei!AE17/600</f>
        <v>4.1666666666666664E-2</v>
      </c>
      <c r="C11">
        <f>ZandKlei!AP17</f>
        <v>1</v>
      </c>
      <c r="D11">
        <f>ZandKlei!AB17</f>
        <v>3</v>
      </c>
      <c r="E11" t="str">
        <f>IF(ZandKlei!AI17=0.25,"kwart",IF(ZandKlei!AI17=0.5,"half",IF(ZandKlei!AI17=0.9,"vol","fout")))</f>
        <v>kwart</v>
      </c>
      <c r="F11">
        <f>ZandKlei!H17</f>
        <v>1.5</v>
      </c>
      <c r="G11">
        <f>ZandKlei!S17</f>
        <v>1.5</v>
      </c>
      <c r="H11">
        <f>ZandKlei!I17</f>
        <v>0.45</v>
      </c>
      <c r="I11">
        <f>ZandKlei!P17</f>
        <v>0.6</v>
      </c>
      <c r="J11">
        <f>ZandKlei!J17</f>
        <v>1.25</v>
      </c>
      <c r="K11">
        <f>ZandKlei!Q17</f>
        <v>0.8</v>
      </c>
      <c r="L11">
        <f>ZandKlei!K17</f>
        <v>2.6</v>
      </c>
      <c r="M11" s="22">
        <f>ZandKlei!R17</f>
        <v>2.6</v>
      </c>
      <c r="N11" t="str">
        <f>ZandKlei!AA17</f>
        <v>B1k</v>
      </c>
    </row>
    <row r="12" spans="1:14" x14ac:dyDescent="0.15">
      <c r="A12" t="str">
        <f>ZandKlei!AO18</f>
        <v>overig</v>
      </c>
      <c r="B12">
        <f>ZandKlei!AE18/600</f>
        <v>4.1666666666666664E-2</v>
      </c>
      <c r="C12">
        <f>ZandKlei!AP18</f>
        <v>1</v>
      </c>
      <c r="D12">
        <f>ZandKlei!AB18</f>
        <v>2</v>
      </c>
      <c r="E12" t="str">
        <f>IF(ZandKlei!AI18=0.25,"kwart",IF(ZandKlei!AI18=0.5,"half",IF(ZandKlei!AI18=0.9,"vol","fout")))</f>
        <v>half</v>
      </c>
      <c r="F12">
        <f>ZandKlei!H18</f>
        <v>1.5</v>
      </c>
      <c r="G12">
        <f>ZandKlei!S18</f>
        <v>1.5</v>
      </c>
      <c r="H12">
        <f>ZandKlei!I18</f>
        <v>0.55000000000000004</v>
      </c>
      <c r="I12">
        <f>ZandKlei!P18</f>
        <v>0.70000000000000007</v>
      </c>
      <c r="J12">
        <f>ZandKlei!J18</f>
        <v>1.7</v>
      </c>
      <c r="K12">
        <f>ZandKlei!Q18</f>
        <v>1.25</v>
      </c>
      <c r="L12">
        <f>ZandKlei!K18</f>
        <v>3.35</v>
      </c>
      <c r="M12" s="22">
        <f>ZandKlei!R18</f>
        <v>3.35</v>
      </c>
      <c r="N12" t="str">
        <f>ZandKlei!AA18</f>
        <v>B1h</v>
      </c>
    </row>
    <row r="13" spans="1:14" x14ac:dyDescent="0.15">
      <c r="A13" t="str">
        <f>ZandKlei!AO19</f>
        <v>overig</v>
      </c>
      <c r="B13">
        <f>ZandKlei!AE19/600</f>
        <v>4.1666666666666664E-2</v>
      </c>
      <c r="C13">
        <f>ZandKlei!AP19</f>
        <v>1</v>
      </c>
      <c r="D13">
        <f>ZandKlei!AB19</f>
        <v>1</v>
      </c>
      <c r="E13" t="str">
        <f>IF(ZandKlei!AI19=0.25,"kwart",IF(ZandKlei!AI19=0.5,"half",IF(ZandKlei!AI19=0.9,"vol","fout")))</f>
        <v>vol</v>
      </c>
      <c r="F13">
        <f>ZandKlei!H19</f>
        <v>2</v>
      </c>
      <c r="G13">
        <f>ZandKlei!S19</f>
        <v>2</v>
      </c>
      <c r="H13">
        <f>ZandKlei!I19</f>
        <v>1</v>
      </c>
      <c r="I13">
        <f>ZandKlei!P19</f>
        <v>1.2</v>
      </c>
      <c r="J13">
        <f>ZandKlei!J19</f>
        <v>6.1</v>
      </c>
      <c r="K13">
        <f>ZandKlei!Q19</f>
        <v>5.3</v>
      </c>
      <c r="L13">
        <f>ZandKlei!K19</f>
        <v>10.1</v>
      </c>
      <c r="M13" s="22">
        <f>ZandKlei!R19</f>
        <v>10.1</v>
      </c>
      <c r="N13" t="str">
        <f>ZandKlei!AA19</f>
        <v>B1v</v>
      </c>
    </row>
    <row r="14" spans="1:14" x14ac:dyDescent="0.15">
      <c r="A14" t="str">
        <f>ZandKlei!AO20</f>
        <v>overig</v>
      </c>
      <c r="B14">
        <f>ZandKlei!AE20/600</f>
        <v>6.6666666666666666E-2</v>
      </c>
      <c r="C14">
        <f>ZandKlei!AP20</f>
        <v>1</v>
      </c>
      <c r="D14">
        <f>ZandKlei!AB20</f>
        <v>3</v>
      </c>
      <c r="E14" t="str">
        <f>IF(ZandKlei!AI20=0.25,"kwart",IF(ZandKlei!AI20=0.5,"half",IF(ZandKlei!AI20=0.9,"vol","fout")))</f>
        <v>kwart</v>
      </c>
      <c r="F14">
        <f>ZandKlei!H20</f>
        <v>1.5</v>
      </c>
      <c r="G14">
        <f>ZandKlei!S20</f>
        <v>1.5</v>
      </c>
      <c r="H14">
        <f>ZandKlei!I20</f>
        <v>0.5</v>
      </c>
      <c r="I14">
        <f>ZandKlei!P20</f>
        <v>0.65</v>
      </c>
      <c r="J14">
        <f>ZandKlei!J20</f>
        <v>1.75</v>
      </c>
      <c r="K14">
        <f>ZandKlei!Q20</f>
        <v>1.2999999999999998</v>
      </c>
      <c r="L14">
        <f>ZandKlei!K20</f>
        <v>3.25</v>
      </c>
      <c r="M14" s="22">
        <f>ZandKlei!R20</f>
        <v>3.25</v>
      </c>
      <c r="N14" t="str">
        <f>ZandKlei!AA20</f>
        <v>C1k</v>
      </c>
    </row>
    <row r="15" spans="1:14" x14ac:dyDescent="0.15">
      <c r="A15" t="str">
        <f>ZandKlei!AO21</f>
        <v>overig</v>
      </c>
      <c r="B15">
        <f>ZandKlei!AE21/600</f>
        <v>6.6666666666666666E-2</v>
      </c>
      <c r="C15">
        <f>ZandKlei!AP21</f>
        <v>1</v>
      </c>
      <c r="D15">
        <f>ZandKlei!AB21</f>
        <v>2</v>
      </c>
      <c r="E15" t="str">
        <f>IF(ZandKlei!AI21=0.25,"kwart",IF(ZandKlei!AI21=0.5,"half",IF(ZandKlei!AI21=0.9,"vol","fout")))</f>
        <v>half</v>
      </c>
      <c r="F15">
        <f>ZandKlei!H21</f>
        <v>1.5</v>
      </c>
      <c r="G15">
        <f>ZandKlei!S21</f>
        <v>1.5</v>
      </c>
      <c r="H15">
        <f>ZandKlei!I21</f>
        <v>0.6</v>
      </c>
      <c r="I15">
        <f>ZandKlei!P21</f>
        <v>0.75</v>
      </c>
      <c r="J15">
        <f>ZandKlei!J21</f>
        <v>2.4500000000000002</v>
      </c>
      <c r="K15">
        <f>ZandKlei!Q21</f>
        <v>2</v>
      </c>
      <c r="L15">
        <f>ZandKlei!K21</f>
        <v>4.25</v>
      </c>
      <c r="M15" s="22">
        <f>ZandKlei!R21</f>
        <v>4.25</v>
      </c>
      <c r="N15" t="str">
        <f>ZandKlei!AA21</f>
        <v>C1h</v>
      </c>
    </row>
    <row r="16" spans="1:14" x14ac:dyDescent="0.15">
      <c r="A16" t="str">
        <f>ZandKlei!AO22</f>
        <v>overig</v>
      </c>
      <c r="B16">
        <f>ZandKlei!AE22/600</f>
        <v>6.6666666666666666E-2</v>
      </c>
      <c r="C16">
        <f>ZandKlei!AP22</f>
        <v>1</v>
      </c>
      <c r="D16">
        <f>ZandKlei!AB22</f>
        <v>1</v>
      </c>
      <c r="E16" t="str">
        <f>IF(ZandKlei!AI22=0.25,"kwart",IF(ZandKlei!AI22=0.5,"half",IF(ZandKlei!AI22=0.9,"vol","fout")))</f>
        <v>vol</v>
      </c>
      <c r="F16">
        <f>ZandKlei!H22</f>
        <v>2</v>
      </c>
      <c r="G16">
        <f>ZandKlei!S22</f>
        <v>2</v>
      </c>
      <c r="H16">
        <f>ZandKlei!I22</f>
        <v>1.1000000000000001</v>
      </c>
      <c r="I16">
        <f>ZandKlei!P22</f>
        <v>1.3</v>
      </c>
      <c r="J16">
        <f>ZandKlei!J22</f>
        <v>8.8000000000000007</v>
      </c>
      <c r="K16">
        <f>ZandKlei!Q22</f>
        <v>8</v>
      </c>
      <c r="L16">
        <f>ZandKlei!K22</f>
        <v>13.200000000000001</v>
      </c>
      <c r="M16" s="22">
        <f>ZandKlei!R22</f>
        <v>13.200000000000001</v>
      </c>
      <c r="N16" t="str">
        <f>ZandKlei!AA22</f>
        <v>C1v</v>
      </c>
    </row>
    <row r="17" spans="1:14" x14ac:dyDescent="0.15">
      <c r="A17" t="str">
        <f>ZandKlei!AO23</f>
        <v>overig</v>
      </c>
      <c r="B17">
        <f>ZandKlei!AE23/600</f>
        <v>8.3333333333333329E-2</v>
      </c>
      <c r="C17">
        <f>ZandKlei!AP23</f>
        <v>1</v>
      </c>
      <c r="D17">
        <f>ZandKlei!AB23</f>
        <v>3</v>
      </c>
      <c r="E17" t="str">
        <f>IF(ZandKlei!AI23=0.25,"kwart",IF(ZandKlei!AI23=0.5,"half",IF(ZandKlei!AI23=0.9,"vol","fout")))</f>
        <v>kwart</v>
      </c>
      <c r="F17">
        <f>ZandKlei!H23</f>
        <v>1.5</v>
      </c>
      <c r="G17">
        <f>ZandKlei!S23</f>
        <v>1.5</v>
      </c>
      <c r="H17">
        <f>ZandKlei!I23</f>
        <v>0.55000000000000004</v>
      </c>
      <c r="I17">
        <f>ZandKlei!P23</f>
        <v>0.70000000000000007</v>
      </c>
      <c r="J17">
        <f>ZandKlei!J23</f>
        <v>1.9</v>
      </c>
      <c r="K17">
        <f>ZandKlei!Q23</f>
        <v>1.4499999999999997</v>
      </c>
      <c r="L17">
        <f>ZandKlei!K23</f>
        <v>3.55</v>
      </c>
      <c r="M17" s="22">
        <f>ZandKlei!R23</f>
        <v>3.55</v>
      </c>
      <c r="N17" t="str">
        <f>ZandKlei!AA23</f>
        <v>D1k</v>
      </c>
    </row>
    <row r="18" spans="1:14" x14ac:dyDescent="0.15">
      <c r="A18" t="str">
        <f>ZandKlei!AO24</f>
        <v>overig</v>
      </c>
      <c r="B18">
        <f>ZandKlei!AE24/600</f>
        <v>8.3333333333333329E-2</v>
      </c>
      <c r="C18">
        <f>ZandKlei!AP24</f>
        <v>1</v>
      </c>
      <c r="D18">
        <f>ZandKlei!AB24</f>
        <v>2</v>
      </c>
      <c r="E18" t="str">
        <f>IF(ZandKlei!AI24=0.25,"kwart",IF(ZandKlei!AI24=0.5,"half",IF(ZandKlei!AI24=0.9,"vol","fout")))</f>
        <v>half</v>
      </c>
      <c r="F18">
        <f>ZandKlei!H24</f>
        <v>1.5</v>
      </c>
      <c r="G18">
        <f>ZandKlei!S24</f>
        <v>1.5</v>
      </c>
      <c r="H18">
        <f>ZandKlei!I24</f>
        <v>0.65</v>
      </c>
      <c r="I18">
        <f>ZandKlei!P24</f>
        <v>0.8</v>
      </c>
      <c r="J18">
        <f>ZandKlei!J24</f>
        <v>2.7</v>
      </c>
      <c r="K18">
        <f>ZandKlei!Q24</f>
        <v>2.25</v>
      </c>
      <c r="L18">
        <f>ZandKlei!K24</f>
        <v>4.6500000000000004</v>
      </c>
      <c r="M18" s="22">
        <f>ZandKlei!R24</f>
        <v>4.6500000000000004</v>
      </c>
      <c r="N18" t="str">
        <f>ZandKlei!AA24</f>
        <v>D1h</v>
      </c>
    </row>
    <row r="19" spans="1:14" x14ac:dyDescent="0.15">
      <c r="A19" t="str">
        <f>ZandKlei!AO25</f>
        <v>overig</v>
      </c>
      <c r="B19">
        <f>ZandKlei!AE25/600</f>
        <v>8.3333333333333329E-2</v>
      </c>
      <c r="C19">
        <f>ZandKlei!AP25</f>
        <v>1</v>
      </c>
      <c r="D19">
        <f>ZandKlei!AB25</f>
        <v>1</v>
      </c>
      <c r="E19" t="str">
        <f>IF(ZandKlei!AI25=0.25,"kwart",IF(ZandKlei!AI25=0.5,"half",IF(ZandKlei!AI25=0.9,"vol","fout")))</f>
        <v>vol</v>
      </c>
      <c r="F19">
        <f>ZandKlei!H25</f>
        <v>2</v>
      </c>
      <c r="G19">
        <f>ZandKlei!S25</f>
        <v>2</v>
      </c>
      <c r="H19">
        <f>ZandKlei!I25</f>
        <v>1.2</v>
      </c>
      <c r="I19">
        <f>ZandKlei!P25</f>
        <v>1.4</v>
      </c>
      <c r="J19">
        <f>ZandKlei!J25</f>
        <v>9.74</v>
      </c>
      <c r="K19">
        <f>ZandKlei!Q25</f>
        <v>8.9400000000000013</v>
      </c>
      <c r="L19">
        <f>ZandKlei!K25</f>
        <v>14.54</v>
      </c>
      <c r="M19" s="22">
        <f>ZandKlei!R25</f>
        <v>14.540000000000001</v>
      </c>
      <c r="N19" t="str">
        <f>ZandKlei!AA25</f>
        <v>D1v</v>
      </c>
    </row>
    <row r="20" spans="1:14" x14ac:dyDescent="0.15">
      <c r="A20" t="str">
        <f>ZandKlei!AO26</f>
        <v>overig</v>
      </c>
      <c r="B20">
        <f>ZandKlei!AE26/600</f>
        <v>0.125</v>
      </c>
      <c r="C20">
        <f>ZandKlei!AP26</f>
        <v>1</v>
      </c>
      <c r="D20">
        <f>ZandKlei!AB26</f>
        <v>3</v>
      </c>
      <c r="E20" t="str">
        <f>IF(ZandKlei!AI26=0.25,"kwart",IF(ZandKlei!AI26=0.5,"half",IF(ZandKlei!AI26=0.9,"vol","fout")))</f>
        <v>kwart</v>
      </c>
      <c r="F20">
        <f>ZandKlei!H26</f>
        <v>1.5</v>
      </c>
      <c r="G20">
        <f>ZandKlei!S26</f>
        <v>1.5</v>
      </c>
      <c r="H20">
        <f>ZandKlei!I26</f>
        <v>0.6</v>
      </c>
      <c r="I20">
        <f>ZandKlei!P26</f>
        <v>0.75</v>
      </c>
      <c r="J20">
        <f>ZandKlei!J26</f>
        <v>2.5</v>
      </c>
      <c r="K20">
        <f>ZandKlei!Q26</f>
        <v>2.0499999999999998</v>
      </c>
      <c r="L20">
        <f>ZandKlei!K26</f>
        <v>4.3</v>
      </c>
      <c r="M20" s="22">
        <f>ZandKlei!R26</f>
        <v>4.3</v>
      </c>
      <c r="N20" t="str">
        <f>ZandKlei!AA26</f>
        <v>E1k</v>
      </c>
    </row>
    <row r="21" spans="1:14" x14ac:dyDescent="0.15">
      <c r="A21" t="str">
        <f>ZandKlei!AO27</f>
        <v>overig</v>
      </c>
      <c r="B21">
        <f>ZandKlei!AE27/600</f>
        <v>0.125</v>
      </c>
      <c r="C21">
        <f>ZandKlei!AP27</f>
        <v>1</v>
      </c>
      <c r="D21">
        <f>ZandKlei!AB27</f>
        <v>2</v>
      </c>
      <c r="E21" t="str">
        <f>IF(ZandKlei!AI27=0.25,"kwart",IF(ZandKlei!AI27=0.5,"half",IF(ZandKlei!AI27=0.9,"vol","fout")))</f>
        <v>half</v>
      </c>
      <c r="F21">
        <f>ZandKlei!H27</f>
        <v>1.5</v>
      </c>
      <c r="G21">
        <f>ZandKlei!S27</f>
        <v>1.5</v>
      </c>
      <c r="H21">
        <f>ZandKlei!I27</f>
        <v>0.75</v>
      </c>
      <c r="I21">
        <f>ZandKlei!P27</f>
        <v>0.9</v>
      </c>
      <c r="J21">
        <f>ZandKlei!J27</f>
        <v>3.2</v>
      </c>
      <c r="K21">
        <f>ZandKlei!Q27</f>
        <v>2.75</v>
      </c>
      <c r="L21">
        <f>ZandKlei!K27</f>
        <v>5.45</v>
      </c>
      <c r="M21" s="22">
        <f>ZandKlei!R27</f>
        <v>5.45</v>
      </c>
      <c r="N21" t="str">
        <f>ZandKlei!AA27</f>
        <v>E1h</v>
      </c>
    </row>
    <row r="22" spans="1:14" x14ac:dyDescent="0.15">
      <c r="A22" t="str">
        <f>ZandKlei!AO28</f>
        <v>overig</v>
      </c>
      <c r="B22">
        <f>ZandKlei!AE28/600</f>
        <v>0.125</v>
      </c>
      <c r="C22">
        <f>ZandKlei!AP28</f>
        <v>1</v>
      </c>
      <c r="D22">
        <f>ZandKlei!AB28</f>
        <v>1</v>
      </c>
      <c r="E22" t="str">
        <f>IF(ZandKlei!AI28=0.25,"kwart",IF(ZandKlei!AI28=0.5,"half",IF(ZandKlei!AI28=0.9,"vol","fout")))</f>
        <v>vol</v>
      </c>
      <c r="F22">
        <f>ZandKlei!H28</f>
        <v>2</v>
      </c>
      <c r="G22">
        <f>ZandKlei!S28</f>
        <v>2</v>
      </c>
      <c r="H22">
        <f>ZandKlei!I28</f>
        <v>1.1499999999999999</v>
      </c>
      <c r="I22">
        <f>ZandKlei!P28</f>
        <v>1.3499999999999999</v>
      </c>
      <c r="J22">
        <f>ZandKlei!J28</f>
        <v>16.399999999999999</v>
      </c>
      <c r="K22">
        <f>ZandKlei!Q28</f>
        <v>15.599999999999998</v>
      </c>
      <c r="L22">
        <f>ZandKlei!K28</f>
        <v>21</v>
      </c>
      <c r="M22" s="22">
        <f>ZandKlei!R28</f>
        <v>21</v>
      </c>
      <c r="N22" t="str">
        <f>ZandKlei!AA28</f>
        <v>E1v</v>
      </c>
    </row>
    <row r="23" spans="1:14" x14ac:dyDescent="0.15">
      <c r="A23" t="str">
        <f>ZandKlei!AO29</f>
        <v>overig</v>
      </c>
      <c r="B23">
        <f>ZandKlei!AE29/600</f>
        <v>0.16666666666666666</v>
      </c>
      <c r="C23">
        <f>ZandKlei!AP29</f>
        <v>1</v>
      </c>
      <c r="D23">
        <f>ZandKlei!AB29</f>
        <v>3</v>
      </c>
      <c r="E23" t="str">
        <f>IF(ZandKlei!AI29=0.25,"kwart",IF(ZandKlei!AI29=0.5,"half",IF(ZandKlei!AI29=0.9,"vol","fout")))</f>
        <v>kwart</v>
      </c>
      <c r="F23">
        <f>ZandKlei!H29</f>
        <v>1.5</v>
      </c>
      <c r="G23">
        <f>ZandKlei!S29</f>
        <v>1.5</v>
      </c>
      <c r="H23">
        <f>ZandKlei!I29</f>
        <v>0.65</v>
      </c>
      <c r="I23">
        <f>ZandKlei!P29</f>
        <v>0.8</v>
      </c>
      <c r="J23">
        <f>ZandKlei!J29</f>
        <v>2.9</v>
      </c>
      <c r="K23">
        <f>ZandKlei!Q29</f>
        <v>2.4499999999999997</v>
      </c>
      <c r="L23">
        <f>ZandKlei!K29</f>
        <v>4.8499999999999996</v>
      </c>
      <c r="M23" s="22">
        <f>ZandKlei!R29</f>
        <v>4.8499999999999996</v>
      </c>
      <c r="N23" t="str">
        <f>ZandKlei!AA29</f>
        <v>H1k</v>
      </c>
    </row>
    <row r="24" spans="1:14" x14ac:dyDescent="0.15">
      <c r="A24" t="str">
        <f>ZandKlei!AO30</f>
        <v>overig</v>
      </c>
      <c r="B24">
        <f>ZandKlei!AE30/600</f>
        <v>0.16666666666666666</v>
      </c>
      <c r="C24">
        <f>ZandKlei!AP30</f>
        <v>1</v>
      </c>
      <c r="D24">
        <f>ZandKlei!AB30</f>
        <v>2</v>
      </c>
      <c r="E24" t="str">
        <f>IF(ZandKlei!AI30=0.25,"kwart",IF(ZandKlei!AI30=0.5,"half",IF(ZandKlei!AI30=0.9,"vol","fout")))</f>
        <v>half</v>
      </c>
      <c r="F24">
        <f>ZandKlei!H30</f>
        <v>2</v>
      </c>
      <c r="G24">
        <f>ZandKlei!S30</f>
        <v>2</v>
      </c>
      <c r="H24">
        <f>ZandKlei!I30</f>
        <v>0.85</v>
      </c>
      <c r="I24">
        <f>ZandKlei!P30</f>
        <v>1.05</v>
      </c>
      <c r="J24">
        <f>ZandKlei!J30</f>
        <v>3.2</v>
      </c>
      <c r="K24">
        <f>ZandKlei!Q30</f>
        <v>2.4</v>
      </c>
      <c r="L24">
        <f>ZandKlei!K30</f>
        <v>6.6</v>
      </c>
      <c r="M24" s="22">
        <f>ZandKlei!R30</f>
        <v>6.6</v>
      </c>
      <c r="N24" t="str">
        <f>ZandKlei!AA30</f>
        <v>H1h</v>
      </c>
    </row>
    <row r="25" spans="1:14" x14ac:dyDescent="0.15">
      <c r="A25" t="str">
        <f>ZandKlei!AO31</f>
        <v>overig</v>
      </c>
      <c r="B25">
        <f>ZandKlei!AE31/600</f>
        <v>0.16666666666666666</v>
      </c>
      <c r="C25">
        <f>ZandKlei!AP31</f>
        <v>1</v>
      </c>
      <c r="D25">
        <f>ZandKlei!AB31</f>
        <v>1</v>
      </c>
      <c r="E25" t="str">
        <f>IF(ZandKlei!AI31=0.25,"kwart",IF(ZandKlei!AI31=0.5,"half",IF(ZandKlei!AI31=0.9,"vol","fout")))</f>
        <v>vol</v>
      </c>
      <c r="F25">
        <f>ZandKlei!H31</f>
        <v>2</v>
      </c>
      <c r="G25">
        <f>ZandKlei!S31</f>
        <v>2</v>
      </c>
      <c r="H25">
        <f>ZandKlei!I31</f>
        <v>1.3</v>
      </c>
      <c r="I25">
        <f>ZandKlei!P31</f>
        <v>1.5</v>
      </c>
      <c r="J25">
        <f>ZandKlei!J31</f>
        <v>18.399999999999999</v>
      </c>
      <c r="K25">
        <f>ZandKlei!Q31</f>
        <v>17.599999999999998</v>
      </c>
      <c r="L25">
        <f>ZandKlei!K31</f>
        <v>23.599999999999998</v>
      </c>
      <c r="M25" s="22">
        <f>ZandKlei!R31</f>
        <v>23.599999999999998</v>
      </c>
      <c r="N25" t="str">
        <f>ZandKlei!AA31</f>
        <v>H1v</v>
      </c>
    </row>
    <row r="26" spans="1:14" x14ac:dyDescent="0.15">
      <c r="A26" s="74" t="str">
        <f>Veen!AO8</f>
        <v>Veen</v>
      </c>
      <c r="B26" s="74">
        <f>Veen!AE8/600</f>
        <v>1.6666666666666668E-3</v>
      </c>
      <c r="C26" s="74">
        <f>Veen!AP8</f>
        <v>1</v>
      </c>
      <c r="D26" s="74">
        <f>Veen!AB8</f>
        <v>5</v>
      </c>
      <c r="E26" s="74" t="str">
        <f>IF(Veen!AI8=0.25,"kwart",IF(Veen!AI8=0.5,"half",IF(Veen!AI8=0.9,"vol","fout")))</f>
        <v>kwart</v>
      </c>
      <c r="F26" s="74">
        <f>Veen!H8</f>
        <v>2</v>
      </c>
      <c r="G26" s="74">
        <f>Veen!S8</f>
        <v>2</v>
      </c>
      <c r="H26" s="74">
        <f>Veen!I8</f>
        <v>0.15</v>
      </c>
      <c r="I26" s="74">
        <f>Veen!P8</f>
        <v>0.4</v>
      </c>
      <c r="J26" s="74">
        <f>Veen!J8</f>
        <v>1.2</v>
      </c>
      <c r="K26" s="74">
        <f>Veen!Q8</f>
        <v>0.2</v>
      </c>
      <c r="L26" s="74">
        <f>Veen!K8</f>
        <v>1.7999999999999998</v>
      </c>
      <c r="M26" s="74">
        <f>Veen!R8</f>
        <v>1.8</v>
      </c>
      <c r="N26" s="74" t="str">
        <f>Veen!AA8</f>
        <v>R3k</v>
      </c>
    </row>
    <row r="27" spans="1:14" x14ac:dyDescent="0.15">
      <c r="A27" t="str">
        <f>Veen!AO9</f>
        <v>Veen</v>
      </c>
      <c r="B27">
        <f>Veen!AE9/600</f>
        <v>1.6666666666666668E-3</v>
      </c>
      <c r="C27">
        <f>Veen!AP9</f>
        <v>2</v>
      </c>
      <c r="D27">
        <f>Veen!AB9</f>
        <v>6</v>
      </c>
      <c r="E27" t="str">
        <f>IF(Veen!AI9=0.25,"kwart",IF(Veen!AI9=0.5,"half",IF(Veen!AI9=0.9,"vol","fout")))</f>
        <v>kwart</v>
      </c>
      <c r="F27">
        <f>Veen!H9</f>
        <v>2</v>
      </c>
      <c r="G27">
        <f>Veen!S9</f>
        <v>2</v>
      </c>
      <c r="H27">
        <f>Veen!I9</f>
        <v>0.1</v>
      </c>
      <c r="I27">
        <f>Veen!P9</f>
        <v>0.35</v>
      </c>
      <c r="J27">
        <f>Veen!J9</f>
        <v>1.2</v>
      </c>
      <c r="K27">
        <f>Veen!Q9</f>
        <v>0.20000000000000007</v>
      </c>
      <c r="L27">
        <f>Veen!K9</f>
        <v>1.6</v>
      </c>
      <c r="M27">
        <f>Veen!R9</f>
        <v>1.6</v>
      </c>
      <c r="N27" t="str">
        <f>Veen!AA9</f>
        <v>R3k2</v>
      </c>
    </row>
    <row r="28" spans="1:14" x14ac:dyDescent="0.15">
      <c r="A28" t="str">
        <f>Veen!AO10</f>
        <v>Veen</v>
      </c>
      <c r="B28">
        <f>Veen!AE10/600</f>
        <v>1.6666666666666668E-3</v>
      </c>
      <c r="C28">
        <f>Veen!AP10</f>
        <v>1</v>
      </c>
      <c r="D28">
        <f>Veen!AB10</f>
        <v>3</v>
      </c>
      <c r="E28" t="str">
        <f>IF(Veen!AI10=0.25,"kwart",IF(Veen!AI10=0.5,"half",IF(Veen!AI10=0.9,"vol","fout")))</f>
        <v>half</v>
      </c>
      <c r="F28">
        <f>Veen!H10</f>
        <v>2</v>
      </c>
      <c r="G28">
        <f>Veen!S10</f>
        <v>2</v>
      </c>
      <c r="H28">
        <f>Veen!I10</f>
        <v>0.15</v>
      </c>
      <c r="I28">
        <f>Veen!P10</f>
        <v>0.4</v>
      </c>
      <c r="J28">
        <f>Veen!J10</f>
        <v>1.2</v>
      </c>
      <c r="K28">
        <f>Veen!Q10</f>
        <v>0.2</v>
      </c>
      <c r="L28">
        <f>Veen!K10</f>
        <v>1.7999999999999998</v>
      </c>
      <c r="M28">
        <f>Veen!R10</f>
        <v>1.8</v>
      </c>
      <c r="N28" t="str">
        <f>Veen!AA10</f>
        <v>R3h</v>
      </c>
    </row>
    <row r="29" spans="1:14" x14ac:dyDescent="0.15">
      <c r="A29" t="str">
        <f>Veen!AO11</f>
        <v>Veen</v>
      </c>
      <c r="B29">
        <f>Veen!AE11/600</f>
        <v>1.6666666666666668E-3</v>
      </c>
      <c r="C29">
        <f>Veen!AP11</f>
        <v>2</v>
      </c>
      <c r="D29">
        <f>Veen!AB11</f>
        <v>4</v>
      </c>
      <c r="E29" t="str">
        <f>IF(Veen!AI11=0.25,"kwart",IF(Veen!AI11=0.5,"half",IF(Veen!AI11=0.9,"vol","fout")))</f>
        <v>half</v>
      </c>
      <c r="F29">
        <f>Veen!H11</f>
        <v>2</v>
      </c>
      <c r="G29">
        <f>Veen!S11</f>
        <v>2</v>
      </c>
      <c r="H29">
        <f>Veen!I11</f>
        <v>0.1</v>
      </c>
      <c r="I29">
        <f>Veen!P11</f>
        <v>0.35</v>
      </c>
      <c r="J29">
        <f>Veen!J11</f>
        <v>1.5</v>
      </c>
      <c r="K29">
        <f>Veen!Q11</f>
        <v>0.50000000000000011</v>
      </c>
      <c r="L29">
        <f>Veen!K11</f>
        <v>1.9</v>
      </c>
      <c r="M29">
        <f>Veen!R11</f>
        <v>1.9</v>
      </c>
      <c r="N29" t="str">
        <f>Veen!AA11</f>
        <v>R3h2</v>
      </c>
    </row>
    <row r="30" spans="1:14" x14ac:dyDescent="0.15">
      <c r="A30" t="str">
        <f>Veen!AO12</f>
        <v>Veen</v>
      </c>
      <c r="B30">
        <f>Veen!AE12/600</f>
        <v>1.6666666666666668E-3</v>
      </c>
      <c r="C30">
        <f>Veen!AP12</f>
        <v>1</v>
      </c>
      <c r="D30">
        <f>Veen!AB12</f>
        <v>1</v>
      </c>
      <c r="E30" t="str">
        <f>IF(Veen!AI12=0.25,"kwart",IF(Veen!AI12=0.5,"half",IF(Veen!AI12=0.9,"vol","fout")))</f>
        <v>vol</v>
      </c>
      <c r="F30">
        <f>Veen!H12</f>
        <v>2</v>
      </c>
      <c r="G30">
        <f>Veen!S12</f>
        <v>2</v>
      </c>
      <c r="H30">
        <f>Veen!I12</f>
        <v>0.3</v>
      </c>
      <c r="I30">
        <f>Veen!P12</f>
        <v>0.64999999999999991</v>
      </c>
      <c r="J30">
        <f>Veen!J12</f>
        <v>2</v>
      </c>
      <c r="K30">
        <f>Veen!Q12</f>
        <v>0.60000000000000031</v>
      </c>
      <c r="L30">
        <f>Veen!K12</f>
        <v>3.2</v>
      </c>
      <c r="M30">
        <f>Veen!R12</f>
        <v>3.2</v>
      </c>
      <c r="N30" t="str">
        <f>Veen!AA12</f>
        <v>R3v</v>
      </c>
    </row>
    <row r="31" spans="1:14" x14ac:dyDescent="0.15">
      <c r="A31" t="str">
        <f>Veen!AO13</f>
        <v>Veen</v>
      </c>
      <c r="B31">
        <f>Veen!AE13/600</f>
        <v>1.6666666666666668E-3</v>
      </c>
      <c r="C31">
        <f>Veen!AP13</f>
        <v>2</v>
      </c>
      <c r="D31">
        <f>Veen!AB13</f>
        <v>2</v>
      </c>
      <c r="E31" t="str">
        <f>IF(Veen!AI13=0.25,"kwart",IF(Veen!AI13=0.5,"half",IF(Veen!AI13=0.9,"vol","fout")))</f>
        <v>vol</v>
      </c>
      <c r="F31">
        <f>Veen!H13</f>
        <v>3</v>
      </c>
      <c r="G31">
        <f>Veen!S13</f>
        <v>3</v>
      </c>
      <c r="H31">
        <f>Veen!I13</f>
        <v>0.2</v>
      </c>
      <c r="I31">
        <f>Veen!P13</f>
        <v>0.55000000000000004</v>
      </c>
      <c r="J31">
        <f>Veen!J13</f>
        <v>3.15</v>
      </c>
      <c r="K31">
        <f>Veen!Q13</f>
        <v>1.0499999999999998</v>
      </c>
      <c r="L31">
        <f>Veen!K13</f>
        <v>4.3499999999999996</v>
      </c>
      <c r="M31">
        <f>Veen!R13</f>
        <v>4.3499999999999996</v>
      </c>
      <c r="N31" t="str">
        <f>Veen!AA13</f>
        <v>R3v2</v>
      </c>
    </row>
    <row r="32" spans="1:14" x14ac:dyDescent="0.15">
      <c r="A32" t="str">
        <f>Veen!AO14</f>
        <v>Veen</v>
      </c>
      <c r="B32">
        <f>Veen!AE14/600</f>
        <v>4.1666666666666666E-3</v>
      </c>
      <c r="C32">
        <f>Veen!AP14</f>
        <v>1</v>
      </c>
      <c r="D32">
        <f>Veen!AB14</f>
        <v>5</v>
      </c>
      <c r="E32" t="str">
        <f>IF(Veen!AI14=0.25,"kwart",IF(Veen!AI14=0.5,"half",IF(Veen!AI14=0.9,"vol","fout")))</f>
        <v>kwart</v>
      </c>
      <c r="F32">
        <f>Veen!H14</f>
        <v>2</v>
      </c>
      <c r="G32">
        <f>Veen!S14</f>
        <v>2</v>
      </c>
      <c r="H32">
        <f>Veen!I14</f>
        <v>0.15</v>
      </c>
      <c r="I32">
        <f>Veen!P14</f>
        <v>0.4</v>
      </c>
      <c r="J32">
        <f>Veen!J14</f>
        <v>1.2</v>
      </c>
      <c r="K32">
        <f>Veen!Q14</f>
        <v>0.2</v>
      </c>
      <c r="L32">
        <f>Veen!K14</f>
        <v>1.7999999999999998</v>
      </c>
      <c r="M32">
        <f>Veen!R14</f>
        <v>1.8</v>
      </c>
      <c r="N32" t="str">
        <f>Veen!AA14</f>
        <v>S3k</v>
      </c>
    </row>
    <row r="33" spans="1:14" x14ac:dyDescent="0.15">
      <c r="A33" t="str">
        <f>Veen!AO15</f>
        <v>Veen</v>
      </c>
      <c r="B33">
        <f>Veen!AE15/600</f>
        <v>4.1666666666666666E-3</v>
      </c>
      <c r="C33">
        <f>Veen!AP15</f>
        <v>2</v>
      </c>
      <c r="D33">
        <f>Veen!AB15</f>
        <v>6</v>
      </c>
      <c r="E33" t="str">
        <f>IF(Veen!AI15=0.25,"kwart",IF(Veen!AI15=0.5,"half",IF(Veen!AI15=0.9,"vol","fout")))</f>
        <v>kwart</v>
      </c>
      <c r="F33">
        <f>Veen!H15</f>
        <v>2</v>
      </c>
      <c r="G33">
        <f>Veen!S15</f>
        <v>2</v>
      </c>
      <c r="H33">
        <f>Veen!I15</f>
        <v>0.1</v>
      </c>
      <c r="I33">
        <f>Veen!P15</f>
        <v>0.44999999999999996</v>
      </c>
      <c r="J33">
        <f>Veen!J15</f>
        <v>2.0499999999999998</v>
      </c>
      <c r="K33">
        <f>Veen!Q15</f>
        <v>0.64999999999999991</v>
      </c>
      <c r="L33">
        <f>Veen!K15</f>
        <v>2.4499999999999997</v>
      </c>
      <c r="M33">
        <f>Veen!R15</f>
        <v>2.4499999999999997</v>
      </c>
      <c r="N33" t="str">
        <f>Veen!AA15</f>
        <v>S3k2</v>
      </c>
    </row>
    <row r="34" spans="1:14" x14ac:dyDescent="0.15">
      <c r="A34" t="str">
        <f>Veen!AO16</f>
        <v>Veen</v>
      </c>
      <c r="B34">
        <f>Veen!AE16/600</f>
        <v>4.1666666666666666E-3</v>
      </c>
      <c r="C34">
        <f>Veen!AP16</f>
        <v>1</v>
      </c>
      <c r="D34">
        <f>Veen!AB16</f>
        <v>3</v>
      </c>
      <c r="E34" t="str">
        <f>IF(Veen!AI16=0.25,"kwart",IF(Veen!AI16=0.5,"half",IF(Veen!AI16=0.9,"vol","fout")))</f>
        <v>half</v>
      </c>
      <c r="F34">
        <f>Veen!H16</f>
        <v>2</v>
      </c>
      <c r="G34">
        <f>Veen!S16</f>
        <v>2</v>
      </c>
      <c r="H34">
        <f>Veen!I16</f>
        <v>0.2</v>
      </c>
      <c r="I34">
        <f>Veen!P16</f>
        <v>0.45</v>
      </c>
      <c r="J34">
        <f>Veen!J16</f>
        <v>1.2</v>
      </c>
      <c r="K34">
        <f>Veen!Q16</f>
        <v>0.2</v>
      </c>
      <c r="L34">
        <f>Veen!K16</f>
        <v>2</v>
      </c>
      <c r="M34">
        <f>Veen!R16</f>
        <v>2</v>
      </c>
      <c r="N34" t="str">
        <f>Veen!AA16</f>
        <v>S3h</v>
      </c>
    </row>
    <row r="35" spans="1:14" x14ac:dyDescent="0.15">
      <c r="A35" t="str">
        <f>Veen!AO17</f>
        <v>Veen</v>
      </c>
      <c r="B35">
        <f>Veen!AE17/600</f>
        <v>4.1666666666666666E-3</v>
      </c>
      <c r="C35">
        <f>Veen!AP17</f>
        <v>2</v>
      </c>
      <c r="D35">
        <f>Veen!AB17</f>
        <v>4</v>
      </c>
      <c r="E35" t="str">
        <f>IF(Veen!AI17=0.25,"kwart",IF(Veen!AI17=0.5,"half",IF(Veen!AI17=0.9,"vol","fout")))</f>
        <v>half</v>
      </c>
      <c r="F35">
        <f>Veen!H17</f>
        <v>2</v>
      </c>
      <c r="G35">
        <f>Veen!S17</f>
        <v>2</v>
      </c>
      <c r="H35">
        <f>Veen!I17</f>
        <v>0.15</v>
      </c>
      <c r="I35">
        <f>Veen!P17</f>
        <v>0.5</v>
      </c>
      <c r="J35">
        <f>Veen!J17</f>
        <v>2</v>
      </c>
      <c r="K35">
        <f>Veen!Q17</f>
        <v>0.60000000000000009</v>
      </c>
      <c r="L35">
        <f>Veen!K17</f>
        <v>2.6</v>
      </c>
      <c r="M35">
        <f>Veen!R17</f>
        <v>2.6</v>
      </c>
      <c r="N35" t="str">
        <f>Veen!AA17</f>
        <v>S3h2</v>
      </c>
    </row>
    <row r="36" spans="1:14" x14ac:dyDescent="0.15">
      <c r="A36" t="str">
        <f>Veen!AO18</f>
        <v>Veen</v>
      </c>
      <c r="B36">
        <f>Veen!AE18/600</f>
        <v>4.1666666666666666E-3</v>
      </c>
      <c r="C36">
        <f>Veen!AP18</f>
        <v>1</v>
      </c>
      <c r="D36">
        <f>Veen!AB18</f>
        <v>1</v>
      </c>
      <c r="E36" t="str">
        <f>IF(Veen!AI18=0.25,"kwart",IF(Veen!AI18=0.5,"half",IF(Veen!AI18=0.9,"vol","fout")))</f>
        <v>vol</v>
      </c>
      <c r="F36">
        <f>Veen!H18</f>
        <v>2</v>
      </c>
      <c r="G36">
        <f>Veen!S18</f>
        <v>2</v>
      </c>
      <c r="H36">
        <f>Veen!I18</f>
        <v>0.5</v>
      </c>
      <c r="I36">
        <f>Veen!P18</f>
        <v>0.85</v>
      </c>
      <c r="J36">
        <f>Veen!J18</f>
        <v>2</v>
      </c>
      <c r="K36">
        <f>Veen!Q18</f>
        <v>0.60000000000000009</v>
      </c>
      <c r="L36">
        <f>Veen!K18</f>
        <v>4</v>
      </c>
      <c r="M36">
        <f>Veen!R18</f>
        <v>4</v>
      </c>
      <c r="N36" t="str">
        <f>Veen!AA18</f>
        <v>S3v</v>
      </c>
    </row>
    <row r="37" spans="1:14" x14ac:dyDescent="0.15">
      <c r="A37" t="str">
        <f>Veen!AO19</f>
        <v>Veen</v>
      </c>
      <c r="B37">
        <f>Veen!AE19/600</f>
        <v>4.1666666666666666E-3</v>
      </c>
      <c r="C37">
        <f>Veen!AP19</f>
        <v>2</v>
      </c>
      <c r="D37">
        <f>Veen!AB19</f>
        <v>2</v>
      </c>
      <c r="E37" t="str">
        <f>IF(Veen!AI19=0.25,"kwart",IF(Veen!AI19=0.5,"half",IF(Veen!AI19=0.9,"vol","fout")))</f>
        <v>vol</v>
      </c>
      <c r="F37">
        <f>Veen!H19</f>
        <v>3</v>
      </c>
      <c r="G37">
        <f>Veen!S19</f>
        <v>3</v>
      </c>
      <c r="H37">
        <f>Veen!I19</f>
        <v>0.3</v>
      </c>
      <c r="I37">
        <f>Veen!P19</f>
        <v>0.64999999999999991</v>
      </c>
      <c r="J37">
        <f>Veen!J19</f>
        <v>4.8</v>
      </c>
      <c r="K37">
        <f>Veen!Q19</f>
        <v>2.7</v>
      </c>
      <c r="L37">
        <f>Veen!K19</f>
        <v>6.6</v>
      </c>
      <c r="M37">
        <f>Veen!R19</f>
        <v>6.6</v>
      </c>
      <c r="N37" t="str">
        <f>Veen!AA19</f>
        <v>S3v2</v>
      </c>
    </row>
    <row r="38" spans="1:14" x14ac:dyDescent="0.15">
      <c r="A38" t="str">
        <f>Veen!AO20</f>
        <v>Veen</v>
      </c>
      <c r="B38">
        <f>Veen!AE20/600</f>
        <v>8.3333333333333332E-3</v>
      </c>
      <c r="C38">
        <f>Veen!AP20</f>
        <v>1</v>
      </c>
      <c r="D38">
        <f>Veen!AB20</f>
        <v>5</v>
      </c>
      <c r="E38" t="str">
        <f>IF(Veen!AI20=0.25,"kwart",IF(Veen!AI20=0.5,"half",IF(Veen!AI20=0.9,"vol","fout")))</f>
        <v>kwart</v>
      </c>
      <c r="F38">
        <f>Veen!H20</f>
        <v>2</v>
      </c>
      <c r="G38">
        <f>Veen!S20</f>
        <v>2</v>
      </c>
      <c r="H38">
        <f>Veen!I20</f>
        <v>0.15</v>
      </c>
      <c r="I38">
        <f>Veen!P20</f>
        <v>0.5</v>
      </c>
      <c r="J38">
        <f>Veen!J20</f>
        <v>2.1</v>
      </c>
      <c r="K38">
        <f>Veen!Q20</f>
        <v>0.70000000000000018</v>
      </c>
      <c r="L38">
        <f>Veen!K20</f>
        <v>2.7</v>
      </c>
      <c r="M38">
        <f>Veen!R20</f>
        <v>2.7</v>
      </c>
      <c r="N38" t="str">
        <f>Veen!AA20</f>
        <v>T3k</v>
      </c>
    </row>
    <row r="39" spans="1:14" x14ac:dyDescent="0.15">
      <c r="A39" t="str">
        <f>Veen!AO21</f>
        <v>Veen</v>
      </c>
      <c r="B39">
        <f>Veen!AE21/600</f>
        <v>8.3333333333333332E-3</v>
      </c>
      <c r="C39">
        <f>Veen!AP21</f>
        <v>2</v>
      </c>
      <c r="D39">
        <f>Veen!AB21</f>
        <v>6</v>
      </c>
      <c r="E39" t="str">
        <f>IF(Veen!AI21=0.25,"kwart",IF(Veen!AI21=0.5,"half",IF(Veen!AI21=0.9,"vol","fout")))</f>
        <v>kwart</v>
      </c>
      <c r="F39">
        <f>Veen!H21</f>
        <v>3</v>
      </c>
      <c r="G39">
        <f>Veen!S21</f>
        <v>3</v>
      </c>
      <c r="H39">
        <f>Veen!I21</f>
        <v>0.1</v>
      </c>
      <c r="I39">
        <f>Veen!P21</f>
        <v>0.44999999999999996</v>
      </c>
      <c r="J39">
        <f>Veen!J21</f>
        <v>4</v>
      </c>
      <c r="K39">
        <f>Veen!Q21</f>
        <v>1.9000000000000004</v>
      </c>
      <c r="L39">
        <f>Veen!K21</f>
        <v>4.5999999999999996</v>
      </c>
      <c r="M39">
        <f>Veen!R21</f>
        <v>4.5999999999999996</v>
      </c>
      <c r="N39" t="str">
        <f>Veen!AA21</f>
        <v>T3k2</v>
      </c>
    </row>
    <row r="40" spans="1:14" x14ac:dyDescent="0.15">
      <c r="A40" t="str">
        <f>Veen!AO22</f>
        <v>Veen</v>
      </c>
      <c r="B40">
        <f>Veen!AE22/600</f>
        <v>8.3333333333333332E-3</v>
      </c>
      <c r="C40">
        <f>Veen!AP22</f>
        <v>1</v>
      </c>
      <c r="D40">
        <f>Veen!AB22</f>
        <v>3</v>
      </c>
      <c r="E40" t="str">
        <f>IF(Veen!AI22=0.25,"kwart",IF(Veen!AI22=0.5,"half",IF(Veen!AI22=0.9,"vol","fout")))</f>
        <v>half</v>
      </c>
      <c r="F40">
        <f>Veen!H22</f>
        <v>2</v>
      </c>
      <c r="G40">
        <f>Veen!S22</f>
        <v>2</v>
      </c>
      <c r="H40">
        <f>Veen!I22</f>
        <v>0.2</v>
      </c>
      <c r="I40">
        <f>Veen!P22</f>
        <v>0.55000000000000004</v>
      </c>
      <c r="J40">
        <f>Veen!J22</f>
        <v>2.4500000000000002</v>
      </c>
      <c r="K40">
        <f>Veen!Q22</f>
        <v>1.05</v>
      </c>
      <c r="L40">
        <f>Veen!K22</f>
        <v>3.25</v>
      </c>
      <c r="M40">
        <f>Veen!R22</f>
        <v>3.25</v>
      </c>
      <c r="N40" t="str">
        <f>Veen!AA22</f>
        <v>T3h</v>
      </c>
    </row>
    <row r="41" spans="1:14" x14ac:dyDescent="0.15">
      <c r="A41" t="str">
        <f>Veen!AO23</f>
        <v>Veen</v>
      </c>
      <c r="B41">
        <f>Veen!AE23/600</f>
        <v>8.3333333333333332E-3</v>
      </c>
      <c r="C41">
        <f>Veen!AP23</f>
        <v>2</v>
      </c>
      <c r="D41">
        <f>Veen!AB23</f>
        <v>4</v>
      </c>
      <c r="E41" t="str">
        <f>IF(Veen!AI23=0.25,"kwart",IF(Veen!AI23=0.5,"half",IF(Veen!AI23=0.9,"vol","fout")))</f>
        <v>half</v>
      </c>
      <c r="F41">
        <f>Veen!H23</f>
        <v>3</v>
      </c>
      <c r="G41">
        <f>Veen!S23</f>
        <v>3</v>
      </c>
      <c r="H41">
        <f>Veen!I23</f>
        <v>0.15</v>
      </c>
      <c r="I41">
        <f>Veen!P23</f>
        <v>0.5</v>
      </c>
      <c r="J41">
        <f>Veen!J23</f>
        <v>4</v>
      </c>
      <c r="K41">
        <f>Veen!Q23</f>
        <v>1.9000000000000004</v>
      </c>
      <c r="L41">
        <f>Veen!K23</f>
        <v>4.9000000000000004</v>
      </c>
      <c r="M41">
        <f>Veen!R23</f>
        <v>4.9000000000000004</v>
      </c>
      <c r="N41" t="str">
        <f>Veen!AA23</f>
        <v>T3h2</v>
      </c>
    </row>
    <row r="42" spans="1:14" x14ac:dyDescent="0.15">
      <c r="A42" t="str">
        <f>Veen!AO24</f>
        <v>Veen</v>
      </c>
      <c r="B42">
        <f>Veen!AE24/600</f>
        <v>8.3333333333333332E-3</v>
      </c>
      <c r="C42">
        <f>Veen!AP24</f>
        <v>1</v>
      </c>
      <c r="D42">
        <f>Veen!AB24</f>
        <v>1</v>
      </c>
      <c r="E42" t="str">
        <f>IF(Veen!AI24=0.25,"kwart",IF(Veen!AI24=0.5,"half",IF(Veen!AI24=0.9,"vol","fout")))</f>
        <v>vol</v>
      </c>
      <c r="F42">
        <f>Veen!H24</f>
        <v>3</v>
      </c>
      <c r="G42">
        <f>Veen!S24</f>
        <v>3</v>
      </c>
      <c r="H42">
        <f>Veen!I24</f>
        <v>0.5</v>
      </c>
      <c r="I42">
        <f>Veen!P24</f>
        <v>0.85</v>
      </c>
      <c r="J42">
        <f>Veen!J24</f>
        <v>4.2</v>
      </c>
      <c r="K42">
        <f>Veen!Q24</f>
        <v>2.1000000000000005</v>
      </c>
      <c r="L42">
        <f>Veen!K24</f>
        <v>7.2</v>
      </c>
      <c r="M42">
        <f>Veen!R24</f>
        <v>7.2</v>
      </c>
      <c r="N42" t="str">
        <f>Veen!AA24</f>
        <v>T3v</v>
      </c>
    </row>
    <row r="43" spans="1:14" x14ac:dyDescent="0.15">
      <c r="A43" t="str">
        <f>Veen!AO25</f>
        <v>Veen</v>
      </c>
      <c r="B43">
        <f>Veen!AE25/600</f>
        <v>8.3333333333333332E-3</v>
      </c>
      <c r="C43">
        <f>Veen!AP25</f>
        <v>2</v>
      </c>
      <c r="D43">
        <f>Veen!AB25</f>
        <v>2</v>
      </c>
      <c r="E43" t="str">
        <f>IF(Veen!AI25=0.25,"kwart",IF(Veen!AI25=0.5,"half",IF(Veen!AI25=0.9,"vol","fout")))</f>
        <v>vol</v>
      </c>
      <c r="F43">
        <f>Veen!H25</f>
        <v>4</v>
      </c>
      <c r="G43">
        <f>Veen!S25</f>
        <v>4</v>
      </c>
      <c r="H43">
        <f>Veen!I25</f>
        <v>0.3</v>
      </c>
      <c r="I43">
        <f>Veen!P25</f>
        <v>0.64999999999999991</v>
      </c>
      <c r="J43">
        <f>Veen!J25</f>
        <v>9.8000000000000007</v>
      </c>
      <c r="K43">
        <f>Veen!Q25</f>
        <v>7.0000000000000018</v>
      </c>
      <c r="L43">
        <f>Veen!K25</f>
        <v>12.200000000000001</v>
      </c>
      <c r="M43">
        <f>Veen!R25</f>
        <v>12.200000000000001</v>
      </c>
      <c r="N43" t="str">
        <f>Veen!AA25</f>
        <v>T3v2</v>
      </c>
    </row>
    <row r="44" spans="1:14" x14ac:dyDescent="0.15">
      <c r="A44" t="str">
        <f>Veen!AO26</f>
        <v>Veen</v>
      </c>
      <c r="B44">
        <f>Veen!AE26/600</f>
        <v>1.6666666666666666E-2</v>
      </c>
      <c r="C44">
        <f>Veen!AP26</f>
        <v>1</v>
      </c>
      <c r="D44">
        <f>Veen!AB26</f>
        <v>5</v>
      </c>
      <c r="E44" t="str">
        <f>IF(Veen!AI26=0.25,"kwart",IF(Veen!AI26=0.5,"half",IF(Veen!AI26=0.9,"vol","fout")))</f>
        <v>kwart</v>
      </c>
      <c r="F44">
        <f>Veen!H26</f>
        <v>3</v>
      </c>
      <c r="G44">
        <f>Veen!S26</f>
        <v>3</v>
      </c>
      <c r="H44">
        <f>Veen!I26</f>
        <v>0.15</v>
      </c>
      <c r="I44">
        <f>Veen!P26</f>
        <v>0.5</v>
      </c>
      <c r="J44">
        <f>Veen!J26</f>
        <v>4.0999999999999996</v>
      </c>
      <c r="K44">
        <f>Veen!Q26</f>
        <v>2</v>
      </c>
      <c r="L44">
        <f>Veen!K26</f>
        <v>5</v>
      </c>
      <c r="M44">
        <f>Veen!R26</f>
        <v>5</v>
      </c>
      <c r="N44" t="str">
        <f>Veen!AA26</f>
        <v>A3k</v>
      </c>
    </row>
    <row r="45" spans="1:14" x14ac:dyDescent="0.15">
      <c r="A45" t="str">
        <f>Veen!AO27</f>
        <v>Veen</v>
      </c>
      <c r="B45">
        <f>Veen!AE27/600</f>
        <v>1.6666666666666666E-2</v>
      </c>
      <c r="C45">
        <f>Veen!AP27</f>
        <v>2</v>
      </c>
      <c r="D45">
        <f>Veen!AB27</f>
        <v>6</v>
      </c>
      <c r="E45" t="str">
        <f>IF(Veen!AI27=0.25,"kwart",IF(Veen!AI27=0.5,"half",IF(Veen!AI27=0.9,"vol","fout")))</f>
        <v>kwart</v>
      </c>
      <c r="F45">
        <f>Veen!H27</f>
        <v>3</v>
      </c>
      <c r="G45">
        <f>Veen!S27</f>
        <v>3</v>
      </c>
      <c r="H45">
        <f>Veen!I27</f>
        <v>0.1</v>
      </c>
      <c r="I45">
        <f>Veen!P27</f>
        <v>0.44999999999999996</v>
      </c>
      <c r="J45">
        <f>Veen!J27</f>
        <v>8.15</v>
      </c>
      <c r="K45">
        <f>Veen!Q27</f>
        <v>6.0500000000000007</v>
      </c>
      <c r="L45">
        <f>Veen!K27</f>
        <v>8.75</v>
      </c>
      <c r="M45">
        <f>Veen!R27</f>
        <v>8.75</v>
      </c>
      <c r="N45" t="str">
        <f>Veen!AA27</f>
        <v>A3k2</v>
      </c>
    </row>
    <row r="46" spans="1:14" x14ac:dyDescent="0.15">
      <c r="A46" t="str">
        <f>Veen!AO28</f>
        <v>Veen</v>
      </c>
      <c r="B46">
        <f>Veen!AE28/600</f>
        <v>1.6666666666666666E-2</v>
      </c>
      <c r="C46">
        <f>Veen!AP28</f>
        <v>1</v>
      </c>
      <c r="D46">
        <f>Veen!AB28</f>
        <v>3</v>
      </c>
      <c r="E46" t="str">
        <f>IF(Veen!AI28=0.25,"kwart",IF(Veen!AI28=0.5,"half",IF(Veen!AI28=0.9,"vol","fout")))</f>
        <v>half</v>
      </c>
      <c r="F46">
        <f>Veen!H28</f>
        <v>3</v>
      </c>
      <c r="G46">
        <f>Veen!S28</f>
        <v>3</v>
      </c>
      <c r="H46">
        <f>Veen!I28</f>
        <v>0.2</v>
      </c>
      <c r="I46">
        <f>Veen!P28</f>
        <v>0.55000000000000004</v>
      </c>
      <c r="J46">
        <f>Veen!J28</f>
        <v>4.8499999999999996</v>
      </c>
      <c r="K46">
        <f>Veen!Q28</f>
        <v>2.7499999999999996</v>
      </c>
      <c r="L46">
        <f>Veen!K28</f>
        <v>6.05</v>
      </c>
      <c r="M46">
        <f>Veen!R28</f>
        <v>6.05</v>
      </c>
      <c r="N46" t="str">
        <f>Veen!AA28</f>
        <v>A3h</v>
      </c>
    </row>
    <row r="47" spans="1:14" x14ac:dyDescent="0.15">
      <c r="A47" t="str">
        <f>Veen!AO29</f>
        <v>Veen</v>
      </c>
      <c r="B47">
        <f>Veen!AE29/600</f>
        <v>1.6666666666666666E-2</v>
      </c>
      <c r="C47">
        <f>Veen!AP29</f>
        <v>2</v>
      </c>
      <c r="D47">
        <f>Veen!AB29</f>
        <v>4</v>
      </c>
      <c r="E47" t="str">
        <f>IF(Veen!AI29=0.25,"kwart",IF(Veen!AI29=0.5,"half",IF(Veen!AI29=0.9,"vol","fout")))</f>
        <v>half</v>
      </c>
      <c r="F47">
        <f>Veen!H29</f>
        <v>3</v>
      </c>
      <c r="G47">
        <f>Veen!S29</f>
        <v>3</v>
      </c>
      <c r="H47">
        <f>Veen!I29</f>
        <v>0.15</v>
      </c>
      <c r="I47">
        <f>Veen!P29</f>
        <v>0.5</v>
      </c>
      <c r="J47">
        <f>Veen!J29</f>
        <v>7.95</v>
      </c>
      <c r="K47">
        <f>Veen!Q29</f>
        <v>5.8500000000000005</v>
      </c>
      <c r="L47">
        <f>Veen!K29</f>
        <v>8.85</v>
      </c>
      <c r="M47">
        <f>Veen!R29</f>
        <v>8.8500000000000014</v>
      </c>
      <c r="N47" t="str">
        <f>Veen!AA29</f>
        <v>A3h2</v>
      </c>
    </row>
    <row r="48" spans="1:14" x14ac:dyDescent="0.15">
      <c r="A48" t="str">
        <f>Veen!AO30</f>
        <v>Veen</v>
      </c>
      <c r="B48">
        <f>Veen!AE30/600</f>
        <v>1.6666666666666666E-2</v>
      </c>
      <c r="C48">
        <f>Veen!AP30</f>
        <v>1</v>
      </c>
      <c r="D48">
        <f>Veen!AB30</f>
        <v>1</v>
      </c>
      <c r="E48" t="str">
        <f>IF(Veen!AI30=0.25,"kwart",IF(Veen!AI30=0.5,"half",IF(Veen!AI30=0.9,"vol","fout")))</f>
        <v>vol</v>
      </c>
      <c r="F48">
        <f>Veen!H30</f>
        <v>4</v>
      </c>
      <c r="G48">
        <f>Veen!S30</f>
        <v>4</v>
      </c>
      <c r="H48">
        <f>Veen!I30</f>
        <v>0.5</v>
      </c>
      <c r="I48">
        <f>Veen!P30</f>
        <v>0.85</v>
      </c>
      <c r="J48">
        <f>Veen!J30</f>
        <v>9.0500000000000007</v>
      </c>
      <c r="K48">
        <f>Veen!Q30</f>
        <v>6.2500000000000009</v>
      </c>
      <c r="L48">
        <f>Veen!K30</f>
        <v>13.05</v>
      </c>
      <c r="M48">
        <f>Veen!R30</f>
        <v>13.05</v>
      </c>
      <c r="N48" t="str">
        <f>Veen!AA30</f>
        <v>A3v</v>
      </c>
    </row>
    <row r="49" spans="1:14" x14ac:dyDescent="0.15">
      <c r="A49" t="str">
        <f>Veen!AO31</f>
        <v>Veen</v>
      </c>
      <c r="B49">
        <f>Veen!AE31/600</f>
        <v>1.6666666666666666E-2</v>
      </c>
      <c r="C49">
        <f>Veen!AP31</f>
        <v>2</v>
      </c>
      <c r="D49">
        <f>Veen!AB31</f>
        <v>2</v>
      </c>
      <c r="E49" t="str">
        <f>IF(Veen!AI31=0.25,"kwart",IF(Veen!AI31=0.5,"half",IF(Veen!AI31=0.9,"vol","fout")))</f>
        <v>vol</v>
      </c>
      <c r="F49">
        <f>Veen!H31</f>
        <v>4</v>
      </c>
      <c r="G49">
        <f>Veen!S31</f>
        <v>4</v>
      </c>
      <c r="H49">
        <f>Veen!I31</f>
        <v>0.3</v>
      </c>
      <c r="I49">
        <f>Veen!P31</f>
        <v>0.64999999999999991</v>
      </c>
      <c r="J49">
        <f>Veen!J31</f>
        <v>20.399999999999999</v>
      </c>
      <c r="K49">
        <f>Veen!Q31</f>
        <v>17.599999999999998</v>
      </c>
      <c r="L49">
        <f>Veen!K31</f>
        <v>22.799999999999997</v>
      </c>
      <c r="M49">
        <f>Veen!R31</f>
        <v>22.799999999999997</v>
      </c>
      <c r="N49" t="str">
        <f>Veen!AA31</f>
        <v>A3v2</v>
      </c>
    </row>
    <row r="50" spans="1:14" x14ac:dyDescent="0.15">
      <c r="A50" t="str">
        <f>Veen!AO32</f>
        <v>Veen</v>
      </c>
      <c r="B50">
        <f>Veen!AE32/600</f>
        <v>4.1666666666666664E-2</v>
      </c>
      <c r="C50">
        <f>Veen!AP32</f>
        <v>1</v>
      </c>
      <c r="D50">
        <f>Veen!AB32</f>
        <v>3</v>
      </c>
      <c r="E50" t="str">
        <f>IF(Veen!AI32=0.25,"kwart",IF(Veen!AI32=0.5,"half",IF(Veen!AI32=0.9,"vol","fout")))</f>
        <v>kwart</v>
      </c>
      <c r="F50">
        <f>Veen!H32</f>
        <v>3</v>
      </c>
      <c r="G50">
        <f>Veen!S32</f>
        <v>3</v>
      </c>
      <c r="H50">
        <f>Veen!I32</f>
        <v>0.2</v>
      </c>
      <c r="I50">
        <f>Veen!P32</f>
        <v>0.55000000000000004</v>
      </c>
      <c r="J50">
        <f>Veen!J32</f>
        <v>6.4</v>
      </c>
      <c r="K50">
        <f>Veen!Q32</f>
        <v>4.3000000000000007</v>
      </c>
      <c r="L50">
        <f>Veen!K32</f>
        <v>7.6000000000000005</v>
      </c>
      <c r="M50">
        <f>Veen!R32</f>
        <v>7.6000000000000014</v>
      </c>
      <c r="N50" t="str">
        <f>Veen!AA32</f>
        <v>B3k</v>
      </c>
    </row>
    <row r="51" spans="1:14" x14ac:dyDescent="0.15">
      <c r="A51" t="str">
        <f>Veen!AO33</f>
        <v>Veen</v>
      </c>
      <c r="B51">
        <f>Veen!AE33/600</f>
        <v>4.1666666666666664E-2</v>
      </c>
      <c r="C51">
        <f>Veen!AP33</f>
        <v>1</v>
      </c>
      <c r="D51">
        <f>Veen!AB33</f>
        <v>2</v>
      </c>
      <c r="E51" t="str">
        <f>IF(Veen!AI33=0.25,"kwart",IF(Veen!AI33=0.5,"half",IF(Veen!AI33=0.9,"vol","fout")))</f>
        <v>half</v>
      </c>
      <c r="F51">
        <f>Veen!H33</f>
        <v>4</v>
      </c>
      <c r="G51">
        <f>Veen!S33</f>
        <v>4</v>
      </c>
      <c r="H51">
        <f>Veen!I33</f>
        <v>0.25</v>
      </c>
      <c r="I51">
        <f>Veen!P33</f>
        <v>0.6</v>
      </c>
      <c r="J51">
        <f>Veen!J33</f>
        <v>8.4</v>
      </c>
      <c r="K51">
        <f>Veen!Q33</f>
        <v>5.6000000000000005</v>
      </c>
      <c r="L51">
        <f>Veen!K33</f>
        <v>10.4</v>
      </c>
      <c r="M51">
        <f>Veen!R33</f>
        <v>10.4</v>
      </c>
      <c r="N51" t="str">
        <f>Veen!AA33</f>
        <v>B3h</v>
      </c>
    </row>
    <row r="52" spans="1:14" x14ac:dyDescent="0.15">
      <c r="A52" t="str">
        <f>Veen!AO34</f>
        <v>Veen</v>
      </c>
      <c r="B52">
        <f>Veen!AE34/600</f>
        <v>4.1666666666666664E-2</v>
      </c>
      <c r="C52">
        <f>Veen!AP34</f>
        <v>1</v>
      </c>
      <c r="D52">
        <f>Veen!AB34</f>
        <v>1</v>
      </c>
      <c r="E52" t="str">
        <f>IF(Veen!AI34=0.25,"kwart",IF(Veen!AI34=0.5,"half",IF(Veen!AI34=0.9,"vol","fout")))</f>
        <v>vol</v>
      </c>
      <c r="F52">
        <f>Veen!H34</f>
        <v>4</v>
      </c>
      <c r="G52">
        <f>Veen!S34</f>
        <v>4</v>
      </c>
      <c r="H52">
        <f>Veen!I34</f>
        <v>0.35</v>
      </c>
      <c r="I52">
        <f>Veen!P34</f>
        <v>0.7</v>
      </c>
      <c r="J52">
        <f>Veen!J34</f>
        <v>41.5</v>
      </c>
      <c r="K52">
        <f>Veen!Q34</f>
        <v>38.700000000000003</v>
      </c>
      <c r="L52">
        <f>Veen!K34</f>
        <v>44.3</v>
      </c>
      <c r="M52">
        <f>Veen!R34</f>
        <v>44.300000000000004</v>
      </c>
      <c r="N52" t="str">
        <f>Veen!AA34</f>
        <v>B3v</v>
      </c>
    </row>
    <row r="53" spans="1:14" x14ac:dyDescent="0.15">
      <c r="A53" t="str">
        <f>Veen!AO35</f>
        <v>Veen</v>
      </c>
      <c r="B53">
        <f>Veen!AE35/600</f>
        <v>6.6666666666666666E-2</v>
      </c>
      <c r="C53">
        <f>Veen!AP35</f>
        <v>1</v>
      </c>
      <c r="D53">
        <f>Veen!AB35</f>
        <v>3</v>
      </c>
      <c r="E53" t="str">
        <f>IF(Veen!AI35=0.25,"kwart",IF(Veen!AI35=0.5,"half",IF(Veen!AI35=0.9,"vol","fout")))</f>
        <v>kwart</v>
      </c>
      <c r="F53">
        <f>Veen!H35</f>
        <v>3</v>
      </c>
      <c r="G53">
        <f>Veen!S35</f>
        <v>3</v>
      </c>
      <c r="H53">
        <f>Veen!I35</f>
        <v>0.25</v>
      </c>
      <c r="I53">
        <f>Veen!P35</f>
        <v>0.6</v>
      </c>
      <c r="J53">
        <f>Veen!J35</f>
        <v>7</v>
      </c>
      <c r="K53">
        <f>Veen!Q35</f>
        <v>4.9000000000000004</v>
      </c>
      <c r="L53">
        <f>Veen!K35</f>
        <v>8.5</v>
      </c>
      <c r="M53">
        <f>Veen!R35</f>
        <v>8.5</v>
      </c>
      <c r="N53" t="str">
        <f>Veen!AA35</f>
        <v>C3k</v>
      </c>
    </row>
    <row r="54" spans="1:14" x14ac:dyDescent="0.15">
      <c r="A54" t="str">
        <f>Veen!AO36</f>
        <v>Veen</v>
      </c>
      <c r="B54">
        <f>Veen!AE36/600</f>
        <v>6.6666666666666666E-2</v>
      </c>
      <c r="C54">
        <f>Veen!AP36</f>
        <v>1</v>
      </c>
      <c r="D54">
        <f>Veen!AB36</f>
        <v>2</v>
      </c>
      <c r="E54" t="str">
        <f>IF(Veen!AI36=0.25,"kwart",IF(Veen!AI36=0.5,"half",IF(Veen!AI36=0.9,"vol","fout")))</f>
        <v>half</v>
      </c>
      <c r="F54">
        <f>Veen!H36</f>
        <v>4</v>
      </c>
      <c r="G54">
        <f>Veen!S36</f>
        <v>4</v>
      </c>
      <c r="H54">
        <f>Veen!I36</f>
        <v>0.3</v>
      </c>
      <c r="I54">
        <f>Veen!P36</f>
        <v>0.64999999999999991</v>
      </c>
      <c r="J54">
        <f>Veen!J36</f>
        <v>9.9</v>
      </c>
      <c r="K54">
        <f>Veen!Q36</f>
        <v>7.1000000000000014</v>
      </c>
      <c r="L54">
        <f>Veen!K36</f>
        <v>12.3</v>
      </c>
      <c r="M54">
        <f>Veen!R36</f>
        <v>12.3</v>
      </c>
      <c r="N54" t="str">
        <f>Veen!AA36</f>
        <v>C3h</v>
      </c>
    </row>
    <row r="55" spans="1:14" x14ac:dyDescent="0.15">
      <c r="A55" t="str">
        <f>Veen!AO37</f>
        <v>Veen</v>
      </c>
      <c r="B55">
        <f>Veen!AE37/600</f>
        <v>6.6666666666666666E-2</v>
      </c>
      <c r="C55">
        <f>Veen!AP37</f>
        <v>1</v>
      </c>
      <c r="D55">
        <f>Veen!AB37</f>
        <v>1</v>
      </c>
      <c r="E55" t="str">
        <f>IF(Veen!AI37=0.25,"kwart",IF(Veen!AI37=0.5,"half",IF(Veen!AI37=0.9,"vol","fout")))</f>
        <v>vol</v>
      </c>
      <c r="F55">
        <f>Veen!H37</f>
        <v>4</v>
      </c>
      <c r="G55">
        <f>Veen!S37</f>
        <v>4</v>
      </c>
      <c r="H55">
        <f>Veen!I37</f>
        <v>0.4</v>
      </c>
      <c r="I55">
        <f>Veen!P37</f>
        <v>0.75</v>
      </c>
      <c r="J55">
        <f>Veen!J37</f>
        <v>55.5</v>
      </c>
      <c r="K55">
        <f>Veen!Q37</f>
        <v>52.7</v>
      </c>
      <c r="L55">
        <f>Veen!K37</f>
        <v>58.7</v>
      </c>
      <c r="M55">
        <f>Veen!R37</f>
        <v>58.7</v>
      </c>
      <c r="N55" t="str">
        <f>Veen!AA37</f>
        <v>C3v</v>
      </c>
    </row>
    <row r="56" spans="1:14" x14ac:dyDescent="0.15">
      <c r="A56" t="str">
        <f>Veen!AO38</f>
        <v>Veen</v>
      </c>
      <c r="B56">
        <f>Veen!AE38/600</f>
        <v>8.3333333333333329E-2</v>
      </c>
      <c r="C56">
        <f>Veen!AP38</f>
        <v>1</v>
      </c>
      <c r="D56">
        <f>Veen!AB38</f>
        <v>3</v>
      </c>
      <c r="E56" t="str">
        <f>IF(Veen!AI38=0.25,"kwart",IF(Veen!AI38=0.5,"half",IF(Veen!AI38=0.9,"vol","fout")))</f>
        <v>kwart</v>
      </c>
      <c r="F56">
        <f>Veen!H38</f>
        <v>4</v>
      </c>
      <c r="G56">
        <f>Veen!S38</f>
        <v>4</v>
      </c>
      <c r="H56">
        <f>Veen!I38</f>
        <v>0.25</v>
      </c>
      <c r="I56">
        <f>Veen!P38</f>
        <v>0.6</v>
      </c>
      <c r="J56">
        <f>Veen!J38</f>
        <v>8.6999999999999993</v>
      </c>
      <c r="K56">
        <f>Veen!Q38</f>
        <v>5.8999999999999995</v>
      </c>
      <c r="L56">
        <f>Veen!K38</f>
        <v>10.7</v>
      </c>
      <c r="M56">
        <f>Veen!R38</f>
        <v>10.7</v>
      </c>
      <c r="N56" t="str">
        <f>Veen!AA38</f>
        <v>D3k</v>
      </c>
    </row>
    <row r="57" spans="1:14" x14ac:dyDescent="0.15">
      <c r="A57" t="str">
        <f>Veen!AO39</f>
        <v>Veen</v>
      </c>
      <c r="B57">
        <f>Veen!AE39/600</f>
        <v>8.3333333333333329E-2</v>
      </c>
      <c r="C57">
        <f>Veen!AP39</f>
        <v>1</v>
      </c>
      <c r="D57">
        <f>Veen!AB39</f>
        <v>2</v>
      </c>
      <c r="E57" t="str">
        <f>IF(Veen!AI39=0.25,"kwart",IF(Veen!AI39=0.5,"half",IF(Veen!AI39=0.9,"vol","fout")))</f>
        <v>half</v>
      </c>
      <c r="F57">
        <f>Veen!H39</f>
        <v>4</v>
      </c>
      <c r="G57">
        <f>Veen!S39</f>
        <v>4</v>
      </c>
      <c r="H57">
        <f>Veen!I39</f>
        <v>0.3</v>
      </c>
      <c r="I57">
        <f>Veen!P39</f>
        <v>0.64999999999999991</v>
      </c>
      <c r="J57">
        <f>Veen!J39</f>
        <v>12.5</v>
      </c>
      <c r="K57">
        <f>Veen!Q39</f>
        <v>9.7000000000000011</v>
      </c>
      <c r="L57">
        <f>Veen!K39</f>
        <v>14.9</v>
      </c>
      <c r="M57">
        <f>Veen!R39</f>
        <v>14.9</v>
      </c>
      <c r="N57" t="str">
        <f>Veen!AA39</f>
        <v>D3h</v>
      </c>
    </row>
    <row r="58" spans="1:14" x14ac:dyDescent="0.15">
      <c r="A58" t="str">
        <f>Veen!AO40</f>
        <v>Veen</v>
      </c>
      <c r="B58">
        <f>Veen!AE40/600</f>
        <v>8.3333333333333329E-2</v>
      </c>
      <c r="C58">
        <f>Veen!AP40</f>
        <v>1</v>
      </c>
      <c r="D58">
        <f>Veen!AB40</f>
        <v>1</v>
      </c>
      <c r="E58" t="str">
        <f>IF(Veen!AI40=0.25,"kwart",IF(Veen!AI40=0.5,"half",IF(Veen!AI40=0.9,"vol","fout")))</f>
        <v>vol</v>
      </c>
      <c r="F58">
        <f>Veen!H40</f>
        <v>4</v>
      </c>
      <c r="G58">
        <f>Veen!S40</f>
        <v>4</v>
      </c>
      <c r="H58">
        <f>Veen!I40</f>
        <v>0.45</v>
      </c>
      <c r="I58">
        <f>Veen!P40</f>
        <v>0.8</v>
      </c>
      <c r="J58">
        <f>Veen!J40</f>
        <v>59</v>
      </c>
      <c r="K58">
        <f>Veen!Q40</f>
        <v>56.2</v>
      </c>
      <c r="L58">
        <f>Veen!K40</f>
        <v>62.6</v>
      </c>
      <c r="M58">
        <f>Veen!R40</f>
        <v>62.6</v>
      </c>
      <c r="N58" t="str">
        <f>Veen!AA40</f>
        <v>D3v</v>
      </c>
    </row>
    <row r="59" spans="1:14" x14ac:dyDescent="0.15">
      <c r="A59" t="str">
        <f>Veen!AO41</f>
        <v>Veen</v>
      </c>
      <c r="B59">
        <f>Veen!AE41/600</f>
        <v>0.125</v>
      </c>
      <c r="C59">
        <f>Veen!AP41</f>
        <v>1</v>
      </c>
      <c r="D59">
        <f>Veen!AB41</f>
        <v>3</v>
      </c>
      <c r="E59" t="str">
        <f>IF(Veen!AI41=0.25,"kwart",IF(Veen!AI41=0.5,"half",IF(Veen!AI41=0.9,"vol","fout")))</f>
        <v>kwart</v>
      </c>
      <c r="F59">
        <f>Veen!H41</f>
        <v>4</v>
      </c>
      <c r="G59">
        <f>Veen!S41</f>
        <v>4</v>
      </c>
      <c r="H59">
        <f>Veen!I41</f>
        <v>0.3</v>
      </c>
      <c r="I59">
        <f>Veen!P41</f>
        <v>0.64999999999999991</v>
      </c>
      <c r="J59">
        <f>Veen!J41</f>
        <v>9.6</v>
      </c>
      <c r="K59">
        <f>Veen!Q41</f>
        <v>6.8000000000000007</v>
      </c>
      <c r="L59">
        <f>Veen!K41</f>
        <v>12</v>
      </c>
      <c r="M59">
        <f>Veen!R41</f>
        <v>12</v>
      </c>
      <c r="N59" t="str">
        <f>Veen!AA41</f>
        <v>E3k</v>
      </c>
    </row>
    <row r="60" spans="1:14" x14ac:dyDescent="0.15">
      <c r="A60" t="str">
        <f>Veen!AO42</f>
        <v>Veen</v>
      </c>
      <c r="B60">
        <f>Veen!AE42/600</f>
        <v>0.125</v>
      </c>
      <c r="C60">
        <f>Veen!AP42</f>
        <v>1</v>
      </c>
      <c r="D60">
        <f>Veen!AB42</f>
        <v>2</v>
      </c>
      <c r="E60" t="str">
        <f>IF(Veen!AI42=0.25,"kwart",IF(Veen!AI42=0.5,"half",IF(Veen!AI42=0.9,"vol","fout")))</f>
        <v>half</v>
      </c>
      <c r="F60">
        <f>Veen!H42</f>
        <v>4</v>
      </c>
      <c r="G60">
        <f>Veen!S42</f>
        <v>4</v>
      </c>
      <c r="H60">
        <f>Veen!I42</f>
        <v>0.35</v>
      </c>
      <c r="I60">
        <f>Veen!P42</f>
        <v>0.7</v>
      </c>
      <c r="J60">
        <f>Veen!J42</f>
        <v>14.5</v>
      </c>
      <c r="K60">
        <f>Veen!Q42</f>
        <v>11.7</v>
      </c>
      <c r="L60">
        <f>Veen!K42</f>
        <v>17.3</v>
      </c>
      <c r="M60">
        <f>Veen!R42</f>
        <v>17.3</v>
      </c>
      <c r="N60" t="str">
        <f>Veen!AA42</f>
        <v>E3h</v>
      </c>
    </row>
    <row r="61" spans="1:14" x14ac:dyDescent="0.15">
      <c r="A61" t="str">
        <f>Veen!AO43</f>
        <v>Veen</v>
      </c>
      <c r="B61">
        <f>Veen!AE43/600</f>
        <v>0.125</v>
      </c>
      <c r="C61">
        <f>Veen!AP43</f>
        <v>1</v>
      </c>
      <c r="D61">
        <f>Veen!AB43</f>
        <v>1</v>
      </c>
      <c r="E61" t="str">
        <f>IF(Veen!AI43=0.25,"kwart",IF(Veen!AI43=0.5,"half",IF(Veen!AI43=0.9,"vol","fout")))</f>
        <v>vol</v>
      </c>
      <c r="F61">
        <f>Veen!H43</f>
        <v>4</v>
      </c>
      <c r="G61">
        <f>Veen!S43</f>
        <v>4</v>
      </c>
      <c r="H61">
        <f>Veen!I43</f>
        <v>0.5</v>
      </c>
      <c r="I61">
        <f>Veen!P43</f>
        <v>0.85</v>
      </c>
      <c r="J61">
        <f>Veen!J43</f>
        <v>76.3</v>
      </c>
      <c r="K61">
        <f>Veen!Q43</f>
        <v>73.5</v>
      </c>
      <c r="L61">
        <f>Veen!K43</f>
        <v>80.3</v>
      </c>
      <c r="M61">
        <f>Veen!R43</f>
        <v>80.3</v>
      </c>
      <c r="N61" t="str">
        <f>Veen!AA43</f>
        <v>E3v</v>
      </c>
    </row>
    <row r="62" spans="1:14" x14ac:dyDescent="0.15">
      <c r="A62" t="str">
        <f>Veen!AO44</f>
        <v>Veen</v>
      </c>
      <c r="B62">
        <f>Veen!AE44/600</f>
        <v>0.16666666666666666</v>
      </c>
      <c r="C62">
        <f>Veen!AP44</f>
        <v>1</v>
      </c>
      <c r="D62">
        <f>Veen!AB44</f>
        <v>3</v>
      </c>
      <c r="E62" t="str">
        <f>IF(Veen!AI44=0.25,"kwart",IF(Veen!AI44=0.5,"half",IF(Veen!AI44=0.9,"vol","fout")))</f>
        <v>kwart</v>
      </c>
      <c r="F62">
        <f>Veen!H44</f>
        <v>4</v>
      </c>
      <c r="G62">
        <f>Veen!S44</f>
        <v>4</v>
      </c>
      <c r="H62">
        <f>Veen!I44</f>
        <v>0.35</v>
      </c>
      <c r="I62">
        <f>Veen!P44</f>
        <v>0.7</v>
      </c>
      <c r="J62">
        <f>Veen!J44</f>
        <v>9.9</v>
      </c>
      <c r="K62">
        <f>Veen!Q44</f>
        <v>7.1000000000000005</v>
      </c>
      <c r="L62">
        <f>Veen!K44</f>
        <v>12.7</v>
      </c>
      <c r="M62">
        <f>Veen!R44</f>
        <v>12.7</v>
      </c>
      <c r="N62" t="str">
        <f>Veen!AA44</f>
        <v>H3k</v>
      </c>
    </row>
    <row r="63" spans="1:14" x14ac:dyDescent="0.15">
      <c r="A63" t="str">
        <f>Veen!AO45</f>
        <v>Veen</v>
      </c>
      <c r="B63">
        <f>Veen!AE45/600</f>
        <v>0.16666666666666666</v>
      </c>
      <c r="C63">
        <f>Veen!AP45</f>
        <v>1</v>
      </c>
      <c r="D63">
        <f>Veen!AB45</f>
        <v>2</v>
      </c>
      <c r="E63" t="str">
        <f>IF(Veen!AI45=0.25,"kwart",IF(Veen!AI45=0.5,"half",IF(Veen!AI45=0.9,"vol","fout")))</f>
        <v>half</v>
      </c>
      <c r="F63">
        <f>Veen!H45</f>
        <v>4</v>
      </c>
      <c r="G63">
        <f>Veen!S45</f>
        <v>4</v>
      </c>
      <c r="H63">
        <f>Veen!I45</f>
        <v>0.4</v>
      </c>
      <c r="I63">
        <f>Veen!P45</f>
        <v>0.75</v>
      </c>
      <c r="J63">
        <f>Veen!J45</f>
        <v>15.45</v>
      </c>
      <c r="K63">
        <f>Veen!Q45</f>
        <v>12.649999999999999</v>
      </c>
      <c r="L63">
        <f>Veen!K45</f>
        <v>18.649999999999999</v>
      </c>
      <c r="M63">
        <f>Veen!R45</f>
        <v>18.649999999999999</v>
      </c>
      <c r="N63" t="str">
        <f>Veen!AA45</f>
        <v>H3h</v>
      </c>
    </row>
    <row r="64" spans="1:14" x14ac:dyDescent="0.15">
      <c r="A64" t="str">
        <f>Veen!AO46</f>
        <v>Veen</v>
      </c>
      <c r="B64">
        <f>Veen!AE46/600</f>
        <v>0.16666666666666666</v>
      </c>
      <c r="C64">
        <f>Veen!AP46</f>
        <v>1</v>
      </c>
      <c r="D64">
        <f>Veen!AB46</f>
        <v>1</v>
      </c>
      <c r="E64" t="str">
        <f>IF(Veen!AI46=0.25,"kwart",IF(Veen!AI46=0.5,"half",IF(Veen!AI46=0.9,"vol","fout")))</f>
        <v>vol</v>
      </c>
      <c r="F64">
        <f>Veen!H46</f>
        <v>4</v>
      </c>
      <c r="G64">
        <f>Veen!S46</f>
        <v>4</v>
      </c>
      <c r="H64">
        <f>Veen!I46</f>
        <v>0.6</v>
      </c>
      <c r="I64">
        <f>Veen!P46</f>
        <v>0.95</v>
      </c>
      <c r="J64">
        <f>Veen!J46</f>
        <v>78.099999999999994</v>
      </c>
      <c r="K64">
        <f>Veen!Q46</f>
        <v>75.3</v>
      </c>
      <c r="L64">
        <f>Veen!K46</f>
        <v>82.899999999999991</v>
      </c>
      <c r="M64">
        <f>Veen!R46</f>
        <v>82.899999999999991</v>
      </c>
      <c r="N64" t="str">
        <f>Veen!AA46</f>
        <v>H3v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2AF6-9208-420A-A911-C3F4859FB03A}">
  <dimension ref="A1:AW47"/>
  <sheetViews>
    <sheetView zoomScaleNormal="100" workbookViewId="0">
      <selection activeCell="AB2" sqref="AB2"/>
    </sheetView>
  </sheetViews>
  <sheetFormatPr defaultRowHeight="11.25" x14ac:dyDescent="0.15"/>
  <cols>
    <col min="1" max="1" width="8.25" customWidth="1"/>
    <col min="2" max="2" width="6.75" customWidth="1"/>
    <col min="3" max="3" width="4.875" customWidth="1"/>
    <col min="4" max="4" width="3.125" customWidth="1"/>
    <col min="5" max="5" width="9.25" customWidth="1"/>
    <col min="6" max="6" width="8.125" customWidth="1"/>
    <col min="7" max="7" width="10.25" customWidth="1"/>
    <col min="8" max="8" width="5.75" style="112" customWidth="1"/>
    <col min="9" max="11" width="7.75" style="112" customWidth="1"/>
    <col min="12" max="12" width="2.625" customWidth="1"/>
    <col min="13" max="13" width="11" customWidth="1"/>
    <col min="14" max="14" width="7.75" customWidth="1"/>
    <col min="15" max="15" width="3.5" customWidth="1"/>
    <col min="16" max="18" width="7.75" customWidth="1"/>
    <col min="19" max="19" width="5.75" customWidth="1"/>
    <col min="20" max="20" width="2.625" customWidth="1"/>
    <col min="21" max="21" width="8.75" customWidth="1"/>
    <col min="22" max="22" width="2.375" customWidth="1"/>
    <col min="23" max="25" width="7.75" customWidth="1"/>
    <col min="26" max="26" width="5.75" customWidth="1"/>
    <col min="27" max="27" width="8.125" customWidth="1"/>
    <col min="28" max="28" width="5.75" customWidth="1"/>
    <col min="29" max="29" width="22.875" bestFit="1" customWidth="1"/>
    <col min="30" max="30" width="4.625" customWidth="1"/>
    <col min="31" max="31" width="6.125" customWidth="1"/>
    <col min="32" max="32" width="9.125" customWidth="1"/>
    <col min="33" max="33" width="2.75" customWidth="1"/>
    <col min="44" max="44" width="20.625" customWidth="1"/>
  </cols>
  <sheetData>
    <row r="1" spans="1:49" x14ac:dyDescent="0.15">
      <c r="O1" s="19">
        <f>3*0.9</f>
        <v>2.7</v>
      </c>
      <c r="Q1">
        <v>0.15</v>
      </c>
      <c r="R1" t="s">
        <v>48</v>
      </c>
      <c r="U1" t="s">
        <v>82</v>
      </c>
      <c r="W1">
        <v>0.2</v>
      </c>
      <c r="X1" t="s">
        <v>48</v>
      </c>
      <c r="Y1" t="s">
        <v>189</v>
      </c>
      <c r="AB1">
        <v>0.2</v>
      </c>
      <c r="AC1" t="s">
        <v>48</v>
      </c>
    </row>
    <row r="2" spans="1:49" x14ac:dyDescent="0.15">
      <c r="E2" s="23" t="s">
        <v>76</v>
      </c>
      <c r="M2" t="s">
        <v>49</v>
      </c>
      <c r="O2">
        <v>6</v>
      </c>
      <c r="P2" t="s">
        <v>47</v>
      </c>
      <c r="Q2">
        <v>0.15</v>
      </c>
      <c r="R2" t="s">
        <v>48</v>
      </c>
      <c r="U2" t="s">
        <v>83</v>
      </c>
      <c r="W2">
        <v>0.25</v>
      </c>
      <c r="X2" t="s">
        <v>48</v>
      </c>
      <c r="Y2" t="s">
        <v>155</v>
      </c>
      <c r="AB2">
        <v>2</v>
      </c>
      <c r="AC2" t="s">
        <v>48</v>
      </c>
    </row>
    <row r="3" spans="1:49" x14ac:dyDescent="0.15">
      <c r="E3" s="23">
        <v>3</v>
      </c>
      <c r="M3" t="s">
        <v>46</v>
      </c>
      <c r="O3">
        <f>O2</f>
        <v>6</v>
      </c>
      <c r="P3" t="s">
        <v>47</v>
      </c>
      <c r="Q3">
        <v>0.2</v>
      </c>
      <c r="R3" t="s">
        <v>48</v>
      </c>
      <c r="U3" t="s">
        <v>84</v>
      </c>
      <c r="W3">
        <v>0.35</v>
      </c>
      <c r="X3" t="s">
        <v>48</v>
      </c>
      <c r="Y3" t="s">
        <v>188</v>
      </c>
      <c r="AB3">
        <v>0.5</v>
      </c>
      <c r="AC3" t="s">
        <v>48</v>
      </c>
    </row>
    <row r="4" spans="1:49" x14ac:dyDescent="0.15">
      <c r="E4" s="23" t="s">
        <v>73</v>
      </c>
    </row>
    <row r="5" spans="1:49" ht="20.25" customHeight="1" thickBot="1" x14ac:dyDescent="0.2">
      <c r="H5" s="140" t="s">
        <v>53</v>
      </c>
      <c r="I5" s="140"/>
      <c r="J5" s="140"/>
      <c r="K5" s="140"/>
      <c r="P5" s="141" t="s">
        <v>52</v>
      </c>
      <c r="Q5" s="141"/>
      <c r="R5" s="141"/>
      <c r="S5" s="141"/>
      <c r="W5" s="141" t="s">
        <v>51</v>
      </c>
      <c r="X5" s="141"/>
      <c r="Y5" s="141"/>
      <c r="Z5" s="141"/>
      <c r="AF5" s="33" t="s">
        <v>74</v>
      </c>
    </row>
    <row r="6" spans="1:49" ht="19.149999999999999" customHeight="1" thickBot="1" x14ac:dyDescent="0.2">
      <c r="E6" s="27"/>
      <c r="F6" s="27"/>
      <c r="G6" s="29"/>
      <c r="H6" s="142" t="s">
        <v>71</v>
      </c>
      <c r="I6" s="143"/>
      <c r="J6" s="143"/>
      <c r="K6" s="144"/>
      <c r="L6" s="28"/>
      <c r="M6" s="27"/>
      <c r="N6" s="27"/>
      <c r="O6" s="29"/>
      <c r="P6" s="145" t="s">
        <v>96</v>
      </c>
      <c r="Q6" s="146"/>
      <c r="R6" s="146"/>
      <c r="S6" s="147"/>
      <c r="T6" s="27"/>
      <c r="U6" s="27"/>
      <c r="V6" s="29"/>
      <c r="W6" s="145" t="s">
        <v>39</v>
      </c>
      <c r="X6" s="146"/>
      <c r="Y6" s="146"/>
      <c r="Z6" s="147"/>
      <c r="AA6" s="30"/>
      <c r="AB6" s="86"/>
      <c r="AC6" s="27"/>
      <c r="AR6" t="s">
        <v>26</v>
      </c>
      <c r="AS6" s="21">
        <v>21</v>
      </c>
      <c r="AT6" s="21"/>
      <c r="AU6" s="22" t="s">
        <v>27</v>
      </c>
    </row>
    <row r="7" spans="1:49" ht="36.75" thickBot="1" x14ac:dyDescent="0.2">
      <c r="A7" s="4" t="s">
        <v>41</v>
      </c>
      <c r="B7" s="4" t="s">
        <v>42</v>
      </c>
      <c r="C7" s="4" t="s">
        <v>62</v>
      </c>
      <c r="D7" s="3" t="s">
        <v>81</v>
      </c>
      <c r="E7" s="5" t="s">
        <v>93</v>
      </c>
      <c r="F7" s="5" t="s">
        <v>94</v>
      </c>
      <c r="G7" s="3" t="s">
        <v>2</v>
      </c>
      <c r="H7" s="115" t="s">
        <v>86</v>
      </c>
      <c r="I7" s="115" t="s">
        <v>87</v>
      </c>
      <c r="J7" s="116" t="s">
        <v>88</v>
      </c>
      <c r="K7" s="115" t="s">
        <v>89</v>
      </c>
      <c r="L7" s="3"/>
      <c r="M7" s="3" t="s">
        <v>45</v>
      </c>
      <c r="N7" s="3" t="s">
        <v>90</v>
      </c>
      <c r="O7" s="3"/>
      <c r="P7" s="3" t="s">
        <v>91</v>
      </c>
      <c r="Q7" s="5" t="s">
        <v>92</v>
      </c>
      <c r="R7" s="3" t="s">
        <v>89</v>
      </c>
      <c r="S7" s="3" t="s">
        <v>86</v>
      </c>
      <c r="T7" s="3"/>
      <c r="U7" s="3" t="s">
        <v>50</v>
      </c>
      <c r="V7" s="3"/>
      <c r="W7" s="3" t="s">
        <v>91</v>
      </c>
      <c r="X7" s="5" t="s">
        <v>92</v>
      </c>
      <c r="Y7" s="3" t="s">
        <v>89</v>
      </c>
      <c r="Z7" s="3" t="s">
        <v>86</v>
      </c>
      <c r="AA7" s="13" t="s">
        <v>0</v>
      </c>
      <c r="AB7" s="13" t="s">
        <v>97</v>
      </c>
      <c r="AC7" s="13" t="s">
        <v>3</v>
      </c>
      <c r="AE7" s="4" t="s">
        <v>40</v>
      </c>
      <c r="AF7" s="4" t="s">
        <v>21</v>
      </c>
      <c r="AG7" s="4"/>
      <c r="AH7" s="4" t="s">
        <v>15</v>
      </c>
      <c r="AI7" s="4" t="s">
        <v>18</v>
      </c>
      <c r="AJ7" s="4" t="s">
        <v>19</v>
      </c>
      <c r="AK7" s="4" t="s">
        <v>20</v>
      </c>
      <c r="AL7" s="4" t="s">
        <v>16</v>
      </c>
      <c r="AM7" s="4" t="s">
        <v>17</v>
      </c>
      <c r="AN7" s="4" t="s">
        <v>147</v>
      </c>
      <c r="AO7" t="s">
        <v>110</v>
      </c>
      <c r="AP7" t="s">
        <v>29</v>
      </c>
      <c r="AR7" s="23" t="s">
        <v>28</v>
      </c>
    </row>
    <row r="8" spans="1:49" ht="14.1" customHeight="1" thickTop="1" x14ac:dyDescent="0.15">
      <c r="A8" s="19">
        <f>AF8*60*100/10</f>
        <v>1.9615019984651745</v>
      </c>
      <c r="B8" s="31">
        <f t="shared" ref="B8:B31" si="0">A8-AE8</f>
        <v>0.96150199846517448</v>
      </c>
      <c r="C8" s="19">
        <f>IF(K8&gt;=taludvoorkeur!$E$13,taludvoorkeur!$F$14,taludvoorkeur!$F$13)-H8</f>
        <v>0</v>
      </c>
      <c r="D8" s="44" t="str">
        <f>IF(AND(R8&gt;6,P8&lt;1),"nob","")</f>
        <v/>
      </c>
      <c r="E8" s="148">
        <v>1</v>
      </c>
      <c r="F8" s="137">
        <f>E8/100*10/60</f>
        <v>1.6666666666666668E-3</v>
      </c>
      <c r="G8" s="15" t="s">
        <v>8</v>
      </c>
      <c r="H8" s="15">
        <v>1.5</v>
      </c>
      <c r="I8" s="15">
        <v>0.15</v>
      </c>
      <c r="J8" s="15">
        <v>0.65</v>
      </c>
      <c r="K8" s="15">
        <f>J8+2*I8*H8</f>
        <v>1.1000000000000001</v>
      </c>
      <c r="L8" s="15"/>
      <c r="M8" s="15">
        <f>IF(K8&lt;=$O$2,$Q$2,$Q$3)</f>
        <v>0.15</v>
      </c>
      <c r="N8" s="34">
        <v>0</v>
      </c>
      <c r="O8" s="15"/>
      <c r="P8" s="15">
        <f>I8+M8</f>
        <v>0.3</v>
      </c>
      <c r="Q8" s="15">
        <f>MAX($AB$1,J8-2*H8*(P8-I8))</f>
        <v>0.20000000000000007</v>
      </c>
      <c r="R8" s="73">
        <f>MAX(Q8+P8*H8*2,K8*(1+N8))</f>
        <v>1.1000000000000001</v>
      </c>
      <c r="S8" s="15">
        <f t="shared" ref="S8:S31" si="1">ROUND((R8-Q8)/2/P8,1)</f>
        <v>1.5</v>
      </c>
      <c r="T8" s="15"/>
      <c r="U8" s="15">
        <f>IF(K8&lt;=$O$1,$W$1,IF(K8&lt;=$O$2,$W$2,$W$3))</f>
        <v>0.2</v>
      </c>
      <c r="V8" s="15"/>
      <c r="W8" s="73">
        <f t="shared" ref="W8:W31" si="2">MAX(U8+I8,$AB$3)</f>
        <v>0.5</v>
      </c>
      <c r="X8" s="73">
        <f>MAX($AB$1,Q8-2*H8*(W8-P8),Y8-2*H8*W8)</f>
        <v>0.5</v>
      </c>
      <c r="Y8" s="73">
        <f>MAX($AB$2,R8)</f>
        <v>2</v>
      </c>
      <c r="Z8" s="15">
        <f t="shared" ref="Z8:Z30" si="3">ROUND((Y8-X8)/2/W8,1)</f>
        <v>1.5</v>
      </c>
      <c r="AA8" s="71" t="s">
        <v>176</v>
      </c>
      <c r="AB8" s="71">
        <v>3</v>
      </c>
      <c r="AC8" s="71" t="s">
        <v>6</v>
      </c>
      <c r="AE8">
        <f>E8</f>
        <v>1</v>
      </c>
      <c r="AF8" s="17">
        <f t="shared" ref="AF8:AF31" si="4">AJ8*AN8^(2/3)*(1-AI8)*AL8*SQRT(AH8)+AK8*(AI8*AL8)*AH8</f>
        <v>3.2691699974419573E-3</v>
      </c>
      <c r="AG8" s="17"/>
      <c r="AH8">
        <f t="shared" ref="AH8:AH31" si="5">$E$3/100/1000</f>
        <v>2.9999999999999997E-5</v>
      </c>
      <c r="AI8" s="18">
        <v>0.25</v>
      </c>
      <c r="AJ8">
        <v>34</v>
      </c>
      <c r="AK8">
        <v>30</v>
      </c>
      <c r="AL8">
        <f>J8*I8+(K8-J8)/2*I8</f>
        <v>0.13125000000000001</v>
      </c>
      <c r="AM8">
        <f>K8+2*(1-AI8)*I8</f>
        <v>1.3250000000000002</v>
      </c>
      <c r="AN8" s="22">
        <f t="shared" ref="AN8:AN31" si="6">AL8*(1-AI8)/AM8</f>
        <v>7.4292452830188677E-2</v>
      </c>
      <c r="AO8" t="s">
        <v>111</v>
      </c>
      <c r="AP8">
        <f>IF(OR(G8="kwart2",G8="half2",G8="vol2"),2,1)</f>
        <v>1</v>
      </c>
      <c r="AR8" t="s">
        <v>29</v>
      </c>
      <c r="AS8" t="s">
        <v>30</v>
      </c>
      <c r="AU8" t="s">
        <v>31</v>
      </c>
      <c r="AV8" t="s">
        <v>32</v>
      </c>
      <c r="AW8" t="s">
        <v>33</v>
      </c>
    </row>
    <row r="9" spans="1:49" ht="14.1" customHeight="1" x14ac:dyDescent="0.15">
      <c r="A9" s="19">
        <f t="shared" ref="A9:A31" si="7">AF9*60*100/10</f>
        <v>1.776415333802424</v>
      </c>
      <c r="B9" s="31">
        <f t="shared" si="0"/>
        <v>0.776415333802424</v>
      </c>
      <c r="C9" s="19">
        <f>IF(K9&gt;=taludvoorkeur!$E$13,taludvoorkeur!$F$14,taludvoorkeur!$F$13)-H9</f>
        <v>0</v>
      </c>
      <c r="D9" s="44" t="str">
        <f t="shared" ref="D9:D31" si="8">IF(AND(R9&gt;6,P9&lt;1),"nob","")</f>
        <v/>
      </c>
      <c r="E9" s="149"/>
      <c r="F9" s="138"/>
      <c r="G9" s="16" t="s">
        <v>7</v>
      </c>
      <c r="H9" s="16">
        <v>1.5</v>
      </c>
      <c r="I9" s="16">
        <v>0.2</v>
      </c>
      <c r="J9" s="16">
        <v>0.65</v>
      </c>
      <c r="K9" s="16">
        <f>J9+2*I9*H9</f>
        <v>1.25</v>
      </c>
      <c r="L9" s="16"/>
      <c r="M9" s="16">
        <f t="shared" ref="M9:M31" si="9">IF(K9&lt;=$O$2,$Q$2,$Q$3)</f>
        <v>0.15</v>
      </c>
      <c r="N9" s="35">
        <v>0</v>
      </c>
      <c r="O9" s="16"/>
      <c r="P9" s="16">
        <f t="shared" ref="P9:P31" si="10">I9+M9</f>
        <v>0.35</v>
      </c>
      <c r="Q9" s="16">
        <f t="shared" ref="Q9:Q31" si="11">MAX($AB$1,J9-2*H9*(P9-I9))</f>
        <v>0.20000000000000012</v>
      </c>
      <c r="R9" s="41">
        <f>MAX(Q9+P9*H9*2,K9*(1+N9))</f>
        <v>1.25</v>
      </c>
      <c r="S9" s="16">
        <f t="shared" si="1"/>
        <v>1.5</v>
      </c>
      <c r="T9" s="16"/>
      <c r="U9" s="16">
        <f t="shared" ref="U9:U31" si="12">IF(K9&lt;=$O$1,$W$1,IF(K9&lt;=$O$2,$W$2,$W$3))</f>
        <v>0.2</v>
      </c>
      <c r="V9" s="16"/>
      <c r="W9" s="41">
        <f t="shared" si="2"/>
        <v>0.5</v>
      </c>
      <c r="X9" s="41">
        <f t="shared" ref="X9:X31" si="13">MAX($AB$1,Q9-2*H9*(W9-P9),Y9-2*H9*W9)</f>
        <v>0.5</v>
      </c>
      <c r="Y9" s="41">
        <f t="shared" ref="Y9:Y31" si="14">MAX($AB$2,R9)</f>
        <v>2</v>
      </c>
      <c r="Z9" s="16">
        <f t="shared" si="3"/>
        <v>1.5</v>
      </c>
      <c r="AA9" s="70" t="s">
        <v>177</v>
      </c>
      <c r="AB9" s="70">
        <v>2</v>
      </c>
      <c r="AC9" s="9" t="s">
        <v>6</v>
      </c>
      <c r="AE9">
        <f>E8</f>
        <v>1</v>
      </c>
      <c r="AF9" s="17">
        <f t="shared" si="4"/>
        <v>2.9606922230040402E-3</v>
      </c>
      <c r="AG9" s="17"/>
      <c r="AH9">
        <f t="shared" si="5"/>
        <v>2.9999999999999997E-5</v>
      </c>
      <c r="AI9" s="18">
        <v>0.5</v>
      </c>
      <c r="AJ9">
        <v>34</v>
      </c>
      <c r="AK9">
        <v>30</v>
      </c>
      <c r="AL9">
        <f t="shared" ref="AL9:AL31" si="15">J9*I9+(K9-J9)/2*I9</f>
        <v>0.19</v>
      </c>
      <c r="AM9">
        <f t="shared" ref="AM9:AM31" si="16">K9+2*(1-AI9)*I9</f>
        <v>1.45</v>
      </c>
      <c r="AN9" s="22">
        <f t="shared" si="6"/>
        <v>6.5517241379310351E-2</v>
      </c>
      <c r="AO9" t="s">
        <v>111</v>
      </c>
      <c r="AP9">
        <f t="shared" ref="AP9:AP31" si="17">IF(OR(G9="kwart2",G9="half2",G9="vol2"),2,1)</f>
        <v>1</v>
      </c>
      <c r="AR9" t="s">
        <v>34</v>
      </c>
      <c r="AS9" t="s">
        <v>35</v>
      </c>
      <c r="AU9" s="24">
        <v>0.9</v>
      </c>
      <c r="AV9" s="24">
        <v>0.5</v>
      </c>
      <c r="AW9" s="24">
        <v>0.25</v>
      </c>
    </row>
    <row r="10" spans="1:49" ht="14.1" customHeight="1" thickBot="1" x14ac:dyDescent="0.2">
      <c r="A10" s="19">
        <f t="shared" si="7"/>
        <v>1.0337525174114577</v>
      </c>
      <c r="B10" s="31">
        <f t="shared" si="0"/>
        <v>3.3752517411457683E-2</v>
      </c>
      <c r="C10" s="19">
        <f>IF(K10&gt;taludvoorkeur!$E$13,taludvoorkeur!$F$14,taludvoorkeur!$F$13)-H10</f>
        <v>0</v>
      </c>
      <c r="D10" s="44" t="str">
        <f t="shared" si="8"/>
        <v/>
      </c>
      <c r="E10" s="150"/>
      <c r="F10" s="139"/>
      <c r="G10" s="6" t="s">
        <v>5</v>
      </c>
      <c r="H10" s="6">
        <v>1.5</v>
      </c>
      <c r="I10" s="6">
        <v>0.25</v>
      </c>
      <c r="J10" s="6">
        <v>1.8</v>
      </c>
      <c r="K10" s="6">
        <f t="shared" ref="K10:K19" si="18">J10+2*I10*H10</f>
        <v>2.5499999999999998</v>
      </c>
      <c r="L10" s="6"/>
      <c r="M10" s="6">
        <f t="shared" si="9"/>
        <v>0.15</v>
      </c>
      <c r="N10" s="36">
        <v>0</v>
      </c>
      <c r="O10" s="6"/>
      <c r="P10" s="6">
        <f t="shared" si="10"/>
        <v>0.4</v>
      </c>
      <c r="Q10" s="6">
        <f t="shared" si="11"/>
        <v>1.35</v>
      </c>
      <c r="R10" s="40">
        <f t="shared" ref="R10:R30" si="19">MAX(Q10+P10*H10*2,K10*(1+N10))</f>
        <v>2.5500000000000003</v>
      </c>
      <c r="S10" s="6">
        <f t="shared" si="1"/>
        <v>1.5</v>
      </c>
      <c r="T10" s="6"/>
      <c r="U10" s="6">
        <f t="shared" si="12"/>
        <v>0.2</v>
      </c>
      <c r="V10" s="6"/>
      <c r="W10" s="40">
        <f t="shared" si="2"/>
        <v>0.5</v>
      </c>
      <c r="X10" s="40">
        <f t="shared" si="13"/>
        <v>1.0500000000000003</v>
      </c>
      <c r="Y10" s="40">
        <f t="shared" si="14"/>
        <v>2.5500000000000003</v>
      </c>
      <c r="Z10" s="6">
        <f t="shared" si="3"/>
        <v>1.5</v>
      </c>
      <c r="AA10" s="85" t="s">
        <v>178</v>
      </c>
      <c r="AB10" s="85">
        <v>1</v>
      </c>
      <c r="AC10" s="10" t="s">
        <v>6</v>
      </c>
      <c r="AE10">
        <f>E8</f>
        <v>1</v>
      </c>
      <c r="AF10" s="17">
        <f t="shared" si="4"/>
        <v>1.7229208623524292E-3</v>
      </c>
      <c r="AG10" s="17"/>
      <c r="AH10">
        <f t="shared" si="5"/>
        <v>2.9999999999999997E-5</v>
      </c>
      <c r="AI10" s="18">
        <v>0.9</v>
      </c>
      <c r="AJ10">
        <v>34</v>
      </c>
      <c r="AK10">
        <v>65</v>
      </c>
      <c r="AL10">
        <f t="shared" si="15"/>
        <v>0.54374999999999996</v>
      </c>
      <c r="AM10">
        <f t="shared" si="16"/>
        <v>2.5999999999999996</v>
      </c>
      <c r="AN10" s="22">
        <f t="shared" si="6"/>
        <v>2.0913461538461537E-2</v>
      </c>
      <c r="AO10" t="s">
        <v>111</v>
      </c>
      <c r="AP10">
        <f t="shared" si="17"/>
        <v>1</v>
      </c>
      <c r="AR10" t="s">
        <v>36</v>
      </c>
      <c r="AS10" t="s">
        <v>37</v>
      </c>
      <c r="AU10" s="25">
        <v>65</v>
      </c>
      <c r="AV10" s="25">
        <v>30</v>
      </c>
      <c r="AW10" s="25">
        <v>30</v>
      </c>
    </row>
    <row r="11" spans="1:49" ht="14.1" customHeight="1" x14ac:dyDescent="0.15">
      <c r="A11" s="19">
        <f t="shared" si="7"/>
        <v>6.9120099673875277</v>
      </c>
      <c r="B11" s="31">
        <f t="shared" si="0"/>
        <v>1.9120099673875277</v>
      </c>
      <c r="C11" s="19">
        <f>IF(K11&gt;taludvoorkeur!$E$13,taludvoorkeur!$F$14,taludvoorkeur!$F$13)-H11</f>
        <v>0</v>
      </c>
      <c r="D11" s="44" t="str">
        <f t="shared" si="8"/>
        <v/>
      </c>
      <c r="E11" s="151">
        <v>5</v>
      </c>
      <c r="F11" s="137">
        <f>E11/100*10/60</f>
        <v>8.3333333333333332E-3</v>
      </c>
      <c r="G11" s="8" t="s">
        <v>8</v>
      </c>
      <c r="H11" s="8">
        <v>1.5</v>
      </c>
      <c r="I11" s="8">
        <v>0.3</v>
      </c>
      <c r="J11" s="8">
        <v>0.65</v>
      </c>
      <c r="K11" s="8">
        <f t="shared" si="18"/>
        <v>1.5499999999999998</v>
      </c>
      <c r="L11" s="8"/>
      <c r="M11" s="8">
        <f t="shared" si="9"/>
        <v>0.15</v>
      </c>
      <c r="N11" s="37">
        <v>0</v>
      </c>
      <c r="O11" s="8"/>
      <c r="P11" s="8">
        <f t="shared" si="10"/>
        <v>0.44999999999999996</v>
      </c>
      <c r="Q11" s="8">
        <f t="shared" si="11"/>
        <v>0.20000000000000012</v>
      </c>
      <c r="R11" s="42">
        <f t="shared" si="19"/>
        <v>1.55</v>
      </c>
      <c r="S11" s="8">
        <f t="shared" si="1"/>
        <v>1.5</v>
      </c>
      <c r="T11" s="8"/>
      <c r="U11" s="8">
        <f t="shared" si="12"/>
        <v>0.2</v>
      </c>
      <c r="V11" s="8"/>
      <c r="W11" s="42">
        <f t="shared" si="2"/>
        <v>0.5</v>
      </c>
      <c r="X11" s="42">
        <f t="shared" si="13"/>
        <v>0.5</v>
      </c>
      <c r="Y11" s="42">
        <f t="shared" si="14"/>
        <v>2</v>
      </c>
      <c r="Z11" s="8">
        <f t="shared" si="3"/>
        <v>1.5</v>
      </c>
      <c r="AA11" s="69" t="s">
        <v>179</v>
      </c>
      <c r="AB11" s="69">
        <v>3</v>
      </c>
      <c r="AC11" s="11" t="s">
        <v>6</v>
      </c>
      <c r="AE11">
        <f>E11</f>
        <v>5</v>
      </c>
      <c r="AF11" s="17">
        <f t="shared" si="4"/>
        <v>1.1520016612312545E-2</v>
      </c>
      <c r="AG11" s="17"/>
      <c r="AH11">
        <f t="shared" si="5"/>
        <v>2.9999999999999997E-5</v>
      </c>
      <c r="AI11" s="18">
        <v>0.25</v>
      </c>
      <c r="AJ11">
        <v>34</v>
      </c>
      <c r="AK11">
        <v>30</v>
      </c>
      <c r="AL11">
        <f t="shared" si="15"/>
        <v>0.32999999999999996</v>
      </c>
      <c r="AM11">
        <f t="shared" si="16"/>
        <v>1.9999999999999998</v>
      </c>
      <c r="AN11" s="22">
        <f t="shared" si="6"/>
        <v>0.12375</v>
      </c>
      <c r="AO11" t="s">
        <v>111</v>
      </c>
      <c r="AP11">
        <f t="shared" si="17"/>
        <v>1</v>
      </c>
      <c r="AR11" t="s">
        <v>38</v>
      </c>
      <c r="AS11" t="s">
        <v>37</v>
      </c>
      <c r="AU11" s="25">
        <v>34</v>
      </c>
      <c r="AV11" s="25">
        <v>34</v>
      </c>
      <c r="AW11" s="25">
        <v>34</v>
      </c>
    </row>
    <row r="12" spans="1:49" ht="14.1" customHeight="1" x14ac:dyDescent="0.15">
      <c r="A12" s="19">
        <f t="shared" si="7"/>
        <v>5.071034489644811</v>
      </c>
      <c r="B12" s="31">
        <f t="shared" si="0"/>
        <v>7.1034489644810961E-2</v>
      </c>
      <c r="C12" s="19">
        <f>IF(K12&gt;taludvoorkeur!$E$13,taludvoorkeur!$F$14,taludvoorkeur!$F$13)-H12</f>
        <v>0</v>
      </c>
      <c r="D12" s="44" t="str">
        <f t="shared" si="8"/>
        <v/>
      </c>
      <c r="E12" s="135"/>
      <c r="F12" s="138"/>
      <c r="G12" s="7" t="s">
        <v>7</v>
      </c>
      <c r="H12" s="7">
        <v>1.5</v>
      </c>
      <c r="I12" s="7">
        <v>0.35</v>
      </c>
      <c r="J12" s="7">
        <v>0.65</v>
      </c>
      <c r="K12" s="7">
        <f t="shared" si="18"/>
        <v>1.6999999999999997</v>
      </c>
      <c r="L12" s="7"/>
      <c r="M12" s="7">
        <f t="shared" si="9"/>
        <v>0.15</v>
      </c>
      <c r="N12" s="38">
        <v>0</v>
      </c>
      <c r="O12" s="7"/>
      <c r="P12" s="7">
        <f t="shared" si="10"/>
        <v>0.5</v>
      </c>
      <c r="Q12" s="7">
        <f t="shared" si="11"/>
        <v>0.2</v>
      </c>
      <c r="R12" s="43">
        <f t="shared" si="19"/>
        <v>1.7</v>
      </c>
      <c r="S12" s="7">
        <f t="shared" si="1"/>
        <v>1.5</v>
      </c>
      <c r="T12" s="7"/>
      <c r="U12" s="7">
        <f t="shared" si="12"/>
        <v>0.2</v>
      </c>
      <c r="V12" s="7"/>
      <c r="W12" s="43">
        <f t="shared" si="2"/>
        <v>0.55000000000000004</v>
      </c>
      <c r="X12" s="43">
        <f t="shared" si="13"/>
        <v>0.34999999999999987</v>
      </c>
      <c r="Y12" s="43">
        <f t="shared" si="14"/>
        <v>2</v>
      </c>
      <c r="Z12" s="7">
        <f t="shared" si="3"/>
        <v>1.5</v>
      </c>
      <c r="AA12" s="70" t="s">
        <v>180</v>
      </c>
      <c r="AB12" s="70">
        <v>2</v>
      </c>
      <c r="AC12" s="9" t="s">
        <v>6</v>
      </c>
      <c r="AE12">
        <f>E11</f>
        <v>5</v>
      </c>
      <c r="AF12" s="17">
        <f t="shared" si="4"/>
        <v>8.4517241494080179E-3</v>
      </c>
      <c r="AG12" s="17"/>
      <c r="AH12">
        <f t="shared" si="5"/>
        <v>2.9999999999999997E-5</v>
      </c>
      <c r="AI12" s="18">
        <v>0.5</v>
      </c>
      <c r="AJ12">
        <v>34</v>
      </c>
      <c r="AK12">
        <v>30</v>
      </c>
      <c r="AL12">
        <f t="shared" si="15"/>
        <v>0.41124999999999995</v>
      </c>
      <c r="AM12">
        <f t="shared" si="16"/>
        <v>2.0499999999999998</v>
      </c>
      <c r="AN12" s="22">
        <f t="shared" si="6"/>
        <v>0.10030487804878048</v>
      </c>
      <c r="AO12" t="s">
        <v>111</v>
      </c>
      <c r="AP12">
        <f t="shared" si="17"/>
        <v>1</v>
      </c>
    </row>
    <row r="13" spans="1:49" ht="14.1" customHeight="1" thickBot="1" x14ac:dyDescent="0.2">
      <c r="A13" s="19">
        <f t="shared" si="7"/>
        <v>4.8369171760195746</v>
      </c>
      <c r="B13" s="31">
        <f>A13-AE13</f>
        <v>-0.1630828239804254</v>
      </c>
      <c r="C13" s="19">
        <f>IF(K13&gt;taludvoorkeur!$E$13,taludvoorkeur!$F$14,taludvoorkeur!$F$13)-H13</f>
        <v>0</v>
      </c>
      <c r="D13" s="44" t="str">
        <f t="shared" si="8"/>
        <v/>
      </c>
      <c r="E13" s="136"/>
      <c r="F13" s="139"/>
      <c r="G13" s="6" t="s">
        <v>5</v>
      </c>
      <c r="H13" s="6">
        <v>1.5</v>
      </c>
      <c r="I13" s="6">
        <v>0.5</v>
      </c>
      <c r="J13" s="6">
        <v>3.3</v>
      </c>
      <c r="K13" s="6">
        <f>J13+2*I13*H13</f>
        <v>4.8</v>
      </c>
      <c r="L13" s="6"/>
      <c r="M13" s="6">
        <f t="shared" si="9"/>
        <v>0.15</v>
      </c>
      <c r="N13" s="36">
        <v>0</v>
      </c>
      <c r="O13" s="6"/>
      <c r="P13" s="6">
        <f t="shared" si="10"/>
        <v>0.65</v>
      </c>
      <c r="Q13" s="6">
        <f t="shared" si="11"/>
        <v>2.8499999999999996</v>
      </c>
      <c r="R13" s="40">
        <f t="shared" si="19"/>
        <v>4.8</v>
      </c>
      <c r="S13" s="6">
        <f>ROUND((R13-Q13)/2/P13,1)</f>
        <v>1.5</v>
      </c>
      <c r="T13" s="6"/>
      <c r="U13" s="6">
        <f t="shared" si="12"/>
        <v>0.25</v>
      </c>
      <c r="V13" s="6"/>
      <c r="W13" s="40">
        <f t="shared" si="2"/>
        <v>0.75</v>
      </c>
      <c r="X13" s="40">
        <f t="shared" si="13"/>
        <v>2.5499999999999998</v>
      </c>
      <c r="Y13" s="40">
        <f t="shared" si="14"/>
        <v>4.8</v>
      </c>
      <c r="Z13" s="6">
        <f t="shared" si="3"/>
        <v>1.5</v>
      </c>
      <c r="AA13" s="68" t="s">
        <v>181</v>
      </c>
      <c r="AB13" s="68">
        <v>1</v>
      </c>
      <c r="AC13" s="10" t="s">
        <v>6</v>
      </c>
      <c r="AE13">
        <f>E11</f>
        <v>5</v>
      </c>
      <c r="AF13" s="17">
        <f>AJ13*AN13^(2/3)*(1-AI13)*AL13*SQRT(AH13)+AK13*(AI13*AL13)*AH13</f>
        <v>8.0615286266992915E-3</v>
      </c>
      <c r="AG13" s="17"/>
      <c r="AH13">
        <f t="shared" si="5"/>
        <v>2.9999999999999997E-5</v>
      </c>
      <c r="AI13" s="18">
        <v>0.9</v>
      </c>
      <c r="AJ13">
        <v>34</v>
      </c>
      <c r="AK13">
        <v>65</v>
      </c>
      <c r="AL13">
        <f t="shared" si="15"/>
        <v>2.0249999999999999</v>
      </c>
      <c r="AM13">
        <f t="shared" si="16"/>
        <v>4.8999999999999995</v>
      </c>
      <c r="AN13" s="22">
        <f>AL13*(1-AI13)/AM13</f>
        <v>4.1326530612244894E-2</v>
      </c>
      <c r="AO13" t="s">
        <v>111</v>
      </c>
      <c r="AP13">
        <f t="shared" si="17"/>
        <v>1</v>
      </c>
    </row>
    <row r="14" spans="1:49" ht="14.1" customHeight="1" x14ac:dyDescent="0.15">
      <c r="A14" s="19">
        <f t="shared" si="7"/>
        <v>10.331919722891511</v>
      </c>
      <c r="B14" s="31">
        <f t="shared" si="0"/>
        <v>0.33191972289151117</v>
      </c>
      <c r="C14" s="19">
        <f>IF(K14&gt;taludvoorkeur!$E$13,taludvoorkeur!$F$14,taludvoorkeur!$F$13)-H14</f>
        <v>0</v>
      </c>
      <c r="D14" s="44" t="str">
        <f t="shared" si="8"/>
        <v/>
      </c>
      <c r="E14" s="135">
        <v>10</v>
      </c>
      <c r="F14" s="137">
        <f>E14/100*10/60</f>
        <v>1.6666666666666666E-2</v>
      </c>
      <c r="G14" s="8" t="s">
        <v>8</v>
      </c>
      <c r="H14" s="8">
        <v>1.5</v>
      </c>
      <c r="I14" s="8">
        <v>0.35</v>
      </c>
      <c r="J14" s="8">
        <v>0.75</v>
      </c>
      <c r="K14" s="8">
        <f t="shared" si="18"/>
        <v>1.7999999999999998</v>
      </c>
      <c r="L14" s="8"/>
      <c r="M14" s="8">
        <f t="shared" si="9"/>
        <v>0.15</v>
      </c>
      <c r="N14" s="37">
        <v>0</v>
      </c>
      <c r="O14" s="8"/>
      <c r="P14" s="8">
        <f t="shared" si="10"/>
        <v>0.5</v>
      </c>
      <c r="Q14" s="8">
        <f t="shared" si="11"/>
        <v>0.29999999999999993</v>
      </c>
      <c r="R14" s="42">
        <f t="shared" si="19"/>
        <v>1.7999999999999998</v>
      </c>
      <c r="S14" s="8">
        <f t="shared" si="1"/>
        <v>1.5</v>
      </c>
      <c r="T14" s="8"/>
      <c r="U14" s="8">
        <f t="shared" si="12"/>
        <v>0.2</v>
      </c>
      <c r="V14" s="8"/>
      <c r="W14" s="42">
        <f t="shared" si="2"/>
        <v>0.55000000000000004</v>
      </c>
      <c r="X14" s="42">
        <f t="shared" si="13"/>
        <v>0.34999999999999987</v>
      </c>
      <c r="Y14" s="42">
        <f t="shared" si="14"/>
        <v>2</v>
      </c>
      <c r="Z14" s="8">
        <f t="shared" si="3"/>
        <v>1.5</v>
      </c>
      <c r="AA14" s="69" t="s">
        <v>130</v>
      </c>
      <c r="AB14" s="69">
        <v>3</v>
      </c>
      <c r="AC14" s="11" t="s">
        <v>6</v>
      </c>
      <c r="AE14">
        <f>E14</f>
        <v>10</v>
      </c>
      <c r="AF14" s="17">
        <f t="shared" si="4"/>
        <v>1.7219866204819186E-2</v>
      </c>
      <c r="AG14" s="17"/>
      <c r="AH14">
        <f t="shared" si="5"/>
        <v>2.9999999999999997E-5</v>
      </c>
      <c r="AI14" s="18">
        <v>0.25</v>
      </c>
      <c r="AJ14">
        <v>34</v>
      </c>
      <c r="AK14">
        <v>30</v>
      </c>
      <c r="AL14">
        <f t="shared" si="15"/>
        <v>0.44624999999999992</v>
      </c>
      <c r="AM14">
        <f t="shared" si="16"/>
        <v>2.3249999999999997</v>
      </c>
      <c r="AN14" s="22">
        <f t="shared" si="6"/>
        <v>0.14395161290322578</v>
      </c>
      <c r="AO14" t="s">
        <v>111</v>
      </c>
      <c r="AP14">
        <f t="shared" si="17"/>
        <v>1</v>
      </c>
    </row>
    <row r="15" spans="1:49" ht="14.1" customHeight="1" x14ac:dyDescent="0.15">
      <c r="A15" s="19">
        <f t="shared" si="7"/>
        <v>10.083998654378416</v>
      </c>
      <c r="B15" s="31">
        <f t="shared" si="0"/>
        <v>8.3998654378415694E-2</v>
      </c>
      <c r="C15" s="19">
        <f>IF(K15&gt;taludvoorkeur!$E$13,taludvoorkeur!$F$14,taludvoorkeur!$F$13)-H15</f>
        <v>0</v>
      </c>
      <c r="D15" s="44" t="str">
        <f t="shared" si="8"/>
        <v/>
      </c>
      <c r="E15" s="135"/>
      <c r="F15" s="138"/>
      <c r="G15" s="7" t="s">
        <v>7</v>
      </c>
      <c r="H15" s="7">
        <v>1.5</v>
      </c>
      <c r="I15" s="7">
        <v>0.4</v>
      </c>
      <c r="J15" s="7">
        <v>1.1499999999999999</v>
      </c>
      <c r="K15" s="7">
        <f t="shared" si="18"/>
        <v>2.35</v>
      </c>
      <c r="L15" s="7"/>
      <c r="M15" s="7">
        <f t="shared" si="9"/>
        <v>0.15</v>
      </c>
      <c r="N15" s="38">
        <v>0</v>
      </c>
      <c r="O15" s="7"/>
      <c r="P15" s="7">
        <f t="shared" si="10"/>
        <v>0.55000000000000004</v>
      </c>
      <c r="Q15" s="7">
        <f t="shared" si="11"/>
        <v>0.69999999999999984</v>
      </c>
      <c r="R15" s="43">
        <f t="shared" si="19"/>
        <v>2.35</v>
      </c>
      <c r="S15" s="7">
        <f t="shared" si="1"/>
        <v>1.5</v>
      </c>
      <c r="T15" s="7"/>
      <c r="U15" s="7">
        <f t="shared" si="12"/>
        <v>0.2</v>
      </c>
      <c r="V15" s="7"/>
      <c r="W15" s="43">
        <f t="shared" si="2"/>
        <v>0.60000000000000009</v>
      </c>
      <c r="X15" s="43">
        <f t="shared" si="13"/>
        <v>0.54999999999999982</v>
      </c>
      <c r="Y15" s="43">
        <f t="shared" si="14"/>
        <v>2.35</v>
      </c>
      <c r="Z15" s="7">
        <f t="shared" si="3"/>
        <v>1.5</v>
      </c>
      <c r="AA15" s="70" t="s">
        <v>131</v>
      </c>
      <c r="AB15" s="70">
        <v>2</v>
      </c>
      <c r="AC15" s="9" t="s">
        <v>6</v>
      </c>
      <c r="AE15">
        <f>E14</f>
        <v>10</v>
      </c>
      <c r="AF15" s="17">
        <f t="shared" si="4"/>
        <v>1.6806664423964023E-2</v>
      </c>
      <c r="AG15" s="17"/>
      <c r="AH15">
        <f t="shared" si="5"/>
        <v>2.9999999999999997E-5</v>
      </c>
      <c r="AI15" s="18">
        <v>0.5</v>
      </c>
      <c r="AJ15">
        <v>34</v>
      </c>
      <c r="AK15">
        <v>30</v>
      </c>
      <c r="AL15">
        <f t="shared" si="15"/>
        <v>0.7</v>
      </c>
      <c r="AM15">
        <f t="shared" si="16"/>
        <v>2.75</v>
      </c>
      <c r="AN15" s="22">
        <f t="shared" si="6"/>
        <v>0.12727272727272726</v>
      </c>
      <c r="AO15" t="s">
        <v>111</v>
      </c>
      <c r="AP15">
        <f t="shared" si="17"/>
        <v>1</v>
      </c>
    </row>
    <row r="16" spans="1:49" ht="14.1" customHeight="1" thickBot="1" x14ac:dyDescent="0.2">
      <c r="A16" s="19">
        <f t="shared" si="7"/>
        <v>10.026323579108247</v>
      </c>
      <c r="B16" s="31">
        <f t="shared" si="0"/>
        <v>2.632357910824723E-2</v>
      </c>
      <c r="C16" s="19">
        <f>IF(K16&gt;taludvoorkeur!$E$13,taludvoorkeur!$F$14,taludvoorkeur!$F$13)-H16</f>
        <v>0</v>
      </c>
      <c r="D16" s="44" t="str">
        <f t="shared" si="8"/>
        <v/>
      </c>
      <c r="E16" s="136"/>
      <c r="F16" s="139"/>
      <c r="G16" s="6" t="s">
        <v>5</v>
      </c>
      <c r="H16" s="6">
        <v>2</v>
      </c>
      <c r="I16" s="6">
        <v>0.8</v>
      </c>
      <c r="J16" s="6">
        <v>3</v>
      </c>
      <c r="K16" s="6">
        <f t="shared" si="18"/>
        <v>6.2</v>
      </c>
      <c r="L16" s="6"/>
      <c r="M16" s="6">
        <f t="shared" si="9"/>
        <v>0.2</v>
      </c>
      <c r="N16" s="36">
        <v>0</v>
      </c>
      <c r="O16" s="6"/>
      <c r="P16" s="6">
        <f t="shared" si="10"/>
        <v>1</v>
      </c>
      <c r="Q16" s="6">
        <f t="shared" si="11"/>
        <v>2.2000000000000002</v>
      </c>
      <c r="R16" s="40">
        <f t="shared" si="19"/>
        <v>6.2</v>
      </c>
      <c r="S16" s="6">
        <f t="shared" si="1"/>
        <v>2</v>
      </c>
      <c r="T16" s="6"/>
      <c r="U16" s="6">
        <f t="shared" si="12"/>
        <v>0.35</v>
      </c>
      <c r="V16" s="6"/>
      <c r="W16" s="40">
        <f t="shared" si="2"/>
        <v>1.1499999999999999</v>
      </c>
      <c r="X16" s="40">
        <f t="shared" si="13"/>
        <v>1.6000000000000005</v>
      </c>
      <c r="Y16" s="40">
        <f t="shared" si="14"/>
        <v>6.2</v>
      </c>
      <c r="Z16" s="6">
        <f t="shared" si="3"/>
        <v>2</v>
      </c>
      <c r="AA16" s="68" t="s">
        <v>132</v>
      </c>
      <c r="AB16" s="85">
        <v>1</v>
      </c>
      <c r="AC16" s="10" t="s">
        <v>6</v>
      </c>
      <c r="AE16">
        <f>E14</f>
        <v>10</v>
      </c>
      <c r="AF16" s="17">
        <f t="shared" si="4"/>
        <v>1.6710539298513745E-2</v>
      </c>
      <c r="AG16" s="17"/>
      <c r="AH16">
        <f t="shared" si="5"/>
        <v>2.9999999999999997E-5</v>
      </c>
      <c r="AI16" s="18">
        <v>0.9</v>
      </c>
      <c r="AJ16">
        <v>34</v>
      </c>
      <c r="AK16">
        <v>65</v>
      </c>
      <c r="AL16">
        <f t="shared" si="15"/>
        <v>3.6800000000000006</v>
      </c>
      <c r="AM16">
        <f t="shared" si="16"/>
        <v>6.36</v>
      </c>
      <c r="AN16" s="22">
        <f t="shared" si="6"/>
        <v>5.786163522012578E-2</v>
      </c>
      <c r="AO16" t="s">
        <v>111</v>
      </c>
      <c r="AP16">
        <f t="shared" si="17"/>
        <v>1</v>
      </c>
    </row>
    <row r="17" spans="1:42" ht="14.1" customHeight="1" x14ac:dyDescent="0.15">
      <c r="A17" s="19">
        <f t="shared" ref="A17:A28" si="20">AF17*60*100/10</f>
        <v>24.809010571789393</v>
      </c>
      <c r="B17" s="31">
        <f t="shared" si="0"/>
        <v>-0.1909894282106066</v>
      </c>
      <c r="C17" s="19">
        <f>IF(K17&gt;taludvoorkeur!$E$13,taludvoorkeur!$F$14,taludvoorkeur!$F$13)-H17</f>
        <v>0</v>
      </c>
      <c r="D17" s="44" t="str">
        <f t="shared" si="8"/>
        <v/>
      </c>
      <c r="E17" s="134">
        <v>25</v>
      </c>
      <c r="F17" s="137">
        <f>E17/100*10/60</f>
        <v>4.1666666666666664E-2</v>
      </c>
      <c r="G17" s="8" t="s">
        <v>8</v>
      </c>
      <c r="H17" s="8">
        <v>1.5</v>
      </c>
      <c r="I17" s="8">
        <v>0.45</v>
      </c>
      <c r="J17" s="8">
        <v>1.25</v>
      </c>
      <c r="K17" s="8">
        <f t="shared" si="18"/>
        <v>2.6</v>
      </c>
      <c r="L17" s="8"/>
      <c r="M17" s="8">
        <f t="shared" si="9"/>
        <v>0.15</v>
      </c>
      <c r="N17" s="37">
        <v>0</v>
      </c>
      <c r="O17" s="8"/>
      <c r="P17" s="8">
        <f t="shared" si="10"/>
        <v>0.6</v>
      </c>
      <c r="Q17" s="8">
        <f t="shared" si="11"/>
        <v>0.8</v>
      </c>
      <c r="R17" s="42">
        <f t="shared" si="19"/>
        <v>2.6</v>
      </c>
      <c r="S17" s="8">
        <f t="shared" si="1"/>
        <v>1.5</v>
      </c>
      <c r="T17" s="8"/>
      <c r="U17" s="8">
        <f t="shared" si="12"/>
        <v>0.2</v>
      </c>
      <c r="V17" s="8"/>
      <c r="W17" s="42">
        <f t="shared" si="2"/>
        <v>0.65</v>
      </c>
      <c r="X17" s="42">
        <f t="shared" si="13"/>
        <v>0.64999999999999991</v>
      </c>
      <c r="Y17" s="42">
        <f t="shared" si="14"/>
        <v>2.6</v>
      </c>
      <c r="Z17" s="8">
        <f t="shared" si="3"/>
        <v>1.5</v>
      </c>
      <c r="AA17" s="69" t="s">
        <v>133</v>
      </c>
      <c r="AB17" s="69">
        <v>3</v>
      </c>
      <c r="AC17" s="11" t="s">
        <v>6</v>
      </c>
      <c r="AE17">
        <f>E17</f>
        <v>25</v>
      </c>
      <c r="AF17" s="17">
        <f t="shared" si="4"/>
        <v>4.1348350952982317E-2</v>
      </c>
      <c r="AG17" s="17"/>
      <c r="AH17">
        <f t="shared" si="5"/>
        <v>2.9999999999999997E-5</v>
      </c>
      <c r="AI17" s="18">
        <v>0.25</v>
      </c>
      <c r="AJ17">
        <v>34</v>
      </c>
      <c r="AK17">
        <v>30</v>
      </c>
      <c r="AL17">
        <f t="shared" si="15"/>
        <v>0.86624999999999996</v>
      </c>
      <c r="AM17">
        <f t="shared" si="16"/>
        <v>3.2750000000000004</v>
      </c>
      <c r="AN17" s="22">
        <f t="shared" si="6"/>
        <v>0.19837786259541981</v>
      </c>
      <c r="AO17" t="s">
        <v>111</v>
      </c>
      <c r="AP17">
        <f t="shared" si="17"/>
        <v>1</v>
      </c>
    </row>
    <row r="18" spans="1:42" ht="14.1" customHeight="1" x14ac:dyDescent="0.15">
      <c r="A18" s="19">
        <f t="shared" si="20"/>
        <v>24.929844450956605</v>
      </c>
      <c r="B18" s="31">
        <f t="shared" si="0"/>
        <v>-7.0155549043395382E-2</v>
      </c>
      <c r="C18" s="19">
        <f>IF(K18&gt;taludvoorkeur!$E$13,taludvoorkeur!$F$14,taludvoorkeur!$F$13)-H18</f>
        <v>0</v>
      </c>
      <c r="D18" s="44" t="str">
        <f t="shared" si="8"/>
        <v/>
      </c>
      <c r="E18" s="135"/>
      <c r="F18" s="138"/>
      <c r="G18" s="7" t="s">
        <v>7</v>
      </c>
      <c r="H18" s="7">
        <v>1.5</v>
      </c>
      <c r="I18" s="114">
        <v>0.55000000000000004</v>
      </c>
      <c r="J18" s="7">
        <v>1.7</v>
      </c>
      <c r="K18" s="7">
        <f t="shared" si="18"/>
        <v>3.35</v>
      </c>
      <c r="L18" s="7"/>
      <c r="M18" s="7">
        <f t="shared" si="9"/>
        <v>0.15</v>
      </c>
      <c r="N18" s="38">
        <v>0</v>
      </c>
      <c r="O18" s="7"/>
      <c r="P18" s="7">
        <f t="shared" si="10"/>
        <v>0.70000000000000007</v>
      </c>
      <c r="Q18" s="7">
        <f t="shared" si="11"/>
        <v>1.25</v>
      </c>
      <c r="R18" s="43">
        <f t="shared" si="19"/>
        <v>3.35</v>
      </c>
      <c r="S18" s="7">
        <f t="shared" si="1"/>
        <v>1.5</v>
      </c>
      <c r="T18" s="7"/>
      <c r="U18" s="7">
        <f t="shared" si="12"/>
        <v>0.25</v>
      </c>
      <c r="V18" s="7"/>
      <c r="W18" s="43">
        <f t="shared" si="2"/>
        <v>0.8</v>
      </c>
      <c r="X18" s="43">
        <f t="shared" si="13"/>
        <v>0.95000000000000007</v>
      </c>
      <c r="Y18" s="43">
        <f t="shared" si="14"/>
        <v>3.35</v>
      </c>
      <c r="Z18" s="7">
        <f t="shared" si="3"/>
        <v>1.5</v>
      </c>
      <c r="AA18" s="70" t="s">
        <v>134</v>
      </c>
      <c r="AB18" s="70">
        <v>2</v>
      </c>
      <c r="AC18" s="9" t="s">
        <v>6</v>
      </c>
      <c r="AE18">
        <f>E17</f>
        <v>25</v>
      </c>
      <c r="AF18" s="17">
        <f t="shared" si="4"/>
        <v>4.1549740751594344E-2</v>
      </c>
      <c r="AG18" s="17"/>
      <c r="AH18">
        <f t="shared" si="5"/>
        <v>2.9999999999999997E-5</v>
      </c>
      <c r="AI18" s="18">
        <v>0.5</v>
      </c>
      <c r="AJ18">
        <v>34</v>
      </c>
      <c r="AK18">
        <v>30</v>
      </c>
      <c r="AL18">
        <f t="shared" si="15"/>
        <v>1.3887500000000002</v>
      </c>
      <c r="AM18">
        <f t="shared" si="16"/>
        <v>3.9000000000000004</v>
      </c>
      <c r="AN18" s="22">
        <f t="shared" si="6"/>
        <v>0.1780448717948718</v>
      </c>
      <c r="AO18" t="s">
        <v>111</v>
      </c>
      <c r="AP18">
        <f t="shared" si="17"/>
        <v>1</v>
      </c>
    </row>
    <row r="19" spans="1:42" ht="14.1" customHeight="1" thickBot="1" x14ac:dyDescent="0.2">
      <c r="A19" s="19">
        <f t="shared" si="20"/>
        <v>25.142030117258294</v>
      </c>
      <c r="B19" s="31">
        <f t="shared" si="0"/>
        <v>0.14203011725829384</v>
      </c>
      <c r="C19" s="19">
        <f>IF(K19&gt;taludvoorkeur!$E$13,taludvoorkeur!$F$14,taludvoorkeur!$F$13)-H19</f>
        <v>0</v>
      </c>
      <c r="D19" s="44" t="str">
        <f t="shared" si="8"/>
        <v/>
      </c>
      <c r="E19" s="136"/>
      <c r="F19" s="139"/>
      <c r="G19" s="6" t="s">
        <v>5</v>
      </c>
      <c r="H19" s="6">
        <v>2</v>
      </c>
      <c r="I19" s="26">
        <v>1</v>
      </c>
      <c r="J19" s="26">
        <v>6.1</v>
      </c>
      <c r="K19" s="26">
        <f t="shared" si="18"/>
        <v>10.1</v>
      </c>
      <c r="L19" s="6"/>
      <c r="M19" s="6">
        <f t="shared" si="9"/>
        <v>0.2</v>
      </c>
      <c r="N19" s="36">
        <v>0</v>
      </c>
      <c r="O19" s="6"/>
      <c r="P19" s="6">
        <f t="shared" si="10"/>
        <v>1.2</v>
      </c>
      <c r="Q19" s="6">
        <f t="shared" si="11"/>
        <v>5.3</v>
      </c>
      <c r="R19" s="40">
        <f t="shared" si="19"/>
        <v>10.1</v>
      </c>
      <c r="S19" s="6">
        <f t="shared" si="1"/>
        <v>2</v>
      </c>
      <c r="T19" s="6"/>
      <c r="U19" s="6">
        <f>IF(K19&lt;=$O$1,$W$1,IF(K19&lt;=$O$2,$W$2,$W$3))</f>
        <v>0.35</v>
      </c>
      <c r="V19" s="6"/>
      <c r="W19" s="40">
        <f t="shared" si="2"/>
        <v>1.35</v>
      </c>
      <c r="X19" s="40">
        <f t="shared" si="13"/>
        <v>4.6999999999999993</v>
      </c>
      <c r="Y19" s="40">
        <f t="shared" si="14"/>
        <v>10.1</v>
      </c>
      <c r="Z19" s="6">
        <f t="shared" si="3"/>
        <v>2</v>
      </c>
      <c r="AA19" s="68" t="s">
        <v>135</v>
      </c>
      <c r="AB19" s="85">
        <v>1</v>
      </c>
      <c r="AC19" s="10" t="s">
        <v>6</v>
      </c>
      <c r="AE19">
        <f>E17</f>
        <v>25</v>
      </c>
      <c r="AF19" s="17">
        <f t="shared" si="4"/>
        <v>4.1903383528763827E-2</v>
      </c>
      <c r="AG19" s="17"/>
      <c r="AH19">
        <f t="shared" si="5"/>
        <v>2.9999999999999997E-5</v>
      </c>
      <c r="AI19" s="18">
        <v>0.9</v>
      </c>
      <c r="AJ19">
        <v>34</v>
      </c>
      <c r="AK19">
        <v>65</v>
      </c>
      <c r="AL19">
        <f t="shared" si="15"/>
        <v>8.1</v>
      </c>
      <c r="AM19">
        <f t="shared" si="16"/>
        <v>10.299999999999999</v>
      </c>
      <c r="AN19" s="22">
        <f t="shared" si="6"/>
        <v>7.8640776699029122E-2</v>
      </c>
      <c r="AO19" t="s">
        <v>111</v>
      </c>
      <c r="AP19">
        <f t="shared" si="17"/>
        <v>1</v>
      </c>
    </row>
    <row r="20" spans="1:42" ht="14.1" customHeight="1" x14ac:dyDescent="0.15">
      <c r="A20" s="19">
        <f>AF20*60*100/10</f>
        <v>39.988903323328792</v>
      </c>
      <c r="B20" s="31">
        <f>A20-AE20</f>
        <v>-1.1096676671208172E-2</v>
      </c>
      <c r="C20" s="19">
        <f>IF(K20&gt;taludvoorkeur!$E$13,taludvoorkeur!$F$14,taludvoorkeur!$F$13)-H20</f>
        <v>0</v>
      </c>
      <c r="D20" s="44" t="str">
        <f>IF(AND(R20&gt;6,P20&lt;1),"nob","")</f>
        <v/>
      </c>
      <c r="E20" s="134">
        <v>40</v>
      </c>
      <c r="F20" s="137">
        <f>E20/100*10/60</f>
        <v>6.6666666666666666E-2</v>
      </c>
      <c r="G20" s="8" t="s">
        <v>8</v>
      </c>
      <c r="H20" s="118">
        <v>1.5</v>
      </c>
      <c r="I20" s="118">
        <v>0.5</v>
      </c>
      <c r="J20" s="118">
        <v>1.75</v>
      </c>
      <c r="K20" s="118">
        <f t="shared" ref="K20:K31" si="21">J20+2*I20*H20</f>
        <v>3.25</v>
      </c>
      <c r="L20" s="8"/>
      <c r="M20" s="8">
        <f>IF(K20&lt;=$O$2,$Q$2,$Q$3)</f>
        <v>0.15</v>
      </c>
      <c r="N20" s="37">
        <v>0</v>
      </c>
      <c r="O20" s="8"/>
      <c r="P20" s="8">
        <f>I20+M20</f>
        <v>0.65</v>
      </c>
      <c r="Q20" s="8">
        <f t="shared" si="11"/>
        <v>1.2999999999999998</v>
      </c>
      <c r="R20" s="42">
        <f>MAX(Q20+P20*H20*2,K20*(1+N20))</f>
        <v>3.25</v>
      </c>
      <c r="S20" s="8">
        <f>ROUND((R20-Q20)/2/P20,1)</f>
        <v>1.5</v>
      </c>
      <c r="T20" s="8"/>
      <c r="U20" s="8">
        <f>IF(K20&lt;=$O$1,$W$1,IF(K20&lt;=$O$2,$W$2,$W$3))</f>
        <v>0.25</v>
      </c>
      <c r="V20" s="8"/>
      <c r="W20" s="42">
        <f t="shared" si="2"/>
        <v>0.75</v>
      </c>
      <c r="X20" s="42">
        <f t="shared" si="13"/>
        <v>1</v>
      </c>
      <c r="Y20" s="42">
        <f t="shared" si="14"/>
        <v>3.25</v>
      </c>
      <c r="Z20" s="8">
        <f>ROUND((Y20-X20)/2/W20,1)</f>
        <v>1.5</v>
      </c>
      <c r="AA20" s="69" t="s">
        <v>156</v>
      </c>
      <c r="AB20" s="69">
        <v>3</v>
      </c>
      <c r="AC20" s="11" t="s">
        <v>9</v>
      </c>
      <c r="AE20">
        <f>E20</f>
        <v>40</v>
      </c>
      <c r="AF20" s="17">
        <f>AJ20*AN20^(2/3)*(1-AI20)*AL20*SQRT(AH20)+AK20*(AI20*AL20)*AH20</f>
        <v>6.6648172205547987E-2</v>
      </c>
      <c r="AG20" s="17"/>
      <c r="AH20">
        <f t="shared" si="5"/>
        <v>2.9999999999999997E-5</v>
      </c>
      <c r="AI20" s="18">
        <v>0.25</v>
      </c>
      <c r="AJ20">
        <v>34</v>
      </c>
      <c r="AK20">
        <v>30</v>
      </c>
      <c r="AL20">
        <f>J20*I20+(K20-J20)/2*I20</f>
        <v>1.25</v>
      </c>
      <c r="AM20">
        <f>K20+2*(1-AI20)*I20</f>
        <v>4</v>
      </c>
      <c r="AN20" s="22">
        <f t="shared" si="6"/>
        <v>0.234375</v>
      </c>
      <c r="AO20" t="s">
        <v>111</v>
      </c>
      <c r="AP20">
        <f t="shared" si="17"/>
        <v>1</v>
      </c>
    </row>
    <row r="21" spans="1:42" ht="14.1" customHeight="1" x14ac:dyDescent="0.15">
      <c r="A21" s="19">
        <f>AF21*60*100/10</f>
        <v>39.86507482753499</v>
      </c>
      <c r="B21" s="31">
        <f>A21-AE21</f>
        <v>-0.13492517246501023</v>
      </c>
      <c r="C21" s="19">
        <f>IF(K21&gt;taludvoorkeur!$E$13,taludvoorkeur!$F$14,taludvoorkeur!$F$13)-H21</f>
        <v>0</v>
      </c>
      <c r="D21" s="44" t="str">
        <f>IF(AND(R21&gt;6,P21&lt;1),"nob","")</f>
        <v/>
      </c>
      <c r="E21" s="135"/>
      <c r="F21" s="138"/>
      <c r="G21" s="7" t="s">
        <v>7</v>
      </c>
      <c r="H21" s="32">
        <v>1.5</v>
      </c>
      <c r="I21" s="32">
        <v>0.6</v>
      </c>
      <c r="J21" s="32">
        <v>2.4500000000000002</v>
      </c>
      <c r="K21" s="32">
        <f t="shared" si="21"/>
        <v>4.25</v>
      </c>
      <c r="L21" s="7"/>
      <c r="M21" s="7">
        <f>IF(K21&lt;=$O$2,$Q$2,$Q$3)</f>
        <v>0.15</v>
      </c>
      <c r="N21" s="38">
        <v>0</v>
      </c>
      <c r="O21" s="7"/>
      <c r="P21" s="7">
        <f>I21+M21</f>
        <v>0.75</v>
      </c>
      <c r="Q21" s="7">
        <f t="shared" si="11"/>
        <v>2</v>
      </c>
      <c r="R21" s="43">
        <f>MAX(Q21+P21*H21*2,K21*(1+N21))</f>
        <v>4.25</v>
      </c>
      <c r="S21" s="7">
        <f>ROUND((R21-Q21)/2/P21,1)</f>
        <v>1.5</v>
      </c>
      <c r="T21" s="7"/>
      <c r="U21" s="7">
        <f>IF(K21&lt;=$O$1,$W$1,IF(K21&lt;=$O$2,$W$2,$W$3))</f>
        <v>0.25</v>
      </c>
      <c r="V21" s="7"/>
      <c r="W21" s="43">
        <f t="shared" si="2"/>
        <v>0.85</v>
      </c>
      <c r="X21" s="43">
        <f t="shared" si="13"/>
        <v>1.7000000000000002</v>
      </c>
      <c r="Y21" s="43">
        <f t="shared" si="14"/>
        <v>4.25</v>
      </c>
      <c r="Z21" s="7">
        <f>ROUND((Y21-X21)/2/W21,1)</f>
        <v>1.5</v>
      </c>
      <c r="AA21" s="70" t="s">
        <v>157</v>
      </c>
      <c r="AB21" s="70">
        <v>2</v>
      </c>
      <c r="AC21" s="9" t="s">
        <v>9</v>
      </c>
      <c r="AE21">
        <f>E20</f>
        <v>40</v>
      </c>
      <c r="AF21" s="17">
        <f>AJ21*AN21^(2/3)*(1-AI21)*AL21*SQRT(AH21)+AK21*(AI21*AL21)*AH21</f>
        <v>6.6441791379224985E-2</v>
      </c>
      <c r="AG21" s="17"/>
      <c r="AH21">
        <f t="shared" si="5"/>
        <v>2.9999999999999997E-5</v>
      </c>
      <c r="AI21" s="18">
        <v>0.5</v>
      </c>
      <c r="AJ21">
        <v>34</v>
      </c>
      <c r="AK21">
        <v>30</v>
      </c>
      <c r="AL21">
        <f>J21*I21+(K21-J21)/2*I21</f>
        <v>2.0099999999999998</v>
      </c>
      <c r="AM21">
        <f>K21+2*(1-AI21)*I21</f>
        <v>4.8499999999999996</v>
      </c>
      <c r="AN21" s="22">
        <f t="shared" si="6"/>
        <v>0.20721649484536081</v>
      </c>
      <c r="AO21" t="s">
        <v>111</v>
      </c>
      <c r="AP21">
        <f t="shared" si="17"/>
        <v>1</v>
      </c>
    </row>
    <row r="22" spans="1:42" ht="14.1" customHeight="1" thickBot="1" x14ac:dyDescent="0.2">
      <c r="A22" s="19">
        <f>AF22*60*100/10</f>
        <v>39.926429203419531</v>
      </c>
      <c r="B22" s="31">
        <f>A22-AE22</f>
        <v>-7.3570796580469278E-2</v>
      </c>
      <c r="C22" s="19">
        <f>IF(K22&gt;taludvoorkeur!$E$13,taludvoorkeur!$F$14,taludvoorkeur!$F$13)-H22</f>
        <v>0</v>
      </c>
      <c r="D22" s="44" t="str">
        <f>IF(AND(R22&gt;6,P22&lt;1),"nob","")</f>
        <v/>
      </c>
      <c r="E22" s="136"/>
      <c r="F22" s="139"/>
      <c r="G22" s="6" t="s">
        <v>5</v>
      </c>
      <c r="H22" s="129">
        <v>2</v>
      </c>
      <c r="I22" s="130">
        <v>1.1000000000000001</v>
      </c>
      <c r="J22" s="131">
        <v>8.8000000000000007</v>
      </c>
      <c r="K22" s="132">
        <f t="shared" si="21"/>
        <v>13.200000000000001</v>
      </c>
      <c r="L22" s="6"/>
      <c r="M22" s="26">
        <f>IF(K22&lt;=$O$2,$Q$2,$Q$3)</f>
        <v>0.2</v>
      </c>
      <c r="N22" s="39">
        <v>0</v>
      </c>
      <c r="O22" s="6"/>
      <c r="P22" s="6">
        <f>I22+M22</f>
        <v>1.3</v>
      </c>
      <c r="Q22" s="6">
        <f t="shared" si="11"/>
        <v>8</v>
      </c>
      <c r="R22" s="40">
        <f>MAX(Q22+P22*H22*2,K22*(1+N22))</f>
        <v>13.200000000000001</v>
      </c>
      <c r="S22" s="6">
        <f>ROUND((R22-Q22)/2/P22,1)</f>
        <v>2</v>
      </c>
      <c r="T22" s="6"/>
      <c r="U22" s="26">
        <f>IF(K22&lt;=$O$1,$W$1,IF(K22&lt;=$O$2,$W$2,$W$3))</f>
        <v>0.35</v>
      </c>
      <c r="V22" s="6"/>
      <c r="W22" s="40">
        <f t="shared" si="2"/>
        <v>1.4500000000000002</v>
      </c>
      <c r="X22" s="40">
        <f t="shared" si="13"/>
        <v>7.4</v>
      </c>
      <c r="Y22" s="40">
        <f t="shared" si="14"/>
        <v>13.200000000000001</v>
      </c>
      <c r="Z22" s="6">
        <f>ROUND((Y22-X22)/2/W22,1)</f>
        <v>2</v>
      </c>
      <c r="AA22" s="68" t="s">
        <v>158</v>
      </c>
      <c r="AB22" s="85">
        <v>1</v>
      </c>
      <c r="AC22" s="10" t="s">
        <v>9</v>
      </c>
      <c r="AE22">
        <f>E20</f>
        <v>40</v>
      </c>
      <c r="AF22" s="17">
        <f>AJ22*AN22^(2/3)*(1-AI22)*AL22*SQRT(AH22)+AK22*(AI22*AL22)*AH22</f>
        <v>6.654404867236588E-2</v>
      </c>
      <c r="AG22" s="17"/>
      <c r="AH22">
        <f t="shared" si="5"/>
        <v>2.9999999999999997E-5</v>
      </c>
      <c r="AI22" s="18">
        <v>0.9</v>
      </c>
      <c r="AJ22">
        <v>34</v>
      </c>
      <c r="AK22">
        <v>65</v>
      </c>
      <c r="AL22">
        <f>J22*I22+(K22-J22)/2*I22</f>
        <v>12.100000000000001</v>
      </c>
      <c r="AM22">
        <f>K22+2*(1-AI22)*I22</f>
        <v>13.420000000000002</v>
      </c>
      <c r="AN22" s="22">
        <f t="shared" si="6"/>
        <v>9.0163934426229497E-2</v>
      </c>
      <c r="AO22" t="s">
        <v>111</v>
      </c>
      <c r="AP22">
        <f t="shared" si="17"/>
        <v>1</v>
      </c>
    </row>
    <row r="23" spans="1:42" ht="14.1" customHeight="1" x14ac:dyDescent="0.15">
      <c r="A23" s="19">
        <f t="shared" si="20"/>
        <v>50.962476447919663</v>
      </c>
      <c r="B23" s="31">
        <f t="shared" si="0"/>
        <v>0.9624764479196628</v>
      </c>
      <c r="C23" s="19">
        <f>IF(K23&gt;taludvoorkeur!$E$13,taludvoorkeur!$F$14,taludvoorkeur!$F$13)-H23</f>
        <v>0</v>
      </c>
      <c r="D23" s="44" t="str">
        <f t="shared" si="8"/>
        <v/>
      </c>
      <c r="E23" s="134">
        <v>50</v>
      </c>
      <c r="F23" s="137">
        <f>E23/100*10/60</f>
        <v>8.3333333333333329E-2</v>
      </c>
      <c r="G23" s="8" t="s">
        <v>8</v>
      </c>
      <c r="H23" s="8">
        <v>1.5</v>
      </c>
      <c r="I23" s="8">
        <v>0.55000000000000004</v>
      </c>
      <c r="J23" s="8">
        <v>1.9</v>
      </c>
      <c r="K23" s="8">
        <f t="shared" si="21"/>
        <v>3.55</v>
      </c>
      <c r="L23" s="8"/>
      <c r="M23" s="8">
        <f t="shared" si="9"/>
        <v>0.15</v>
      </c>
      <c r="N23" s="37">
        <v>0</v>
      </c>
      <c r="O23" s="8"/>
      <c r="P23" s="8">
        <f t="shared" si="10"/>
        <v>0.70000000000000007</v>
      </c>
      <c r="Q23" s="8">
        <f t="shared" si="11"/>
        <v>1.4499999999999997</v>
      </c>
      <c r="R23" s="42">
        <f t="shared" si="19"/>
        <v>3.55</v>
      </c>
      <c r="S23" s="8">
        <f t="shared" si="1"/>
        <v>1.5</v>
      </c>
      <c r="T23" s="8"/>
      <c r="U23" s="8">
        <f t="shared" si="12"/>
        <v>0.25</v>
      </c>
      <c r="V23" s="8"/>
      <c r="W23" s="42">
        <f t="shared" si="2"/>
        <v>0.8</v>
      </c>
      <c r="X23" s="42">
        <f t="shared" si="13"/>
        <v>1.1499999999999999</v>
      </c>
      <c r="Y23" s="42">
        <f t="shared" si="14"/>
        <v>3.55</v>
      </c>
      <c r="Z23" s="8">
        <f t="shared" si="3"/>
        <v>1.5</v>
      </c>
      <c r="AA23" s="69" t="s">
        <v>136</v>
      </c>
      <c r="AB23" s="69">
        <v>3</v>
      </c>
      <c r="AC23" s="11" t="s">
        <v>9</v>
      </c>
      <c r="AE23">
        <f>E23</f>
        <v>50</v>
      </c>
      <c r="AF23" s="17">
        <f t="shared" si="4"/>
        <v>8.4937460746532772E-2</v>
      </c>
      <c r="AG23" s="17"/>
      <c r="AH23">
        <f t="shared" si="5"/>
        <v>2.9999999999999997E-5</v>
      </c>
      <c r="AI23" s="18">
        <v>0.25</v>
      </c>
      <c r="AJ23">
        <v>34</v>
      </c>
      <c r="AK23">
        <v>30</v>
      </c>
      <c r="AL23">
        <f t="shared" si="15"/>
        <v>1.4987499999999998</v>
      </c>
      <c r="AM23">
        <f t="shared" si="16"/>
        <v>4.375</v>
      </c>
      <c r="AN23" s="22">
        <f t="shared" si="6"/>
        <v>0.2569285714285714</v>
      </c>
      <c r="AO23" t="s">
        <v>111</v>
      </c>
      <c r="AP23">
        <f t="shared" si="17"/>
        <v>1</v>
      </c>
    </row>
    <row r="24" spans="1:42" ht="14.1" customHeight="1" x14ac:dyDescent="0.15">
      <c r="A24" s="19">
        <f t="shared" si="20"/>
        <v>50.065567277790919</v>
      </c>
      <c r="B24" s="31">
        <f t="shared" si="0"/>
        <v>6.5567277790918865E-2</v>
      </c>
      <c r="C24" s="19">
        <f>IF(K24&gt;taludvoorkeur!$E$13,taludvoorkeur!$F$14,taludvoorkeur!$F$13)-H24</f>
        <v>0</v>
      </c>
      <c r="D24" s="44" t="str">
        <f t="shared" si="8"/>
        <v/>
      </c>
      <c r="E24" s="135"/>
      <c r="F24" s="138"/>
      <c r="G24" s="7" t="s">
        <v>7</v>
      </c>
      <c r="H24" s="7">
        <v>1.5</v>
      </c>
      <c r="I24" s="7">
        <v>0.65</v>
      </c>
      <c r="J24" s="7">
        <v>2.7</v>
      </c>
      <c r="K24" s="7">
        <f t="shared" si="21"/>
        <v>4.6500000000000004</v>
      </c>
      <c r="L24" s="7"/>
      <c r="M24" s="7">
        <f t="shared" si="9"/>
        <v>0.15</v>
      </c>
      <c r="N24" s="38">
        <v>0</v>
      </c>
      <c r="O24" s="7"/>
      <c r="P24" s="7">
        <f t="shared" si="10"/>
        <v>0.8</v>
      </c>
      <c r="Q24" s="7">
        <f t="shared" si="11"/>
        <v>2.25</v>
      </c>
      <c r="R24" s="43">
        <f t="shared" si="19"/>
        <v>4.6500000000000004</v>
      </c>
      <c r="S24" s="7">
        <f t="shared" si="1"/>
        <v>1.5</v>
      </c>
      <c r="T24" s="7"/>
      <c r="U24" s="7">
        <f t="shared" si="12"/>
        <v>0.25</v>
      </c>
      <c r="V24" s="7"/>
      <c r="W24" s="43">
        <f t="shared" si="2"/>
        <v>0.9</v>
      </c>
      <c r="X24" s="43">
        <f t="shared" si="13"/>
        <v>1.9500000000000002</v>
      </c>
      <c r="Y24" s="43">
        <f t="shared" si="14"/>
        <v>4.6500000000000004</v>
      </c>
      <c r="Z24" s="7">
        <f t="shared" si="3"/>
        <v>1.5</v>
      </c>
      <c r="AA24" s="70" t="s">
        <v>137</v>
      </c>
      <c r="AB24" s="70">
        <v>2</v>
      </c>
      <c r="AC24" s="9" t="s">
        <v>9</v>
      </c>
      <c r="AE24">
        <f>E23</f>
        <v>50</v>
      </c>
      <c r="AF24" s="17">
        <f t="shared" si="4"/>
        <v>8.3442612129651525E-2</v>
      </c>
      <c r="AG24" s="17"/>
      <c r="AH24">
        <f t="shared" si="5"/>
        <v>2.9999999999999997E-5</v>
      </c>
      <c r="AI24" s="18">
        <v>0.5</v>
      </c>
      <c r="AJ24">
        <v>34</v>
      </c>
      <c r="AK24">
        <v>30</v>
      </c>
      <c r="AL24">
        <f t="shared" si="15"/>
        <v>2.3887499999999999</v>
      </c>
      <c r="AM24">
        <f t="shared" si="16"/>
        <v>5.3000000000000007</v>
      </c>
      <c r="AN24" s="22">
        <f t="shared" si="6"/>
        <v>0.22535377358490563</v>
      </c>
      <c r="AO24" t="s">
        <v>111</v>
      </c>
      <c r="AP24">
        <f t="shared" si="17"/>
        <v>1</v>
      </c>
    </row>
    <row r="25" spans="1:42" ht="14.1" customHeight="1" thickBot="1" x14ac:dyDescent="0.2">
      <c r="A25" s="19">
        <f t="shared" si="20"/>
        <v>50.073005128390648</v>
      </c>
      <c r="B25" s="31">
        <f t="shared" si="0"/>
        <v>7.3005128390647656E-2</v>
      </c>
      <c r="C25" s="19">
        <f>IF(K25&gt;taludvoorkeur!$E$13,taludvoorkeur!$F$14,taludvoorkeur!$F$13)-H25</f>
        <v>0</v>
      </c>
      <c r="D25" s="44" t="str">
        <f t="shared" si="8"/>
        <v/>
      </c>
      <c r="E25" s="136"/>
      <c r="F25" s="139"/>
      <c r="G25" s="6" t="s">
        <v>5</v>
      </c>
      <c r="H25" s="6">
        <v>2</v>
      </c>
      <c r="I25" s="26">
        <v>1.2</v>
      </c>
      <c r="J25" s="117">
        <v>9.74</v>
      </c>
      <c r="K25" s="75">
        <f t="shared" si="21"/>
        <v>14.54</v>
      </c>
      <c r="L25" s="6"/>
      <c r="M25" s="26">
        <f t="shared" si="9"/>
        <v>0.2</v>
      </c>
      <c r="N25" s="39">
        <v>0</v>
      </c>
      <c r="O25" s="6"/>
      <c r="P25" s="6">
        <f t="shared" si="10"/>
        <v>1.4</v>
      </c>
      <c r="Q25" s="6">
        <f t="shared" si="11"/>
        <v>8.9400000000000013</v>
      </c>
      <c r="R25" s="40">
        <f t="shared" si="19"/>
        <v>14.540000000000001</v>
      </c>
      <c r="S25" s="6">
        <f t="shared" si="1"/>
        <v>2</v>
      </c>
      <c r="T25" s="6"/>
      <c r="U25" s="26">
        <f t="shared" si="12"/>
        <v>0.35</v>
      </c>
      <c r="V25" s="6"/>
      <c r="W25" s="40">
        <f t="shared" si="2"/>
        <v>1.5499999999999998</v>
      </c>
      <c r="X25" s="40">
        <f t="shared" si="13"/>
        <v>8.3400000000000016</v>
      </c>
      <c r="Y25" s="40">
        <f t="shared" si="14"/>
        <v>14.540000000000001</v>
      </c>
      <c r="Z25" s="6">
        <f t="shared" si="3"/>
        <v>2</v>
      </c>
      <c r="AA25" s="68" t="s">
        <v>138</v>
      </c>
      <c r="AB25" s="85">
        <v>1</v>
      </c>
      <c r="AC25" s="10" t="s">
        <v>9</v>
      </c>
      <c r="AE25">
        <f>E23</f>
        <v>50</v>
      </c>
      <c r="AF25" s="17">
        <f t="shared" si="4"/>
        <v>8.3455008547317744E-2</v>
      </c>
      <c r="AG25" s="17"/>
      <c r="AH25">
        <f t="shared" si="5"/>
        <v>2.9999999999999997E-5</v>
      </c>
      <c r="AI25" s="18">
        <v>0.9</v>
      </c>
      <c r="AJ25">
        <v>34</v>
      </c>
      <c r="AK25">
        <v>65</v>
      </c>
      <c r="AL25">
        <f t="shared" si="15"/>
        <v>14.568</v>
      </c>
      <c r="AM25">
        <f t="shared" si="16"/>
        <v>14.78</v>
      </c>
      <c r="AN25" s="22">
        <f t="shared" si="6"/>
        <v>9.856562922868739E-2</v>
      </c>
      <c r="AO25" t="s">
        <v>111</v>
      </c>
      <c r="AP25">
        <f t="shared" si="17"/>
        <v>1</v>
      </c>
    </row>
    <row r="26" spans="1:42" ht="14.1" customHeight="1" x14ac:dyDescent="0.15">
      <c r="A26" s="19">
        <f t="shared" si="20"/>
        <v>75.90194911427426</v>
      </c>
      <c r="B26" s="31">
        <f t="shared" si="0"/>
        <v>0.9019491142742595</v>
      </c>
      <c r="C26" s="19">
        <f>IF(K26&gt;taludvoorkeur!$E$13,taludvoorkeur!$F$14,taludvoorkeur!$F$13)-H26</f>
        <v>0</v>
      </c>
      <c r="D26" s="44" t="str">
        <f t="shared" si="8"/>
        <v/>
      </c>
      <c r="E26" s="134">
        <v>75</v>
      </c>
      <c r="F26" s="137">
        <f>E26/100*10/60</f>
        <v>0.125</v>
      </c>
      <c r="G26" s="8" t="s">
        <v>8</v>
      </c>
      <c r="H26" s="8">
        <v>1.5</v>
      </c>
      <c r="I26" s="8">
        <v>0.6</v>
      </c>
      <c r="J26" s="118">
        <v>2.5</v>
      </c>
      <c r="K26" s="8">
        <f t="shared" si="21"/>
        <v>4.3</v>
      </c>
      <c r="L26" s="8"/>
      <c r="M26" s="8">
        <f t="shared" si="9"/>
        <v>0.15</v>
      </c>
      <c r="N26" s="37">
        <v>0</v>
      </c>
      <c r="O26" s="8"/>
      <c r="P26" s="8">
        <f t="shared" si="10"/>
        <v>0.75</v>
      </c>
      <c r="Q26" s="8">
        <f t="shared" si="11"/>
        <v>2.0499999999999998</v>
      </c>
      <c r="R26" s="42">
        <f t="shared" si="19"/>
        <v>4.3</v>
      </c>
      <c r="S26" s="8">
        <f t="shared" si="1"/>
        <v>1.5</v>
      </c>
      <c r="T26" s="8"/>
      <c r="U26" s="8">
        <f t="shared" si="12"/>
        <v>0.25</v>
      </c>
      <c r="V26" s="8"/>
      <c r="W26" s="42">
        <f t="shared" si="2"/>
        <v>0.85</v>
      </c>
      <c r="X26" s="42">
        <f t="shared" si="13"/>
        <v>1.75</v>
      </c>
      <c r="Y26" s="42">
        <f t="shared" si="14"/>
        <v>4.3</v>
      </c>
      <c r="Z26" s="8">
        <f t="shared" si="3"/>
        <v>1.5</v>
      </c>
      <c r="AA26" s="69" t="s">
        <v>139</v>
      </c>
      <c r="AB26" s="69">
        <v>3</v>
      </c>
      <c r="AC26" s="11" t="s">
        <v>10</v>
      </c>
      <c r="AE26">
        <f>E26</f>
        <v>75</v>
      </c>
      <c r="AF26" s="17">
        <f t="shared" si="4"/>
        <v>0.12650324852379044</v>
      </c>
      <c r="AG26" s="17"/>
      <c r="AH26">
        <f t="shared" si="5"/>
        <v>2.9999999999999997E-5</v>
      </c>
      <c r="AI26" s="18">
        <v>0.25</v>
      </c>
      <c r="AJ26">
        <v>34</v>
      </c>
      <c r="AK26">
        <v>30</v>
      </c>
      <c r="AL26">
        <f t="shared" si="15"/>
        <v>2.04</v>
      </c>
      <c r="AM26">
        <f t="shared" si="16"/>
        <v>5.1999999999999993</v>
      </c>
      <c r="AN26" s="22">
        <f t="shared" si="6"/>
        <v>0.2942307692307693</v>
      </c>
      <c r="AO26" t="s">
        <v>111</v>
      </c>
      <c r="AP26">
        <f t="shared" si="17"/>
        <v>1</v>
      </c>
    </row>
    <row r="27" spans="1:42" ht="14.1" customHeight="1" x14ac:dyDescent="0.15">
      <c r="A27" s="19">
        <f t="shared" si="20"/>
        <v>74.999776137169931</v>
      </c>
      <c r="B27" s="31">
        <f t="shared" si="0"/>
        <v>-2.2386283006881058E-4</v>
      </c>
      <c r="C27" s="19">
        <f>IF(K27&gt;taludvoorkeur!$E$13,taludvoorkeur!$F$14,taludvoorkeur!$F$13)-H27</f>
        <v>0</v>
      </c>
      <c r="D27" s="44" t="str">
        <f t="shared" si="8"/>
        <v/>
      </c>
      <c r="E27" s="135"/>
      <c r="F27" s="138"/>
      <c r="G27" s="7" t="s">
        <v>7</v>
      </c>
      <c r="H27" s="7">
        <v>1.5</v>
      </c>
      <c r="I27" s="7">
        <v>0.75</v>
      </c>
      <c r="J27" s="32">
        <v>3.2</v>
      </c>
      <c r="K27" s="7">
        <f t="shared" si="21"/>
        <v>5.45</v>
      </c>
      <c r="L27" s="7"/>
      <c r="M27" s="7">
        <f t="shared" si="9"/>
        <v>0.15</v>
      </c>
      <c r="N27" s="38">
        <v>0</v>
      </c>
      <c r="O27" s="7"/>
      <c r="P27" s="7">
        <f t="shared" si="10"/>
        <v>0.9</v>
      </c>
      <c r="Q27" s="7">
        <f t="shared" si="11"/>
        <v>2.75</v>
      </c>
      <c r="R27" s="43">
        <f t="shared" si="19"/>
        <v>5.45</v>
      </c>
      <c r="S27" s="7">
        <f t="shared" si="1"/>
        <v>1.5</v>
      </c>
      <c r="T27" s="7"/>
      <c r="U27" s="7">
        <f t="shared" si="12"/>
        <v>0.25</v>
      </c>
      <c r="V27" s="7"/>
      <c r="W27" s="43">
        <f t="shared" si="2"/>
        <v>1</v>
      </c>
      <c r="X27" s="43">
        <f t="shared" si="13"/>
        <v>2.4500000000000002</v>
      </c>
      <c r="Y27" s="43">
        <f t="shared" si="14"/>
        <v>5.45</v>
      </c>
      <c r="Z27" s="7">
        <f t="shared" si="3"/>
        <v>1.5</v>
      </c>
      <c r="AA27" s="70" t="s">
        <v>140</v>
      </c>
      <c r="AB27" s="70">
        <v>2</v>
      </c>
      <c r="AC27" s="9" t="s">
        <v>10</v>
      </c>
      <c r="AE27">
        <f>E26</f>
        <v>75</v>
      </c>
      <c r="AF27" s="17">
        <f t="shared" si="4"/>
        <v>0.12499962689528323</v>
      </c>
      <c r="AG27" s="17"/>
      <c r="AH27">
        <f t="shared" si="5"/>
        <v>2.9999999999999997E-5</v>
      </c>
      <c r="AI27" s="18">
        <v>0.5</v>
      </c>
      <c r="AJ27">
        <v>34</v>
      </c>
      <c r="AK27">
        <v>30</v>
      </c>
      <c r="AL27">
        <f t="shared" si="15"/>
        <v>3.2437500000000004</v>
      </c>
      <c r="AM27">
        <f t="shared" si="16"/>
        <v>6.2</v>
      </c>
      <c r="AN27" s="22">
        <f t="shared" si="6"/>
        <v>0.26159274193548387</v>
      </c>
      <c r="AO27" t="s">
        <v>111</v>
      </c>
      <c r="AP27">
        <f t="shared" si="17"/>
        <v>1</v>
      </c>
    </row>
    <row r="28" spans="1:42" ht="14.1" customHeight="1" thickBot="1" x14ac:dyDescent="0.2">
      <c r="A28" s="19">
        <f t="shared" si="20"/>
        <v>74.859115101817054</v>
      </c>
      <c r="B28" s="31">
        <f t="shared" si="0"/>
        <v>-0.14088489818294647</v>
      </c>
      <c r="C28" s="19">
        <f>IF(K28&gt;taludvoorkeur!$E$13,taludvoorkeur!$F$14,taludvoorkeur!$F$13)-H28</f>
        <v>0</v>
      </c>
      <c r="D28" s="44" t="str">
        <f t="shared" si="8"/>
        <v/>
      </c>
      <c r="E28" s="136"/>
      <c r="F28" s="139"/>
      <c r="G28" s="6" t="s">
        <v>5</v>
      </c>
      <c r="H28" s="6">
        <v>2</v>
      </c>
      <c r="I28" s="6">
        <v>1.1499999999999999</v>
      </c>
      <c r="J28" s="6">
        <v>16.399999999999999</v>
      </c>
      <c r="K28" s="6">
        <f t="shared" si="21"/>
        <v>21</v>
      </c>
      <c r="L28" s="6"/>
      <c r="M28" s="6">
        <f t="shared" si="9"/>
        <v>0.2</v>
      </c>
      <c r="N28" s="36">
        <v>0</v>
      </c>
      <c r="O28" s="6"/>
      <c r="P28" s="6">
        <f t="shared" si="10"/>
        <v>1.3499999999999999</v>
      </c>
      <c r="Q28" s="6">
        <f t="shared" si="11"/>
        <v>15.599999999999998</v>
      </c>
      <c r="R28" s="40">
        <f t="shared" si="19"/>
        <v>21</v>
      </c>
      <c r="S28" s="6">
        <f t="shared" si="1"/>
        <v>2</v>
      </c>
      <c r="T28" s="6"/>
      <c r="U28" s="6">
        <f t="shared" si="12"/>
        <v>0.35</v>
      </c>
      <c r="V28" s="6"/>
      <c r="W28" s="40">
        <f t="shared" si="2"/>
        <v>1.5</v>
      </c>
      <c r="X28" s="40">
        <f t="shared" si="13"/>
        <v>15</v>
      </c>
      <c r="Y28" s="40">
        <f t="shared" si="14"/>
        <v>21</v>
      </c>
      <c r="Z28" s="6">
        <f t="shared" si="3"/>
        <v>2</v>
      </c>
      <c r="AA28" s="68" t="s">
        <v>141</v>
      </c>
      <c r="AB28" s="85">
        <v>1</v>
      </c>
      <c r="AC28" s="10" t="s">
        <v>10</v>
      </c>
      <c r="AE28">
        <f>E26</f>
        <v>75</v>
      </c>
      <c r="AF28" s="17">
        <f t="shared" si="4"/>
        <v>0.12476519183636176</v>
      </c>
      <c r="AG28" s="17"/>
      <c r="AH28">
        <f t="shared" si="5"/>
        <v>2.9999999999999997E-5</v>
      </c>
      <c r="AI28" s="18">
        <v>0.9</v>
      </c>
      <c r="AJ28">
        <v>34</v>
      </c>
      <c r="AK28">
        <v>65</v>
      </c>
      <c r="AL28">
        <f t="shared" si="15"/>
        <v>21.504999999999995</v>
      </c>
      <c r="AM28">
        <f t="shared" si="16"/>
        <v>21.23</v>
      </c>
      <c r="AN28" s="22">
        <f t="shared" si="6"/>
        <v>0.10129533678756472</v>
      </c>
      <c r="AO28" t="s">
        <v>111</v>
      </c>
      <c r="AP28">
        <f t="shared" si="17"/>
        <v>1</v>
      </c>
    </row>
    <row r="29" spans="1:42" ht="14.1" customHeight="1" x14ac:dyDescent="0.15">
      <c r="A29" s="19">
        <f t="shared" si="7"/>
        <v>99.973225282090183</v>
      </c>
      <c r="B29" s="31">
        <f t="shared" si="0"/>
        <v>-2.6774717909816559E-2</v>
      </c>
      <c r="C29" s="19">
        <f>IF(K29&gt;taludvoorkeur!$E$13,taludvoorkeur!$F$14,taludvoorkeur!$F$13)-H29</f>
        <v>0</v>
      </c>
      <c r="D29" s="44" t="str">
        <f t="shared" si="8"/>
        <v/>
      </c>
      <c r="E29" s="135">
        <v>100</v>
      </c>
      <c r="F29" s="137">
        <f>E29/100*10/60</f>
        <v>0.16666666666666666</v>
      </c>
      <c r="G29" s="8" t="s">
        <v>8</v>
      </c>
      <c r="H29" s="8">
        <v>1.5</v>
      </c>
      <c r="I29" s="8">
        <v>0.65</v>
      </c>
      <c r="J29" s="118">
        <v>2.9</v>
      </c>
      <c r="K29" s="8">
        <f t="shared" si="21"/>
        <v>4.8499999999999996</v>
      </c>
      <c r="L29" s="8"/>
      <c r="M29" s="8">
        <f t="shared" si="9"/>
        <v>0.15</v>
      </c>
      <c r="N29" s="37">
        <v>0</v>
      </c>
      <c r="O29" s="8"/>
      <c r="P29" s="8">
        <f t="shared" si="10"/>
        <v>0.8</v>
      </c>
      <c r="Q29" s="8">
        <f t="shared" si="11"/>
        <v>2.4499999999999997</v>
      </c>
      <c r="R29" s="42">
        <f t="shared" si="19"/>
        <v>4.8499999999999996</v>
      </c>
      <c r="S29" s="8">
        <f t="shared" si="1"/>
        <v>1.5</v>
      </c>
      <c r="T29" s="8"/>
      <c r="U29" s="8">
        <f t="shared" si="12"/>
        <v>0.25</v>
      </c>
      <c r="V29" s="8"/>
      <c r="W29" s="42">
        <f t="shared" si="2"/>
        <v>0.9</v>
      </c>
      <c r="X29" s="42">
        <f t="shared" si="13"/>
        <v>2.15</v>
      </c>
      <c r="Y29" s="42">
        <f t="shared" si="14"/>
        <v>4.8499999999999996</v>
      </c>
      <c r="Z29" s="8">
        <f t="shared" si="3"/>
        <v>1.5</v>
      </c>
      <c r="AA29" s="69" t="s">
        <v>142</v>
      </c>
      <c r="AB29" s="69">
        <v>3</v>
      </c>
      <c r="AC29" s="11" t="s">
        <v>10</v>
      </c>
      <c r="AE29">
        <f>E29</f>
        <v>100</v>
      </c>
      <c r="AF29" s="17">
        <f t="shared" si="4"/>
        <v>0.16662204213681697</v>
      </c>
      <c r="AG29" s="17"/>
      <c r="AH29">
        <f t="shared" si="5"/>
        <v>2.9999999999999997E-5</v>
      </c>
      <c r="AI29" s="18">
        <v>0.25</v>
      </c>
      <c r="AJ29">
        <v>34</v>
      </c>
      <c r="AK29">
        <v>30</v>
      </c>
      <c r="AL29">
        <f t="shared" si="15"/>
        <v>2.5187499999999998</v>
      </c>
      <c r="AM29">
        <f t="shared" si="16"/>
        <v>5.8249999999999993</v>
      </c>
      <c r="AN29" s="22">
        <f t="shared" si="6"/>
        <v>0.32430257510729615</v>
      </c>
      <c r="AO29" t="s">
        <v>111</v>
      </c>
      <c r="AP29">
        <f t="shared" si="17"/>
        <v>1</v>
      </c>
    </row>
    <row r="30" spans="1:42" ht="14.1" customHeight="1" x14ac:dyDescent="0.15">
      <c r="A30" s="19">
        <f t="shared" si="7"/>
        <v>100.60283659608912</v>
      </c>
      <c r="B30" s="31">
        <f t="shared" si="0"/>
        <v>0.60283659608911933</v>
      </c>
      <c r="C30" s="19">
        <f>IF(K30&gt;taludvoorkeur!$E$13,taludvoorkeur!$F$14,taludvoorkeur!$F$13)-H30</f>
        <v>0</v>
      </c>
      <c r="D30" s="44" t="str">
        <f t="shared" si="8"/>
        <v/>
      </c>
      <c r="E30" s="135"/>
      <c r="F30" s="138"/>
      <c r="G30" s="7" t="s">
        <v>7</v>
      </c>
      <c r="H30" s="7">
        <v>2</v>
      </c>
      <c r="I30" s="7">
        <v>0.85</v>
      </c>
      <c r="J30" s="32">
        <v>3.2</v>
      </c>
      <c r="K30" s="7">
        <f t="shared" si="21"/>
        <v>6.6</v>
      </c>
      <c r="L30" s="7"/>
      <c r="M30" s="7">
        <f t="shared" si="9"/>
        <v>0.2</v>
      </c>
      <c r="N30" s="38">
        <v>0</v>
      </c>
      <c r="O30" s="7"/>
      <c r="P30" s="32">
        <f t="shared" si="10"/>
        <v>1.05</v>
      </c>
      <c r="Q30" s="7">
        <f t="shared" si="11"/>
        <v>2.4</v>
      </c>
      <c r="R30" s="43">
        <f t="shared" si="19"/>
        <v>6.6</v>
      </c>
      <c r="S30" s="7">
        <f t="shared" si="1"/>
        <v>2</v>
      </c>
      <c r="T30" s="7"/>
      <c r="U30" s="7">
        <f t="shared" si="12"/>
        <v>0.35</v>
      </c>
      <c r="V30" s="7"/>
      <c r="W30" s="43">
        <f t="shared" si="2"/>
        <v>1.2</v>
      </c>
      <c r="X30" s="43">
        <f t="shared" si="13"/>
        <v>1.8000000000000003</v>
      </c>
      <c r="Y30" s="43">
        <f t="shared" si="14"/>
        <v>6.6</v>
      </c>
      <c r="Z30" s="7">
        <f t="shared" si="3"/>
        <v>2</v>
      </c>
      <c r="AA30" s="70" t="s">
        <v>143</v>
      </c>
      <c r="AB30" s="70">
        <v>2</v>
      </c>
      <c r="AC30" s="9" t="s">
        <v>10</v>
      </c>
      <c r="AE30">
        <f>E29</f>
        <v>100</v>
      </c>
      <c r="AF30" s="17">
        <f t="shared" si="4"/>
        <v>0.16767139432681519</v>
      </c>
      <c r="AG30" s="17"/>
      <c r="AH30">
        <f t="shared" si="5"/>
        <v>2.9999999999999997E-5</v>
      </c>
      <c r="AI30" s="18">
        <v>0.5</v>
      </c>
      <c r="AJ30">
        <v>34</v>
      </c>
      <c r="AK30">
        <v>30</v>
      </c>
      <c r="AL30">
        <f t="shared" si="15"/>
        <v>4.165</v>
      </c>
      <c r="AM30">
        <f t="shared" si="16"/>
        <v>7.4499999999999993</v>
      </c>
      <c r="AN30" s="22">
        <f t="shared" si="6"/>
        <v>0.2795302013422819</v>
      </c>
      <c r="AO30" t="s">
        <v>111</v>
      </c>
      <c r="AP30">
        <f t="shared" si="17"/>
        <v>1</v>
      </c>
    </row>
    <row r="31" spans="1:42" ht="14.1" customHeight="1" thickBot="1" x14ac:dyDescent="0.2">
      <c r="A31" s="19">
        <f t="shared" si="7"/>
        <v>100.63906796433187</v>
      </c>
      <c r="B31" s="31">
        <f t="shared" si="0"/>
        <v>0.63906796433187196</v>
      </c>
      <c r="C31" s="19">
        <f>IF(K31&gt;taludvoorkeur!$E$13,taludvoorkeur!$F$14,taludvoorkeur!$F$13)-H31</f>
        <v>0</v>
      </c>
      <c r="D31" s="44" t="str">
        <f t="shared" si="8"/>
        <v/>
      </c>
      <c r="E31" s="152"/>
      <c r="F31" s="139"/>
      <c r="G31" s="6" t="s">
        <v>5</v>
      </c>
      <c r="H31" s="6">
        <v>2</v>
      </c>
      <c r="I31" s="6">
        <v>1.3</v>
      </c>
      <c r="J31" s="6">
        <v>18.399999999999999</v>
      </c>
      <c r="K31" s="6">
        <f t="shared" si="21"/>
        <v>23.599999999999998</v>
      </c>
      <c r="L31" s="6"/>
      <c r="M31" s="6">
        <f t="shared" si="9"/>
        <v>0.2</v>
      </c>
      <c r="N31" s="36">
        <v>0</v>
      </c>
      <c r="O31" s="6"/>
      <c r="P31" s="6">
        <f t="shared" si="10"/>
        <v>1.5</v>
      </c>
      <c r="Q31" s="6">
        <f t="shared" si="11"/>
        <v>17.599999999999998</v>
      </c>
      <c r="R31" s="75">
        <f>MAX(Q31+P31*H31*2,K31*(1+N31))</f>
        <v>23.599999999999998</v>
      </c>
      <c r="S31" s="6">
        <f t="shared" si="1"/>
        <v>2</v>
      </c>
      <c r="T31" s="6"/>
      <c r="U31" s="6">
        <f t="shared" si="12"/>
        <v>0.35</v>
      </c>
      <c r="V31" s="6"/>
      <c r="W31" s="40">
        <f t="shared" si="2"/>
        <v>1.65</v>
      </c>
      <c r="X31" s="40">
        <f t="shared" si="13"/>
        <v>17</v>
      </c>
      <c r="Y31" s="40">
        <f t="shared" si="14"/>
        <v>23.599999999999998</v>
      </c>
      <c r="Z31" s="6">
        <f>ROUND((Y31-X31)/2/W31,1)</f>
        <v>2</v>
      </c>
      <c r="AA31" s="68" t="s">
        <v>144</v>
      </c>
      <c r="AB31" s="85">
        <v>1</v>
      </c>
      <c r="AC31" s="10" t="s">
        <v>10</v>
      </c>
      <c r="AE31">
        <f>E29</f>
        <v>100</v>
      </c>
      <c r="AF31" s="17">
        <f t="shared" si="4"/>
        <v>0.16773177994055311</v>
      </c>
      <c r="AG31" s="17"/>
      <c r="AH31">
        <f t="shared" si="5"/>
        <v>2.9999999999999997E-5</v>
      </c>
      <c r="AI31" s="18">
        <v>0.9</v>
      </c>
      <c r="AJ31">
        <v>34</v>
      </c>
      <c r="AK31">
        <v>65</v>
      </c>
      <c r="AL31">
        <f t="shared" si="15"/>
        <v>27.299999999999997</v>
      </c>
      <c r="AM31">
        <f t="shared" si="16"/>
        <v>23.86</v>
      </c>
      <c r="AN31" s="22">
        <f t="shared" si="6"/>
        <v>0.11441743503771999</v>
      </c>
      <c r="AO31" t="s">
        <v>111</v>
      </c>
      <c r="AP31">
        <f t="shared" si="17"/>
        <v>1</v>
      </c>
    </row>
    <row r="32" spans="1:42" ht="14.1" customHeight="1" thickBot="1" x14ac:dyDescent="0.2">
      <c r="A32" s="17"/>
      <c r="B32" s="17"/>
      <c r="C32" s="17"/>
      <c r="D32" s="44"/>
      <c r="E32" s="2" t="s">
        <v>12</v>
      </c>
      <c r="F32" s="2"/>
      <c r="G32" s="1"/>
      <c r="H32" s="113"/>
      <c r="I32" s="119" t="s">
        <v>11</v>
      </c>
      <c r="J32" s="120" t="s">
        <v>11</v>
      </c>
      <c r="K32" s="119" t="s">
        <v>11</v>
      </c>
      <c r="L32" s="1"/>
      <c r="M32" s="1"/>
      <c r="N32" s="1"/>
      <c r="O32" s="1"/>
      <c r="P32" s="1" t="str">
        <f>I32</f>
        <v>afwijkend</v>
      </c>
      <c r="Q32" s="1" t="str">
        <f t="shared" ref="Q32" si="22">J32</f>
        <v>afwijkend</v>
      </c>
      <c r="R32" s="1" t="str">
        <f>K32</f>
        <v>afwijkend</v>
      </c>
      <c r="S32" s="1"/>
      <c r="T32" s="1"/>
      <c r="U32" s="1"/>
      <c r="V32" s="1"/>
      <c r="W32" s="1" t="s">
        <v>11</v>
      </c>
      <c r="X32" s="1" t="s">
        <v>11</v>
      </c>
      <c r="Y32" s="1" t="s">
        <v>11</v>
      </c>
      <c r="Z32" s="1"/>
      <c r="AA32" s="67" t="s">
        <v>24</v>
      </c>
      <c r="AB32" s="67"/>
      <c r="AC32" s="67" t="s">
        <v>10</v>
      </c>
      <c r="AF32" s="17"/>
      <c r="AG32" s="17"/>
    </row>
    <row r="33" spans="6:32" ht="12" thickTop="1" x14ac:dyDescent="0.15"/>
    <row r="36" spans="6:32" x14ac:dyDescent="0.15">
      <c r="AF36">
        <f>AE8/60/10</f>
        <v>1.6666666666666666E-3</v>
      </c>
    </row>
    <row r="37" spans="6:32" x14ac:dyDescent="0.15">
      <c r="AF37">
        <f>AE9/60/10</f>
        <v>1.6666666666666666E-3</v>
      </c>
    </row>
    <row r="38" spans="6:32" x14ac:dyDescent="0.15">
      <c r="AF38">
        <f>AE10/60/10</f>
        <v>1.6666666666666666E-3</v>
      </c>
    </row>
    <row r="39" spans="6:32" x14ac:dyDescent="0.15">
      <c r="AF39">
        <f>AE11/60/10</f>
        <v>8.3333333333333332E-3</v>
      </c>
    </row>
    <row r="43" spans="6:32" ht="12.75" x14ac:dyDescent="0.2">
      <c r="F43" s="72" t="s">
        <v>66</v>
      </c>
    </row>
    <row r="46" spans="6:32" x14ac:dyDescent="0.15">
      <c r="G46" s="33" t="s">
        <v>43</v>
      </c>
    </row>
    <row r="47" spans="6:32" x14ac:dyDescent="0.15">
      <c r="G47" s="33" t="s">
        <v>44</v>
      </c>
    </row>
  </sheetData>
  <mergeCells count="22">
    <mergeCell ref="F29:F31"/>
    <mergeCell ref="E26:E28"/>
    <mergeCell ref="F26:F28"/>
    <mergeCell ref="E23:E25"/>
    <mergeCell ref="F23:F25"/>
    <mergeCell ref="E29:E31"/>
    <mergeCell ref="E20:E22"/>
    <mergeCell ref="F20:F22"/>
    <mergeCell ref="H5:K5"/>
    <mergeCell ref="P5:S5"/>
    <mergeCell ref="W5:Z5"/>
    <mergeCell ref="H6:K6"/>
    <mergeCell ref="P6:S6"/>
    <mergeCell ref="W6:Z6"/>
    <mergeCell ref="E17:E19"/>
    <mergeCell ref="F17:F19"/>
    <mergeCell ref="E8:E10"/>
    <mergeCell ref="F8:F10"/>
    <mergeCell ref="E11:E13"/>
    <mergeCell ref="F11:F13"/>
    <mergeCell ref="E14:E16"/>
    <mergeCell ref="F14:F16"/>
  </mergeCells>
  <conditionalFormatting sqref="B8:B31">
    <cfRule type="colorScale" priority="12">
      <colorScale>
        <cfvo type="num" val="-1"/>
        <cfvo type="num" val="1"/>
        <color rgb="FFFF7128"/>
        <color rgb="FF92D050"/>
      </colorScale>
    </cfRule>
  </conditionalFormatting>
  <conditionalFormatting sqref="C8:C31">
    <cfRule type="colorScale" priority="11">
      <colorScale>
        <cfvo type="num" val="-1"/>
        <cfvo type="num" val="1"/>
        <color rgb="FFFF7128"/>
        <color theme="9"/>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FE004-3448-4162-B0A2-65A25D5F2C84}">
  <dimension ref="A1:AW62"/>
  <sheetViews>
    <sheetView zoomScaleNormal="100" workbookViewId="0">
      <selection activeCell="AB2" sqref="AB2"/>
    </sheetView>
  </sheetViews>
  <sheetFormatPr defaultRowHeight="11.25" x14ac:dyDescent="0.15"/>
  <cols>
    <col min="1" max="1" width="8.25" customWidth="1"/>
    <col min="2" max="3" width="6.75" customWidth="1"/>
    <col min="4" max="4" width="5" customWidth="1"/>
    <col min="5" max="7" width="8.625" customWidth="1"/>
    <col min="8" max="8" width="5.75" style="112" customWidth="1"/>
    <col min="9" max="11" width="7.75" style="112" customWidth="1"/>
    <col min="12" max="12" width="2.625" customWidth="1"/>
    <col min="13" max="13" width="10.75" customWidth="1"/>
    <col min="14" max="14" width="7.75" customWidth="1"/>
    <col min="15" max="15" width="2.625" customWidth="1"/>
    <col min="16" max="18" width="7.75" customWidth="1"/>
    <col min="19" max="19" width="5.75" customWidth="1"/>
    <col min="20" max="20" width="2.625" customWidth="1"/>
    <col min="21" max="21" width="8.375" customWidth="1"/>
    <col min="22" max="22" width="2.375" customWidth="1"/>
    <col min="23" max="25" width="7.75" customWidth="1"/>
    <col min="26" max="26" width="5.75" customWidth="1"/>
    <col min="27" max="28" width="7.75" customWidth="1"/>
    <col min="29" max="29" width="22.875" bestFit="1" customWidth="1"/>
    <col min="30" max="30" width="4.625" customWidth="1"/>
    <col min="31" max="31" width="6.125" customWidth="1"/>
    <col min="32" max="32" width="9.125" customWidth="1"/>
    <col min="33" max="33" width="2.75" customWidth="1"/>
    <col min="44" max="44" width="20.625" customWidth="1"/>
  </cols>
  <sheetData>
    <row r="1" spans="1:49" x14ac:dyDescent="0.15">
      <c r="M1" t="s">
        <v>49</v>
      </c>
      <c r="O1">
        <v>2</v>
      </c>
      <c r="P1" t="s">
        <v>47</v>
      </c>
      <c r="Q1">
        <v>0.25</v>
      </c>
      <c r="R1" t="s">
        <v>48</v>
      </c>
      <c r="U1" t="s">
        <v>153</v>
      </c>
      <c r="W1">
        <v>0.3</v>
      </c>
      <c r="X1" t="s">
        <v>48</v>
      </c>
      <c r="Y1" t="s">
        <v>189</v>
      </c>
      <c r="AB1">
        <v>0.2</v>
      </c>
      <c r="AC1" t="s">
        <v>48</v>
      </c>
    </row>
    <row r="2" spans="1:49" x14ac:dyDescent="0.15">
      <c r="E2" s="23" t="s">
        <v>76</v>
      </c>
      <c r="H2" s="128" t="s">
        <v>73</v>
      </c>
      <c r="I2" s="128"/>
      <c r="J2" s="128"/>
      <c r="K2" s="128"/>
      <c r="M2" t="s">
        <v>46</v>
      </c>
      <c r="O2">
        <f>O1</f>
        <v>2</v>
      </c>
      <c r="P2" t="s">
        <v>47</v>
      </c>
      <c r="Q2">
        <v>0.35</v>
      </c>
      <c r="R2" t="s">
        <v>48</v>
      </c>
      <c r="W2">
        <v>0.4</v>
      </c>
      <c r="X2" t="s">
        <v>48</v>
      </c>
      <c r="Y2" t="s">
        <v>154</v>
      </c>
      <c r="AB2">
        <v>0.2</v>
      </c>
      <c r="AC2" t="s">
        <v>48</v>
      </c>
    </row>
    <row r="3" spans="1:49" x14ac:dyDescent="0.15">
      <c r="E3" s="23">
        <v>2</v>
      </c>
      <c r="H3" s="128"/>
      <c r="I3" s="128"/>
      <c r="J3" s="128"/>
      <c r="K3" s="128"/>
      <c r="Y3" t="s">
        <v>155</v>
      </c>
      <c r="AB3">
        <v>2</v>
      </c>
      <c r="AC3" t="s">
        <v>48</v>
      </c>
    </row>
    <row r="4" spans="1:49" x14ac:dyDescent="0.15">
      <c r="E4" s="133" t="s">
        <v>73</v>
      </c>
      <c r="H4" s="128"/>
      <c r="I4" s="128"/>
      <c r="J4" s="128"/>
      <c r="K4" s="128"/>
      <c r="P4" s="74" t="s">
        <v>72</v>
      </c>
    </row>
    <row r="5" spans="1:49" ht="20.25" customHeight="1" thickBot="1" x14ac:dyDescent="0.2">
      <c r="H5" s="140" t="s">
        <v>53</v>
      </c>
      <c r="I5" s="140"/>
      <c r="J5" s="140"/>
      <c r="K5" s="140"/>
      <c r="P5" s="141" t="s">
        <v>52</v>
      </c>
      <c r="Q5" s="141"/>
      <c r="R5" s="141"/>
      <c r="S5" s="141"/>
      <c r="W5" s="141" t="s">
        <v>51</v>
      </c>
      <c r="X5" s="141"/>
      <c r="Y5" s="141"/>
      <c r="Z5" s="141"/>
    </row>
    <row r="6" spans="1:49" ht="19.149999999999999" customHeight="1" thickBot="1" x14ac:dyDescent="0.2">
      <c r="E6" s="27"/>
      <c r="F6" s="27"/>
      <c r="G6" s="29"/>
      <c r="H6" s="142" t="s">
        <v>71</v>
      </c>
      <c r="I6" s="143"/>
      <c r="J6" s="143"/>
      <c r="K6" s="144"/>
      <c r="L6" s="28"/>
      <c r="M6" s="27"/>
      <c r="N6" s="27"/>
      <c r="O6" s="29"/>
      <c r="P6" s="145" t="s">
        <v>95</v>
      </c>
      <c r="Q6" s="146"/>
      <c r="R6" s="146"/>
      <c r="S6" s="147"/>
      <c r="T6" s="27"/>
      <c r="U6" s="27"/>
      <c r="V6" s="29"/>
      <c r="W6" s="145" t="s">
        <v>39</v>
      </c>
      <c r="X6" s="146"/>
      <c r="Y6" s="146"/>
      <c r="Z6" s="147"/>
      <c r="AA6" s="30"/>
      <c r="AB6" s="86"/>
      <c r="AC6" s="27"/>
      <c r="AR6" t="s">
        <v>26</v>
      </c>
      <c r="AS6" s="21">
        <v>21</v>
      </c>
      <c r="AT6" s="21"/>
      <c r="AU6" s="22" t="s">
        <v>27</v>
      </c>
    </row>
    <row r="7" spans="1:49" ht="36.75" thickBot="1" x14ac:dyDescent="0.2">
      <c r="A7" s="4" t="s">
        <v>41</v>
      </c>
      <c r="B7" s="4" t="s">
        <v>42</v>
      </c>
      <c r="C7" s="4" t="s">
        <v>62</v>
      </c>
      <c r="D7" s="3"/>
      <c r="E7" s="101" t="s">
        <v>4</v>
      </c>
      <c r="F7" s="5" t="s">
        <v>13</v>
      </c>
      <c r="G7" s="101" t="s">
        <v>2</v>
      </c>
      <c r="H7" s="115" t="s">
        <v>25</v>
      </c>
      <c r="I7" s="115" t="s">
        <v>1</v>
      </c>
      <c r="J7" s="116" t="s">
        <v>78</v>
      </c>
      <c r="K7" s="115" t="s">
        <v>79</v>
      </c>
      <c r="L7" s="3"/>
      <c r="M7" s="3" t="s">
        <v>45</v>
      </c>
      <c r="N7" s="3" t="s">
        <v>75</v>
      </c>
      <c r="O7" s="3"/>
      <c r="P7" s="3" t="s">
        <v>148</v>
      </c>
      <c r="Q7" s="5" t="s">
        <v>78</v>
      </c>
      <c r="R7" s="3" t="s">
        <v>79</v>
      </c>
      <c r="S7" s="3" t="s">
        <v>80</v>
      </c>
      <c r="T7" s="3"/>
      <c r="U7" s="3" t="s">
        <v>50</v>
      </c>
      <c r="V7" s="3"/>
      <c r="W7" s="3" t="s">
        <v>77</v>
      </c>
      <c r="X7" s="5" t="s">
        <v>78</v>
      </c>
      <c r="Y7" s="3" t="s">
        <v>79</v>
      </c>
      <c r="Z7" s="3" t="s">
        <v>80</v>
      </c>
      <c r="AA7" s="13" t="s">
        <v>0</v>
      </c>
      <c r="AB7" s="100" t="s">
        <v>97</v>
      </c>
      <c r="AC7" s="100" t="s">
        <v>3</v>
      </c>
      <c r="AE7" s="4" t="s">
        <v>40</v>
      </c>
      <c r="AF7" s="4" t="s">
        <v>21</v>
      </c>
      <c r="AG7" s="4"/>
      <c r="AH7" s="4" t="s">
        <v>15</v>
      </c>
      <c r="AI7" s="4" t="s">
        <v>18</v>
      </c>
      <c r="AJ7" s="4" t="s">
        <v>19</v>
      </c>
      <c r="AK7" s="4" t="s">
        <v>20</v>
      </c>
      <c r="AL7" s="4" t="s">
        <v>16</v>
      </c>
      <c r="AM7" s="4" t="s">
        <v>17</v>
      </c>
      <c r="AN7" s="4" t="s">
        <v>147</v>
      </c>
      <c r="AO7" t="s">
        <v>110</v>
      </c>
      <c r="AP7" t="s">
        <v>29</v>
      </c>
      <c r="AR7" s="23" t="s">
        <v>28</v>
      </c>
    </row>
    <row r="8" spans="1:49" ht="14.1" customHeight="1" thickTop="1" x14ac:dyDescent="0.15">
      <c r="A8" s="19">
        <f t="shared" ref="A8:A13" si="0">AF8*60*100/10</f>
        <v>2.9574585431827436</v>
      </c>
      <c r="B8" s="31">
        <f t="shared" ref="B8:B13" si="1">A8-AE8</f>
        <v>1.9574585431827436</v>
      </c>
      <c r="C8" s="19">
        <f>IF(K8&gt;taludvoorkeur!$E$7,taludvoorkeur!$F$8,IF(K8&gt;taludvoorkeur!$E$6,taludvoorkeur!$F$7,taludvoorkeur!$F$6))-H8</f>
        <v>0</v>
      </c>
      <c r="D8" s="17" t="str">
        <f t="shared" ref="D8:D13" si="2">IF(AND(R8&gt;6,P8&lt;1),"nob","")</f>
        <v/>
      </c>
      <c r="E8" s="135">
        <v>1</v>
      </c>
      <c r="F8" s="137">
        <f>E8/100*10/60</f>
        <v>1.6666666666666668E-3</v>
      </c>
      <c r="G8" s="48" t="s">
        <v>8</v>
      </c>
      <c r="H8" s="45">
        <v>2</v>
      </c>
      <c r="I8" s="45">
        <v>0.15</v>
      </c>
      <c r="J8" s="45">
        <v>1.2</v>
      </c>
      <c r="K8" s="45">
        <f t="shared" ref="K8:K28" si="3">J8+2*I8*H8</f>
        <v>1.7999999999999998</v>
      </c>
      <c r="L8" s="45"/>
      <c r="M8" s="45">
        <f t="shared" ref="M8:M15" si="4">IF(K8&lt;=$O$1,$Q$1,$Q$2)</f>
        <v>0.25</v>
      </c>
      <c r="N8" s="46">
        <v>0</v>
      </c>
      <c r="O8" s="45"/>
      <c r="P8" s="45">
        <f t="shared" ref="P8:P13" si="5">I8+M8</f>
        <v>0.4</v>
      </c>
      <c r="Q8" s="45">
        <f>MAX($AB$1,J8-2*H8*(P8-I8))</f>
        <v>0.2</v>
      </c>
      <c r="R8" s="45">
        <f>MAX(Q8+P8*H8*2,K8*(1+N8))</f>
        <v>1.8</v>
      </c>
      <c r="S8" s="45">
        <f>ROUND((R8-Q8)/2/P8,1)</f>
        <v>2</v>
      </c>
      <c r="T8" s="45"/>
      <c r="U8" s="45">
        <f t="shared" ref="U8:U15" si="6">IF(K8&lt;=$O$1,$W$1,$W$2)</f>
        <v>0.3</v>
      </c>
      <c r="V8" s="45"/>
      <c r="W8" s="88">
        <f t="shared" ref="W8:W13" si="7">U8+I8</f>
        <v>0.44999999999999996</v>
      </c>
      <c r="X8" s="50">
        <f t="shared" ref="X8:X46" si="8">MAX($AB$2,Q8-2*H8*(W8-P8))</f>
        <v>0.2</v>
      </c>
      <c r="Y8" s="88">
        <f t="shared" ref="Y8:Y46" si="9">MAX(R8,$AB$3)</f>
        <v>2</v>
      </c>
      <c r="Z8" s="45">
        <f t="shared" ref="Z8:Z13" si="10">ROUND((Y8-X8)/2/W8,1)</f>
        <v>2</v>
      </c>
      <c r="AA8" s="65" t="s">
        <v>162</v>
      </c>
      <c r="AB8" s="107">
        <v>5</v>
      </c>
      <c r="AC8" s="47" t="s">
        <v>6</v>
      </c>
      <c r="AE8">
        <f>E8</f>
        <v>1</v>
      </c>
      <c r="AF8" s="17">
        <f t="shared" ref="AF8:AF43" si="11">AJ8*AN8^(2/3)*(1-AI8)*AL8*SQRT(AH8)+AK8*(AI8*AL8)*AH8</f>
        <v>4.9290975719712398E-3</v>
      </c>
      <c r="AG8" s="17"/>
      <c r="AH8">
        <f t="shared" ref="AH8:AH46" si="12">$E$3/100/1000</f>
        <v>2.0000000000000002E-5</v>
      </c>
      <c r="AI8" s="18">
        <v>0.25</v>
      </c>
      <c r="AJ8">
        <v>34</v>
      </c>
      <c r="AK8">
        <v>30</v>
      </c>
      <c r="AL8">
        <f t="shared" ref="AL8:AL15" si="13">J8*I8+(K8-J8)/2*I8</f>
        <v>0.22499999999999998</v>
      </c>
      <c r="AM8">
        <f t="shared" ref="AM8:AM15" si="14">K8+2*(1-AI8)*I8</f>
        <v>2.0249999999999999</v>
      </c>
      <c r="AN8" s="17">
        <f>AL8*(1-AI8)/AM8</f>
        <v>8.3333333333333329E-2</v>
      </c>
      <c r="AO8" t="s">
        <v>54</v>
      </c>
      <c r="AP8">
        <f>IF(OR(G8="kwart2",G8="half2",G8="vol2"),2,1)</f>
        <v>1</v>
      </c>
      <c r="AR8" t="s">
        <v>29</v>
      </c>
      <c r="AS8" t="s">
        <v>30</v>
      </c>
      <c r="AU8" t="s">
        <v>31</v>
      </c>
      <c r="AV8" t="s">
        <v>32</v>
      </c>
      <c r="AW8" t="s">
        <v>33</v>
      </c>
    </row>
    <row r="9" spans="1:49" ht="14.1" customHeight="1" x14ac:dyDescent="0.15">
      <c r="A9" s="19">
        <f>AF9*60*100/10</f>
        <v>1.4807439211184676</v>
      </c>
      <c r="B9" s="31">
        <f t="shared" si="1"/>
        <v>0.48074392111846764</v>
      </c>
      <c r="C9" s="19">
        <f>IF(K9&gt;taludvoorkeur!$E$7,taludvoorkeur!$F$8,IF(K9&gt;taludvoorkeur!$E$6,taludvoorkeur!$F$7,taludvoorkeur!$F$6))-H9</f>
        <v>0</v>
      </c>
      <c r="D9" s="17"/>
      <c r="E9" s="135"/>
      <c r="F9" s="138"/>
      <c r="G9" s="48" t="s">
        <v>149</v>
      </c>
      <c r="H9" s="126">
        <v>2</v>
      </c>
      <c r="I9" s="126">
        <v>0.1</v>
      </c>
      <c r="J9" s="126">
        <v>1.2</v>
      </c>
      <c r="K9" s="126">
        <f t="shared" si="3"/>
        <v>1.6</v>
      </c>
      <c r="L9" s="92"/>
      <c r="M9" s="92">
        <f t="shared" si="4"/>
        <v>0.25</v>
      </c>
      <c r="N9" s="93">
        <v>0</v>
      </c>
      <c r="O9" s="92"/>
      <c r="P9" s="92">
        <f>I9+M9</f>
        <v>0.35</v>
      </c>
      <c r="Q9" s="92">
        <f t="shared" ref="Q9:Q46" si="15">MAX($AB$1,J9-2*H9*(P9-I9))</f>
        <v>0.20000000000000007</v>
      </c>
      <c r="R9" s="92">
        <f t="shared" ref="R9:R15" si="16">MAX(Q9+P9*H9*2,K9*(1+N9))</f>
        <v>1.6</v>
      </c>
      <c r="S9" s="92">
        <f>ROUND((R9-Q9)/2/P9,1)</f>
        <v>2</v>
      </c>
      <c r="T9" s="92"/>
      <c r="U9" s="92">
        <f t="shared" si="6"/>
        <v>0.3</v>
      </c>
      <c r="V9" s="92"/>
      <c r="W9" s="94">
        <f>U9+I9</f>
        <v>0.4</v>
      </c>
      <c r="X9" s="94">
        <f t="shared" si="8"/>
        <v>0.2</v>
      </c>
      <c r="Y9" s="94">
        <f t="shared" si="9"/>
        <v>2</v>
      </c>
      <c r="Z9" s="92">
        <f>ROUND((Y9-X9)/2/W9,1)</f>
        <v>2.2999999999999998</v>
      </c>
      <c r="AA9" s="87" t="s">
        <v>163</v>
      </c>
      <c r="AB9" s="107">
        <v>6</v>
      </c>
      <c r="AC9" s="47" t="s">
        <v>6</v>
      </c>
      <c r="AE9">
        <f>E8</f>
        <v>1</v>
      </c>
      <c r="AF9" s="17">
        <f>AJ9*AN9^(2/3)*(1-AI9)*AL9*SQRT(AH9)+AK9*(AI9*AL9)*AH9</f>
        <v>2.467906535197446E-3</v>
      </c>
      <c r="AG9" s="17"/>
      <c r="AH9">
        <f t="shared" si="12"/>
        <v>2.0000000000000002E-5</v>
      </c>
      <c r="AI9" s="18">
        <v>0.25</v>
      </c>
      <c r="AJ9">
        <v>34</v>
      </c>
      <c r="AK9">
        <v>30</v>
      </c>
      <c r="AL9">
        <f t="shared" si="13"/>
        <v>0.14000000000000001</v>
      </c>
      <c r="AM9">
        <f t="shared" si="14"/>
        <v>1.75</v>
      </c>
      <c r="AN9" s="17">
        <f t="shared" ref="AN9:AN46" si="17">AL9*(1-AI9)/AM9</f>
        <v>6.0000000000000005E-2</v>
      </c>
      <c r="AO9" t="s">
        <v>54</v>
      </c>
      <c r="AP9">
        <f t="shared" ref="AP9:AP46" si="18">IF(OR(G9="kwart2",G9="half2",G9="vol2"),2,1)</f>
        <v>2</v>
      </c>
    </row>
    <row r="10" spans="1:49" ht="14.1" customHeight="1" x14ac:dyDescent="0.15">
      <c r="A10" s="19">
        <f>AF10*60*100/10</f>
        <v>1.5729146495631219</v>
      </c>
      <c r="B10" s="31">
        <f t="shared" si="1"/>
        <v>0.57291464956312188</v>
      </c>
      <c r="C10" s="19">
        <f>IF(K10&gt;taludvoorkeur!$E$7,taludvoorkeur!$F$8,IF(K10&gt;taludvoorkeur!$E$6,taludvoorkeur!$F$7,taludvoorkeur!$F$6))-H10</f>
        <v>0</v>
      </c>
      <c r="D10" s="17" t="str">
        <f t="shared" si="2"/>
        <v/>
      </c>
      <c r="E10" s="135"/>
      <c r="F10" s="138"/>
      <c r="G10" s="51" t="s">
        <v>7</v>
      </c>
      <c r="H10" s="51">
        <v>2</v>
      </c>
      <c r="I10" s="51">
        <v>0.15</v>
      </c>
      <c r="J10" s="51">
        <v>1.2</v>
      </c>
      <c r="K10" s="51">
        <f t="shared" si="3"/>
        <v>1.7999999999999998</v>
      </c>
      <c r="L10" s="51"/>
      <c r="M10" s="51">
        <f t="shared" si="4"/>
        <v>0.25</v>
      </c>
      <c r="N10" s="52">
        <v>0</v>
      </c>
      <c r="O10" s="51"/>
      <c r="P10" s="51">
        <f t="shared" si="5"/>
        <v>0.4</v>
      </c>
      <c r="Q10" s="51">
        <f t="shared" si="15"/>
        <v>0.2</v>
      </c>
      <c r="R10" s="53">
        <f t="shared" si="16"/>
        <v>1.8</v>
      </c>
      <c r="S10" s="51">
        <f t="shared" ref="S10:S13" si="19">ROUND((R10-Q10)/2/P10,1)</f>
        <v>2</v>
      </c>
      <c r="T10" s="51"/>
      <c r="U10" s="51">
        <f t="shared" si="6"/>
        <v>0.3</v>
      </c>
      <c r="V10" s="51"/>
      <c r="W10" s="53">
        <f t="shared" si="7"/>
        <v>0.44999999999999996</v>
      </c>
      <c r="X10" s="53">
        <f t="shared" si="8"/>
        <v>0.2</v>
      </c>
      <c r="Y10" s="53">
        <f t="shared" si="9"/>
        <v>2</v>
      </c>
      <c r="Z10" s="51">
        <f t="shared" si="10"/>
        <v>2</v>
      </c>
      <c r="AA10" s="66" t="s">
        <v>164</v>
      </c>
      <c r="AB10" s="108">
        <v>3</v>
      </c>
      <c r="AC10" s="54" t="s">
        <v>6</v>
      </c>
      <c r="AE10">
        <f>E8</f>
        <v>1</v>
      </c>
      <c r="AF10" s="17">
        <f t="shared" si="11"/>
        <v>2.6215244159385363E-3</v>
      </c>
      <c r="AG10" s="17"/>
      <c r="AH10">
        <f t="shared" si="12"/>
        <v>2.0000000000000002E-5</v>
      </c>
      <c r="AI10" s="18">
        <v>0.5</v>
      </c>
      <c r="AJ10">
        <v>34</v>
      </c>
      <c r="AK10">
        <v>30</v>
      </c>
      <c r="AL10">
        <f t="shared" si="13"/>
        <v>0.22499999999999998</v>
      </c>
      <c r="AM10">
        <f t="shared" si="14"/>
        <v>1.9499999999999997</v>
      </c>
      <c r="AN10" s="17">
        <f t="shared" si="17"/>
        <v>5.7692307692307696E-2</v>
      </c>
      <c r="AO10" t="s">
        <v>54</v>
      </c>
      <c r="AP10">
        <f t="shared" si="18"/>
        <v>1</v>
      </c>
      <c r="AR10" t="s">
        <v>34</v>
      </c>
      <c r="AS10" t="s">
        <v>35</v>
      </c>
      <c r="AU10" s="24">
        <v>0.9</v>
      </c>
      <c r="AV10" s="24">
        <v>0.5</v>
      </c>
      <c r="AW10" s="24">
        <v>0.25</v>
      </c>
    </row>
    <row r="11" spans="1:49" ht="14.1" customHeight="1" x14ac:dyDescent="0.15">
      <c r="A11" s="19">
        <f>AF11*60*100/10</f>
        <v>0.97500159308289658</v>
      </c>
      <c r="B11" s="31">
        <f t="shared" si="1"/>
        <v>-2.4998406917103422E-2</v>
      </c>
      <c r="C11" s="19">
        <f>IF(K11&gt;taludvoorkeur!$E$7,taludvoorkeur!$F$8,IF(K11&gt;taludvoorkeur!$E$6,taludvoorkeur!$F$7,taludvoorkeur!$F$6))-H11</f>
        <v>0</v>
      </c>
      <c r="D11" s="17"/>
      <c r="E11" s="135"/>
      <c r="F11" s="138"/>
      <c r="G11" s="51" t="s">
        <v>150</v>
      </c>
      <c r="H11" s="127">
        <v>2</v>
      </c>
      <c r="I11" s="127">
        <v>0.1</v>
      </c>
      <c r="J11" s="127">
        <v>1.5</v>
      </c>
      <c r="K11" s="127">
        <f t="shared" si="3"/>
        <v>1.9</v>
      </c>
      <c r="L11" s="51"/>
      <c r="M11" s="51">
        <f t="shared" si="4"/>
        <v>0.25</v>
      </c>
      <c r="N11" s="52">
        <v>0</v>
      </c>
      <c r="O11" s="51"/>
      <c r="P11" s="51">
        <f>I11+M11</f>
        <v>0.35</v>
      </c>
      <c r="Q11" s="51">
        <f t="shared" si="15"/>
        <v>0.50000000000000011</v>
      </c>
      <c r="R11" s="53">
        <f t="shared" si="16"/>
        <v>1.9</v>
      </c>
      <c r="S11" s="51">
        <f>ROUND((R11-Q11)/2/P11,1)</f>
        <v>2</v>
      </c>
      <c r="T11" s="51"/>
      <c r="U11" s="51">
        <f t="shared" si="6"/>
        <v>0.3</v>
      </c>
      <c r="V11" s="51"/>
      <c r="W11" s="53">
        <f>U11+I11</f>
        <v>0.4</v>
      </c>
      <c r="X11" s="53">
        <f t="shared" si="8"/>
        <v>0.29999999999999993</v>
      </c>
      <c r="Y11" s="53">
        <f t="shared" si="9"/>
        <v>2</v>
      </c>
      <c r="Z11" s="51">
        <f>ROUND((Y11-X11)/2/W11,1)</f>
        <v>2.1</v>
      </c>
      <c r="AA11" s="66" t="s">
        <v>184</v>
      </c>
      <c r="AB11" s="108">
        <v>4</v>
      </c>
      <c r="AC11" s="54" t="s">
        <v>6</v>
      </c>
      <c r="AE11">
        <f>E8</f>
        <v>1</v>
      </c>
      <c r="AF11" s="17">
        <f>AJ11*AN11^(2/3)*(1-AI11)*AL11*SQRT(AH11)+AK11*(AI11*AL11)*AH11</f>
        <v>1.6250026551381607E-3</v>
      </c>
      <c r="AG11" s="17"/>
      <c r="AH11">
        <f t="shared" si="12"/>
        <v>2.0000000000000002E-5</v>
      </c>
      <c r="AI11" s="18">
        <v>0.5</v>
      </c>
      <c r="AJ11">
        <v>34</v>
      </c>
      <c r="AK11">
        <v>30</v>
      </c>
      <c r="AL11">
        <f t="shared" si="13"/>
        <v>0.17</v>
      </c>
      <c r="AM11">
        <f t="shared" si="14"/>
        <v>2</v>
      </c>
      <c r="AN11" s="17">
        <f t="shared" si="17"/>
        <v>4.2500000000000003E-2</v>
      </c>
      <c r="AO11" t="s">
        <v>54</v>
      </c>
      <c r="AP11">
        <f t="shared" si="18"/>
        <v>2</v>
      </c>
      <c r="AU11" s="24"/>
      <c r="AV11" s="24"/>
      <c r="AW11" s="24"/>
    </row>
    <row r="12" spans="1:49" ht="14.1" customHeight="1" x14ac:dyDescent="0.15">
      <c r="A12" s="19">
        <f t="shared" si="0"/>
        <v>1.1384288608933781</v>
      </c>
      <c r="B12" s="31">
        <f t="shared" si="1"/>
        <v>0.13842886089337814</v>
      </c>
      <c r="C12" s="31">
        <f>IF(K12&gt;taludvoorkeur!$E$7,taludvoorkeur!$F$8,IF(K12&gt;taludvoorkeur!$E$6,taludvoorkeur!$F$7,taludvoorkeur!$F$6))-H12</f>
        <v>0</v>
      </c>
      <c r="D12" s="17" t="str">
        <f t="shared" si="2"/>
        <v/>
      </c>
      <c r="E12" s="135"/>
      <c r="F12" s="138"/>
      <c r="G12" s="79" t="s">
        <v>5</v>
      </c>
      <c r="H12" s="79">
        <v>2</v>
      </c>
      <c r="I12" s="80">
        <v>0.3</v>
      </c>
      <c r="J12" s="80">
        <v>2</v>
      </c>
      <c r="K12" s="80">
        <f t="shared" si="3"/>
        <v>3.2</v>
      </c>
      <c r="L12" s="80"/>
      <c r="M12" s="80">
        <f t="shared" si="4"/>
        <v>0.35</v>
      </c>
      <c r="N12" s="81">
        <v>0</v>
      </c>
      <c r="O12" s="80"/>
      <c r="P12" s="80">
        <f t="shared" si="5"/>
        <v>0.64999999999999991</v>
      </c>
      <c r="Q12" s="80">
        <f t="shared" si="15"/>
        <v>0.60000000000000031</v>
      </c>
      <c r="R12" s="82">
        <f t="shared" si="16"/>
        <v>3.2</v>
      </c>
      <c r="S12" s="80">
        <f t="shared" si="19"/>
        <v>2</v>
      </c>
      <c r="T12" s="80"/>
      <c r="U12" s="80">
        <f t="shared" si="6"/>
        <v>0.4</v>
      </c>
      <c r="V12" s="80"/>
      <c r="W12" s="82">
        <f t="shared" si="7"/>
        <v>0.7</v>
      </c>
      <c r="X12" s="82">
        <f t="shared" si="8"/>
        <v>0.40000000000000013</v>
      </c>
      <c r="Y12" s="82">
        <f t="shared" si="9"/>
        <v>3.2</v>
      </c>
      <c r="Z12" s="80">
        <f t="shared" si="10"/>
        <v>2</v>
      </c>
      <c r="AA12" s="83" t="s">
        <v>165</v>
      </c>
      <c r="AB12" s="79">
        <v>1</v>
      </c>
      <c r="AC12" s="83" t="s">
        <v>6</v>
      </c>
      <c r="AE12">
        <f>E8</f>
        <v>1</v>
      </c>
      <c r="AF12" s="17">
        <f t="shared" si="11"/>
        <v>1.8973814348222967E-3</v>
      </c>
      <c r="AG12" s="17"/>
      <c r="AH12">
        <f t="shared" si="12"/>
        <v>2.0000000000000002E-5</v>
      </c>
      <c r="AI12" s="18">
        <v>0.9</v>
      </c>
      <c r="AJ12">
        <v>34</v>
      </c>
      <c r="AK12">
        <v>65</v>
      </c>
      <c r="AL12">
        <f t="shared" si="13"/>
        <v>0.78</v>
      </c>
      <c r="AM12">
        <f t="shared" si="14"/>
        <v>3.2600000000000002</v>
      </c>
      <c r="AN12" s="17">
        <f t="shared" si="17"/>
        <v>2.3926380368098153E-2</v>
      </c>
      <c r="AO12" t="s">
        <v>54</v>
      </c>
      <c r="AP12">
        <f t="shared" si="18"/>
        <v>1</v>
      </c>
      <c r="AU12" s="24"/>
      <c r="AV12" s="24"/>
      <c r="AW12" s="24"/>
    </row>
    <row r="13" spans="1:49" ht="14.1" customHeight="1" thickBot="1" x14ac:dyDescent="0.2">
      <c r="A13" s="19">
        <f t="shared" si="0"/>
        <v>0.98037638874178601</v>
      </c>
      <c r="B13" s="31">
        <f t="shared" si="1"/>
        <v>-1.9623611258213991E-2</v>
      </c>
      <c r="C13" s="31">
        <f>IF(K13&gt;taludvoorkeur!$E$7,taludvoorkeur!$F$8,IF(K13&gt;taludvoorkeur!$E$6,taludvoorkeur!$F$7,taludvoorkeur!$F$6))-H13</f>
        <v>0</v>
      </c>
      <c r="D13" s="17" t="str">
        <f t="shared" si="2"/>
        <v/>
      </c>
      <c r="E13" s="136"/>
      <c r="F13" s="139"/>
      <c r="G13" s="58" t="s">
        <v>85</v>
      </c>
      <c r="H13" s="58">
        <v>3</v>
      </c>
      <c r="I13" s="58">
        <v>0.2</v>
      </c>
      <c r="J13" s="58">
        <v>3.15</v>
      </c>
      <c r="K13" s="58">
        <f t="shared" si="3"/>
        <v>4.3499999999999996</v>
      </c>
      <c r="L13" s="95"/>
      <c r="M13" s="80">
        <f t="shared" si="4"/>
        <v>0.35</v>
      </c>
      <c r="N13" s="96">
        <v>0</v>
      </c>
      <c r="O13" s="95"/>
      <c r="P13" s="95">
        <f t="shared" si="5"/>
        <v>0.55000000000000004</v>
      </c>
      <c r="Q13" s="95">
        <f t="shared" si="15"/>
        <v>1.0499999999999998</v>
      </c>
      <c r="R13" s="97">
        <f t="shared" si="16"/>
        <v>4.3499999999999996</v>
      </c>
      <c r="S13" s="95">
        <f t="shared" si="19"/>
        <v>3</v>
      </c>
      <c r="T13" s="95"/>
      <c r="U13" s="95">
        <f t="shared" si="6"/>
        <v>0.4</v>
      </c>
      <c r="V13" s="95"/>
      <c r="W13" s="98">
        <f t="shared" si="7"/>
        <v>0.60000000000000009</v>
      </c>
      <c r="X13" s="98">
        <f t="shared" si="8"/>
        <v>0.74999999999999956</v>
      </c>
      <c r="Y13" s="97">
        <f t="shared" si="9"/>
        <v>4.3499999999999996</v>
      </c>
      <c r="Z13" s="95">
        <f t="shared" si="10"/>
        <v>3</v>
      </c>
      <c r="AA13" s="99" t="s">
        <v>166</v>
      </c>
      <c r="AB13" s="62">
        <v>2</v>
      </c>
      <c r="AC13" s="61" t="s">
        <v>6</v>
      </c>
      <c r="AE13">
        <f>E8</f>
        <v>1</v>
      </c>
      <c r="AF13" s="17">
        <f t="shared" si="11"/>
        <v>1.6339606479029768E-3</v>
      </c>
      <c r="AG13" s="17"/>
      <c r="AH13">
        <f t="shared" si="12"/>
        <v>2.0000000000000002E-5</v>
      </c>
      <c r="AI13" s="18">
        <v>0.9</v>
      </c>
      <c r="AJ13">
        <v>34</v>
      </c>
      <c r="AK13">
        <v>65</v>
      </c>
      <c r="AL13">
        <f t="shared" si="13"/>
        <v>0.75</v>
      </c>
      <c r="AM13">
        <f t="shared" si="14"/>
        <v>4.3899999999999997</v>
      </c>
      <c r="AN13" s="17">
        <f t="shared" si="17"/>
        <v>1.7084282460136671E-2</v>
      </c>
      <c r="AO13" t="s">
        <v>54</v>
      </c>
      <c r="AP13">
        <f t="shared" si="18"/>
        <v>2</v>
      </c>
      <c r="AR13" t="s">
        <v>36</v>
      </c>
      <c r="AS13" t="s">
        <v>37</v>
      </c>
      <c r="AU13" s="25">
        <v>65</v>
      </c>
      <c r="AV13" s="25">
        <v>30</v>
      </c>
      <c r="AW13" s="25">
        <v>30</v>
      </c>
    </row>
    <row r="14" spans="1:49" ht="14.1" customHeight="1" thickTop="1" x14ac:dyDescent="0.15">
      <c r="A14" s="19">
        <f t="shared" ref="A14:A46" si="20">AF14*60*100/10</f>
        <v>2.9574585431827436</v>
      </c>
      <c r="B14" s="31">
        <f t="shared" ref="B14:B46" si="21">A14-AE14</f>
        <v>0.45745854318274359</v>
      </c>
      <c r="C14" s="19">
        <f>IF(K14&gt;taludvoorkeur!$E$7,taludvoorkeur!$F$8,IF(K14&gt;taludvoorkeur!$E$6,taludvoorkeur!$F$7,taludvoorkeur!$F$6))-H14</f>
        <v>0</v>
      </c>
      <c r="D14" s="17" t="str">
        <f t="shared" ref="D14:D22" si="22">IF(AND(R14&gt;6,P14&lt;1),"nob","")</f>
        <v/>
      </c>
      <c r="E14" s="151">
        <v>2.5</v>
      </c>
      <c r="F14" s="137">
        <f>E14/100*10/60</f>
        <v>4.1666666666666666E-3</v>
      </c>
      <c r="G14" s="48" t="s">
        <v>8</v>
      </c>
      <c r="H14" s="45">
        <v>2</v>
      </c>
      <c r="I14" s="45">
        <v>0.15</v>
      </c>
      <c r="J14" s="45">
        <v>1.2</v>
      </c>
      <c r="K14" s="45">
        <f t="shared" si="3"/>
        <v>1.7999999999999998</v>
      </c>
      <c r="L14" s="102"/>
      <c r="M14" s="102">
        <f t="shared" si="4"/>
        <v>0.25</v>
      </c>
      <c r="N14" s="103">
        <v>0</v>
      </c>
      <c r="O14" s="102"/>
      <c r="P14" s="102">
        <f>I14+M14</f>
        <v>0.4</v>
      </c>
      <c r="Q14" s="102">
        <f t="shared" si="15"/>
        <v>0.2</v>
      </c>
      <c r="R14" s="102">
        <f t="shared" si="16"/>
        <v>1.8</v>
      </c>
      <c r="S14" s="102">
        <f t="shared" ref="S14:S45" si="23">ROUND((R14-Q14)/2/P14,1)</f>
        <v>2</v>
      </c>
      <c r="T14" s="102"/>
      <c r="U14" s="102">
        <f t="shared" si="6"/>
        <v>0.3</v>
      </c>
      <c r="V14" s="102"/>
      <c r="W14" s="104">
        <f>U14+I14</f>
        <v>0.44999999999999996</v>
      </c>
      <c r="X14" s="104">
        <f t="shared" si="8"/>
        <v>0.2</v>
      </c>
      <c r="Y14" s="104">
        <f t="shared" si="9"/>
        <v>2</v>
      </c>
      <c r="Z14" s="102">
        <f>ROUND((Y14-X14)/2/W14,1)</f>
        <v>2</v>
      </c>
      <c r="AA14" s="105" t="s">
        <v>167</v>
      </c>
      <c r="AB14" s="107">
        <v>5</v>
      </c>
      <c r="AC14" s="47" t="s">
        <v>6</v>
      </c>
      <c r="AE14">
        <f>E14</f>
        <v>2.5</v>
      </c>
      <c r="AF14" s="17">
        <f t="shared" si="11"/>
        <v>4.9290975719712398E-3</v>
      </c>
      <c r="AG14" s="17"/>
      <c r="AH14">
        <f t="shared" si="12"/>
        <v>2.0000000000000002E-5</v>
      </c>
      <c r="AI14" s="18">
        <v>0.25</v>
      </c>
      <c r="AJ14">
        <v>34</v>
      </c>
      <c r="AK14">
        <v>30</v>
      </c>
      <c r="AL14">
        <f t="shared" si="13"/>
        <v>0.22499999999999998</v>
      </c>
      <c r="AM14">
        <f t="shared" si="14"/>
        <v>2.0249999999999999</v>
      </c>
      <c r="AN14" s="17">
        <f t="shared" si="17"/>
        <v>8.3333333333333329E-2</v>
      </c>
      <c r="AO14" t="s">
        <v>54</v>
      </c>
      <c r="AP14">
        <f t="shared" si="18"/>
        <v>1</v>
      </c>
      <c r="AR14" t="s">
        <v>29</v>
      </c>
      <c r="AS14" t="s">
        <v>30</v>
      </c>
      <c r="AU14" t="s">
        <v>31</v>
      </c>
      <c r="AV14" t="s">
        <v>32</v>
      </c>
      <c r="AW14" t="s">
        <v>33</v>
      </c>
    </row>
    <row r="15" spans="1:49" ht="14.1" customHeight="1" x14ac:dyDescent="0.15">
      <c r="A15" s="19">
        <f>AF15*60*100/10</f>
        <v>2.5066399160983392</v>
      </c>
      <c r="B15" s="31">
        <f>A15-AE15</f>
        <v>6.6399160983392491E-3</v>
      </c>
      <c r="C15" s="19">
        <f>IF(K15&gt;taludvoorkeur!$E$7,taludvoorkeur!$F$8,IF(K15&gt;taludvoorkeur!$E$6,taludvoorkeur!$F$7,taludvoorkeur!$F$6))-H15</f>
        <v>0</v>
      </c>
      <c r="D15" s="17" t="str">
        <f>IF(AND(R15&gt;6,P15&lt;1),"nob","")</f>
        <v/>
      </c>
      <c r="E15" s="135"/>
      <c r="F15" s="138"/>
      <c r="G15" s="48" t="s">
        <v>149</v>
      </c>
      <c r="H15" s="126">
        <v>2</v>
      </c>
      <c r="I15" s="126">
        <v>0.1</v>
      </c>
      <c r="J15" s="126">
        <v>2.0499999999999998</v>
      </c>
      <c r="K15" s="126">
        <f t="shared" si="3"/>
        <v>2.4499999999999997</v>
      </c>
      <c r="L15" s="92"/>
      <c r="M15" s="92">
        <f t="shared" si="4"/>
        <v>0.35</v>
      </c>
      <c r="N15" s="93">
        <v>0</v>
      </c>
      <c r="O15" s="92"/>
      <c r="P15" s="92">
        <f>I15+M15</f>
        <v>0.44999999999999996</v>
      </c>
      <c r="Q15" s="92">
        <f t="shared" si="15"/>
        <v>0.64999999999999991</v>
      </c>
      <c r="R15" s="92">
        <f t="shared" si="16"/>
        <v>2.4499999999999997</v>
      </c>
      <c r="S15" s="92">
        <f>ROUND((R15-Q15)/2/P15,1)</f>
        <v>2</v>
      </c>
      <c r="T15" s="92"/>
      <c r="U15" s="92">
        <f t="shared" si="6"/>
        <v>0.4</v>
      </c>
      <c r="V15" s="92"/>
      <c r="W15" s="94">
        <f>U15+I15</f>
        <v>0.5</v>
      </c>
      <c r="X15" s="94">
        <f t="shared" si="8"/>
        <v>0.44999999999999973</v>
      </c>
      <c r="Y15" s="94">
        <f t="shared" si="9"/>
        <v>2.4499999999999997</v>
      </c>
      <c r="Z15" s="92">
        <f>ROUND((Y15-X15)/2/W15,1)</f>
        <v>2</v>
      </c>
      <c r="AA15" s="87" t="s">
        <v>168</v>
      </c>
      <c r="AB15" s="107">
        <v>6</v>
      </c>
      <c r="AC15" s="47" t="s">
        <v>6</v>
      </c>
      <c r="AE15">
        <f>E14</f>
        <v>2.5</v>
      </c>
      <c r="AF15" s="17">
        <f>AJ15*AN15^(2/3)*(1-AI15)*AL15*SQRT(AH15)+AK15*(AI15*AL15)*AH15</f>
        <v>4.1777331934972324E-3</v>
      </c>
      <c r="AG15" s="17"/>
      <c r="AH15">
        <f t="shared" si="12"/>
        <v>2.0000000000000002E-5</v>
      </c>
      <c r="AI15" s="18">
        <v>0.25</v>
      </c>
      <c r="AJ15">
        <v>34</v>
      </c>
      <c r="AK15">
        <v>30</v>
      </c>
      <c r="AL15">
        <f t="shared" si="13"/>
        <v>0.22499999999999998</v>
      </c>
      <c r="AM15">
        <f t="shared" si="14"/>
        <v>2.5999999999999996</v>
      </c>
      <c r="AN15" s="17">
        <f t="shared" si="17"/>
        <v>6.4903846153846159E-2</v>
      </c>
      <c r="AO15" t="s">
        <v>54</v>
      </c>
      <c r="AP15">
        <f t="shared" si="18"/>
        <v>2</v>
      </c>
      <c r="AR15" t="s">
        <v>29</v>
      </c>
      <c r="AS15" t="s">
        <v>30</v>
      </c>
      <c r="AU15" t="s">
        <v>31</v>
      </c>
      <c r="AV15" t="s">
        <v>32</v>
      </c>
      <c r="AW15" t="s">
        <v>33</v>
      </c>
    </row>
    <row r="16" spans="1:49" ht="14.1" customHeight="1" x14ac:dyDescent="0.15">
      <c r="A16" s="19">
        <f t="shared" si="20"/>
        <v>2.6008946779502327</v>
      </c>
      <c r="B16" s="31">
        <f t="shared" si="21"/>
        <v>0.10089467795023266</v>
      </c>
      <c r="C16" s="31">
        <f>IF(K16&gt;taludvoorkeur!$E$7,taludvoorkeur!$F$8,IF(K16&gt;taludvoorkeur!$E$6,taludvoorkeur!$F$7,taludvoorkeur!$F$6))-H16</f>
        <v>0</v>
      </c>
      <c r="D16" s="17" t="str">
        <f t="shared" si="22"/>
        <v/>
      </c>
      <c r="E16" s="135"/>
      <c r="F16" s="138"/>
      <c r="G16" s="51" t="s">
        <v>7</v>
      </c>
      <c r="H16" s="51">
        <v>2</v>
      </c>
      <c r="I16" s="51">
        <v>0.2</v>
      </c>
      <c r="J16" s="51">
        <v>1.2</v>
      </c>
      <c r="K16" s="51">
        <f t="shared" si="3"/>
        <v>2</v>
      </c>
      <c r="L16" s="51"/>
      <c r="M16" s="51">
        <f t="shared" ref="M16:M46" si="24">IF(K16&lt;=$O$1,$Q$1,$Q$2)</f>
        <v>0.25</v>
      </c>
      <c r="N16" s="52">
        <v>0</v>
      </c>
      <c r="O16" s="51"/>
      <c r="P16" s="51">
        <f t="shared" ref="P16:P46" si="25">I16+M16</f>
        <v>0.45</v>
      </c>
      <c r="Q16" s="51">
        <f t="shared" si="15"/>
        <v>0.2</v>
      </c>
      <c r="R16" s="53">
        <f t="shared" ref="R16:R45" si="26">MAX(Q16+P16*H16*2,K16*(1+N16))</f>
        <v>2</v>
      </c>
      <c r="S16" s="109">
        <f t="shared" si="23"/>
        <v>2</v>
      </c>
      <c r="T16" s="51"/>
      <c r="U16" s="51">
        <f t="shared" ref="U16:U46" si="27">IF(K16&lt;=$O$1,$W$1,$W$2)</f>
        <v>0.3</v>
      </c>
      <c r="V16" s="51"/>
      <c r="W16" s="53">
        <f t="shared" ref="W16:W46" si="28">U16+I16</f>
        <v>0.5</v>
      </c>
      <c r="X16" s="53">
        <f t="shared" si="8"/>
        <v>0.2</v>
      </c>
      <c r="Y16" s="53">
        <f t="shared" si="9"/>
        <v>2</v>
      </c>
      <c r="Z16" s="51">
        <f t="shared" ref="Z16:Z45" si="29">ROUND((Y16-X16)/2/W16,1)</f>
        <v>1.8</v>
      </c>
      <c r="AA16" s="66" t="s">
        <v>169</v>
      </c>
      <c r="AB16" s="108">
        <v>3</v>
      </c>
      <c r="AC16" s="54" t="s">
        <v>6</v>
      </c>
      <c r="AE16">
        <f>E14</f>
        <v>2.5</v>
      </c>
      <c r="AF16" s="17">
        <f t="shared" si="11"/>
        <v>4.3348244632503878E-3</v>
      </c>
      <c r="AG16" s="17"/>
      <c r="AH16">
        <f t="shared" si="12"/>
        <v>2.0000000000000002E-5</v>
      </c>
      <c r="AI16" s="18">
        <v>0.5</v>
      </c>
      <c r="AJ16">
        <v>34</v>
      </c>
      <c r="AK16">
        <v>30</v>
      </c>
      <c r="AL16">
        <f t="shared" ref="AL16:AL46" si="30">J16*I16+(K16-J16)/2*I16</f>
        <v>0.32</v>
      </c>
      <c r="AM16">
        <f t="shared" ref="AM16:AM46" si="31">K16+2*(1-AI16)*I16</f>
        <v>2.2000000000000002</v>
      </c>
      <c r="AN16" s="17">
        <f t="shared" si="17"/>
        <v>7.2727272727272724E-2</v>
      </c>
      <c r="AO16" t="s">
        <v>54</v>
      </c>
      <c r="AP16">
        <f t="shared" si="18"/>
        <v>1</v>
      </c>
      <c r="AR16" t="s">
        <v>34</v>
      </c>
      <c r="AS16" t="s">
        <v>35</v>
      </c>
      <c r="AU16" s="24">
        <v>0.9</v>
      </c>
      <c r="AV16" s="24">
        <v>0.5</v>
      </c>
      <c r="AW16" s="24">
        <v>0.25</v>
      </c>
    </row>
    <row r="17" spans="1:49" ht="14.1" customHeight="1" x14ac:dyDescent="0.15">
      <c r="A17" s="19">
        <f>AF17*60*100/10</f>
        <v>2.5465973339591907</v>
      </c>
      <c r="B17" s="31">
        <f>A17-AE17</f>
        <v>4.6597333959190745E-2</v>
      </c>
      <c r="C17" s="31">
        <f>IF(K17&gt;taludvoorkeur!$E$7,taludvoorkeur!$F$8,IF(K17&gt;taludvoorkeur!$E$6,taludvoorkeur!$F$7,taludvoorkeur!$F$6))-H17</f>
        <v>0</v>
      </c>
      <c r="D17" s="17" t="str">
        <f>IF(AND(R17&gt;6,P17&lt;1),"nob","")</f>
        <v/>
      </c>
      <c r="E17" s="135"/>
      <c r="F17" s="138"/>
      <c r="G17" s="51" t="s">
        <v>150</v>
      </c>
      <c r="H17" s="51">
        <v>2</v>
      </c>
      <c r="I17" s="51">
        <v>0.15</v>
      </c>
      <c r="J17" s="51">
        <v>2</v>
      </c>
      <c r="K17" s="51">
        <f t="shared" si="3"/>
        <v>2.6</v>
      </c>
      <c r="L17" s="51"/>
      <c r="M17" s="51">
        <f>IF(K17&lt;=$O$1,$Q$1,$Q$2)</f>
        <v>0.35</v>
      </c>
      <c r="N17" s="52">
        <v>0</v>
      </c>
      <c r="O17" s="51"/>
      <c r="P17" s="51">
        <f>I17+M17</f>
        <v>0.5</v>
      </c>
      <c r="Q17" s="51">
        <f>MAX($AB$1,J17-2*H17*(P17-I17))</f>
        <v>0.60000000000000009</v>
      </c>
      <c r="R17" s="53">
        <f>MAX(Q17+P17*H17*2,K17*(1+N17))</f>
        <v>2.6</v>
      </c>
      <c r="S17" s="51">
        <f>ROUND((R17-Q17)/2/P17,1)</f>
        <v>2</v>
      </c>
      <c r="T17" s="51"/>
      <c r="U17" s="51">
        <f>IF(K17&lt;=$O$1,$W$1,$W$2)</f>
        <v>0.4</v>
      </c>
      <c r="V17" s="51"/>
      <c r="W17" s="53">
        <f>U17+I17</f>
        <v>0.55000000000000004</v>
      </c>
      <c r="X17" s="53">
        <f t="shared" si="8"/>
        <v>0.39999999999999991</v>
      </c>
      <c r="Y17" s="53">
        <f t="shared" si="9"/>
        <v>2.6</v>
      </c>
      <c r="Z17" s="51">
        <f>ROUND((Y17-X17)/2/W17,1)</f>
        <v>2</v>
      </c>
      <c r="AA17" s="66" t="s">
        <v>170</v>
      </c>
      <c r="AB17" s="108">
        <v>4</v>
      </c>
      <c r="AC17" s="54" t="s">
        <v>6</v>
      </c>
      <c r="AE17">
        <f>E14</f>
        <v>2.5</v>
      </c>
      <c r="AF17" s="17">
        <f>AJ17*AN17^(2/3)*(1-AI17)*AL17*SQRT(AH17)+AK17*(AI17*AL17)*AH17</f>
        <v>4.2443288899319843E-3</v>
      </c>
      <c r="AG17" s="17"/>
      <c r="AH17">
        <f t="shared" si="12"/>
        <v>2.0000000000000002E-5</v>
      </c>
      <c r="AI17" s="18">
        <v>0.5</v>
      </c>
      <c r="AJ17">
        <v>34</v>
      </c>
      <c r="AK17">
        <v>30</v>
      </c>
      <c r="AL17">
        <f>J17*I17+(K17-J17)/2*I17</f>
        <v>0.34499999999999997</v>
      </c>
      <c r="AM17">
        <f>K17+2*(1-AI17)*I17</f>
        <v>2.75</v>
      </c>
      <c r="AN17" s="17">
        <f t="shared" si="17"/>
        <v>6.2727272727272729E-2</v>
      </c>
      <c r="AO17" t="s">
        <v>54</v>
      </c>
      <c r="AP17">
        <f t="shared" si="18"/>
        <v>2</v>
      </c>
      <c r="AR17" t="s">
        <v>34</v>
      </c>
      <c r="AS17" t="s">
        <v>35</v>
      </c>
      <c r="AU17" s="24">
        <v>0.9</v>
      </c>
      <c r="AV17" s="24">
        <v>0.5</v>
      </c>
      <c r="AW17" s="24">
        <v>0.25</v>
      </c>
    </row>
    <row r="18" spans="1:49" ht="14.1" customHeight="1" x14ac:dyDescent="0.15">
      <c r="A18" s="19">
        <f>AF18*60*100/10</f>
        <v>2.5611389596919278</v>
      </c>
      <c r="B18" s="31">
        <f>A18-AE18</f>
        <v>6.1138959691927841E-2</v>
      </c>
      <c r="C18" s="31">
        <f>IF(K18&gt;taludvoorkeur!$E$7,taludvoorkeur!$F$8,IF(K18&gt;taludvoorkeur!$E$6,taludvoorkeur!$F$7,taludvoorkeur!$F$6))-H18</f>
        <v>0</v>
      </c>
      <c r="D18" s="17" t="str">
        <f>IF(AND(R18&gt;6,P18&lt;1),"nob","")</f>
        <v/>
      </c>
      <c r="E18" s="135"/>
      <c r="F18" s="138"/>
      <c r="G18" s="79" t="s">
        <v>5</v>
      </c>
      <c r="H18" s="80">
        <v>2</v>
      </c>
      <c r="I18" s="80">
        <v>0.5</v>
      </c>
      <c r="J18" s="80">
        <v>2</v>
      </c>
      <c r="K18" s="80">
        <f t="shared" si="3"/>
        <v>4</v>
      </c>
      <c r="L18" s="80"/>
      <c r="M18" s="80">
        <f>IF(K18&lt;=$O$1,$Q$1,$Q$2)</f>
        <v>0.35</v>
      </c>
      <c r="N18" s="81">
        <v>0</v>
      </c>
      <c r="O18" s="80"/>
      <c r="P18" s="80">
        <f>I18+M18</f>
        <v>0.85</v>
      </c>
      <c r="Q18" s="80">
        <f t="shared" si="15"/>
        <v>0.60000000000000009</v>
      </c>
      <c r="R18" s="82">
        <f>MAX(Q18+P18*H18*2,K18*(1+N18))</f>
        <v>4</v>
      </c>
      <c r="S18" s="80">
        <f>ROUND((R18-Q18)/2/P18,1)</f>
        <v>2</v>
      </c>
      <c r="T18" s="80"/>
      <c r="U18" s="80">
        <f>IF(K18&lt;=$O$1,$W$1,$W$2)</f>
        <v>0.4</v>
      </c>
      <c r="V18" s="79"/>
      <c r="W18" s="82">
        <f>U18+I18</f>
        <v>0.9</v>
      </c>
      <c r="X18" s="82">
        <f t="shared" si="8"/>
        <v>0.39999999999999991</v>
      </c>
      <c r="Y18" s="82">
        <f t="shared" si="9"/>
        <v>4</v>
      </c>
      <c r="Z18" s="80">
        <f>ROUND((Y18-X18)/2/W18,1)</f>
        <v>2</v>
      </c>
      <c r="AA18" s="83" t="s">
        <v>171</v>
      </c>
      <c r="AB18" s="79">
        <v>1</v>
      </c>
      <c r="AC18" s="83" t="s">
        <v>6</v>
      </c>
      <c r="AE18">
        <f>E14</f>
        <v>2.5</v>
      </c>
      <c r="AF18" s="17">
        <f t="shared" si="11"/>
        <v>4.2685649328198794E-3</v>
      </c>
      <c r="AG18" s="17"/>
      <c r="AH18">
        <f t="shared" si="12"/>
        <v>2.0000000000000002E-5</v>
      </c>
      <c r="AI18" s="18">
        <v>0.9</v>
      </c>
      <c r="AJ18">
        <v>34</v>
      </c>
      <c r="AK18">
        <v>65</v>
      </c>
      <c r="AL18">
        <f>J18*I18+(K18-J18)/2*I18</f>
        <v>1.5</v>
      </c>
      <c r="AM18">
        <f>K18+2*(1-AI18)*I18</f>
        <v>4.0999999999999996</v>
      </c>
      <c r="AN18" s="17">
        <f t="shared" si="17"/>
        <v>3.6585365853658534E-2</v>
      </c>
      <c r="AO18" t="s">
        <v>54</v>
      </c>
      <c r="AP18">
        <f t="shared" si="18"/>
        <v>1</v>
      </c>
      <c r="AU18" s="24"/>
      <c r="AV18" s="24"/>
      <c r="AW18" s="24"/>
    </row>
    <row r="19" spans="1:49" ht="14.1" customHeight="1" thickBot="1" x14ac:dyDescent="0.2">
      <c r="A19" s="19">
        <f t="shared" si="20"/>
        <v>2.5581784984468263</v>
      </c>
      <c r="B19" s="31">
        <f t="shared" si="21"/>
        <v>5.8178498446826321E-2</v>
      </c>
      <c r="C19" s="31">
        <f>IF(K19&gt;taludvoorkeur!$E$7,taludvoorkeur!$F$8,IF(K19&gt;taludvoorkeur!$E$6,taludvoorkeur!$F$7,taludvoorkeur!$F$6))-H19</f>
        <v>0</v>
      </c>
      <c r="D19" s="17" t="str">
        <f t="shared" si="22"/>
        <v>nob</v>
      </c>
      <c r="E19" s="136"/>
      <c r="F19" s="139"/>
      <c r="G19" s="58" t="s">
        <v>85</v>
      </c>
      <c r="H19" s="58">
        <v>3</v>
      </c>
      <c r="I19" s="58">
        <v>0.3</v>
      </c>
      <c r="J19" s="58">
        <v>4.8</v>
      </c>
      <c r="K19" s="58">
        <f t="shared" si="3"/>
        <v>6.6</v>
      </c>
      <c r="L19" s="95"/>
      <c r="M19" s="95">
        <f>IF(K19&lt;=$O$1,$Q$1,$Q$2)</f>
        <v>0.35</v>
      </c>
      <c r="N19" s="59">
        <v>0</v>
      </c>
      <c r="O19" s="58"/>
      <c r="P19" s="58">
        <f t="shared" si="25"/>
        <v>0.64999999999999991</v>
      </c>
      <c r="Q19" s="58">
        <f t="shared" si="15"/>
        <v>2.7</v>
      </c>
      <c r="R19" s="60">
        <f t="shared" si="26"/>
        <v>6.6</v>
      </c>
      <c r="S19" s="58">
        <f t="shared" si="23"/>
        <v>3</v>
      </c>
      <c r="T19" s="58"/>
      <c r="U19" s="58">
        <f t="shared" si="27"/>
        <v>0.4</v>
      </c>
      <c r="V19" s="58"/>
      <c r="W19" s="60">
        <f t="shared" si="28"/>
        <v>0.7</v>
      </c>
      <c r="X19" s="60">
        <f t="shared" si="8"/>
        <v>2.4</v>
      </c>
      <c r="Y19" s="60">
        <f t="shared" si="9"/>
        <v>6.6</v>
      </c>
      <c r="Z19" s="58">
        <f t="shared" si="29"/>
        <v>3</v>
      </c>
      <c r="AA19" s="61" t="s">
        <v>172</v>
      </c>
      <c r="AB19" s="62">
        <v>2</v>
      </c>
      <c r="AC19" s="61" t="s">
        <v>6</v>
      </c>
      <c r="AE19">
        <f>E14</f>
        <v>2.5</v>
      </c>
      <c r="AF19" s="17">
        <f t="shared" si="11"/>
        <v>4.2636308307447109E-3</v>
      </c>
      <c r="AG19" s="17"/>
      <c r="AH19">
        <f t="shared" si="12"/>
        <v>2.0000000000000002E-5</v>
      </c>
      <c r="AI19" s="18">
        <v>0.9</v>
      </c>
      <c r="AJ19">
        <v>34</v>
      </c>
      <c r="AK19">
        <v>65</v>
      </c>
      <c r="AL19">
        <f t="shared" si="30"/>
        <v>1.71</v>
      </c>
      <c r="AM19">
        <f t="shared" si="31"/>
        <v>6.6599999999999993</v>
      </c>
      <c r="AN19" s="17">
        <f t="shared" si="17"/>
        <v>2.5675675675675674E-2</v>
      </c>
      <c r="AO19" t="s">
        <v>54</v>
      </c>
      <c r="AP19">
        <f t="shared" si="18"/>
        <v>2</v>
      </c>
      <c r="AR19" t="s">
        <v>36</v>
      </c>
      <c r="AS19" t="s">
        <v>37</v>
      </c>
      <c r="AU19" s="25">
        <v>65</v>
      </c>
      <c r="AV19" s="25">
        <v>30</v>
      </c>
      <c r="AW19" s="25">
        <v>30</v>
      </c>
    </row>
    <row r="20" spans="1:49" ht="14.1" customHeight="1" x14ac:dyDescent="0.15">
      <c r="A20" s="19">
        <f t="shared" si="20"/>
        <v>5.0635530068888412</v>
      </c>
      <c r="B20" s="31">
        <f t="shared" si="21"/>
        <v>6.3553006888841246E-2</v>
      </c>
      <c r="C20" s="31">
        <f>IF(K20&gt;taludvoorkeur!$E$7,taludvoorkeur!$F$8,IF(K20&gt;taludvoorkeur!$E$6,taludvoorkeur!$F$7,taludvoorkeur!$F$6))-H20</f>
        <v>0</v>
      </c>
      <c r="D20" s="17" t="str">
        <f t="shared" si="22"/>
        <v/>
      </c>
      <c r="E20" s="151">
        <v>5</v>
      </c>
      <c r="F20" s="137">
        <f>E20/100*10/60</f>
        <v>8.3333333333333332E-3</v>
      </c>
      <c r="G20" s="48" t="s">
        <v>8</v>
      </c>
      <c r="H20" s="48">
        <v>2</v>
      </c>
      <c r="I20" s="48">
        <v>0.15</v>
      </c>
      <c r="J20" s="48">
        <v>2.1</v>
      </c>
      <c r="K20" s="48">
        <f t="shared" si="3"/>
        <v>2.7</v>
      </c>
      <c r="L20" s="48"/>
      <c r="M20" s="48">
        <f t="shared" si="24"/>
        <v>0.35</v>
      </c>
      <c r="N20" s="49">
        <v>0</v>
      </c>
      <c r="O20" s="48"/>
      <c r="P20" s="48">
        <f t="shared" si="25"/>
        <v>0.5</v>
      </c>
      <c r="Q20" s="48">
        <f t="shared" si="15"/>
        <v>0.70000000000000018</v>
      </c>
      <c r="R20" s="50">
        <f t="shared" si="26"/>
        <v>2.7</v>
      </c>
      <c r="S20" s="48">
        <f t="shared" si="23"/>
        <v>2</v>
      </c>
      <c r="T20" s="48"/>
      <c r="U20" s="48">
        <f t="shared" si="27"/>
        <v>0.4</v>
      </c>
      <c r="V20" s="48"/>
      <c r="W20" s="50">
        <f t="shared" si="28"/>
        <v>0.55000000000000004</v>
      </c>
      <c r="X20" s="50">
        <f t="shared" si="8"/>
        <v>0.5</v>
      </c>
      <c r="Y20" s="50">
        <f t="shared" si="9"/>
        <v>2.7</v>
      </c>
      <c r="Z20" s="48">
        <f t="shared" si="29"/>
        <v>2</v>
      </c>
      <c r="AA20" s="47" t="s">
        <v>173</v>
      </c>
      <c r="AB20" s="107">
        <v>5</v>
      </c>
      <c r="AC20" s="47" t="s">
        <v>6</v>
      </c>
      <c r="AE20">
        <f>E20</f>
        <v>5</v>
      </c>
      <c r="AF20" s="17">
        <f t="shared" si="11"/>
        <v>8.4392550114814023E-3</v>
      </c>
      <c r="AG20" s="17"/>
      <c r="AH20">
        <f t="shared" si="12"/>
        <v>2.0000000000000002E-5</v>
      </c>
      <c r="AI20" s="18">
        <v>0.25</v>
      </c>
      <c r="AJ20">
        <v>34</v>
      </c>
      <c r="AK20">
        <v>30</v>
      </c>
      <c r="AL20">
        <f t="shared" si="30"/>
        <v>0.36</v>
      </c>
      <c r="AM20">
        <f t="shared" si="31"/>
        <v>2.9250000000000003</v>
      </c>
      <c r="AN20" s="17">
        <f t="shared" si="17"/>
        <v>9.2307692307692299E-2</v>
      </c>
      <c r="AO20" t="s">
        <v>54</v>
      </c>
      <c r="AP20">
        <f t="shared" si="18"/>
        <v>1</v>
      </c>
      <c r="AR20" t="s">
        <v>38</v>
      </c>
      <c r="AS20" t="s">
        <v>37</v>
      </c>
      <c r="AU20" s="25">
        <v>34</v>
      </c>
      <c r="AV20" s="25">
        <v>34</v>
      </c>
      <c r="AW20" s="25">
        <v>34</v>
      </c>
    </row>
    <row r="21" spans="1:49" ht="14.1" customHeight="1" x14ac:dyDescent="0.15">
      <c r="A21" s="19">
        <f>AF21*60*100/10</f>
        <v>4.935348807746025</v>
      </c>
      <c r="B21" s="31">
        <f>A21-AE21</f>
        <v>-6.4651192253974976E-2</v>
      </c>
      <c r="C21" s="31">
        <f>IF(K21&gt;taludvoorkeur!$E$7,taludvoorkeur!$F$8,IF(K21&gt;taludvoorkeur!$E$6,taludvoorkeur!$F$7,taludvoorkeur!$F$6))-H21</f>
        <v>0</v>
      </c>
      <c r="D21" s="17" t="str">
        <f>IF(AND(R21&gt;6,P21&lt;1),"nob","")</f>
        <v/>
      </c>
      <c r="E21" s="135"/>
      <c r="F21" s="138"/>
      <c r="G21" s="48" t="s">
        <v>149</v>
      </c>
      <c r="H21" s="48">
        <v>3</v>
      </c>
      <c r="I21" s="48">
        <v>0.1</v>
      </c>
      <c r="J21" s="48">
        <v>4</v>
      </c>
      <c r="K21" s="48">
        <f t="shared" si="3"/>
        <v>4.5999999999999996</v>
      </c>
      <c r="L21" s="48"/>
      <c r="M21" s="48">
        <f>IF(K21&lt;=$O$1,$Q$1,$Q$2)</f>
        <v>0.35</v>
      </c>
      <c r="N21" s="49">
        <v>0</v>
      </c>
      <c r="O21" s="48"/>
      <c r="P21" s="48">
        <f>I21+M21</f>
        <v>0.44999999999999996</v>
      </c>
      <c r="Q21" s="48">
        <f t="shared" si="15"/>
        <v>1.9000000000000004</v>
      </c>
      <c r="R21" s="50">
        <f>MAX(Q21+P21*H21*2,K21*(1+N21))</f>
        <v>4.5999999999999996</v>
      </c>
      <c r="S21" s="48">
        <f>ROUND((R21-Q21)/2/P21,1)</f>
        <v>3</v>
      </c>
      <c r="T21" s="48"/>
      <c r="U21" s="48">
        <f t="shared" si="27"/>
        <v>0.4</v>
      </c>
      <c r="V21" s="48"/>
      <c r="W21" s="50">
        <f>U21+I21</f>
        <v>0.5</v>
      </c>
      <c r="X21" s="50">
        <f t="shared" si="8"/>
        <v>1.6</v>
      </c>
      <c r="Y21" s="50">
        <f t="shared" si="9"/>
        <v>4.5999999999999996</v>
      </c>
      <c r="Z21" s="48">
        <f>ROUND((Y21-X21)/2/W21,1)</f>
        <v>3</v>
      </c>
      <c r="AA21" s="47" t="s">
        <v>185</v>
      </c>
      <c r="AB21" s="107">
        <v>6</v>
      </c>
      <c r="AC21" s="47" t="s">
        <v>6</v>
      </c>
      <c r="AE21">
        <f>E20</f>
        <v>5</v>
      </c>
      <c r="AF21" s="17">
        <f>AJ21*AN21^(2/3)*(1-AI21)*AL21*SQRT(AH21)+AK21*(AI21*AL21)*AH21</f>
        <v>8.2255813462433752E-3</v>
      </c>
      <c r="AG21" s="17"/>
      <c r="AH21">
        <f t="shared" si="12"/>
        <v>2.0000000000000002E-5</v>
      </c>
      <c r="AI21" s="110">
        <v>0.25</v>
      </c>
      <c r="AJ21">
        <v>34</v>
      </c>
      <c r="AK21">
        <v>30</v>
      </c>
      <c r="AL21">
        <f>J21*I21+(K21-J21)/2*I21</f>
        <v>0.43</v>
      </c>
      <c r="AM21">
        <f>K21+2*(1-AI21)*I21</f>
        <v>4.75</v>
      </c>
      <c r="AN21" s="17">
        <f t="shared" si="17"/>
        <v>6.7894736842105272E-2</v>
      </c>
      <c r="AO21" t="s">
        <v>54</v>
      </c>
      <c r="AP21">
        <f t="shared" si="18"/>
        <v>2</v>
      </c>
      <c r="AR21" t="s">
        <v>38</v>
      </c>
      <c r="AS21" t="s">
        <v>37</v>
      </c>
      <c r="AU21" s="25">
        <v>34</v>
      </c>
      <c r="AV21" s="25">
        <v>34</v>
      </c>
      <c r="AW21" s="25">
        <v>34</v>
      </c>
    </row>
    <row r="22" spans="1:49" ht="14.1" customHeight="1" x14ac:dyDescent="0.15">
      <c r="A22" s="19">
        <f t="shared" si="20"/>
        <v>5.0344198230633257</v>
      </c>
      <c r="B22" s="31">
        <f t="shared" si="21"/>
        <v>3.4419823063325694E-2</v>
      </c>
      <c r="C22" s="31">
        <f>IF(K22&gt;taludvoorkeur!$E$7,taludvoorkeur!$F$8,IF(K22&gt;taludvoorkeur!$E$6,taludvoorkeur!$F$7,taludvoorkeur!$F$6))-H22</f>
        <v>0</v>
      </c>
      <c r="D22" s="17" t="str">
        <f t="shared" si="22"/>
        <v/>
      </c>
      <c r="E22" s="135"/>
      <c r="F22" s="138"/>
      <c r="G22" s="55" t="s">
        <v>7</v>
      </c>
      <c r="H22" s="55">
        <v>2</v>
      </c>
      <c r="I22" s="55">
        <v>0.2</v>
      </c>
      <c r="J22" s="55">
        <v>2.4500000000000002</v>
      </c>
      <c r="K22" s="55">
        <f t="shared" si="3"/>
        <v>3.25</v>
      </c>
      <c r="L22" s="55"/>
      <c r="M22" s="55">
        <f t="shared" si="24"/>
        <v>0.35</v>
      </c>
      <c r="N22" s="56">
        <v>0</v>
      </c>
      <c r="O22" s="55"/>
      <c r="P22" s="55">
        <f t="shared" si="25"/>
        <v>0.55000000000000004</v>
      </c>
      <c r="Q22" s="55">
        <f t="shared" si="15"/>
        <v>1.05</v>
      </c>
      <c r="R22" s="57">
        <f t="shared" si="26"/>
        <v>3.25</v>
      </c>
      <c r="S22" s="55">
        <f t="shared" si="23"/>
        <v>2</v>
      </c>
      <c r="T22" s="55"/>
      <c r="U22" s="55">
        <f t="shared" si="27"/>
        <v>0.4</v>
      </c>
      <c r="V22" s="55"/>
      <c r="W22" s="57">
        <f t="shared" si="28"/>
        <v>0.60000000000000009</v>
      </c>
      <c r="X22" s="57">
        <f t="shared" si="8"/>
        <v>0.84999999999999987</v>
      </c>
      <c r="Y22" s="57">
        <f t="shared" si="9"/>
        <v>3.25</v>
      </c>
      <c r="Z22" s="55">
        <f t="shared" si="29"/>
        <v>2</v>
      </c>
      <c r="AA22" s="54" t="s">
        <v>174</v>
      </c>
      <c r="AB22" s="108">
        <v>3</v>
      </c>
      <c r="AC22" s="54" t="s">
        <v>6</v>
      </c>
      <c r="AE22">
        <f>E20</f>
        <v>5</v>
      </c>
      <c r="AF22" s="17">
        <f t="shared" si="11"/>
        <v>8.3906997051055414E-3</v>
      </c>
      <c r="AG22" s="17"/>
      <c r="AH22">
        <f t="shared" si="12"/>
        <v>2.0000000000000002E-5</v>
      </c>
      <c r="AI22" s="18">
        <v>0.5</v>
      </c>
      <c r="AJ22">
        <v>34</v>
      </c>
      <c r="AK22">
        <v>30</v>
      </c>
      <c r="AL22">
        <f t="shared" si="30"/>
        <v>0.57000000000000006</v>
      </c>
      <c r="AM22">
        <f t="shared" si="31"/>
        <v>3.45</v>
      </c>
      <c r="AN22" s="17">
        <f t="shared" si="17"/>
        <v>8.2608695652173922E-2</v>
      </c>
      <c r="AO22" t="s">
        <v>54</v>
      </c>
      <c r="AP22">
        <f t="shared" si="18"/>
        <v>1</v>
      </c>
    </row>
    <row r="23" spans="1:49" ht="14.1" customHeight="1" x14ac:dyDescent="0.15">
      <c r="A23" s="19">
        <f>AF23*60*100/10</f>
        <v>5.0973646466114113</v>
      </c>
      <c r="B23" s="31">
        <f>A23-AE23</f>
        <v>9.736464661141131E-2</v>
      </c>
      <c r="C23" s="31">
        <f>IF(K23&gt;taludvoorkeur!$E$7,taludvoorkeur!$F$8,IF(K23&gt;taludvoorkeur!$E$6,taludvoorkeur!$F$7,taludvoorkeur!$F$6))-H23</f>
        <v>0</v>
      </c>
      <c r="D23" s="17" t="str">
        <f>IF(AND(R23&gt;6,P23&lt;1),"nob","")</f>
        <v/>
      </c>
      <c r="E23" s="135"/>
      <c r="F23" s="138"/>
      <c r="G23" s="55" t="s">
        <v>150</v>
      </c>
      <c r="H23" s="55">
        <v>3</v>
      </c>
      <c r="I23" s="55">
        <v>0.15</v>
      </c>
      <c r="J23" s="55">
        <v>4</v>
      </c>
      <c r="K23" s="55">
        <f t="shared" si="3"/>
        <v>4.9000000000000004</v>
      </c>
      <c r="L23" s="55"/>
      <c r="M23" s="55">
        <f>IF(K23&lt;=$O$1,$Q$1,$Q$2)</f>
        <v>0.35</v>
      </c>
      <c r="N23" s="56">
        <v>0</v>
      </c>
      <c r="O23" s="55"/>
      <c r="P23" s="55">
        <f>I23+M23</f>
        <v>0.5</v>
      </c>
      <c r="Q23" s="55">
        <f t="shared" si="15"/>
        <v>1.9000000000000004</v>
      </c>
      <c r="R23" s="57">
        <f>MAX(Q23+P23*H23*2,K23*(1+N23))</f>
        <v>4.9000000000000004</v>
      </c>
      <c r="S23" s="55">
        <f>ROUND((R23-Q23)/2/P23,1)</f>
        <v>3</v>
      </c>
      <c r="T23" s="55"/>
      <c r="U23" s="55">
        <f>IF(K23&lt;=$O$1,$W$1,$W$2)</f>
        <v>0.4</v>
      </c>
      <c r="V23" s="55"/>
      <c r="W23" s="57">
        <f>U23+I23</f>
        <v>0.55000000000000004</v>
      </c>
      <c r="X23" s="57">
        <f t="shared" si="8"/>
        <v>1.6</v>
      </c>
      <c r="Y23" s="57">
        <f t="shared" si="9"/>
        <v>4.9000000000000004</v>
      </c>
      <c r="Z23" s="55">
        <f>ROUND((Y23-X23)/2/W23,1)</f>
        <v>3</v>
      </c>
      <c r="AA23" s="54" t="s">
        <v>186</v>
      </c>
      <c r="AB23" s="108">
        <v>4</v>
      </c>
      <c r="AC23" s="54" t="s">
        <v>6</v>
      </c>
      <c r="AE23">
        <f>E20</f>
        <v>5</v>
      </c>
      <c r="AF23" s="17">
        <f>AJ23*AN23^(2/3)*(1-AI23)*AL23*SQRT(AH23)+AK23*(AI23*AL23)*AH23</f>
        <v>8.4956077443523511E-3</v>
      </c>
      <c r="AG23" s="17"/>
      <c r="AH23">
        <f t="shared" si="12"/>
        <v>2.0000000000000002E-5</v>
      </c>
      <c r="AI23" s="18">
        <v>0.5</v>
      </c>
      <c r="AJ23">
        <v>34</v>
      </c>
      <c r="AK23">
        <v>30</v>
      </c>
      <c r="AL23">
        <f>J23*I23+(K23-J23)/2*I23</f>
        <v>0.66749999999999998</v>
      </c>
      <c r="AM23">
        <f>K23+2*(1-AI23)*I23</f>
        <v>5.0500000000000007</v>
      </c>
      <c r="AN23" s="17">
        <f t="shared" si="17"/>
        <v>6.6089108910891078E-2</v>
      </c>
      <c r="AO23" t="s">
        <v>54</v>
      </c>
      <c r="AP23">
        <f t="shared" si="18"/>
        <v>2</v>
      </c>
    </row>
    <row r="24" spans="1:49" ht="14.1" customHeight="1" x14ac:dyDescent="0.15">
      <c r="A24" s="19">
        <f>AF24*60*100/10</f>
        <v>4.9929969634244369</v>
      </c>
      <c r="B24" s="31">
        <f>A24-AE24</f>
        <v>-7.0030365755631152E-3</v>
      </c>
      <c r="C24" s="31">
        <f>IF(K24&gt;taludvoorkeur!$E$7,taludvoorkeur!$F$8,IF(K24&gt;taludvoorkeur!$E$6,taludvoorkeur!$F$7,taludvoorkeur!$F$6))-H24</f>
        <v>0</v>
      </c>
      <c r="D24" s="17" t="str">
        <f>IF(AND(R24&gt;6,P24&lt;1),"nob","")</f>
        <v>nob</v>
      </c>
      <c r="E24" s="135"/>
      <c r="F24" s="138"/>
      <c r="G24" s="79" t="s">
        <v>5</v>
      </c>
      <c r="H24" s="80">
        <v>3</v>
      </c>
      <c r="I24" s="80">
        <v>0.5</v>
      </c>
      <c r="J24" s="80">
        <v>4.2</v>
      </c>
      <c r="K24" s="80">
        <f t="shared" si="3"/>
        <v>7.2</v>
      </c>
      <c r="L24" s="80"/>
      <c r="M24" s="80">
        <f>IF(K24&lt;=$O$1,$Q$1,$Q$2)</f>
        <v>0.35</v>
      </c>
      <c r="N24" s="81">
        <v>0</v>
      </c>
      <c r="O24" s="80"/>
      <c r="P24" s="80">
        <f>I24+M24</f>
        <v>0.85</v>
      </c>
      <c r="Q24" s="80">
        <f t="shared" si="15"/>
        <v>2.1000000000000005</v>
      </c>
      <c r="R24" s="82">
        <f>MAX(Q24+P24*H24*2,K24*(1+N24))</f>
        <v>7.2</v>
      </c>
      <c r="S24" s="80">
        <f>ROUND((R24-Q24)/2/P24,1)</f>
        <v>3</v>
      </c>
      <c r="T24" s="80"/>
      <c r="U24" s="80">
        <f>IF(K24&lt;=$O$1,$W$1,$W$2)</f>
        <v>0.4</v>
      </c>
      <c r="V24" s="80"/>
      <c r="W24" s="82">
        <f>U24+I24</f>
        <v>0.9</v>
      </c>
      <c r="X24" s="82">
        <f t="shared" si="8"/>
        <v>1.8000000000000003</v>
      </c>
      <c r="Y24" s="82">
        <f t="shared" si="9"/>
        <v>7.2</v>
      </c>
      <c r="Z24" s="80">
        <f>ROUND((Y24-X24)/2/W24,1)</f>
        <v>3</v>
      </c>
      <c r="AA24" s="83" t="s">
        <v>175</v>
      </c>
      <c r="AB24" s="79">
        <v>1</v>
      </c>
      <c r="AC24" s="83" t="s">
        <v>6</v>
      </c>
      <c r="AE24">
        <f>E20</f>
        <v>5</v>
      </c>
      <c r="AF24" s="17">
        <f t="shared" si="11"/>
        <v>8.321661605707395E-3</v>
      </c>
      <c r="AG24" s="17"/>
      <c r="AH24">
        <f t="shared" si="12"/>
        <v>2.0000000000000002E-5</v>
      </c>
      <c r="AI24" s="18">
        <v>0.9</v>
      </c>
      <c r="AJ24">
        <v>34</v>
      </c>
      <c r="AK24">
        <v>65</v>
      </c>
      <c r="AL24">
        <f>J24*I24+(K24-J24)/2*I24</f>
        <v>2.85</v>
      </c>
      <c r="AM24">
        <f>K24+2*(1-AI24)*I24</f>
        <v>7.3</v>
      </c>
      <c r="AN24" s="17">
        <f t="shared" si="17"/>
        <v>3.9041095890410951E-2</v>
      </c>
      <c r="AO24" t="s">
        <v>54</v>
      </c>
      <c r="AP24">
        <f t="shared" si="18"/>
        <v>1</v>
      </c>
    </row>
    <row r="25" spans="1:49" ht="14.1" customHeight="1" thickBot="1" x14ac:dyDescent="0.2">
      <c r="A25" s="19">
        <f t="shared" si="20"/>
        <v>5.0206087021305992</v>
      </c>
      <c r="B25" s="31">
        <f t="shared" si="21"/>
        <v>2.0608702130599177E-2</v>
      </c>
      <c r="C25" s="31">
        <f>IF(K25&gt;taludvoorkeur!$E$7,taludvoorkeur!$F$8,IF(K25&gt;taludvoorkeur!$E$6,taludvoorkeur!$F$7,taludvoorkeur!$F$6))-H25</f>
        <v>0</v>
      </c>
      <c r="D25" s="17" t="str">
        <f>IF(AND(R25&gt;6,P25&lt;1),"nob","")</f>
        <v>nob</v>
      </c>
      <c r="E25" s="136"/>
      <c r="F25" s="139"/>
      <c r="G25" s="58" t="s">
        <v>85</v>
      </c>
      <c r="H25" s="58">
        <v>4</v>
      </c>
      <c r="I25" s="58">
        <v>0.3</v>
      </c>
      <c r="J25" s="58">
        <v>9.8000000000000007</v>
      </c>
      <c r="K25" s="58">
        <f t="shared" si="3"/>
        <v>12.200000000000001</v>
      </c>
      <c r="L25" s="58"/>
      <c r="M25" s="58">
        <f t="shared" si="24"/>
        <v>0.35</v>
      </c>
      <c r="N25" s="59">
        <v>0</v>
      </c>
      <c r="O25" s="58"/>
      <c r="P25" s="58">
        <f t="shared" si="25"/>
        <v>0.64999999999999991</v>
      </c>
      <c r="Q25" s="58">
        <f t="shared" si="15"/>
        <v>7.0000000000000018</v>
      </c>
      <c r="R25" s="60">
        <f t="shared" si="26"/>
        <v>12.200000000000001</v>
      </c>
      <c r="S25" s="58">
        <f t="shared" si="23"/>
        <v>4</v>
      </c>
      <c r="T25" s="58"/>
      <c r="U25" s="58">
        <f t="shared" si="27"/>
        <v>0.4</v>
      </c>
      <c r="V25" s="58"/>
      <c r="W25" s="60">
        <f t="shared" si="28"/>
        <v>0.7</v>
      </c>
      <c r="X25" s="60">
        <f t="shared" si="8"/>
        <v>6.6000000000000014</v>
      </c>
      <c r="Y25" s="60">
        <f t="shared" si="9"/>
        <v>12.200000000000001</v>
      </c>
      <c r="Z25" s="58">
        <f t="shared" si="29"/>
        <v>4</v>
      </c>
      <c r="AA25" s="61" t="s">
        <v>187</v>
      </c>
      <c r="AB25" s="62">
        <v>2</v>
      </c>
      <c r="AC25" s="61" t="s">
        <v>6</v>
      </c>
      <c r="AE25">
        <f>E20</f>
        <v>5</v>
      </c>
      <c r="AF25" s="17">
        <f t="shared" si="11"/>
        <v>8.3676811702176647E-3</v>
      </c>
      <c r="AG25" s="17"/>
      <c r="AH25">
        <f t="shared" si="12"/>
        <v>2.0000000000000002E-5</v>
      </c>
      <c r="AI25" s="18">
        <v>0.9</v>
      </c>
      <c r="AJ25">
        <v>34</v>
      </c>
      <c r="AK25">
        <v>65</v>
      </c>
      <c r="AL25">
        <f t="shared" si="30"/>
        <v>3.3</v>
      </c>
      <c r="AM25">
        <f t="shared" si="31"/>
        <v>12.260000000000002</v>
      </c>
      <c r="AN25" s="17">
        <f t="shared" si="17"/>
        <v>2.6916802610114181E-2</v>
      </c>
      <c r="AO25" t="s">
        <v>54</v>
      </c>
      <c r="AP25">
        <f t="shared" si="18"/>
        <v>2</v>
      </c>
    </row>
    <row r="26" spans="1:49" ht="14.1" customHeight="1" x14ac:dyDescent="0.15">
      <c r="A26" s="19">
        <f t="shared" si="20"/>
        <v>9.9855943638240348</v>
      </c>
      <c r="B26" s="31">
        <f t="shared" si="21"/>
        <v>-1.4405636175965242E-2</v>
      </c>
      <c r="C26" s="31">
        <f>IF(K26&gt;taludvoorkeur!$E$7,taludvoorkeur!$F$8,IF(K26&gt;taludvoorkeur!$E$6,taludvoorkeur!$F$7,taludvoorkeur!$F$6))-H26</f>
        <v>0</v>
      </c>
      <c r="D26" s="17" t="str">
        <f t="shared" ref="D26:D46" si="32">IF(AND(R26&gt;6,P26&lt;1),"nob","")</f>
        <v/>
      </c>
      <c r="E26" s="134">
        <v>10</v>
      </c>
      <c r="F26" s="137">
        <f>E26/100*10/60</f>
        <v>1.6666666666666666E-2</v>
      </c>
      <c r="G26" s="48" t="s">
        <v>8</v>
      </c>
      <c r="H26" s="123">
        <v>3</v>
      </c>
      <c r="I26" s="123">
        <v>0.15</v>
      </c>
      <c r="J26" s="123">
        <v>4.0999999999999996</v>
      </c>
      <c r="K26" s="48">
        <f t="shared" si="3"/>
        <v>5</v>
      </c>
      <c r="L26" s="48"/>
      <c r="M26" s="48">
        <f t="shared" si="24"/>
        <v>0.35</v>
      </c>
      <c r="N26" s="49">
        <v>0</v>
      </c>
      <c r="O26" s="48"/>
      <c r="P26" s="48">
        <f t="shared" si="25"/>
        <v>0.5</v>
      </c>
      <c r="Q26" s="48">
        <f t="shared" si="15"/>
        <v>2</v>
      </c>
      <c r="R26" s="50">
        <f t="shared" si="26"/>
        <v>5</v>
      </c>
      <c r="S26" s="48">
        <f t="shared" si="23"/>
        <v>3</v>
      </c>
      <c r="T26" s="48"/>
      <c r="U26" s="48">
        <f t="shared" si="27"/>
        <v>0.4</v>
      </c>
      <c r="V26" s="48"/>
      <c r="W26" s="50">
        <f t="shared" si="28"/>
        <v>0.55000000000000004</v>
      </c>
      <c r="X26" s="50">
        <f t="shared" si="8"/>
        <v>1.6999999999999997</v>
      </c>
      <c r="Y26" s="50">
        <f t="shared" si="9"/>
        <v>5</v>
      </c>
      <c r="Z26" s="48">
        <f t="shared" si="29"/>
        <v>3</v>
      </c>
      <c r="AA26" s="47" t="s">
        <v>116</v>
      </c>
      <c r="AB26" s="107">
        <v>5</v>
      </c>
      <c r="AC26" s="47" t="s">
        <v>6</v>
      </c>
      <c r="AE26">
        <f>E26</f>
        <v>10</v>
      </c>
      <c r="AF26" s="17">
        <f t="shared" si="11"/>
        <v>1.6642657273040058E-2</v>
      </c>
      <c r="AG26" s="17"/>
      <c r="AH26">
        <f t="shared" si="12"/>
        <v>2.0000000000000002E-5</v>
      </c>
      <c r="AI26" s="18">
        <v>0.25</v>
      </c>
      <c r="AJ26">
        <v>34</v>
      </c>
      <c r="AK26">
        <v>30</v>
      </c>
      <c r="AL26">
        <f t="shared" si="30"/>
        <v>0.68249999999999988</v>
      </c>
      <c r="AM26">
        <f t="shared" si="31"/>
        <v>5.2249999999999996</v>
      </c>
      <c r="AN26" s="17">
        <f t="shared" si="17"/>
        <v>9.7966507177033466E-2</v>
      </c>
      <c r="AO26" t="s">
        <v>54</v>
      </c>
      <c r="AP26">
        <f t="shared" si="18"/>
        <v>1</v>
      </c>
    </row>
    <row r="27" spans="1:49" ht="14.1" customHeight="1" x14ac:dyDescent="0.15">
      <c r="A27" s="19">
        <f>AF27*60*100/10</f>
        <v>10.009080783480622</v>
      </c>
      <c r="B27" s="31">
        <f>A27-AE27</f>
        <v>9.0807834806216903E-3</v>
      </c>
      <c r="C27" s="31">
        <f>IF(K27&gt;taludvoorkeur!$E$7,taludvoorkeur!$F$8,IF(K27&gt;taludvoorkeur!$E$6,taludvoorkeur!$F$7,taludvoorkeur!$F$6))-H27</f>
        <v>0</v>
      </c>
      <c r="D27" s="17" t="str">
        <f>IF(AND(R27&gt;6,P27&lt;1),"nob","")</f>
        <v>nob</v>
      </c>
      <c r="E27" s="135"/>
      <c r="F27" s="138"/>
      <c r="G27" s="48" t="s">
        <v>149</v>
      </c>
      <c r="H27" s="48">
        <v>3</v>
      </c>
      <c r="I27" s="48">
        <v>0.1</v>
      </c>
      <c r="J27" s="48">
        <v>8.15</v>
      </c>
      <c r="K27" s="123">
        <f t="shared" si="3"/>
        <v>8.75</v>
      </c>
      <c r="L27" s="48"/>
      <c r="M27" s="48">
        <f>IF(K27&lt;=$O$1,$Q$1,$Q$2)</f>
        <v>0.35</v>
      </c>
      <c r="N27" s="49">
        <v>0</v>
      </c>
      <c r="O27" s="48"/>
      <c r="P27" s="48">
        <f>I27+M27</f>
        <v>0.44999999999999996</v>
      </c>
      <c r="Q27" s="48">
        <f t="shared" si="15"/>
        <v>6.0500000000000007</v>
      </c>
      <c r="R27" s="50">
        <f>MAX(Q27+P27*H27*2,K27*(1+N27))</f>
        <v>8.75</v>
      </c>
      <c r="S27" s="48">
        <f>ROUND((R27-Q27)/2/P27,1)</f>
        <v>3</v>
      </c>
      <c r="T27" s="48"/>
      <c r="U27" s="48">
        <f>IF(K27&lt;=$O$1,$W$1,$W$2)</f>
        <v>0.4</v>
      </c>
      <c r="V27" s="48"/>
      <c r="W27" s="50">
        <f>U27+I27</f>
        <v>0.5</v>
      </c>
      <c r="X27" s="50">
        <f t="shared" si="8"/>
        <v>5.75</v>
      </c>
      <c r="Y27" s="50">
        <f t="shared" si="9"/>
        <v>8.75</v>
      </c>
      <c r="Z27" s="48">
        <f>ROUND((Y27-X27)/2/W27,1)</f>
        <v>3</v>
      </c>
      <c r="AA27" s="47" t="s">
        <v>152</v>
      </c>
      <c r="AB27" s="107">
        <v>6</v>
      </c>
      <c r="AC27" s="47" t="s">
        <v>6</v>
      </c>
      <c r="AE27">
        <f>E26</f>
        <v>10</v>
      </c>
      <c r="AF27" s="17">
        <f>AJ27*AN27^(2/3)*(1-AI27)*AL27*SQRT(AH27)+AK27*(AI27*AL27)*AH27</f>
        <v>1.6681801305801037E-2</v>
      </c>
      <c r="AG27" s="17"/>
      <c r="AH27">
        <f t="shared" si="12"/>
        <v>2.0000000000000002E-5</v>
      </c>
      <c r="AI27" s="18">
        <v>0.25</v>
      </c>
      <c r="AJ27">
        <v>34</v>
      </c>
      <c r="AK27">
        <v>30</v>
      </c>
      <c r="AL27">
        <f>J27*I27+(K27-J27)/2*I27</f>
        <v>0.84500000000000008</v>
      </c>
      <c r="AM27">
        <f>K27+2*(1-AI27)*I27</f>
        <v>8.9</v>
      </c>
      <c r="AN27" s="17">
        <f t="shared" si="17"/>
        <v>7.120786516853933E-2</v>
      </c>
      <c r="AO27" t="s">
        <v>54</v>
      </c>
      <c r="AP27">
        <f t="shared" si="18"/>
        <v>2</v>
      </c>
    </row>
    <row r="28" spans="1:49" ht="14.1" customHeight="1" x14ac:dyDescent="0.15">
      <c r="A28" s="19">
        <f t="shared" si="20"/>
        <v>9.9735086263694033</v>
      </c>
      <c r="B28" s="31">
        <f t="shared" si="21"/>
        <v>-2.6491373630596726E-2</v>
      </c>
      <c r="C28" s="31">
        <f>IF(K28&gt;taludvoorkeur!$E$7,taludvoorkeur!$F$8,IF(K28&gt;taludvoorkeur!$E$6,taludvoorkeur!$F$7,taludvoorkeur!$F$6))-H28</f>
        <v>0</v>
      </c>
      <c r="D28" s="17" t="str">
        <f t="shared" si="32"/>
        <v>nob</v>
      </c>
      <c r="E28" s="135"/>
      <c r="F28" s="138"/>
      <c r="G28" s="55" t="s">
        <v>7</v>
      </c>
      <c r="H28" s="122">
        <v>3</v>
      </c>
      <c r="I28" s="122">
        <v>0.2</v>
      </c>
      <c r="J28" s="122">
        <v>4.8499999999999996</v>
      </c>
      <c r="K28" s="55">
        <f t="shared" si="3"/>
        <v>6.05</v>
      </c>
      <c r="L28" s="55"/>
      <c r="M28" s="55">
        <f t="shared" si="24"/>
        <v>0.35</v>
      </c>
      <c r="N28" s="56">
        <v>0</v>
      </c>
      <c r="O28" s="55"/>
      <c r="P28" s="55">
        <f t="shared" si="25"/>
        <v>0.55000000000000004</v>
      </c>
      <c r="Q28" s="55">
        <f t="shared" si="15"/>
        <v>2.7499999999999996</v>
      </c>
      <c r="R28" s="57">
        <f t="shared" si="26"/>
        <v>6.05</v>
      </c>
      <c r="S28" s="55">
        <f t="shared" si="23"/>
        <v>3</v>
      </c>
      <c r="T28" s="55"/>
      <c r="U28" s="55">
        <f>IF(K28&lt;=$O$1,$W$1,$W$2)</f>
        <v>0.4</v>
      </c>
      <c r="V28" s="55"/>
      <c r="W28" s="57">
        <f t="shared" si="28"/>
        <v>0.60000000000000009</v>
      </c>
      <c r="X28" s="57">
        <f t="shared" si="8"/>
        <v>2.4499999999999993</v>
      </c>
      <c r="Y28" s="57">
        <f t="shared" si="9"/>
        <v>6.05</v>
      </c>
      <c r="Z28" s="55">
        <f t="shared" si="29"/>
        <v>3</v>
      </c>
      <c r="AA28" s="54" t="s">
        <v>115</v>
      </c>
      <c r="AB28" s="108">
        <v>3</v>
      </c>
      <c r="AC28" s="54" t="s">
        <v>6</v>
      </c>
      <c r="AE28">
        <f>E26</f>
        <v>10</v>
      </c>
      <c r="AF28" s="17">
        <f t="shared" si="11"/>
        <v>1.6622514377282339E-2</v>
      </c>
      <c r="AG28" s="17"/>
      <c r="AH28">
        <f t="shared" si="12"/>
        <v>2.0000000000000002E-5</v>
      </c>
      <c r="AI28" s="18">
        <v>0.5</v>
      </c>
      <c r="AJ28">
        <v>34</v>
      </c>
      <c r="AK28">
        <v>30</v>
      </c>
      <c r="AL28">
        <f t="shared" si="30"/>
        <v>1.0900000000000001</v>
      </c>
      <c r="AM28">
        <f t="shared" si="31"/>
        <v>6.25</v>
      </c>
      <c r="AN28" s="17">
        <f t="shared" si="17"/>
        <v>8.72E-2</v>
      </c>
      <c r="AO28" t="s">
        <v>54</v>
      </c>
      <c r="AP28">
        <f t="shared" si="18"/>
        <v>1</v>
      </c>
    </row>
    <row r="29" spans="1:49" ht="14.1" customHeight="1" x14ac:dyDescent="0.15">
      <c r="A29" s="19">
        <f>AF29*60*100/10</f>
        <v>9.9890758384203906</v>
      </c>
      <c r="B29" s="31">
        <f>A29-AE29</f>
        <v>-1.0924161579609404E-2</v>
      </c>
      <c r="C29" s="31">
        <f>IF(K29&gt;taludvoorkeur!$E$7,taludvoorkeur!$F$8,IF(K29&gt;taludvoorkeur!$E$6,taludvoorkeur!$F$7,taludvoorkeur!$F$6))-H29</f>
        <v>0</v>
      </c>
      <c r="D29" s="17" t="str">
        <f>IF(AND(R29&gt;6,P29&lt;1),"nob","")</f>
        <v>nob</v>
      </c>
      <c r="E29" s="135"/>
      <c r="F29" s="138"/>
      <c r="G29" s="55" t="s">
        <v>150</v>
      </c>
      <c r="H29" s="55">
        <v>3</v>
      </c>
      <c r="I29" s="55">
        <v>0.15</v>
      </c>
      <c r="J29" s="55">
        <v>7.95</v>
      </c>
      <c r="K29" s="122">
        <f t="shared" ref="K29:K34" si="33">J29+2*I29*H29</f>
        <v>8.85</v>
      </c>
      <c r="L29" s="55"/>
      <c r="M29" s="55">
        <f>IF(K29&lt;=$O$1,$Q$1,$Q$2)</f>
        <v>0.35</v>
      </c>
      <c r="N29" s="56">
        <v>0</v>
      </c>
      <c r="O29" s="55"/>
      <c r="P29" s="55">
        <f>I29+M29</f>
        <v>0.5</v>
      </c>
      <c r="Q29" s="55">
        <f t="shared" si="15"/>
        <v>5.8500000000000005</v>
      </c>
      <c r="R29" s="57">
        <f>MAX(Q29+P29*H29*2,K29*(1+N29))</f>
        <v>8.8500000000000014</v>
      </c>
      <c r="S29" s="55">
        <f>ROUND((R29-Q29)/2/P29,1)</f>
        <v>3</v>
      </c>
      <c r="T29" s="55"/>
      <c r="U29" s="55">
        <f>IF(K29&lt;=$O$1,$W$1,$W$2)</f>
        <v>0.4</v>
      </c>
      <c r="V29" s="55"/>
      <c r="W29" s="57">
        <f>U29+I29</f>
        <v>0.55000000000000004</v>
      </c>
      <c r="X29" s="57">
        <f t="shared" si="8"/>
        <v>5.5500000000000007</v>
      </c>
      <c r="Y29" s="57">
        <f t="shared" si="9"/>
        <v>8.8500000000000014</v>
      </c>
      <c r="Z29" s="55">
        <f>ROUND((Y29-X29)/2/W29,1)</f>
        <v>3</v>
      </c>
      <c r="AA29" s="54" t="s">
        <v>151</v>
      </c>
      <c r="AB29" s="108">
        <v>4</v>
      </c>
      <c r="AC29" s="54" t="s">
        <v>6</v>
      </c>
      <c r="AE29">
        <f>E26</f>
        <v>10</v>
      </c>
      <c r="AF29" s="17">
        <f>AJ29*AN29^(2/3)*(1-AI29)*AL29*SQRT(AH29)+AK29*(AI29*AL29)*AH29</f>
        <v>1.664845973070065E-2</v>
      </c>
      <c r="AG29" s="17"/>
      <c r="AH29">
        <f t="shared" si="12"/>
        <v>2.0000000000000002E-5</v>
      </c>
      <c r="AI29" s="18">
        <v>0.5</v>
      </c>
      <c r="AJ29">
        <v>34</v>
      </c>
      <c r="AK29">
        <v>30</v>
      </c>
      <c r="AL29">
        <f>J29*I29+(K29-J29)/2*I29</f>
        <v>1.2599999999999998</v>
      </c>
      <c r="AM29">
        <f>K29+2*(1-AI29)*I29</f>
        <v>9</v>
      </c>
      <c r="AN29" s="17">
        <f t="shared" si="17"/>
        <v>6.9999999999999993E-2</v>
      </c>
      <c r="AO29" t="s">
        <v>54</v>
      </c>
      <c r="AP29">
        <f t="shared" si="18"/>
        <v>2</v>
      </c>
    </row>
    <row r="30" spans="1:49" ht="14.1" customHeight="1" x14ac:dyDescent="0.15">
      <c r="A30" s="19">
        <f>AF30*60*100/10</f>
        <v>9.9703897065295646</v>
      </c>
      <c r="B30" s="31">
        <f>A30-AE30</f>
        <v>-2.9610293470435423E-2</v>
      </c>
      <c r="C30" s="31">
        <f>IF(K30&gt;taludvoorkeur!$E$7,taludvoorkeur!$F$8,IF(K30&gt;taludvoorkeur!$E$6,taludvoorkeur!$F$7,taludvoorkeur!$F$6))-H30</f>
        <v>0</v>
      </c>
      <c r="D30" s="17" t="str">
        <f>IF(AND(R30&gt;6,P30&lt;1),"nob","")</f>
        <v>nob</v>
      </c>
      <c r="E30" s="135"/>
      <c r="F30" s="138"/>
      <c r="G30" s="79" t="s">
        <v>5</v>
      </c>
      <c r="H30" s="80">
        <v>4</v>
      </c>
      <c r="I30" s="80">
        <v>0.5</v>
      </c>
      <c r="J30" s="80">
        <v>9.0500000000000007</v>
      </c>
      <c r="K30" s="80">
        <f t="shared" si="33"/>
        <v>13.05</v>
      </c>
      <c r="L30" s="80"/>
      <c r="M30" s="80">
        <f>IF(K30&lt;=$O$1,$Q$1,$Q$2)</f>
        <v>0.35</v>
      </c>
      <c r="N30" s="81">
        <v>0</v>
      </c>
      <c r="O30" s="80"/>
      <c r="P30" s="80">
        <f>I30+M30</f>
        <v>0.85</v>
      </c>
      <c r="Q30" s="80">
        <f t="shared" si="15"/>
        <v>6.2500000000000009</v>
      </c>
      <c r="R30" s="84">
        <f>MAX(Q30+P30*H30*2,K30*(1+N30))</f>
        <v>13.05</v>
      </c>
      <c r="S30" s="80">
        <f>ROUND((R30-Q30)/2/P30,1)</f>
        <v>4</v>
      </c>
      <c r="T30" s="80"/>
      <c r="U30" s="80">
        <f>IF(K30&lt;=$O$1,$W$1,$W$2)</f>
        <v>0.4</v>
      </c>
      <c r="V30" s="80"/>
      <c r="W30" s="82">
        <f>U30+I30</f>
        <v>0.9</v>
      </c>
      <c r="X30" s="82">
        <f t="shared" si="8"/>
        <v>5.8500000000000005</v>
      </c>
      <c r="Y30" s="82">
        <f t="shared" si="9"/>
        <v>13.05</v>
      </c>
      <c r="Z30" s="80">
        <f>ROUND((Y30-X30)/2/W30,1)</f>
        <v>4</v>
      </c>
      <c r="AA30" s="83" t="s">
        <v>117</v>
      </c>
      <c r="AB30" s="79">
        <v>1</v>
      </c>
      <c r="AC30" s="83" t="s">
        <v>6</v>
      </c>
      <c r="AE30">
        <f>E26</f>
        <v>10</v>
      </c>
      <c r="AF30" s="17">
        <f t="shared" si="11"/>
        <v>1.6617316177549274E-2</v>
      </c>
      <c r="AG30" s="17"/>
      <c r="AH30">
        <f t="shared" si="12"/>
        <v>2.0000000000000002E-5</v>
      </c>
      <c r="AI30" s="18">
        <v>0.9</v>
      </c>
      <c r="AJ30">
        <v>34</v>
      </c>
      <c r="AK30">
        <v>65</v>
      </c>
      <c r="AL30">
        <f>J30*I30+(K30-J30)/2*I30</f>
        <v>5.5250000000000004</v>
      </c>
      <c r="AM30">
        <f>K30+2*(1-AI30)*I30</f>
        <v>13.15</v>
      </c>
      <c r="AN30" s="17">
        <f t="shared" si="17"/>
        <v>4.2015209125475274E-2</v>
      </c>
      <c r="AO30" t="s">
        <v>54</v>
      </c>
      <c r="AP30">
        <f t="shared" si="18"/>
        <v>1</v>
      </c>
    </row>
    <row r="31" spans="1:49" ht="14.1" customHeight="1" thickBot="1" x14ac:dyDescent="0.2">
      <c r="A31" s="19">
        <f t="shared" si="20"/>
        <v>10.045035512332067</v>
      </c>
      <c r="B31" s="31">
        <f t="shared" si="21"/>
        <v>4.5035512332066929E-2</v>
      </c>
      <c r="C31" s="31">
        <f>IF(K31&gt;taludvoorkeur!$E$7,taludvoorkeur!$F$8,IF(K31&gt;taludvoorkeur!$E$6,taludvoorkeur!$F$7,taludvoorkeur!$F$6))-H31</f>
        <v>0</v>
      </c>
      <c r="D31" s="17" t="str">
        <f t="shared" si="32"/>
        <v>nob</v>
      </c>
      <c r="E31" s="136"/>
      <c r="F31" s="139"/>
      <c r="G31" s="58" t="s">
        <v>85</v>
      </c>
      <c r="H31" s="58">
        <v>4</v>
      </c>
      <c r="I31" s="58">
        <v>0.3</v>
      </c>
      <c r="J31" s="58">
        <v>20.399999999999999</v>
      </c>
      <c r="K31" s="58">
        <f t="shared" si="33"/>
        <v>22.799999999999997</v>
      </c>
      <c r="L31" s="58"/>
      <c r="M31" s="58">
        <f t="shared" si="24"/>
        <v>0.35</v>
      </c>
      <c r="N31" s="59">
        <v>0</v>
      </c>
      <c r="O31" s="58"/>
      <c r="P31" s="58">
        <f t="shared" si="25"/>
        <v>0.64999999999999991</v>
      </c>
      <c r="Q31" s="58">
        <f t="shared" si="15"/>
        <v>17.599999999999998</v>
      </c>
      <c r="R31" s="60">
        <f t="shared" si="26"/>
        <v>22.799999999999997</v>
      </c>
      <c r="S31" s="58">
        <f t="shared" si="23"/>
        <v>4</v>
      </c>
      <c r="T31" s="58"/>
      <c r="U31" s="58">
        <f t="shared" si="27"/>
        <v>0.4</v>
      </c>
      <c r="V31" s="58"/>
      <c r="W31" s="60">
        <f t="shared" si="28"/>
        <v>0.7</v>
      </c>
      <c r="X31" s="60">
        <f t="shared" si="8"/>
        <v>17.199999999999996</v>
      </c>
      <c r="Y31" s="60">
        <f t="shared" si="9"/>
        <v>22.799999999999997</v>
      </c>
      <c r="Z31" s="58">
        <f t="shared" si="29"/>
        <v>4</v>
      </c>
      <c r="AA31" s="61" t="s">
        <v>118</v>
      </c>
      <c r="AB31" s="62">
        <v>2</v>
      </c>
      <c r="AC31" s="61" t="s">
        <v>6</v>
      </c>
      <c r="AE31">
        <f>E26</f>
        <v>10</v>
      </c>
      <c r="AF31" s="17">
        <f t="shared" si="11"/>
        <v>1.674172585388678E-2</v>
      </c>
      <c r="AG31" s="17"/>
      <c r="AH31">
        <f t="shared" si="12"/>
        <v>2.0000000000000002E-5</v>
      </c>
      <c r="AI31" s="18">
        <v>0.9</v>
      </c>
      <c r="AJ31">
        <v>34</v>
      </c>
      <c r="AK31">
        <v>65</v>
      </c>
      <c r="AL31">
        <f t="shared" si="30"/>
        <v>6.4799999999999986</v>
      </c>
      <c r="AM31">
        <f t="shared" si="31"/>
        <v>22.859999999999996</v>
      </c>
      <c r="AN31" s="17">
        <f t="shared" si="17"/>
        <v>2.8346456692913378E-2</v>
      </c>
      <c r="AO31" t="s">
        <v>54</v>
      </c>
      <c r="AP31">
        <f t="shared" si="18"/>
        <v>2</v>
      </c>
    </row>
    <row r="32" spans="1:49" ht="14.1" customHeight="1" x14ac:dyDescent="0.15">
      <c r="A32" s="19">
        <f t="shared" si="20"/>
        <v>25.074394504105744</v>
      </c>
      <c r="B32" s="31">
        <f t="shared" si="21"/>
        <v>7.4394504105743664E-2</v>
      </c>
      <c r="C32" s="31">
        <f>IF(K32&gt;taludvoorkeur!$E$7,taludvoorkeur!$F$8,IF(K32&gt;taludvoorkeur!$E$6,taludvoorkeur!$F$7,taludvoorkeur!$F$6))-H32</f>
        <v>0</v>
      </c>
      <c r="D32" s="17" t="str">
        <f t="shared" si="32"/>
        <v>nob</v>
      </c>
      <c r="E32" s="134">
        <v>25</v>
      </c>
      <c r="F32" s="137">
        <f>E32/100*10/60</f>
        <v>4.1666666666666664E-2</v>
      </c>
      <c r="G32" s="48" t="s">
        <v>8</v>
      </c>
      <c r="H32" s="48">
        <v>3</v>
      </c>
      <c r="I32" s="48">
        <v>0.2</v>
      </c>
      <c r="J32" s="48">
        <v>6.4</v>
      </c>
      <c r="K32" s="48">
        <f t="shared" si="33"/>
        <v>7.6000000000000005</v>
      </c>
      <c r="L32" s="48"/>
      <c r="M32" s="48">
        <f t="shared" si="24"/>
        <v>0.35</v>
      </c>
      <c r="N32" s="49">
        <v>0</v>
      </c>
      <c r="O32" s="48"/>
      <c r="P32" s="48">
        <f t="shared" si="25"/>
        <v>0.55000000000000004</v>
      </c>
      <c r="Q32" s="48">
        <f t="shared" si="15"/>
        <v>4.3000000000000007</v>
      </c>
      <c r="R32" s="50">
        <f t="shared" si="26"/>
        <v>7.6000000000000014</v>
      </c>
      <c r="S32" s="48">
        <f t="shared" si="23"/>
        <v>3</v>
      </c>
      <c r="T32" s="48"/>
      <c r="U32" s="48">
        <f t="shared" si="27"/>
        <v>0.4</v>
      </c>
      <c r="V32" s="48"/>
      <c r="W32" s="50">
        <f t="shared" si="28"/>
        <v>0.60000000000000009</v>
      </c>
      <c r="X32" s="50">
        <f t="shared" si="8"/>
        <v>4</v>
      </c>
      <c r="Y32" s="50">
        <f t="shared" si="9"/>
        <v>7.6000000000000014</v>
      </c>
      <c r="Z32" s="48">
        <f t="shared" si="29"/>
        <v>3</v>
      </c>
      <c r="AA32" s="47" t="s">
        <v>114</v>
      </c>
      <c r="AB32" s="107">
        <v>3</v>
      </c>
      <c r="AC32" s="47" t="s">
        <v>6</v>
      </c>
      <c r="AE32">
        <f>E32</f>
        <v>25</v>
      </c>
      <c r="AF32" s="17">
        <f t="shared" si="11"/>
        <v>4.1790657506842903E-2</v>
      </c>
      <c r="AG32" s="17"/>
      <c r="AH32">
        <f t="shared" si="12"/>
        <v>2.0000000000000002E-5</v>
      </c>
      <c r="AI32" s="18">
        <v>0.25</v>
      </c>
      <c r="AJ32">
        <v>34</v>
      </c>
      <c r="AK32">
        <v>30</v>
      </c>
      <c r="AL32">
        <f t="shared" si="30"/>
        <v>1.4000000000000004</v>
      </c>
      <c r="AM32">
        <f t="shared" si="31"/>
        <v>7.9</v>
      </c>
      <c r="AN32" s="17">
        <f t="shared" si="17"/>
        <v>0.13291139240506331</v>
      </c>
      <c r="AO32" t="s">
        <v>54</v>
      </c>
      <c r="AP32">
        <f t="shared" si="18"/>
        <v>1</v>
      </c>
    </row>
    <row r="33" spans="1:42" ht="14.1" customHeight="1" x14ac:dyDescent="0.15">
      <c r="A33" s="19">
        <f t="shared" si="20"/>
        <v>25.081985453747045</v>
      </c>
      <c r="B33" s="31">
        <f t="shared" si="21"/>
        <v>8.1985453747044801E-2</v>
      </c>
      <c r="C33" s="31">
        <f>IF(K33&gt;taludvoorkeur!$E$7,taludvoorkeur!$F$8,IF(K33&gt;taludvoorkeur!$E$6,taludvoorkeur!$F$7,taludvoorkeur!$F$6))-H33</f>
        <v>0</v>
      </c>
      <c r="D33" s="17" t="str">
        <f t="shared" si="32"/>
        <v>nob</v>
      </c>
      <c r="E33" s="135"/>
      <c r="F33" s="138"/>
      <c r="G33" s="55" t="s">
        <v>7</v>
      </c>
      <c r="H33" s="55">
        <v>4</v>
      </c>
      <c r="I33" s="121">
        <v>0.25</v>
      </c>
      <c r="J33" s="122">
        <v>8.4</v>
      </c>
      <c r="K33" s="122">
        <f t="shared" si="33"/>
        <v>10.4</v>
      </c>
      <c r="L33" s="55"/>
      <c r="M33" s="55">
        <f t="shared" si="24"/>
        <v>0.35</v>
      </c>
      <c r="N33" s="56">
        <v>0</v>
      </c>
      <c r="O33" s="55"/>
      <c r="P33" s="55">
        <f t="shared" si="25"/>
        <v>0.6</v>
      </c>
      <c r="Q33" s="55">
        <f t="shared" si="15"/>
        <v>5.6000000000000005</v>
      </c>
      <c r="R33" s="57">
        <f t="shared" si="26"/>
        <v>10.4</v>
      </c>
      <c r="S33" s="55">
        <f t="shared" si="23"/>
        <v>4</v>
      </c>
      <c r="T33" s="55"/>
      <c r="U33" s="55">
        <f t="shared" si="27"/>
        <v>0.4</v>
      </c>
      <c r="V33" s="55"/>
      <c r="W33" s="57">
        <f t="shared" si="28"/>
        <v>0.65</v>
      </c>
      <c r="X33" s="57">
        <f t="shared" si="8"/>
        <v>5.2</v>
      </c>
      <c r="Y33" s="57">
        <f t="shared" si="9"/>
        <v>10.4</v>
      </c>
      <c r="Z33" s="55">
        <f t="shared" si="29"/>
        <v>4</v>
      </c>
      <c r="AA33" s="54" t="s">
        <v>119</v>
      </c>
      <c r="AB33" s="108">
        <v>2</v>
      </c>
      <c r="AC33" s="54" t="s">
        <v>6</v>
      </c>
      <c r="AE33">
        <f>E32</f>
        <v>25</v>
      </c>
      <c r="AF33" s="17">
        <f t="shared" si="11"/>
        <v>4.1803309089578404E-2</v>
      </c>
      <c r="AG33" s="17"/>
      <c r="AH33">
        <f t="shared" si="12"/>
        <v>2.0000000000000002E-5</v>
      </c>
      <c r="AI33" s="18">
        <v>0.5</v>
      </c>
      <c r="AJ33">
        <v>34</v>
      </c>
      <c r="AK33">
        <v>30</v>
      </c>
      <c r="AL33">
        <f t="shared" si="30"/>
        <v>2.35</v>
      </c>
      <c r="AM33">
        <f t="shared" si="31"/>
        <v>10.65</v>
      </c>
      <c r="AN33" s="17">
        <f t="shared" si="17"/>
        <v>0.11032863849765258</v>
      </c>
      <c r="AO33" t="s">
        <v>54</v>
      </c>
      <c r="AP33">
        <f t="shared" si="18"/>
        <v>1</v>
      </c>
    </row>
    <row r="34" spans="1:42" ht="14.1" customHeight="1" thickBot="1" x14ac:dyDescent="0.2">
      <c r="A34" s="19">
        <f t="shared" si="20"/>
        <v>24.872122145642187</v>
      </c>
      <c r="B34" s="31">
        <f t="shared" si="21"/>
        <v>-0.12787785435781274</v>
      </c>
      <c r="C34" s="31">
        <f>IF(K34&gt;taludvoorkeur!$E$7,taludvoorkeur!$F$8,IF(K34&gt;taludvoorkeur!$E$6,taludvoorkeur!$F$7,taludvoorkeur!$F$6))-H34</f>
        <v>0</v>
      </c>
      <c r="D34" s="17" t="str">
        <f t="shared" si="32"/>
        <v>nob</v>
      </c>
      <c r="E34" s="136"/>
      <c r="F34" s="139"/>
      <c r="G34" s="58" t="s">
        <v>5</v>
      </c>
      <c r="H34" s="58">
        <v>4</v>
      </c>
      <c r="I34" s="62">
        <v>0.35</v>
      </c>
      <c r="J34" s="62">
        <v>41.5</v>
      </c>
      <c r="K34" s="62">
        <f t="shared" si="33"/>
        <v>44.3</v>
      </c>
      <c r="L34" s="58"/>
      <c r="M34" s="58">
        <f t="shared" si="24"/>
        <v>0.35</v>
      </c>
      <c r="N34" s="59">
        <v>0</v>
      </c>
      <c r="O34" s="58"/>
      <c r="P34" s="58">
        <f t="shared" si="25"/>
        <v>0.7</v>
      </c>
      <c r="Q34" s="58">
        <f t="shared" si="15"/>
        <v>38.700000000000003</v>
      </c>
      <c r="R34" s="60">
        <f t="shared" si="26"/>
        <v>44.300000000000004</v>
      </c>
      <c r="S34" s="58">
        <f t="shared" si="23"/>
        <v>4</v>
      </c>
      <c r="T34" s="58"/>
      <c r="U34" s="58">
        <f t="shared" si="27"/>
        <v>0.4</v>
      </c>
      <c r="V34" s="58"/>
      <c r="W34" s="60">
        <f t="shared" si="28"/>
        <v>0.75</v>
      </c>
      <c r="X34" s="60">
        <f t="shared" si="8"/>
        <v>38.300000000000004</v>
      </c>
      <c r="Y34" s="60">
        <f t="shared" si="9"/>
        <v>44.300000000000004</v>
      </c>
      <c r="Z34" s="58">
        <f t="shared" si="29"/>
        <v>4</v>
      </c>
      <c r="AA34" s="61" t="s">
        <v>120</v>
      </c>
      <c r="AB34" s="62">
        <v>1</v>
      </c>
      <c r="AC34" s="61" t="s">
        <v>6</v>
      </c>
      <c r="AE34">
        <f>E32</f>
        <v>25</v>
      </c>
      <c r="AF34" s="17">
        <f t="shared" si="11"/>
        <v>4.1453536909403649E-2</v>
      </c>
      <c r="AG34" s="17"/>
      <c r="AH34">
        <f t="shared" si="12"/>
        <v>2.0000000000000002E-5</v>
      </c>
      <c r="AI34" s="18">
        <v>0.9</v>
      </c>
      <c r="AJ34">
        <v>34</v>
      </c>
      <c r="AK34">
        <v>65</v>
      </c>
      <c r="AL34">
        <f t="shared" si="30"/>
        <v>15.014999999999999</v>
      </c>
      <c r="AM34">
        <f t="shared" si="31"/>
        <v>44.37</v>
      </c>
      <c r="AN34" s="17">
        <f t="shared" si="17"/>
        <v>3.384043272481406E-2</v>
      </c>
      <c r="AO34" t="s">
        <v>54</v>
      </c>
      <c r="AP34">
        <f t="shared" si="18"/>
        <v>1</v>
      </c>
    </row>
    <row r="35" spans="1:42" ht="14.1" customHeight="1" x14ac:dyDescent="0.15">
      <c r="A35" s="19">
        <f>AF35*60*100/10</f>
        <v>39.851288596379192</v>
      </c>
      <c r="B35" s="31">
        <f>A35-AE35</f>
        <v>-0.14871140362080837</v>
      </c>
      <c r="C35" s="31">
        <f>IF(K35&gt;taludvoorkeur!$E$7,taludvoorkeur!$F$8,IF(K35&gt;taludvoorkeur!$E$6,taludvoorkeur!$F$7,taludvoorkeur!$F$6))-H35</f>
        <v>0</v>
      </c>
      <c r="D35" s="17" t="str">
        <f>IF(AND(R35&gt;6,P35&lt;1),"nob","")</f>
        <v>nob</v>
      </c>
      <c r="E35" s="134">
        <v>40</v>
      </c>
      <c r="F35" s="137">
        <f>E35/100*10/60</f>
        <v>6.6666666666666666E-2</v>
      </c>
      <c r="G35" s="48" t="s">
        <v>8</v>
      </c>
      <c r="H35" s="123">
        <v>3</v>
      </c>
      <c r="I35" s="123">
        <v>0.25</v>
      </c>
      <c r="J35" s="123">
        <v>7</v>
      </c>
      <c r="K35" s="123">
        <f t="shared" ref="K35:K46" si="34">J35+2*I35*H35</f>
        <v>8.5</v>
      </c>
      <c r="L35" s="48"/>
      <c r="M35" s="48">
        <f>IF(K35&lt;=$O$1,$Q$1,$Q$2)</f>
        <v>0.35</v>
      </c>
      <c r="N35" s="49">
        <v>0</v>
      </c>
      <c r="O35" s="48"/>
      <c r="P35" s="48">
        <f>I35+M35</f>
        <v>0.6</v>
      </c>
      <c r="Q35" s="48">
        <f t="shared" si="15"/>
        <v>4.9000000000000004</v>
      </c>
      <c r="R35" s="50">
        <f>MAX(Q35+P35*H35*2,K35*(1+N35))</f>
        <v>8.5</v>
      </c>
      <c r="S35" s="48">
        <f>ROUND((R35-Q35)/2/P35,1)</f>
        <v>3</v>
      </c>
      <c r="T35" s="48"/>
      <c r="U35" s="48">
        <f>IF(K35&lt;=$O$1,$W$1,$W$2)</f>
        <v>0.4</v>
      </c>
      <c r="V35" s="48"/>
      <c r="W35" s="50">
        <f>U35+I35</f>
        <v>0.65</v>
      </c>
      <c r="X35" s="50">
        <f t="shared" si="8"/>
        <v>4.5999999999999996</v>
      </c>
      <c r="Y35" s="50">
        <f t="shared" si="9"/>
        <v>8.5</v>
      </c>
      <c r="Z35" s="48">
        <f>ROUND((Y35-X35)/2/W35,1)</f>
        <v>3</v>
      </c>
      <c r="AA35" s="47" t="s">
        <v>159</v>
      </c>
      <c r="AB35" s="107">
        <v>3</v>
      </c>
      <c r="AC35" s="47" t="s">
        <v>9</v>
      </c>
      <c r="AE35">
        <f>E35</f>
        <v>40</v>
      </c>
      <c r="AF35" s="17">
        <f>AJ35*AN35^(2/3)*(1-AI35)*AL35*SQRT(AH35)+AK35*(AI35*AL35)*AH35</f>
        <v>6.6418814327298653E-2</v>
      </c>
      <c r="AG35" s="17"/>
      <c r="AH35">
        <f t="shared" si="12"/>
        <v>2.0000000000000002E-5</v>
      </c>
      <c r="AI35" s="18">
        <v>0.25</v>
      </c>
      <c r="AJ35">
        <v>34</v>
      </c>
      <c r="AK35">
        <v>30</v>
      </c>
      <c r="AL35">
        <f>J35*I35+(K35-J35)/2*I35</f>
        <v>1.9375</v>
      </c>
      <c r="AM35">
        <f>K35+2*(1-AI35)*I35</f>
        <v>8.875</v>
      </c>
      <c r="AN35" s="17">
        <f t="shared" si="17"/>
        <v>0.16373239436619719</v>
      </c>
      <c r="AO35" t="s">
        <v>54</v>
      </c>
      <c r="AP35">
        <f t="shared" si="18"/>
        <v>1</v>
      </c>
    </row>
    <row r="36" spans="1:42" ht="14.1" customHeight="1" x14ac:dyDescent="0.15">
      <c r="A36" s="19">
        <f>AF36*60*100/10</f>
        <v>40.007775402318842</v>
      </c>
      <c r="B36" s="31">
        <f>A36-AE36</f>
        <v>7.7754023188418842E-3</v>
      </c>
      <c r="C36" s="31">
        <f>IF(K36&gt;taludvoorkeur!$E$7,taludvoorkeur!$F$8,IF(K36&gt;taludvoorkeur!$E$6,taludvoorkeur!$F$7,taludvoorkeur!$F$6))-H36</f>
        <v>0</v>
      </c>
      <c r="D36" s="17" t="str">
        <f>IF(AND(R36&gt;6,P36&lt;1),"nob","")</f>
        <v>nob</v>
      </c>
      <c r="E36" s="135"/>
      <c r="F36" s="138"/>
      <c r="G36" s="55" t="s">
        <v>7</v>
      </c>
      <c r="H36" s="122">
        <v>4</v>
      </c>
      <c r="I36" s="122">
        <v>0.3</v>
      </c>
      <c r="J36" s="122">
        <v>9.9</v>
      </c>
      <c r="K36" s="122">
        <f t="shared" si="34"/>
        <v>12.3</v>
      </c>
      <c r="L36" s="55"/>
      <c r="M36" s="55">
        <f>IF(K36&lt;=$O$1,$Q$1,$Q$2)</f>
        <v>0.35</v>
      </c>
      <c r="N36" s="56">
        <v>0</v>
      </c>
      <c r="O36" s="55"/>
      <c r="P36" s="55">
        <f>I36+M36</f>
        <v>0.64999999999999991</v>
      </c>
      <c r="Q36" s="55">
        <f t="shared" si="15"/>
        <v>7.1000000000000014</v>
      </c>
      <c r="R36" s="57">
        <f>MAX(Q36+P36*H36*2,K36*(1+N36))</f>
        <v>12.3</v>
      </c>
      <c r="S36" s="55">
        <f>ROUND((R36-Q36)/2/P36,1)</f>
        <v>4</v>
      </c>
      <c r="T36" s="55"/>
      <c r="U36" s="55">
        <f>IF(K36&lt;=$O$1,$W$1,$W$2)</f>
        <v>0.4</v>
      </c>
      <c r="V36" s="55"/>
      <c r="W36" s="57">
        <f>U36+I36</f>
        <v>0.7</v>
      </c>
      <c r="X36" s="57">
        <f t="shared" si="8"/>
        <v>6.7000000000000011</v>
      </c>
      <c r="Y36" s="57">
        <f t="shared" si="9"/>
        <v>12.3</v>
      </c>
      <c r="Z36" s="55">
        <f>ROUND((Y36-X36)/2/W36,1)</f>
        <v>4</v>
      </c>
      <c r="AA36" s="54" t="s">
        <v>160</v>
      </c>
      <c r="AB36" s="108">
        <v>2</v>
      </c>
      <c r="AC36" s="54" t="s">
        <v>9</v>
      </c>
      <c r="AE36">
        <f>E35</f>
        <v>40</v>
      </c>
      <c r="AF36" s="17">
        <f>AJ36*AN36^(2/3)*(1-AI36)*AL36*SQRT(AH36)+AK36*(AI36*AL36)*AH36</f>
        <v>6.6679625670531401E-2</v>
      </c>
      <c r="AG36" s="17"/>
      <c r="AH36">
        <f t="shared" si="12"/>
        <v>2.0000000000000002E-5</v>
      </c>
      <c r="AI36" s="18">
        <v>0.5</v>
      </c>
      <c r="AJ36">
        <v>34</v>
      </c>
      <c r="AK36">
        <v>30</v>
      </c>
      <c r="AL36">
        <f>J36*I36+(K36-J36)/2*I36</f>
        <v>3.33</v>
      </c>
      <c r="AM36">
        <f>K36+2*(1-AI36)*I36</f>
        <v>12.600000000000001</v>
      </c>
      <c r="AN36" s="17">
        <f t="shared" si="17"/>
        <v>0.13214285714285712</v>
      </c>
      <c r="AO36" t="s">
        <v>54</v>
      </c>
      <c r="AP36">
        <f t="shared" si="18"/>
        <v>1</v>
      </c>
    </row>
    <row r="37" spans="1:42" ht="14.1" customHeight="1" thickBot="1" x14ac:dyDescent="0.2">
      <c r="A37" s="19">
        <f>AF37*60*100/10</f>
        <v>39.938507276118855</v>
      </c>
      <c r="B37" s="31">
        <f>A37-AE37</f>
        <v>-6.1492723881144684E-2</v>
      </c>
      <c r="C37" s="31">
        <f>IF(K37&gt;taludvoorkeur!$E$7,taludvoorkeur!$F$8,IF(K37&gt;taludvoorkeur!$E$6,taludvoorkeur!$F$7,taludvoorkeur!$F$6))-H37</f>
        <v>0</v>
      </c>
      <c r="D37" s="17" t="str">
        <f>IF(AND(R37&gt;6,P37&lt;1),"nob","")</f>
        <v>nob</v>
      </c>
      <c r="E37" s="136"/>
      <c r="F37" s="139"/>
      <c r="G37" s="58" t="s">
        <v>5</v>
      </c>
      <c r="H37" s="124">
        <v>4</v>
      </c>
      <c r="I37" s="125">
        <v>0.4</v>
      </c>
      <c r="J37" s="125">
        <v>55.5</v>
      </c>
      <c r="K37" s="124">
        <f t="shared" si="34"/>
        <v>58.7</v>
      </c>
      <c r="L37" s="58"/>
      <c r="M37" s="62">
        <f>IF(K37&lt;=$O$1,$Q$1,$Q$2)</f>
        <v>0.35</v>
      </c>
      <c r="N37" s="63">
        <v>0</v>
      </c>
      <c r="O37" s="58"/>
      <c r="P37" s="58">
        <f>I37+M37</f>
        <v>0.75</v>
      </c>
      <c r="Q37" s="58">
        <f t="shared" si="15"/>
        <v>52.7</v>
      </c>
      <c r="R37" s="60">
        <f>MAX(Q37+P37*H37*2,K37*(1+N37))</f>
        <v>58.7</v>
      </c>
      <c r="S37" s="58">
        <f>ROUND((R37-Q37)/2/P37,1)</f>
        <v>4</v>
      </c>
      <c r="T37" s="58"/>
      <c r="U37" s="62">
        <f>IF(K37&lt;=$O$1,$W$1,$W$2)</f>
        <v>0.4</v>
      </c>
      <c r="V37" s="58"/>
      <c r="W37" s="60">
        <f>U37+I37</f>
        <v>0.8</v>
      </c>
      <c r="X37" s="60">
        <f t="shared" si="8"/>
        <v>52.300000000000004</v>
      </c>
      <c r="Y37" s="60">
        <f t="shared" si="9"/>
        <v>58.7</v>
      </c>
      <c r="Z37" s="58">
        <f>ROUND((Y37-X37)/2/W37,1)</f>
        <v>4</v>
      </c>
      <c r="AA37" s="61" t="s">
        <v>161</v>
      </c>
      <c r="AB37" s="62">
        <v>1</v>
      </c>
      <c r="AC37" s="61" t="s">
        <v>9</v>
      </c>
      <c r="AE37">
        <f>E35</f>
        <v>40</v>
      </c>
      <c r="AF37" s="17">
        <f>AJ37*AN37^(2/3)*(1-AI37)*AL37*SQRT(AH37)+AK37*(AI37*AL37)*AH37</f>
        <v>6.6564178793531423E-2</v>
      </c>
      <c r="AG37" s="17"/>
      <c r="AH37">
        <f t="shared" si="12"/>
        <v>2.0000000000000002E-5</v>
      </c>
      <c r="AI37" s="18">
        <v>0.9</v>
      </c>
      <c r="AJ37">
        <v>34</v>
      </c>
      <c r="AK37">
        <v>65</v>
      </c>
      <c r="AL37">
        <f>J37*I37+(K37-J37)/2*I37</f>
        <v>22.840000000000003</v>
      </c>
      <c r="AM37">
        <f>K37+2*(1-AI37)*I37</f>
        <v>58.78</v>
      </c>
      <c r="AN37" s="17">
        <f t="shared" si="17"/>
        <v>3.8856753997958488E-2</v>
      </c>
      <c r="AO37" t="s">
        <v>54</v>
      </c>
      <c r="AP37">
        <f t="shared" si="18"/>
        <v>1</v>
      </c>
    </row>
    <row r="38" spans="1:42" ht="14.1" customHeight="1" x14ac:dyDescent="0.15">
      <c r="A38" s="19">
        <f t="shared" si="20"/>
        <v>49.977178436815798</v>
      </c>
      <c r="B38" s="31">
        <f t="shared" si="21"/>
        <v>-2.2821563184201921E-2</v>
      </c>
      <c r="C38" s="31">
        <f>IF(K38&gt;taludvoorkeur!$E$7,taludvoorkeur!$F$8,IF(K38&gt;taludvoorkeur!$E$6,taludvoorkeur!$F$7,taludvoorkeur!$F$6))-H38</f>
        <v>0</v>
      </c>
      <c r="D38" s="17" t="str">
        <f t="shared" si="32"/>
        <v>nob</v>
      </c>
      <c r="E38" s="134">
        <v>50</v>
      </c>
      <c r="F38" s="137">
        <f>E38/100*10/60</f>
        <v>8.3333333333333329E-2</v>
      </c>
      <c r="G38" s="48" t="s">
        <v>8</v>
      </c>
      <c r="H38" s="48">
        <v>4</v>
      </c>
      <c r="I38" s="48">
        <v>0.25</v>
      </c>
      <c r="J38" s="123">
        <v>8.6999999999999993</v>
      </c>
      <c r="K38" s="48">
        <f t="shared" si="34"/>
        <v>10.7</v>
      </c>
      <c r="L38" s="48"/>
      <c r="M38" s="48">
        <f t="shared" si="24"/>
        <v>0.35</v>
      </c>
      <c r="N38" s="49">
        <v>0</v>
      </c>
      <c r="O38" s="48"/>
      <c r="P38" s="48">
        <f t="shared" si="25"/>
        <v>0.6</v>
      </c>
      <c r="Q38" s="48">
        <f t="shared" si="15"/>
        <v>5.8999999999999995</v>
      </c>
      <c r="R38" s="50">
        <f t="shared" si="26"/>
        <v>10.7</v>
      </c>
      <c r="S38" s="48">
        <f t="shared" si="23"/>
        <v>4</v>
      </c>
      <c r="T38" s="48"/>
      <c r="U38" s="48">
        <f t="shared" si="27"/>
        <v>0.4</v>
      </c>
      <c r="V38" s="48"/>
      <c r="W38" s="50">
        <f t="shared" si="28"/>
        <v>0.65</v>
      </c>
      <c r="X38" s="50">
        <f t="shared" si="8"/>
        <v>5.4999999999999991</v>
      </c>
      <c r="Y38" s="50">
        <f t="shared" si="9"/>
        <v>10.7</v>
      </c>
      <c r="Z38" s="48">
        <f t="shared" si="29"/>
        <v>4</v>
      </c>
      <c r="AA38" s="47" t="s">
        <v>121</v>
      </c>
      <c r="AB38" s="107">
        <v>3</v>
      </c>
      <c r="AC38" s="47" t="s">
        <v>9</v>
      </c>
      <c r="AE38">
        <f>E38</f>
        <v>50</v>
      </c>
      <c r="AF38" s="17">
        <f t="shared" si="11"/>
        <v>8.3295297394692991E-2</v>
      </c>
      <c r="AG38" s="17"/>
      <c r="AH38">
        <f t="shared" si="12"/>
        <v>2.0000000000000002E-5</v>
      </c>
      <c r="AI38" s="18">
        <v>0.25</v>
      </c>
      <c r="AJ38">
        <v>34</v>
      </c>
      <c r="AK38">
        <v>30</v>
      </c>
      <c r="AL38">
        <f t="shared" si="30"/>
        <v>2.4249999999999998</v>
      </c>
      <c r="AM38">
        <f t="shared" si="31"/>
        <v>11.074999999999999</v>
      </c>
      <c r="AN38" s="17">
        <f t="shared" si="17"/>
        <v>0.16422121896162528</v>
      </c>
      <c r="AO38" t="s">
        <v>54</v>
      </c>
      <c r="AP38">
        <f t="shared" si="18"/>
        <v>1</v>
      </c>
    </row>
    <row r="39" spans="1:42" ht="14.1" customHeight="1" x14ac:dyDescent="0.15">
      <c r="A39" s="19">
        <f t="shared" si="20"/>
        <v>50.125644389277838</v>
      </c>
      <c r="B39" s="31">
        <f t="shared" si="21"/>
        <v>0.12564438927783783</v>
      </c>
      <c r="C39" s="31">
        <f>IF(K39&gt;taludvoorkeur!$E$7,taludvoorkeur!$F$8,IF(K39&gt;taludvoorkeur!$E$6,taludvoorkeur!$F$7,taludvoorkeur!$F$6))-H39</f>
        <v>0</v>
      </c>
      <c r="D39" s="17" t="str">
        <f t="shared" si="32"/>
        <v>nob</v>
      </c>
      <c r="E39" s="135"/>
      <c r="F39" s="138"/>
      <c r="G39" s="55" t="s">
        <v>7</v>
      </c>
      <c r="H39" s="55">
        <v>4</v>
      </c>
      <c r="I39" s="55">
        <v>0.3</v>
      </c>
      <c r="J39" s="55">
        <v>12.5</v>
      </c>
      <c r="K39" s="55">
        <f t="shared" si="34"/>
        <v>14.9</v>
      </c>
      <c r="L39" s="55"/>
      <c r="M39" s="55">
        <f t="shared" si="24"/>
        <v>0.35</v>
      </c>
      <c r="N39" s="56">
        <v>0</v>
      </c>
      <c r="O39" s="55"/>
      <c r="P39" s="55">
        <f t="shared" si="25"/>
        <v>0.64999999999999991</v>
      </c>
      <c r="Q39" s="55">
        <f t="shared" si="15"/>
        <v>9.7000000000000011</v>
      </c>
      <c r="R39" s="57">
        <f t="shared" si="26"/>
        <v>14.9</v>
      </c>
      <c r="S39" s="55">
        <f t="shared" si="23"/>
        <v>4</v>
      </c>
      <c r="T39" s="55"/>
      <c r="U39" s="55">
        <f t="shared" si="27"/>
        <v>0.4</v>
      </c>
      <c r="V39" s="55"/>
      <c r="W39" s="57">
        <f t="shared" si="28"/>
        <v>0.7</v>
      </c>
      <c r="X39" s="57">
        <f t="shared" si="8"/>
        <v>9.3000000000000007</v>
      </c>
      <c r="Y39" s="57">
        <f t="shared" si="9"/>
        <v>14.9</v>
      </c>
      <c r="Z39" s="55">
        <f t="shared" si="29"/>
        <v>4</v>
      </c>
      <c r="AA39" s="54" t="s">
        <v>122</v>
      </c>
      <c r="AB39" s="108">
        <v>2</v>
      </c>
      <c r="AC39" s="54" t="s">
        <v>9</v>
      </c>
      <c r="AE39">
        <f>E38</f>
        <v>50</v>
      </c>
      <c r="AF39" s="17">
        <f t="shared" si="11"/>
        <v>8.3542740648796382E-2</v>
      </c>
      <c r="AG39" s="17"/>
      <c r="AH39">
        <f t="shared" si="12"/>
        <v>2.0000000000000002E-5</v>
      </c>
      <c r="AI39" s="18">
        <v>0.5</v>
      </c>
      <c r="AJ39">
        <v>34</v>
      </c>
      <c r="AK39">
        <v>30</v>
      </c>
      <c r="AL39">
        <f t="shared" si="30"/>
        <v>4.1100000000000003</v>
      </c>
      <c r="AM39">
        <f t="shared" si="31"/>
        <v>15.200000000000001</v>
      </c>
      <c r="AN39" s="17">
        <f t="shared" si="17"/>
        <v>0.13519736842105262</v>
      </c>
      <c r="AO39" t="s">
        <v>54</v>
      </c>
      <c r="AP39">
        <f t="shared" si="18"/>
        <v>1</v>
      </c>
    </row>
    <row r="40" spans="1:42" ht="14.1" customHeight="1" thickBot="1" x14ac:dyDescent="0.2">
      <c r="A40" s="19">
        <f t="shared" si="20"/>
        <v>50.148109089458522</v>
      </c>
      <c r="B40" s="31">
        <f t="shared" si="21"/>
        <v>0.14810908945852219</v>
      </c>
      <c r="C40" s="31">
        <f>IF(K40&gt;taludvoorkeur!$E$7,taludvoorkeur!$F$8,IF(K40&gt;taludvoorkeur!$E$6,taludvoorkeur!$F$7,taludvoorkeur!$F$6))-H40</f>
        <v>0</v>
      </c>
      <c r="D40" s="17" t="str">
        <f t="shared" si="32"/>
        <v>nob</v>
      </c>
      <c r="E40" s="136"/>
      <c r="F40" s="139"/>
      <c r="G40" s="58" t="s">
        <v>5</v>
      </c>
      <c r="H40" s="58">
        <v>4</v>
      </c>
      <c r="I40" s="62">
        <v>0.45</v>
      </c>
      <c r="J40" s="62">
        <v>59</v>
      </c>
      <c r="K40" s="58">
        <f t="shared" si="34"/>
        <v>62.6</v>
      </c>
      <c r="L40" s="58"/>
      <c r="M40" s="62">
        <f t="shared" si="24"/>
        <v>0.35</v>
      </c>
      <c r="N40" s="63">
        <v>0</v>
      </c>
      <c r="O40" s="58"/>
      <c r="P40" s="58">
        <f t="shared" si="25"/>
        <v>0.8</v>
      </c>
      <c r="Q40" s="58">
        <f t="shared" si="15"/>
        <v>56.2</v>
      </c>
      <c r="R40" s="60">
        <f t="shared" si="26"/>
        <v>62.6</v>
      </c>
      <c r="S40" s="58">
        <f t="shared" si="23"/>
        <v>4</v>
      </c>
      <c r="T40" s="58"/>
      <c r="U40" s="62">
        <f t="shared" si="27"/>
        <v>0.4</v>
      </c>
      <c r="V40" s="58"/>
      <c r="W40" s="60">
        <f t="shared" si="28"/>
        <v>0.85000000000000009</v>
      </c>
      <c r="X40" s="60">
        <f t="shared" si="8"/>
        <v>55.800000000000004</v>
      </c>
      <c r="Y40" s="60">
        <f t="shared" si="9"/>
        <v>62.6</v>
      </c>
      <c r="Z40" s="58">
        <f t="shared" si="29"/>
        <v>4</v>
      </c>
      <c r="AA40" s="61" t="s">
        <v>123</v>
      </c>
      <c r="AB40" s="62">
        <v>1</v>
      </c>
      <c r="AC40" s="61" t="s">
        <v>9</v>
      </c>
      <c r="AE40">
        <f>E38</f>
        <v>50</v>
      </c>
      <c r="AF40" s="17">
        <f t="shared" si="11"/>
        <v>8.358018181576421E-2</v>
      </c>
      <c r="AG40" s="17"/>
      <c r="AH40">
        <f t="shared" si="12"/>
        <v>2.0000000000000002E-5</v>
      </c>
      <c r="AI40" s="18">
        <v>0.9</v>
      </c>
      <c r="AJ40">
        <v>34</v>
      </c>
      <c r="AK40">
        <v>65</v>
      </c>
      <c r="AL40">
        <f t="shared" si="30"/>
        <v>27.36</v>
      </c>
      <c r="AM40">
        <f t="shared" si="31"/>
        <v>62.690000000000005</v>
      </c>
      <c r="AN40" s="17">
        <f t="shared" si="17"/>
        <v>4.3643324294145781E-2</v>
      </c>
      <c r="AO40" t="s">
        <v>54</v>
      </c>
      <c r="AP40">
        <f t="shared" si="18"/>
        <v>1</v>
      </c>
    </row>
    <row r="41" spans="1:42" ht="14.1" customHeight="1" x14ac:dyDescent="0.15">
      <c r="A41" s="19">
        <f t="shared" si="20"/>
        <v>74.886543091941704</v>
      </c>
      <c r="B41" s="31">
        <f t="shared" si="21"/>
        <v>-0.11345690805829634</v>
      </c>
      <c r="C41" s="31">
        <f>IF(K41&gt;taludvoorkeur!$E$7,taludvoorkeur!$F$8,IF(K41&gt;taludvoorkeur!$E$6,taludvoorkeur!$F$7,taludvoorkeur!$F$6))-H41</f>
        <v>0</v>
      </c>
      <c r="D41" s="17" t="str">
        <f t="shared" si="32"/>
        <v>nob</v>
      </c>
      <c r="E41" s="134">
        <v>75</v>
      </c>
      <c r="F41" s="137">
        <f>E41/100*10/60</f>
        <v>0.125</v>
      </c>
      <c r="G41" s="48" t="s">
        <v>8</v>
      </c>
      <c r="H41" s="48">
        <v>4</v>
      </c>
      <c r="I41" s="48">
        <v>0.3</v>
      </c>
      <c r="J41" s="123">
        <v>9.6</v>
      </c>
      <c r="K41" s="48">
        <f t="shared" si="34"/>
        <v>12</v>
      </c>
      <c r="L41" s="48"/>
      <c r="M41" s="48">
        <f t="shared" si="24"/>
        <v>0.35</v>
      </c>
      <c r="N41" s="49">
        <v>0</v>
      </c>
      <c r="O41" s="48"/>
      <c r="P41" s="48">
        <f t="shared" si="25"/>
        <v>0.64999999999999991</v>
      </c>
      <c r="Q41" s="48">
        <f t="shared" si="15"/>
        <v>6.8000000000000007</v>
      </c>
      <c r="R41" s="50">
        <f t="shared" si="26"/>
        <v>12</v>
      </c>
      <c r="S41" s="48">
        <f t="shared" si="23"/>
        <v>4</v>
      </c>
      <c r="T41" s="48"/>
      <c r="U41" s="48">
        <f t="shared" si="27"/>
        <v>0.4</v>
      </c>
      <c r="V41" s="48"/>
      <c r="W41" s="89">
        <f t="shared" si="28"/>
        <v>0.7</v>
      </c>
      <c r="X41" s="89">
        <f t="shared" si="8"/>
        <v>6.4</v>
      </c>
      <c r="Y41" s="89">
        <f t="shared" si="9"/>
        <v>12</v>
      </c>
      <c r="Z41" s="77">
        <f t="shared" si="29"/>
        <v>4</v>
      </c>
      <c r="AA41" s="47" t="s">
        <v>124</v>
      </c>
      <c r="AB41" s="107">
        <v>3</v>
      </c>
      <c r="AC41" s="47" t="s">
        <v>10</v>
      </c>
      <c r="AE41">
        <f>E41</f>
        <v>75</v>
      </c>
      <c r="AF41" s="17">
        <f t="shared" si="11"/>
        <v>0.12481090515323617</v>
      </c>
      <c r="AG41" s="17"/>
      <c r="AH41">
        <f t="shared" si="12"/>
        <v>2.0000000000000002E-5</v>
      </c>
      <c r="AI41" s="18">
        <v>0.25</v>
      </c>
      <c r="AJ41">
        <v>34</v>
      </c>
      <c r="AK41">
        <v>30</v>
      </c>
      <c r="AL41">
        <f t="shared" si="30"/>
        <v>3.2399999999999998</v>
      </c>
      <c r="AM41">
        <f t="shared" si="31"/>
        <v>12.45</v>
      </c>
      <c r="AN41" s="17">
        <f t="shared" si="17"/>
        <v>0.19518072289156627</v>
      </c>
      <c r="AO41" t="s">
        <v>54</v>
      </c>
      <c r="AP41">
        <f t="shared" si="18"/>
        <v>1</v>
      </c>
    </row>
    <row r="42" spans="1:42" ht="14.1" customHeight="1" x14ac:dyDescent="0.15">
      <c r="A42" s="19">
        <f t="shared" si="20"/>
        <v>75.082781475810208</v>
      </c>
      <c r="B42" s="31">
        <f t="shared" si="21"/>
        <v>8.2781475810207894E-2</v>
      </c>
      <c r="C42" s="31">
        <f>IF(K42&gt;taludvoorkeur!$E$7,taludvoorkeur!$F$8,IF(K42&gt;taludvoorkeur!$E$6,taludvoorkeur!$F$7,taludvoorkeur!$F$6))-H42</f>
        <v>0</v>
      </c>
      <c r="D42" s="17" t="str">
        <f t="shared" si="32"/>
        <v>nob</v>
      </c>
      <c r="E42" s="135"/>
      <c r="F42" s="138"/>
      <c r="G42" s="55" t="s">
        <v>7</v>
      </c>
      <c r="H42" s="55">
        <v>4</v>
      </c>
      <c r="I42" s="55">
        <v>0.35</v>
      </c>
      <c r="J42" s="122">
        <v>14.5</v>
      </c>
      <c r="K42" s="55">
        <f t="shared" si="34"/>
        <v>17.3</v>
      </c>
      <c r="L42" s="55"/>
      <c r="M42" s="55">
        <f t="shared" si="24"/>
        <v>0.35</v>
      </c>
      <c r="N42" s="56">
        <v>0</v>
      </c>
      <c r="O42" s="55"/>
      <c r="P42" s="55">
        <f t="shared" si="25"/>
        <v>0.7</v>
      </c>
      <c r="Q42" s="55">
        <f t="shared" si="15"/>
        <v>11.7</v>
      </c>
      <c r="R42" s="57">
        <f t="shared" si="26"/>
        <v>17.3</v>
      </c>
      <c r="S42" s="55">
        <f t="shared" si="23"/>
        <v>4</v>
      </c>
      <c r="T42" s="55"/>
      <c r="U42" s="55">
        <f t="shared" si="27"/>
        <v>0.4</v>
      </c>
      <c r="V42" s="55"/>
      <c r="W42" s="90">
        <f t="shared" si="28"/>
        <v>0.75</v>
      </c>
      <c r="X42" s="90">
        <f t="shared" si="8"/>
        <v>11.299999999999999</v>
      </c>
      <c r="Y42" s="90">
        <f t="shared" si="9"/>
        <v>17.3</v>
      </c>
      <c r="Z42" s="76">
        <f t="shared" si="29"/>
        <v>4</v>
      </c>
      <c r="AA42" s="54" t="s">
        <v>125</v>
      </c>
      <c r="AB42" s="108">
        <v>2</v>
      </c>
      <c r="AC42" s="54" t="s">
        <v>10</v>
      </c>
      <c r="AE42">
        <f>E41</f>
        <v>75</v>
      </c>
      <c r="AF42" s="17">
        <f t="shared" si="11"/>
        <v>0.12513796912635033</v>
      </c>
      <c r="AG42" s="17"/>
      <c r="AH42">
        <f t="shared" si="12"/>
        <v>2.0000000000000002E-5</v>
      </c>
      <c r="AI42" s="18">
        <v>0.5</v>
      </c>
      <c r="AJ42">
        <v>34</v>
      </c>
      <c r="AK42">
        <v>30</v>
      </c>
      <c r="AL42">
        <f t="shared" si="30"/>
        <v>5.5649999999999995</v>
      </c>
      <c r="AM42">
        <f t="shared" si="31"/>
        <v>17.650000000000002</v>
      </c>
      <c r="AN42" s="17">
        <f t="shared" si="17"/>
        <v>0.15764872521246456</v>
      </c>
      <c r="AO42" t="s">
        <v>54</v>
      </c>
      <c r="AP42">
        <f t="shared" si="18"/>
        <v>1</v>
      </c>
    </row>
    <row r="43" spans="1:42" ht="14.1" customHeight="1" thickBot="1" x14ac:dyDescent="0.2">
      <c r="A43" s="19">
        <f t="shared" si="20"/>
        <v>75.111124363480201</v>
      </c>
      <c r="B43" s="31">
        <f t="shared" si="21"/>
        <v>0.11112436348020083</v>
      </c>
      <c r="C43" s="31">
        <f>IF(K43&gt;taludvoorkeur!$E$7,taludvoorkeur!$F$8,IF(K43&gt;taludvoorkeur!$E$6,taludvoorkeur!$F$7,taludvoorkeur!$F$6))-H43</f>
        <v>0</v>
      </c>
      <c r="D43" s="17" t="str">
        <f t="shared" si="32"/>
        <v>nob</v>
      </c>
      <c r="E43" s="136"/>
      <c r="F43" s="139"/>
      <c r="G43" s="58" t="s">
        <v>5</v>
      </c>
      <c r="H43" s="58">
        <v>4</v>
      </c>
      <c r="I43" s="58">
        <v>0.5</v>
      </c>
      <c r="J43" s="58">
        <v>76.3</v>
      </c>
      <c r="K43" s="58">
        <f t="shared" si="34"/>
        <v>80.3</v>
      </c>
      <c r="L43" s="58"/>
      <c r="M43" s="58">
        <f t="shared" si="24"/>
        <v>0.35</v>
      </c>
      <c r="N43" s="59">
        <v>0</v>
      </c>
      <c r="O43" s="58"/>
      <c r="P43" s="58">
        <f t="shared" si="25"/>
        <v>0.85</v>
      </c>
      <c r="Q43" s="58">
        <f t="shared" si="15"/>
        <v>73.5</v>
      </c>
      <c r="R43" s="60">
        <f t="shared" si="26"/>
        <v>80.3</v>
      </c>
      <c r="S43" s="58">
        <f t="shared" si="23"/>
        <v>4</v>
      </c>
      <c r="T43" s="58"/>
      <c r="U43" s="58">
        <f t="shared" si="27"/>
        <v>0.4</v>
      </c>
      <c r="V43" s="58"/>
      <c r="W43" s="91">
        <f t="shared" si="28"/>
        <v>0.9</v>
      </c>
      <c r="X43" s="91">
        <f t="shared" si="8"/>
        <v>73.099999999999994</v>
      </c>
      <c r="Y43" s="91">
        <f t="shared" si="9"/>
        <v>80.3</v>
      </c>
      <c r="Z43" s="78">
        <f t="shared" si="29"/>
        <v>4</v>
      </c>
      <c r="AA43" s="61" t="s">
        <v>126</v>
      </c>
      <c r="AB43" s="62">
        <v>1</v>
      </c>
      <c r="AC43" s="61" t="s">
        <v>10</v>
      </c>
      <c r="AE43">
        <f>E41</f>
        <v>75</v>
      </c>
      <c r="AF43" s="17">
        <f t="shared" si="11"/>
        <v>0.12518520727246701</v>
      </c>
      <c r="AG43" s="17"/>
      <c r="AH43">
        <f t="shared" si="12"/>
        <v>2.0000000000000002E-5</v>
      </c>
      <c r="AI43" s="18">
        <v>0.9</v>
      </c>
      <c r="AJ43">
        <v>34</v>
      </c>
      <c r="AK43">
        <v>65</v>
      </c>
      <c r="AL43">
        <f t="shared" si="30"/>
        <v>39.15</v>
      </c>
      <c r="AM43">
        <f t="shared" si="31"/>
        <v>80.399999999999991</v>
      </c>
      <c r="AN43" s="17">
        <f t="shared" si="17"/>
        <v>4.8694029850746265E-2</v>
      </c>
      <c r="AO43" t="s">
        <v>54</v>
      </c>
      <c r="AP43">
        <f t="shared" si="18"/>
        <v>1</v>
      </c>
    </row>
    <row r="44" spans="1:42" ht="14.1" customHeight="1" x14ac:dyDescent="0.15">
      <c r="A44" s="19">
        <f t="shared" si="20"/>
        <v>100.25490918956061</v>
      </c>
      <c r="B44" s="31">
        <f t="shared" si="21"/>
        <v>0.25490918956060682</v>
      </c>
      <c r="C44" s="31">
        <f>IF(K44&gt;taludvoorkeur!$E$7,taludvoorkeur!$F$8,IF(K44&gt;taludvoorkeur!$E$6,taludvoorkeur!$F$7,taludvoorkeur!$F$6))-H44</f>
        <v>0</v>
      </c>
      <c r="D44" s="17" t="str">
        <f t="shared" si="32"/>
        <v>nob</v>
      </c>
      <c r="E44" s="134">
        <v>100</v>
      </c>
      <c r="F44" s="137">
        <f>E44/100*10/60</f>
        <v>0.16666666666666666</v>
      </c>
      <c r="G44" s="48" t="s">
        <v>8</v>
      </c>
      <c r="H44" s="48">
        <v>4</v>
      </c>
      <c r="I44" s="48">
        <v>0.35</v>
      </c>
      <c r="J44" s="123">
        <v>9.9</v>
      </c>
      <c r="K44" s="48">
        <f t="shared" si="34"/>
        <v>12.7</v>
      </c>
      <c r="L44" s="48"/>
      <c r="M44" s="48">
        <f t="shared" si="24"/>
        <v>0.35</v>
      </c>
      <c r="N44" s="49">
        <v>0</v>
      </c>
      <c r="O44" s="48"/>
      <c r="P44" s="48">
        <f t="shared" si="25"/>
        <v>0.7</v>
      </c>
      <c r="Q44" s="48">
        <f t="shared" si="15"/>
        <v>7.1000000000000005</v>
      </c>
      <c r="R44" s="50">
        <f t="shared" si="26"/>
        <v>12.7</v>
      </c>
      <c r="S44" s="48">
        <f t="shared" si="23"/>
        <v>4</v>
      </c>
      <c r="T44" s="48"/>
      <c r="U44" s="48">
        <f t="shared" si="27"/>
        <v>0.4</v>
      </c>
      <c r="V44" s="48"/>
      <c r="W44" s="89">
        <f t="shared" si="28"/>
        <v>0.75</v>
      </c>
      <c r="X44" s="89">
        <f t="shared" si="8"/>
        <v>6.7</v>
      </c>
      <c r="Y44" s="89">
        <f t="shared" si="9"/>
        <v>12.7</v>
      </c>
      <c r="Z44" s="77">
        <f t="shared" si="29"/>
        <v>4</v>
      </c>
      <c r="AA44" s="47" t="s">
        <v>127</v>
      </c>
      <c r="AB44" s="107">
        <v>3</v>
      </c>
      <c r="AC44" s="47" t="s">
        <v>10</v>
      </c>
      <c r="AE44">
        <f>E44</f>
        <v>100</v>
      </c>
      <c r="AF44" s="17">
        <f>AJ44*AN44^(2/3)*(1-AI44)*AL44*SQRT(AH44)+AK44*(AI44*AL44)*AH44</f>
        <v>0.16709151531593436</v>
      </c>
      <c r="AG44" s="17"/>
      <c r="AH44">
        <f t="shared" si="12"/>
        <v>2.0000000000000002E-5</v>
      </c>
      <c r="AI44" s="18">
        <v>0.25</v>
      </c>
      <c r="AJ44">
        <v>34</v>
      </c>
      <c r="AK44">
        <v>30</v>
      </c>
      <c r="AL44">
        <f t="shared" si="30"/>
        <v>3.9549999999999996</v>
      </c>
      <c r="AM44">
        <f t="shared" si="31"/>
        <v>13.225</v>
      </c>
      <c r="AN44" s="17">
        <f t="shared" si="17"/>
        <v>0.22429111531190923</v>
      </c>
      <c r="AO44" t="s">
        <v>54</v>
      </c>
      <c r="AP44">
        <f t="shared" si="18"/>
        <v>1</v>
      </c>
    </row>
    <row r="45" spans="1:42" ht="14.1" customHeight="1" x14ac:dyDescent="0.15">
      <c r="A45" s="19">
        <f t="shared" si="20"/>
        <v>100.03871733637865</v>
      </c>
      <c r="B45" s="31">
        <f t="shared" si="21"/>
        <v>3.8717336378653044E-2</v>
      </c>
      <c r="C45" s="31">
        <f>IF(K45&gt;taludvoorkeur!$E$7,taludvoorkeur!$F$8,IF(K45&gt;taludvoorkeur!$E$6,taludvoorkeur!$F$7,taludvoorkeur!$F$6))-H45</f>
        <v>0</v>
      </c>
      <c r="D45" s="17" t="str">
        <f t="shared" si="32"/>
        <v>nob</v>
      </c>
      <c r="E45" s="135"/>
      <c r="F45" s="138"/>
      <c r="G45" s="55" t="s">
        <v>7</v>
      </c>
      <c r="H45" s="55">
        <v>4</v>
      </c>
      <c r="I45" s="55">
        <v>0.4</v>
      </c>
      <c r="J45" s="122">
        <v>15.45</v>
      </c>
      <c r="K45" s="55">
        <f t="shared" si="34"/>
        <v>18.649999999999999</v>
      </c>
      <c r="L45" s="55"/>
      <c r="M45" s="55">
        <f t="shared" si="24"/>
        <v>0.35</v>
      </c>
      <c r="N45" s="56">
        <v>0</v>
      </c>
      <c r="O45" s="55"/>
      <c r="P45" s="55">
        <f t="shared" si="25"/>
        <v>0.75</v>
      </c>
      <c r="Q45" s="55">
        <f t="shared" si="15"/>
        <v>12.649999999999999</v>
      </c>
      <c r="R45" s="57">
        <f t="shared" si="26"/>
        <v>18.649999999999999</v>
      </c>
      <c r="S45" s="55">
        <f t="shared" si="23"/>
        <v>4</v>
      </c>
      <c r="T45" s="55"/>
      <c r="U45" s="55">
        <f t="shared" si="27"/>
        <v>0.4</v>
      </c>
      <c r="V45" s="55"/>
      <c r="W45" s="90">
        <f t="shared" si="28"/>
        <v>0.8</v>
      </c>
      <c r="X45" s="90">
        <f t="shared" si="8"/>
        <v>12.249999999999998</v>
      </c>
      <c r="Y45" s="90">
        <f t="shared" si="9"/>
        <v>18.649999999999999</v>
      </c>
      <c r="Z45" s="76">
        <f t="shared" si="29"/>
        <v>4</v>
      </c>
      <c r="AA45" s="54" t="s">
        <v>128</v>
      </c>
      <c r="AB45" s="108">
        <v>2</v>
      </c>
      <c r="AC45" s="54" t="s">
        <v>10</v>
      </c>
      <c r="AE45">
        <f>E44</f>
        <v>100</v>
      </c>
      <c r="AF45" s="17">
        <f>AJ45*AN45^(2/3)*(1-AI45)*AL45*SQRT(AH45)+AK45*(AI45*AL45)*AH45</f>
        <v>0.1667311955606311</v>
      </c>
      <c r="AG45" s="17"/>
      <c r="AH45">
        <f t="shared" si="12"/>
        <v>2.0000000000000002E-5</v>
      </c>
      <c r="AI45" s="18">
        <v>0.5</v>
      </c>
      <c r="AJ45">
        <v>34</v>
      </c>
      <c r="AK45">
        <v>30</v>
      </c>
      <c r="AL45">
        <f t="shared" si="30"/>
        <v>6.8199999999999994</v>
      </c>
      <c r="AM45">
        <f t="shared" si="31"/>
        <v>19.049999999999997</v>
      </c>
      <c r="AN45" s="17">
        <f t="shared" si="17"/>
        <v>0.17900262467191602</v>
      </c>
      <c r="AO45" t="s">
        <v>54</v>
      </c>
      <c r="AP45">
        <f t="shared" si="18"/>
        <v>1</v>
      </c>
    </row>
    <row r="46" spans="1:42" ht="14.1" customHeight="1" thickBot="1" x14ac:dyDescent="0.2">
      <c r="A46" s="19">
        <f t="shared" si="20"/>
        <v>100.06757506902684</v>
      </c>
      <c r="B46" s="31">
        <f t="shared" si="21"/>
        <v>6.7575069026844403E-2</v>
      </c>
      <c r="C46" s="31">
        <f>IF(K46&gt;taludvoorkeur!$E$7,taludvoorkeur!$F$8,IF(K46&gt;taludvoorkeur!$E$6,taludvoorkeur!$F$7,taludvoorkeur!$F$6))-H46</f>
        <v>0</v>
      </c>
      <c r="D46" s="17" t="str">
        <f t="shared" si="32"/>
        <v>nob</v>
      </c>
      <c r="E46" s="152"/>
      <c r="F46" s="139"/>
      <c r="G46" s="58" t="s">
        <v>5</v>
      </c>
      <c r="H46" s="58">
        <v>4</v>
      </c>
      <c r="I46" s="58">
        <v>0.6</v>
      </c>
      <c r="J46" s="58">
        <v>78.099999999999994</v>
      </c>
      <c r="K46" s="58">
        <f t="shared" si="34"/>
        <v>82.899999999999991</v>
      </c>
      <c r="L46" s="58"/>
      <c r="M46" s="58">
        <f t="shared" si="24"/>
        <v>0.35</v>
      </c>
      <c r="N46" s="59">
        <v>0</v>
      </c>
      <c r="O46" s="58"/>
      <c r="P46" s="58">
        <f t="shared" si="25"/>
        <v>0.95</v>
      </c>
      <c r="Q46" s="58">
        <f t="shared" si="15"/>
        <v>75.3</v>
      </c>
      <c r="R46" s="60">
        <f>MAX(Q46+P46*H46*2,K46*(1+N46))</f>
        <v>82.899999999999991</v>
      </c>
      <c r="S46" s="58">
        <f>ROUND((R46-Q46)/2/P46,1)</f>
        <v>4</v>
      </c>
      <c r="T46" s="58"/>
      <c r="U46" s="58">
        <f t="shared" si="27"/>
        <v>0.4</v>
      </c>
      <c r="V46" s="58"/>
      <c r="W46" s="91">
        <f t="shared" si="28"/>
        <v>1</v>
      </c>
      <c r="X46" s="91">
        <f t="shared" si="8"/>
        <v>74.899999999999991</v>
      </c>
      <c r="Y46" s="91">
        <f t="shared" si="9"/>
        <v>82.899999999999991</v>
      </c>
      <c r="Z46" s="78">
        <f>ROUND((Y46-X46)/2/W46,1)</f>
        <v>4</v>
      </c>
      <c r="AA46" s="61" t="s">
        <v>129</v>
      </c>
      <c r="AB46" s="62">
        <v>1</v>
      </c>
      <c r="AC46" s="61" t="s">
        <v>10</v>
      </c>
      <c r="AE46">
        <f>E44</f>
        <v>100</v>
      </c>
      <c r="AF46" s="17">
        <f>AJ46*AN46^(2/3)*(1-AI46)*AL46*SQRT(AH46)+AK46*(AI46*AL46)*AH46</f>
        <v>0.16677929178171141</v>
      </c>
      <c r="AG46" s="17"/>
      <c r="AH46">
        <f t="shared" si="12"/>
        <v>2.0000000000000002E-5</v>
      </c>
      <c r="AI46" s="18">
        <v>0.9</v>
      </c>
      <c r="AJ46">
        <v>34</v>
      </c>
      <c r="AK46">
        <v>65</v>
      </c>
      <c r="AL46">
        <f t="shared" si="30"/>
        <v>48.29999999999999</v>
      </c>
      <c r="AM46">
        <f t="shared" si="31"/>
        <v>83.02</v>
      </c>
      <c r="AN46" s="17">
        <f t="shared" si="17"/>
        <v>5.8178752107925787E-2</v>
      </c>
      <c r="AO46" t="s">
        <v>54</v>
      </c>
      <c r="AP46">
        <f t="shared" si="18"/>
        <v>1</v>
      </c>
    </row>
    <row r="47" spans="1:42" ht="14.1" customHeight="1" thickBot="1" x14ac:dyDescent="0.2">
      <c r="A47" s="17"/>
      <c r="B47" s="17"/>
      <c r="C47" s="17"/>
      <c r="D47" s="44"/>
      <c r="E47" s="2" t="s">
        <v>12</v>
      </c>
      <c r="F47" s="2"/>
      <c r="G47" s="1"/>
      <c r="H47" s="113"/>
      <c r="I47" s="119" t="s">
        <v>11</v>
      </c>
      <c r="J47" s="120" t="s">
        <v>11</v>
      </c>
      <c r="K47" s="119" t="s">
        <v>11</v>
      </c>
      <c r="L47" s="1"/>
      <c r="M47" s="1"/>
      <c r="N47" s="1"/>
      <c r="O47" s="1"/>
      <c r="P47" s="1" t="str">
        <f>I47</f>
        <v>afwijkend</v>
      </c>
      <c r="Q47" s="1" t="str">
        <f>J47</f>
        <v>afwijkend</v>
      </c>
      <c r="R47" s="1" t="str">
        <f>K47</f>
        <v>afwijkend</v>
      </c>
      <c r="S47" s="1"/>
      <c r="T47" s="1"/>
      <c r="U47" s="1"/>
      <c r="V47" s="1"/>
      <c r="W47" s="1" t="s">
        <v>11</v>
      </c>
      <c r="X47" s="1" t="s">
        <v>11</v>
      </c>
      <c r="Y47" s="1" t="s">
        <v>11</v>
      </c>
      <c r="Z47" s="1"/>
      <c r="AA47" s="12" t="s">
        <v>24</v>
      </c>
      <c r="AB47" s="106"/>
      <c r="AC47" s="14" t="s">
        <v>10</v>
      </c>
      <c r="AF47" s="17"/>
      <c r="AG47" s="17"/>
    </row>
    <row r="48" spans="1:42" ht="12" thickTop="1" x14ac:dyDescent="0.15">
      <c r="AF48" s="17">
        <f>AJ44*AN44^(2/3)*(1-AI44)*AL44*SQRT(AH44)+AK44*(AI44*AL44)*AH44</f>
        <v>0.16709151531593436</v>
      </c>
    </row>
    <row r="49" spans="1:7" x14ac:dyDescent="0.15">
      <c r="B49" t="s">
        <v>63</v>
      </c>
    </row>
    <row r="51" spans="1:7" ht="15" x14ac:dyDescent="0.2">
      <c r="B51" s="72" t="s">
        <v>64</v>
      </c>
    </row>
    <row r="52" spans="1:7" ht="12.75" x14ac:dyDescent="0.15">
      <c r="A52" t="s">
        <v>183</v>
      </c>
      <c r="B52" s="20" t="s">
        <v>65</v>
      </c>
    </row>
    <row r="53" spans="1:7" ht="12.75" x14ac:dyDescent="0.15">
      <c r="B53" s="20" t="s">
        <v>67</v>
      </c>
    </row>
    <row r="54" spans="1:7" ht="12.75" x14ac:dyDescent="0.15">
      <c r="B54" s="20" t="s">
        <v>68</v>
      </c>
    </row>
    <row r="55" spans="1:7" ht="12.75" x14ac:dyDescent="0.15">
      <c r="B55" s="20" t="s">
        <v>69</v>
      </c>
    </row>
    <row r="56" spans="1:7" ht="12.75" x14ac:dyDescent="0.2">
      <c r="B56" s="72" t="s">
        <v>70</v>
      </c>
    </row>
    <row r="57" spans="1:7" ht="12.75" x14ac:dyDescent="0.15">
      <c r="B57" s="20" t="s">
        <v>145</v>
      </c>
    </row>
    <row r="58" spans="1:7" ht="12.75" x14ac:dyDescent="0.15">
      <c r="B58" s="20" t="s">
        <v>146</v>
      </c>
    </row>
    <row r="61" spans="1:7" x14ac:dyDescent="0.15">
      <c r="G61" s="33" t="s">
        <v>43</v>
      </c>
    </row>
    <row r="62" spans="1:7" x14ac:dyDescent="0.15">
      <c r="G62" s="33" t="s">
        <v>44</v>
      </c>
    </row>
  </sheetData>
  <mergeCells count="24">
    <mergeCell ref="E8:E13"/>
    <mergeCell ref="F8:F13"/>
    <mergeCell ref="H5:K5"/>
    <mergeCell ref="P5:S5"/>
    <mergeCell ref="W5:Z5"/>
    <mergeCell ref="H6:K6"/>
    <mergeCell ref="P6:S6"/>
    <mergeCell ref="W6:Z6"/>
    <mergeCell ref="E14:E19"/>
    <mergeCell ref="F14:F19"/>
    <mergeCell ref="E20:E25"/>
    <mergeCell ref="F20:F25"/>
    <mergeCell ref="E26:E31"/>
    <mergeCell ref="F26:F31"/>
    <mergeCell ref="E44:E46"/>
    <mergeCell ref="F44:F46"/>
    <mergeCell ref="E32:E34"/>
    <mergeCell ref="F32:F34"/>
    <mergeCell ref="E38:E40"/>
    <mergeCell ref="F38:F40"/>
    <mergeCell ref="E41:E43"/>
    <mergeCell ref="F41:F43"/>
    <mergeCell ref="E35:E37"/>
    <mergeCell ref="F35:F37"/>
  </mergeCells>
  <conditionalFormatting sqref="B8:C13">
    <cfRule type="colorScale" priority="1">
      <colorScale>
        <cfvo type="num" val="-1"/>
        <cfvo type="num" val="1"/>
        <color rgb="FFFF7128"/>
        <color theme="9"/>
      </colorScale>
    </cfRule>
  </conditionalFormatting>
  <conditionalFormatting sqref="B14:C46">
    <cfRule type="colorScale" priority="2">
      <colorScale>
        <cfvo type="num" val="-1"/>
        <cfvo type="num" val="1"/>
        <color rgb="FFFF7128"/>
        <color theme="9"/>
      </colorScale>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B89E5-62F6-44AC-912E-68F082B538DD}">
  <dimension ref="A1:F14"/>
  <sheetViews>
    <sheetView workbookViewId="0">
      <selection activeCell="A3" sqref="A3"/>
    </sheetView>
  </sheetViews>
  <sheetFormatPr defaultRowHeight="11.25" x14ac:dyDescent="0.15"/>
  <cols>
    <col min="5" max="5" width="17.25" customWidth="1"/>
  </cols>
  <sheetData>
    <row r="1" spans="1:6" ht="18.75" customHeight="1" x14ac:dyDescent="0.15">
      <c r="A1" t="s">
        <v>182</v>
      </c>
    </row>
    <row r="4" spans="1:6" x14ac:dyDescent="0.15">
      <c r="A4" s="64" t="s">
        <v>54</v>
      </c>
      <c r="E4" t="s">
        <v>54</v>
      </c>
    </row>
    <row r="5" spans="1:6" x14ac:dyDescent="0.15">
      <c r="A5" s="64" t="s">
        <v>55</v>
      </c>
      <c r="E5" t="s">
        <v>23</v>
      </c>
      <c r="F5" t="s">
        <v>22</v>
      </c>
    </row>
    <row r="6" spans="1:6" x14ac:dyDescent="0.15">
      <c r="A6" s="64" t="s">
        <v>56</v>
      </c>
      <c r="E6">
        <v>4</v>
      </c>
      <c r="F6">
        <v>2</v>
      </c>
    </row>
    <row r="7" spans="1:6" x14ac:dyDescent="0.15">
      <c r="A7" s="64" t="s">
        <v>57</v>
      </c>
      <c r="E7">
        <v>10</v>
      </c>
      <c r="F7">
        <v>3</v>
      </c>
    </row>
    <row r="8" spans="1:6" x14ac:dyDescent="0.15">
      <c r="A8" s="64" t="s">
        <v>58</v>
      </c>
      <c r="E8" t="s">
        <v>14</v>
      </c>
      <c r="F8">
        <v>4</v>
      </c>
    </row>
    <row r="9" spans="1:6" x14ac:dyDescent="0.15">
      <c r="A9" s="64" t="s">
        <v>59</v>
      </c>
    </row>
    <row r="10" spans="1:6" x14ac:dyDescent="0.15">
      <c r="A10" s="64" t="s">
        <v>60</v>
      </c>
    </row>
    <row r="11" spans="1:6" x14ac:dyDescent="0.15">
      <c r="E11" t="s">
        <v>61</v>
      </c>
    </row>
    <row r="12" spans="1:6" x14ac:dyDescent="0.15">
      <c r="E12" t="s">
        <v>23</v>
      </c>
      <c r="F12" t="s">
        <v>22</v>
      </c>
    </row>
    <row r="13" spans="1:6" x14ac:dyDescent="0.15">
      <c r="E13">
        <v>6</v>
      </c>
      <c r="F13">
        <v>1.5</v>
      </c>
    </row>
    <row r="14" spans="1:6" x14ac:dyDescent="0.15">
      <c r="E14">
        <v>6</v>
      </c>
      <c r="F14">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CSV</vt:lpstr>
      <vt:lpstr>ZandKlei</vt:lpstr>
      <vt:lpstr>Veen</vt:lpstr>
      <vt:lpstr>taludvoorkeur</vt:lpstr>
    </vt:vector>
  </TitlesOfParts>
  <Company>Hoogheemraadschap Hollands Noorderkwartier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Diepen, Annemarie van</dc:creator>
  <cp:lastModifiedBy>Esse, Wouter van</cp:lastModifiedBy>
  <dcterms:created xsi:type="dcterms:W3CDTF">2022-06-01T12:39:53Z</dcterms:created>
  <dcterms:modified xsi:type="dcterms:W3CDTF">2025-05-19T11:08:36Z</dcterms:modified>
</cp:coreProperties>
</file>