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540029F3-4FA6-465D-A382-164B983E7ED7}" xr6:coauthVersionLast="46" xr6:coauthVersionMax="46" xr10:uidLastSave="{00000000-0000-0000-0000-000000000000}"/>
  <bookViews>
    <workbookView xWindow="-108" yWindow="-108" windowWidth="23256" windowHeight="12576" xr2:uid="{156F6A5D-5D25-4120-BF11-49E0EB87F059}"/>
  </bookViews>
  <sheets>
    <sheet name="Dimensions and Proportions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15" i="1" s="1"/>
  <c r="G17" i="1"/>
  <c r="G18" i="1"/>
  <c r="E19" i="1"/>
  <c r="G19" i="1"/>
  <c r="G20" i="1"/>
  <c r="E21" i="1"/>
  <c r="G21" i="1"/>
  <c r="E22" i="1"/>
  <c r="G22" i="1" s="1"/>
  <c r="G4" i="2" l="1"/>
  <c r="E15" i="2"/>
  <c r="E20" i="2" s="1"/>
  <c r="E8" i="2"/>
  <c r="E16" i="2" s="1"/>
  <c r="E25" i="2" s="1"/>
  <c r="G20" i="2" l="1"/>
  <c r="H8" i="2"/>
  <c r="G66" i="1"/>
  <c r="E60" i="1" l="1"/>
  <c r="E61" i="1" s="1"/>
  <c r="E62" i="1" l="1"/>
  <c r="E72" i="1"/>
  <c r="E58" i="1" l="1"/>
  <c r="E59" i="1" s="1"/>
  <c r="E47" i="1" l="1"/>
  <c r="E45" i="1"/>
  <c r="G45" i="1" s="1"/>
  <c r="E44" i="1"/>
  <c r="G44" i="1" s="1"/>
  <c r="F31" i="1"/>
  <c r="J32" i="1"/>
  <c r="E49" i="1" l="1"/>
  <c r="G47" i="1"/>
  <c r="E48" i="1"/>
  <c r="G48" i="1" s="1"/>
  <c r="E46" i="1"/>
  <c r="K31" i="1"/>
  <c r="J28" i="1"/>
  <c r="K28" i="1" s="1"/>
  <c r="K34" i="1"/>
  <c r="K32" i="1"/>
  <c r="K33" i="1"/>
  <c r="K35" i="1"/>
  <c r="J30" i="1"/>
  <c r="K30" i="1" s="1"/>
  <c r="J29" i="1"/>
  <c r="K29" i="1" s="1"/>
  <c r="G46" i="1" l="1"/>
  <c r="E52" i="1"/>
  <c r="G49" i="1"/>
  <c r="E50" i="1"/>
  <c r="H31" i="1"/>
  <c r="F29" i="1"/>
  <c r="H29" i="1" s="1"/>
  <c r="F30" i="1"/>
  <c r="H30" i="1" s="1"/>
  <c r="F32" i="1"/>
  <c r="H32" i="1" s="1"/>
  <c r="F33" i="1"/>
  <c r="H33" i="1" s="1"/>
  <c r="F34" i="1"/>
  <c r="H34" i="1" s="1"/>
  <c r="F35" i="1"/>
  <c r="H35" i="1" s="1"/>
  <c r="F28" i="1"/>
  <c r="H28" i="1" s="1"/>
  <c r="E54" i="1" l="1"/>
  <c r="G54" i="1" s="1"/>
  <c r="G52" i="1"/>
  <c r="E53" i="1"/>
  <c r="E38" i="1"/>
  <c r="G38" i="1" s="1"/>
  <c r="E41" i="1" s="1"/>
  <c r="E37" i="1"/>
  <c r="G37" i="1" s="1"/>
  <c r="G53" i="1" l="1"/>
  <c r="E67" i="1"/>
</calcChain>
</file>

<file path=xl/sharedStrings.xml><?xml version="1.0" encoding="utf-8"?>
<sst xmlns="http://schemas.openxmlformats.org/spreadsheetml/2006/main" count="160" uniqueCount="68">
  <si>
    <t>Piece</t>
  </si>
  <si>
    <t>Number of identical pieces</t>
  </si>
  <si>
    <t>A- frame side</t>
  </si>
  <si>
    <t>Length (inches)</t>
  </si>
  <si>
    <t>A- frame bracing</t>
  </si>
  <si>
    <t>A-frame base</t>
  </si>
  <si>
    <t>Throwing arm</t>
  </si>
  <si>
    <t>Base ends</t>
  </si>
  <si>
    <t>Side struts</t>
  </si>
  <si>
    <t>Center base, for trigger and runway]</t>
  </si>
  <si>
    <t>Total Length:</t>
  </si>
  <si>
    <t>Inches</t>
  </si>
  <si>
    <t>feet</t>
  </si>
  <si>
    <t>TREBUCHET FROM 15 PROJECTS FOR THE EVIL GENIUS</t>
  </si>
  <si>
    <t>Length feet</t>
  </si>
  <si>
    <t>Obtained?</t>
  </si>
  <si>
    <t>Total Length Remaining:</t>
  </si>
  <si>
    <t>Center base, support for side struts</t>
  </si>
  <si>
    <t>Approximate cost of wood</t>
  </si>
  <si>
    <t>per foot</t>
  </si>
  <si>
    <t>Approximate Cost Remaining</t>
  </si>
  <si>
    <t>Ideal Trebuchet Ratio</t>
  </si>
  <si>
    <t>Long arm / Short arm</t>
  </si>
  <si>
    <t>inches</t>
  </si>
  <si>
    <t>Length between sling string hole and end of long arm</t>
  </si>
  <si>
    <t>Length between weight string hole and end of short arm</t>
  </si>
  <si>
    <t>Idealized Throwing Arm length (Length between holes)</t>
  </si>
  <si>
    <t>Distance of Pivot from weight string hole</t>
  </si>
  <si>
    <t>Distance of Pivot from sling string hole</t>
  </si>
  <si>
    <t>Distance from pivot to actual short end</t>
  </si>
  <si>
    <t>Ratio of long arm / short arm</t>
  </si>
  <si>
    <t>Calculated length for length of short arm based on idealized throwing arm and ideal ratio</t>
  </si>
  <si>
    <t>Calculated length for length of long arm based on idealized throwing arm and ideal ratio</t>
  </si>
  <si>
    <t>Ratio idealized length to ideal long arm + short arm ratios</t>
  </si>
  <si>
    <t>&lt;Use this one</t>
  </si>
  <si>
    <t>Ideal pouch ratio width to length</t>
  </si>
  <si>
    <t>length of pouch</t>
  </si>
  <si>
    <t>Ideal width</t>
  </si>
  <si>
    <t>lbf</t>
  </si>
  <si>
    <t>Ratio of Counterweight / Projectile Weight</t>
  </si>
  <si>
    <t>Axle bearing</t>
  </si>
  <si>
    <t>Diameter of axle</t>
  </si>
  <si>
    <t>(Not including thickness of axle)</t>
  </si>
  <si>
    <t>circumfrence of axle</t>
  </si>
  <si>
    <t>Pouch Considerations</t>
  </si>
  <si>
    <t>Ideal diameter of projectile</t>
  </si>
  <si>
    <t>length of sewn corner triangle</t>
  </si>
  <si>
    <t>width of sewn corner triangle</t>
  </si>
  <si>
    <t>Sling</t>
  </si>
  <si>
    <t>Length of sling (one side)</t>
  </si>
  <si>
    <t>Length of pouch (triangle)</t>
  </si>
  <si>
    <t>Weight of Box</t>
  </si>
  <si>
    <t>Weight of projectile</t>
  </si>
  <si>
    <t>Weight of brick</t>
  </si>
  <si>
    <t>*roughly</t>
  </si>
  <si>
    <t>ounces</t>
  </si>
  <si>
    <t>Weight of plastic practice ball</t>
  </si>
  <si>
    <t>Weight of Walnut</t>
  </si>
  <si>
    <t>Weight ratio</t>
  </si>
  <si>
    <t>Weight of counterweight</t>
  </si>
  <si>
    <t>ounzes</t>
  </si>
  <si>
    <t>Ideal weight of projectile based on counterweight</t>
  </si>
  <si>
    <t>Ideal weight of counterweight based on projectile</t>
  </si>
  <si>
    <t>Weight of a tennis ball</t>
  </si>
  <si>
    <t>Weight of aluminum foil</t>
  </si>
  <si>
    <t>* general</t>
  </si>
  <si>
    <t xml:space="preserve">* Using Phsstok's </t>
  </si>
  <si>
    <t>TREBUCHET I WANT TO  (Based on Dimesions From 15 PROJECTS FOR THE EVIL GENIUS)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</si>
</sst>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5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B37B-D9D3-47BA-ADC8-BB736EE8FC5B}">
  <dimension ref="D2:K72"/>
  <sheetViews>
    <sheetView tabSelected="1" zoomScale="71" zoomScaleNormal="72" workbookViewId="0">
      <selection activeCell="D25" sqref="D25"/>
    </sheetView>
  </sheetViews>
  <sheetFormatPr defaultRowHeight="14.4" x14ac:dyDescent="0.3"/>
  <cols>
    <col min="4" max="4" width="76.109375" bestFit="1" customWidth="1"/>
    <col min="5" max="5" width="23.6640625" bestFit="1" customWidth="1"/>
    <col min="6" max="6" width="14" bestFit="1" customWidth="1"/>
    <col min="7" max="7" width="27.109375" bestFit="1" customWidth="1"/>
  </cols>
  <sheetData>
    <row r="2" spans="4:8" x14ac:dyDescent="0.3">
      <c r="D2" s="3" t="s">
        <v>13</v>
      </c>
    </row>
    <row r="4" spans="4:8" x14ac:dyDescent="0.3">
      <c r="D4" s="1" t="s">
        <v>0</v>
      </c>
      <c r="E4" s="1" t="s">
        <v>1</v>
      </c>
      <c r="F4" s="1" t="s">
        <v>3</v>
      </c>
    </row>
    <row r="6" spans="4:8" x14ac:dyDescent="0.3">
      <c r="D6" t="s">
        <v>2</v>
      </c>
      <c r="E6">
        <v>4</v>
      </c>
      <c r="F6">
        <v>42</v>
      </c>
      <c r="G6" t="s">
        <v>11</v>
      </c>
    </row>
    <row r="7" spans="4:8" x14ac:dyDescent="0.3">
      <c r="D7" t="s">
        <v>4</v>
      </c>
      <c r="E7">
        <v>2</v>
      </c>
      <c r="F7">
        <v>11</v>
      </c>
      <c r="G7" t="s">
        <v>11</v>
      </c>
    </row>
    <row r="8" spans="4:8" x14ac:dyDescent="0.3">
      <c r="D8" t="s">
        <v>5</v>
      </c>
      <c r="E8">
        <v>2</v>
      </c>
      <c r="F8">
        <v>36</v>
      </c>
      <c r="G8" t="s">
        <v>11</v>
      </c>
    </row>
    <row r="9" spans="4:8" x14ac:dyDescent="0.3">
      <c r="D9" t="s">
        <v>6</v>
      </c>
      <c r="E9">
        <v>1</v>
      </c>
      <c r="F9">
        <v>74</v>
      </c>
      <c r="G9" t="s">
        <v>11</v>
      </c>
    </row>
    <row r="10" spans="4:8" x14ac:dyDescent="0.3">
      <c r="D10" t="s">
        <v>7</v>
      </c>
      <c r="E10">
        <v>2</v>
      </c>
      <c r="F10">
        <v>21</v>
      </c>
      <c r="G10" t="s">
        <v>11</v>
      </c>
    </row>
    <row r="11" spans="4:8" x14ac:dyDescent="0.3">
      <c r="D11" t="s">
        <v>17</v>
      </c>
      <c r="E11">
        <v>1</v>
      </c>
      <c r="F11">
        <v>33</v>
      </c>
      <c r="G11" t="s">
        <v>11</v>
      </c>
    </row>
    <row r="12" spans="4:8" x14ac:dyDescent="0.3">
      <c r="D12" t="s">
        <v>9</v>
      </c>
      <c r="E12">
        <v>1</v>
      </c>
      <c r="F12">
        <v>35</v>
      </c>
      <c r="G12" t="s">
        <v>11</v>
      </c>
    </row>
    <row r="13" spans="4:8" x14ac:dyDescent="0.3">
      <c r="D13" t="s">
        <v>8</v>
      </c>
      <c r="E13">
        <v>2</v>
      </c>
      <c r="F13">
        <v>41.5</v>
      </c>
      <c r="G13" t="s">
        <v>11</v>
      </c>
    </row>
    <row r="15" spans="4:8" x14ac:dyDescent="0.3">
      <c r="D15" s="2" t="s">
        <v>10</v>
      </c>
      <c r="E15">
        <f>SUMPRODUCT(E6:E13,F6:F13)</f>
        <v>529</v>
      </c>
      <c r="F15" t="s">
        <v>11</v>
      </c>
      <c r="G15">
        <f>E15/12</f>
        <v>44.083333333333336</v>
      </c>
      <c r="H15" t="s">
        <v>12</v>
      </c>
    </row>
    <row r="17" spans="4:11" x14ac:dyDescent="0.3">
      <c r="D17" t="s">
        <v>24</v>
      </c>
      <c r="E17">
        <v>3</v>
      </c>
      <c r="F17" t="s">
        <v>11</v>
      </c>
      <c r="G17">
        <f>E17/12</f>
        <v>0.25</v>
      </c>
      <c r="H17" t="s">
        <v>12</v>
      </c>
    </row>
    <row r="18" spans="4:11" x14ac:dyDescent="0.3">
      <c r="D18" t="s">
        <v>25</v>
      </c>
      <c r="E18">
        <v>7</v>
      </c>
      <c r="F18" t="s">
        <v>23</v>
      </c>
      <c r="G18">
        <f>E18/12</f>
        <v>0.58333333333333337</v>
      </c>
      <c r="H18" t="s">
        <v>12</v>
      </c>
    </row>
    <row r="19" spans="4:11" x14ac:dyDescent="0.3">
      <c r="D19" t="s">
        <v>26</v>
      </c>
      <c r="E19">
        <f>F9-(E17+E18)</f>
        <v>64</v>
      </c>
      <c r="F19" t="s">
        <v>23</v>
      </c>
      <c r="G19">
        <f>E19/12</f>
        <v>5.333333333333333</v>
      </c>
      <c r="H19" t="s">
        <v>12</v>
      </c>
    </row>
    <row r="20" spans="4:11" x14ac:dyDescent="0.3">
      <c r="D20" t="s">
        <v>29</v>
      </c>
      <c r="E20">
        <v>22.5</v>
      </c>
      <c r="F20" t="s">
        <v>23</v>
      </c>
      <c r="G20">
        <f>E20/12</f>
        <v>1.875</v>
      </c>
      <c r="H20" t="s">
        <v>12</v>
      </c>
    </row>
    <row r="21" spans="4:11" x14ac:dyDescent="0.3">
      <c r="D21" t="s">
        <v>27</v>
      </c>
      <c r="E21">
        <f>E20-E18</f>
        <v>15.5</v>
      </c>
      <c r="F21" t="s">
        <v>23</v>
      </c>
      <c r="G21">
        <f t="shared" ref="G21:G22" si="0">E21/12</f>
        <v>1.2916666666666667</v>
      </c>
      <c r="H21" t="s">
        <v>12</v>
      </c>
    </row>
    <row r="22" spans="4:11" x14ac:dyDescent="0.3">
      <c r="D22" t="s">
        <v>28</v>
      </c>
      <c r="E22">
        <f>F9-(E20+E17)</f>
        <v>48.5</v>
      </c>
      <c r="F22" t="s">
        <v>23</v>
      </c>
      <c r="G22">
        <f t="shared" si="0"/>
        <v>4.041666666666667</v>
      </c>
      <c r="H22" t="s">
        <v>12</v>
      </c>
    </row>
    <row r="24" spans="4:11" x14ac:dyDescent="0.3">
      <c r="D24" s="3" t="s">
        <v>67</v>
      </c>
    </row>
    <row r="26" spans="4:11" x14ac:dyDescent="0.3">
      <c r="D26" s="1" t="s">
        <v>0</v>
      </c>
      <c r="E26" s="1" t="s">
        <v>1</v>
      </c>
      <c r="F26" s="1" t="s">
        <v>3</v>
      </c>
      <c r="H26" s="1" t="s">
        <v>14</v>
      </c>
      <c r="J26" s="1" t="s">
        <v>15</v>
      </c>
    </row>
    <row r="28" spans="4:11" x14ac:dyDescent="0.3">
      <c r="D28" t="s">
        <v>2</v>
      </c>
      <c r="E28">
        <v>4</v>
      </c>
      <c r="F28">
        <f t="shared" ref="F28:F35" si="1">F6*2</f>
        <v>84</v>
      </c>
      <c r="G28" t="s">
        <v>11</v>
      </c>
      <c r="H28">
        <f>F28/12</f>
        <v>7</v>
      </c>
      <c r="I28" t="s">
        <v>12</v>
      </c>
      <c r="J28" t="b">
        <f>TRUE</f>
        <v>1</v>
      </c>
      <c r="K28" s="2" t="str">
        <f>IF(J28=TRUE, "√", "X")</f>
        <v>√</v>
      </c>
    </row>
    <row r="29" spans="4:11" x14ac:dyDescent="0.3">
      <c r="D29" t="s">
        <v>4</v>
      </c>
      <c r="E29">
        <v>2</v>
      </c>
      <c r="F29">
        <f t="shared" si="1"/>
        <v>22</v>
      </c>
      <c r="G29" t="s">
        <v>11</v>
      </c>
      <c r="H29">
        <f t="shared" ref="H29:H35" si="2">F29/12</f>
        <v>1.8333333333333333</v>
      </c>
      <c r="I29" t="s">
        <v>12</v>
      </c>
      <c r="J29" t="b">
        <f>TRUE</f>
        <v>1</v>
      </c>
      <c r="K29" s="2" t="str">
        <f t="shared" ref="K29:K35" si="3">IF(J29=TRUE, "√", "X")</f>
        <v>√</v>
      </c>
    </row>
    <row r="30" spans="4:11" x14ac:dyDescent="0.3">
      <c r="D30" t="s">
        <v>5</v>
      </c>
      <c r="E30">
        <v>2</v>
      </c>
      <c r="F30">
        <f t="shared" si="1"/>
        <v>72</v>
      </c>
      <c r="G30" t="s">
        <v>11</v>
      </c>
      <c r="H30">
        <f t="shared" si="2"/>
        <v>6</v>
      </c>
      <c r="I30" t="s">
        <v>12</v>
      </c>
      <c r="J30" t="b">
        <f>TRUE</f>
        <v>1</v>
      </c>
      <c r="K30" s="2" t="str">
        <f t="shared" si="3"/>
        <v>√</v>
      </c>
    </row>
    <row r="31" spans="4:11" x14ac:dyDescent="0.3">
      <c r="D31" t="s">
        <v>6</v>
      </c>
      <c r="E31">
        <v>1</v>
      </c>
      <c r="F31">
        <f t="shared" si="1"/>
        <v>148</v>
      </c>
      <c r="G31" t="s">
        <v>11</v>
      </c>
      <c r="H31">
        <f t="shared" si="2"/>
        <v>12.333333333333334</v>
      </c>
      <c r="I31" t="s">
        <v>12</v>
      </c>
      <c r="J31" t="b">
        <v>1</v>
      </c>
      <c r="K31" s="2" t="str">
        <f>IF(J31=TRUE, "√", "X")</f>
        <v>√</v>
      </c>
    </row>
    <row r="32" spans="4:11" x14ac:dyDescent="0.3">
      <c r="D32" t="s">
        <v>7</v>
      </c>
      <c r="E32">
        <v>2</v>
      </c>
      <c r="F32">
        <f t="shared" si="1"/>
        <v>42</v>
      </c>
      <c r="G32" t="s">
        <v>11</v>
      </c>
      <c r="H32">
        <f t="shared" si="2"/>
        <v>3.5</v>
      </c>
      <c r="I32" t="s">
        <v>12</v>
      </c>
      <c r="J32" t="b">
        <f>TRUE</f>
        <v>1</v>
      </c>
      <c r="K32" s="2" t="str">
        <f t="shared" si="3"/>
        <v>√</v>
      </c>
    </row>
    <row r="33" spans="4:11" x14ac:dyDescent="0.3">
      <c r="D33" t="s">
        <v>17</v>
      </c>
      <c r="E33">
        <v>1</v>
      </c>
      <c r="F33">
        <f t="shared" si="1"/>
        <v>66</v>
      </c>
      <c r="G33" t="s">
        <v>11</v>
      </c>
      <c r="H33">
        <f t="shared" si="2"/>
        <v>5.5</v>
      </c>
      <c r="I33" t="s">
        <v>12</v>
      </c>
      <c r="J33" t="b">
        <v>1</v>
      </c>
      <c r="K33" s="2" t="str">
        <f t="shared" si="3"/>
        <v>√</v>
      </c>
    </row>
    <row r="34" spans="4:11" x14ac:dyDescent="0.3">
      <c r="D34" t="s">
        <v>9</v>
      </c>
      <c r="E34">
        <v>1</v>
      </c>
      <c r="F34">
        <f t="shared" si="1"/>
        <v>70</v>
      </c>
      <c r="G34" t="s">
        <v>11</v>
      </c>
      <c r="H34">
        <f t="shared" si="2"/>
        <v>5.833333333333333</v>
      </c>
      <c r="I34" t="s">
        <v>12</v>
      </c>
      <c r="J34" t="b">
        <v>1</v>
      </c>
      <c r="K34" s="2" t="str">
        <f t="shared" si="3"/>
        <v>√</v>
      </c>
    </row>
    <row r="35" spans="4:11" x14ac:dyDescent="0.3">
      <c r="D35" t="s">
        <v>8</v>
      </c>
      <c r="E35">
        <v>2</v>
      </c>
      <c r="F35">
        <f t="shared" si="1"/>
        <v>83</v>
      </c>
      <c r="G35" t="s">
        <v>11</v>
      </c>
      <c r="H35">
        <f t="shared" si="2"/>
        <v>6.916666666666667</v>
      </c>
      <c r="I35" t="s">
        <v>12</v>
      </c>
      <c r="J35" t="b">
        <v>1</v>
      </c>
      <c r="K35" s="2" t="str">
        <f t="shared" si="3"/>
        <v>√</v>
      </c>
    </row>
    <row r="37" spans="4:11" x14ac:dyDescent="0.3">
      <c r="D37" s="2" t="s">
        <v>10</v>
      </c>
      <c r="E37">
        <f>SUMPRODUCT(E28:E35,F28:F35)</f>
        <v>1058</v>
      </c>
      <c r="F37" t="s">
        <v>11</v>
      </c>
      <c r="G37">
        <f>E37/12</f>
        <v>88.166666666666671</v>
      </c>
      <c r="H37" t="s">
        <v>12</v>
      </c>
    </row>
    <row r="38" spans="4:11" x14ac:dyDescent="0.3">
      <c r="D38" s="2" t="s">
        <v>16</v>
      </c>
      <c r="E38">
        <f>SUMPRODUCT(E28:E35,F28:F35)-(F28*E28*J28+F29*E29*J29+F30*E30*J30+F31*E31*J31+F32*E32*J32+F33*E33*J33+F34*E34*J34+F35*E35*J35)</f>
        <v>0</v>
      </c>
      <c r="F38" t="s">
        <v>11</v>
      </c>
      <c r="G38">
        <f>E38/12</f>
        <v>0</v>
      </c>
      <c r="H38" t="s">
        <v>12</v>
      </c>
    </row>
    <row r="40" spans="4:11" x14ac:dyDescent="0.3">
      <c r="D40" t="s">
        <v>18</v>
      </c>
      <c r="E40" s="4">
        <v>0.45</v>
      </c>
      <c r="F40" t="s">
        <v>19</v>
      </c>
    </row>
    <row r="41" spans="4:11" x14ac:dyDescent="0.3">
      <c r="D41" s="2" t="s">
        <v>20</v>
      </c>
      <c r="E41" s="5">
        <f>E40*G38</f>
        <v>0</v>
      </c>
    </row>
    <row r="43" spans="4:11" x14ac:dyDescent="0.3">
      <c r="D43" s="2" t="s">
        <v>21</v>
      </c>
      <c r="E43">
        <v>3.75</v>
      </c>
      <c r="F43" t="s">
        <v>22</v>
      </c>
    </row>
    <row r="44" spans="4:11" x14ac:dyDescent="0.3">
      <c r="D44" t="s">
        <v>24</v>
      </c>
      <c r="E44">
        <f>E17*2</f>
        <v>6</v>
      </c>
      <c r="F44" t="s">
        <v>11</v>
      </c>
      <c r="G44">
        <f>E44/12</f>
        <v>0.5</v>
      </c>
      <c r="H44" t="s">
        <v>12</v>
      </c>
    </row>
    <row r="45" spans="4:11" x14ac:dyDescent="0.3">
      <c r="D45" t="s">
        <v>25</v>
      </c>
      <c r="E45">
        <f>E18*2</f>
        <v>14</v>
      </c>
      <c r="F45" t="s">
        <v>23</v>
      </c>
      <c r="G45">
        <f>E45/12</f>
        <v>1.1666666666666667</v>
      </c>
      <c r="H45" t="s">
        <v>12</v>
      </c>
    </row>
    <row r="46" spans="4:11" x14ac:dyDescent="0.3">
      <c r="D46" t="s">
        <v>26</v>
      </c>
      <c r="E46">
        <f>F31-(E44+E45)</f>
        <v>128</v>
      </c>
      <c r="F46" t="s">
        <v>23</v>
      </c>
      <c r="G46">
        <f>E46/12</f>
        <v>10.666666666666666</v>
      </c>
      <c r="H46" t="s">
        <v>12</v>
      </c>
    </row>
    <row r="47" spans="4:11" x14ac:dyDescent="0.3">
      <c r="D47" t="s">
        <v>29</v>
      </c>
      <c r="E47">
        <f>E20*2</f>
        <v>45</v>
      </c>
      <c r="F47" t="s">
        <v>23</v>
      </c>
      <c r="G47">
        <f>E47/12</f>
        <v>3.75</v>
      </c>
      <c r="H47" t="s">
        <v>12</v>
      </c>
    </row>
    <row r="48" spans="4:11" x14ac:dyDescent="0.3">
      <c r="D48" t="s">
        <v>27</v>
      </c>
      <c r="E48">
        <f>E47-E45</f>
        <v>31</v>
      </c>
      <c r="F48" t="s">
        <v>23</v>
      </c>
      <c r="G48">
        <f t="shared" ref="G48:G49" si="4">E48/12</f>
        <v>2.5833333333333335</v>
      </c>
      <c r="H48" t="s">
        <v>12</v>
      </c>
    </row>
    <row r="49" spans="4:9" x14ac:dyDescent="0.3">
      <c r="D49" t="s">
        <v>28</v>
      </c>
      <c r="E49">
        <f>F31-(E47+E44)</f>
        <v>97</v>
      </c>
      <c r="F49" t="s">
        <v>23</v>
      </c>
      <c r="G49">
        <f t="shared" si="4"/>
        <v>8.0833333333333339</v>
      </c>
      <c r="H49" t="s">
        <v>12</v>
      </c>
    </row>
    <row r="50" spans="4:9" x14ac:dyDescent="0.3">
      <c r="D50" t="s">
        <v>30</v>
      </c>
      <c r="E50">
        <f>E49/E48</f>
        <v>3.129032258064516</v>
      </c>
    </row>
    <row r="52" spans="4:9" x14ac:dyDescent="0.3">
      <c r="D52" t="s">
        <v>33</v>
      </c>
      <c r="E52">
        <f>E46/(E43+1)</f>
        <v>26.94736842105263</v>
      </c>
      <c r="F52" t="s">
        <v>23</v>
      </c>
      <c r="G52">
        <f t="shared" ref="G52:G54" si="5">E52/12</f>
        <v>2.2456140350877192</v>
      </c>
      <c r="H52" t="s">
        <v>12</v>
      </c>
    </row>
    <row r="53" spans="4:9" x14ac:dyDescent="0.3">
      <c r="D53" t="s">
        <v>32</v>
      </c>
      <c r="E53">
        <f>E52*E43</f>
        <v>101.05263157894737</v>
      </c>
      <c r="F53" t="s">
        <v>23</v>
      </c>
      <c r="G53">
        <f t="shared" si="5"/>
        <v>8.4210526315789469</v>
      </c>
      <c r="H53" t="s">
        <v>12</v>
      </c>
      <c r="I53" t="s">
        <v>34</v>
      </c>
    </row>
    <row r="54" spans="4:9" x14ac:dyDescent="0.3">
      <c r="D54" t="s">
        <v>31</v>
      </c>
      <c r="E54">
        <f>E52</f>
        <v>26.94736842105263</v>
      </c>
      <c r="F54" t="s">
        <v>23</v>
      </c>
      <c r="G54">
        <f t="shared" si="5"/>
        <v>2.2456140350877192</v>
      </c>
      <c r="H54" t="s">
        <v>12</v>
      </c>
      <c r="I54" t="s">
        <v>34</v>
      </c>
    </row>
    <row r="56" spans="4:9" x14ac:dyDescent="0.3">
      <c r="D56" s="6" t="s">
        <v>44</v>
      </c>
    </row>
    <row r="57" spans="4:9" x14ac:dyDescent="0.3">
      <c r="D57" t="s">
        <v>36</v>
      </c>
      <c r="E57">
        <v>28.5</v>
      </c>
      <c r="F57" t="s">
        <v>23</v>
      </c>
    </row>
    <row r="58" spans="4:9" x14ac:dyDescent="0.3">
      <c r="D58" t="s">
        <v>35</v>
      </c>
      <c r="E58">
        <f>1.75/4.15</f>
        <v>0.42168674698795178</v>
      </c>
      <c r="F58" t="s">
        <v>23</v>
      </c>
    </row>
    <row r="59" spans="4:9" x14ac:dyDescent="0.3">
      <c r="D59" t="s">
        <v>37</v>
      </c>
      <c r="E59">
        <f>E57*E58</f>
        <v>12.018072289156626</v>
      </c>
      <c r="F59" t="s">
        <v>23</v>
      </c>
    </row>
    <row r="60" spans="4:9" x14ac:dyDescent="0.3">
      <c r="D60" t="s">
        <v>45</v>
      </c>
      <c r="E60">
        <f>E57/4.15</f>
        <v>6.8674698795180715</v>
      </c>
      <c r="F60" t="s">
        <v>23</v>
      </c>
    </row>
    <row r="61" spans="4:9" x14ac:dyDescent="0.3">
      <c r="D61" t="s">
        <v>46</v>
      </c>
      <c r="E61">
        <f>0.7*E60</f>
        <v>4.80722891566265</v>
      </c>
      <c r="F61" t="s">
        <v>23</v>
      </c>
    </row>
    <row r="62" spans="4:9" x14ac:dyDescent="0.3">
      <c r="D62" t="s">
        <v>47</v>
      </c>
      <c r="E62">
        <f>0.25*E60</f>
        <v>1.7168674698795179</v>
      </c>
      <c r="F62" t="s">
        <v>23</v>
      </c>
    </row>
    <row r="64" spans="4:9" x14ac:dyDescent="0.3">
      <c r="D64" s="6" t="s">
        <v>48</v>
      </c>
    </row>
    <row r="66" spans="4:8" x14ac:dyDescent="0.3">
      <c r="D66" t="s">
        <v>50</v>
      </c>
      <c r="E66">
        <v>14</v>
      </c>
      <c r="F66" t="s">
        <v>23</v>
      </c>
      <c r="G66">
        <f>E66/12</f>
        <v>1.1666666666666667</v>
      </c>
      <c r="H66" t="s">
        <v>12</v>
      </c>
    </row>
    <row r="67" spans="4:8" x14ac:dyDescent="0.3">
      <c r="D67" t="s">
        <v>49</v>
      </c>
      <c r="E67">
        <f>(E53-2*E66)/2</f>
        <v>36.526315789473685</v>
      </c>
      <c r="F67" t="s">
        <v>23</v>
      </c>
    </row>
    <row r="69" spans="4:8" x14ac:dyDescent="0.3">
      <c r="D69" s="6" t="s">
        <v>40</v>
      </c>
    </row>
    <row r="71" spans="4:8" x14ac:dyDescent="0.3">
      <c r="D71" t="s">
        <v>41</v>
      </c>
      <c r="E71" s="7">
        <v>0.75</v>
      </c>
      <c r="F71" t="s">
        <v>23</v>
      </c>
      <c r="G71" t="s">
        <v>42</v>
      </c>
    </row>
    <row r="72" spans="4:8" x14ac:dyDescent="0.3">
      <c r="D72" t="s">
        <v>43</v>
      </c>
      <c r="E72" s="7">
        <f>PI()*E71</f>
        <v>2.3561944901923448</v>
      </c>
      <c r="F7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7B9B-8F13-4518-B9FA-4ADC9B2E977A}">
  <dimension ref="D4:I25"/>
  <sheetViews>
    <sheetView zoomScale="122" workbookViewId="0">
      <selection activeCell="E20" sqref="E20"/>
    </sheetView>
  </sheetViews>
  <sheetFormatPr defaultRowHeight="14.4" x14ac:dyDescent="0.3"/>
  <cols>
    <col min="4" max="4" width="42.6640625" bestFit="1" customWidth="1"/>
    <col min="8" max="8" width="15.5546875" bestFit="1" customWidth="1"/>
  </cols>
  <sheetData>
    <row r="4" spans="4:9" x14ac:dyDescent="0.3">
      <c r="D4" t="s">
        <v>39</v>
      </c>
      <c r="E4">
        <v>133</v>
      </c>
      <c r="F4" t="s">
        <v>65</v>
      </c>
      <c r="G4">
        <f>('Dimensions and Proportions'!E43)*20</f>
        <v>75</v>
      </c>
      <c r="H4" t="s">
        <v>66</v>
      </c>
    </row>
    <row r="5" spans="4:9" x14ac:dyDescent="0.3">
      <c r="D5" t="s">
        <v>51</v>
      </c>
      <c r="E5">
        <v>13.5</v>
      </c>
      <c r="F5" t="s">
        <v>38</v>
      </c>
    </row>
    <row r="8" spans="4:9" x14ac:dyDescent="0.3">
      <c r="D8" t="s">
        <v>56</v>
      </c>
      <c r="E8">
        <f>0.08/12</f>
        <v>6.6666666666666671E-3</v>
      </c>
      <c r="F8" t="s">
        <v>38</v>
      </c>
      <c r="G8" t="s">
        <v>54</v>
      </c>
      <c r="H8">
        <f>E8*16</f>
        <v>0.10666666666666667</v>
      </c>
      <c r="I8" t="s">
        <v>55</v>
      </c>
    </row>
    <row r="9" spans="4:9" x14ac:dyDescent="0.3">
      <c r="D9" t="s">
        <v>53</v>
      </c>
      <c r="E9">
        <v>4.5</v>
      </c>
      <c r="F9" t="s">
        <v>38</v>
      </c>
    </row>
    <row r="10" spans="4:9" x14ac:dyDescent="0.3">
      <c r="D10" t="s">
        <v>57</v>
      </c>
    </row>
    <row r="11" spans="4:9" x14ac:dyDescent="0.3">
      <c r="D11" t="s">
        <v>63</v>
      </c>
    </row>
    <row r="12" spans="4:9" x14ac:dyDescent="0.3">
      <c r="D12" t="s">
        <v>64</v>
      </c>
    </row>
    <row r="15" spans="4:9" x14ac:dyDescent="0.3">
      <c r="D15" t="s">
        <v>59</v>
      </c>
      <c r="E15">
        <f>E5+4*E9</f>
        <v>31.5</v>
      </c>
      <c r="F15" t="s">
        <v>38</v>
      </c>
    </row>
    <row r="16" spans="4:9" x14ac:dyDescent="0.3">
      <c r="D16" t="s">
        <v>52</v>
      </c>
      <c r="E16">
        <f>E8</f>
        <v>6.6666666666666671E-3</v>
      </c>
      <c r="F16" t="s">
        <v>38</v>
      </c>
    </row>
    <row r="20" spans="4:8" x14ac:dyDescent="0.3">
      <c r="D20" t="s">
        <v>61</v>
      </c>
      <c r="E20">
        <f>E15/G4</f>
        <v>0.42</v>
      </c>
      <c r="F20" t="s">
        <v>38</v>
      </c>
      <c r="G20">
        <f>E20*16</f>
        <v>6.72</v>
      </c>
      <c r="H20" t="s">
        <v>60</v>
      </c>
    </row>
    <row r="21" spans="4:8" x14ac:dyDescent="0.3">
      <c r="D21" t="s">
        <v>62</v>
      </c>
    </row>
    <row r="25" spans="4:8" x14ac:dyDescent="0.3">
      <c r="D25" t="s">
        <v>58</v>
      </c>
      <c r="E25">
        <f>E5/E16</f>
        <v>2024.9999999999998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 and Proportions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Holben</cp:lastModifiedBy>
  <cp:lastPrinted>2018-04-21T19:43:27Z</cp:lastPrinted>
  <dcterms:created xsi:type="dcterms:W3CDTF">2018-04-21T18:25:37Z</dcterms:created>
  <dcterms:modified xsi:type="dcterms:W3CDTF">2021-01-15T00:02:12Z</dcterms:modified>
</cp:coreProperties>
</file>