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780" tabRatio="774" firstSheet="1" activeTab="9"/>
  </bookViews>
  <sheets>
    <sheet name="Sheet1" sheetId="20" state="hidden" r:id="rId1"/>
    <sheet name="动物产肉" sheetId="3" r:id="rId2"/>
    <sheet name="所有动物产肉" sheetId="28" state="hidden" r:id="rId3"/>
    <sheet name="植物" sheetId="4" state="hidden" r:id="rId4"/>
    <sheet name="物质属性3" sheetId="9" state="hidden" r:id="rId5"/>
    <sheet name="物质属性 (2)" sheetId="26" state="hidden" r:id="rId6"/>
    <sheet name="物质" sheetId="27" r:id="rId7"/>
    <sheet name="植物 (2)" sheetId="22" r:id="rId8"/>
    <sheet name="食物" sheetId="5" state="hidden" r:id="rId9"/>
    <sheet name="食物 (2)" sheetId="24" r:id="rId10"/>
    <sheet name="泉" sheetId="6" r:id="rId11"/>
    <sheet name="建筑" sheetId="16" r:id="rId12"/>
    <sheet name="食物配比" sheetId="21" r:id="rId13"/>
    <sheet name="士气建筑" sheetId="11" state="hidden" r:id="rId14"/>
    <sheet name="轻重器械" sheetId="7" r:id="rId15"/>
    <sheet name="抗压" sheetId="10" state="hidden" r:id="rId16"/>
    <sheet name="抗压计算器" sheetId="8" state="hidden" r:id="rId17"/>
    <sheet name="mod" sheetId="12" state="hidden" r:id="rId18"/>
    <sheet name="快捷键" sheetId="13" state="hidden" r:id="rId19"/>
    <sheet name="水发电" sheetId="14" r:id="rId20"/>
    <sheet name="白嫖乔木" sheetId="15" r:id="rId21"/>
    <sheet name="喜悦压力" sheetId="18" state="hidden" r:id="rId22"/>
    <sheet name="选人" sheetId="19" r:id="rId23"/>
    <sheet name="source" sheetId="17" state="hidden" r:id="rId24"/>
  </sheets>
  <definedNames>
    <definedName name="_xlnm._FilterDatabase" localSheetId="1" hidden="1">动物产肉!$A$1:$AB$43</definedName>
    <definedName name="_xlnm._FilterDatabase" localSheetId="2" hidden="1">所有动物产肉!$B$2:$P$70</definedName>
    <definedName name="_xlnm._FilterDatabase" localSheetId="4" hidden="1">物质属性3!$B$1:$Z$77</definedName>
    <definedName name="_xlnm._FilterDatabase" localSheetId="5" hidden="1">'物质属性 (2)'!$B$1:$Z$77</definedName>
    <definedName name="_xlnm._FilterDatabase" localSheetId="6" hidden="1">物质!$B$1:$Z$79</definedName>
    <definedName name="_xlnm._FilterDatabase" localSheetId="7" hidden="1">'植物 (2)'!$B$2:$AC$46</definedName>
    <definedName name="_xlnm._FilterDatabase" localSheetId="9" hidden="1">'食物 (2)'!$B$2:$W$51</definedName>
    <definedName name="_xlnm._FilterDatabase" localSheetId="13" hidden="1">士气建筑!$D$3:$P$16</definedName>
  </definedNames>
  <calcPr calcId="144525"/>
</workbook>
</file>

<file path=xl/comments1.xml><?xml version="1.0" encoding="utf-8"?>
<comments xmlns="http://schemas.openxmlformats.org/spreadsheetml/2006/main">
  <authors>
    <author>周建鹏</author>
    <author>qazse</author>
  </authors>
  <commentList>
    <comment ref="D4" authorId="0">
      <text>
        <r>
          <rPr>
            <b/>
            <sz val="9"/>
            <rFont val="宋体"/>
            <charset val="134"/>
          </rPr>
          <t>自然砖块几乎都是按照固体默认量为基础上下波动的，部分物质在部分地形的基础数值有可能会变化。其中不同的是：铜矿350kg，肥料50kg，固态二氧化碳8kg。</t>
        </r>
      </text>
    </comment>
    <comment ref="E4" authorId="0">
      <text>
        <r>
          <rPr>
            <b/>
            <sz val="9"/>
            <rFont val="宋体"/>
            <charset val="134"/>
          </rPr>
          <t>同种物质相互掩埋的条件是块状固体质量超过满格量。
读档时，块状物质上下没有未达到满格量以上的同种物质时，被掩埋的物质将变成块状向上挤出，如果上方挨着固体，则会穿过固体直到接触到非固体。</t>
        </r>
      </text>
    </comment>
    <comment ref="F4" authorId="0">
      <text>
        <r>
          <rPr>
            <b/>
            <sz val="9"/>
            <rFont val="宋体"/>
            <charset val="134"/>
          </rPr>
          <t>辐射阻率=因数*(0.3+0.7*质量/2000kg)(自然土块)
或0.8*因数(非自热土块)
多块砖时总辐射阻率=1-(1-辐射阻率1)*(1-辐射阻率2)*……*(1-辐射阻率n)</t>
        </r>
      </text>
    </comment>
    <comment ref="G4" authorId="1">
      <text>
        <r>
          <rPr>
            <b/>
            <sz val="9"/>
            <rFont val="宋体"/>
            <charset val="134"/>
          </rPr>
          <t>qazse:</t>
        </r>
        <r>
          <rPr>
            <sz val="9"/>
            <rFont val="宋体"/>
            <charset val="134"/>
          </rPr>
          <t xml:space="preserve">
比热容越大，物体的吸热或散热能力越强。它指单位质量的某种物质升高或下降单位温度所吸收或放出的热量。
https://www.zhihu.com/topic/19685369/intro</t>
        </r>
      </text>
    </comment>
    <comment ref="H4" authorId="1">
      <text>
        <r>
          <rPr>
            <b/>
            <sz val="9"/>
            <rFont val="宋体"/>
            <charset val="134"/>
          </rPr>
          <t>qazse:</t>
        </r>
        <r>
          <rPr>
            <sz val="9"/>
            <rFont val="宋体"/>
            <charset val="134"/>
          </rPr>
          <t xml:space="preserve">
当温度垂直向下梯度为1℃/m时，单位时间内通当温度垂直向下梯度为1℃/m时，单位时间内通过单位水平截面积所传递的 热量 。
若导热率为2，可能说明当我加热这个东西的时候，需要2的费力程度来让它升高一度，那么导热率为1可能就说明改变温度更加容易，反之则困难。</t>
        </r>
      </text>
    </comment>
    <comment ref="P4" authorId="0">
      <text>
        <r>
          <rPr>
            <b/>
            <sz val="9"/>
            <rFont val="宋体"/>
            <charset val="134"/>
          </rPr>
          <t>常压下一格液体不溢出的最大值。</t>
        </r>
      </text>
    </comment>
    <comment ref="Q4" authorId="0">
      <text>
        <r>
          <rPr>
            <b/>
            <sz val="9"/>
            <rFont val="宋体"/>
            <charset val="134"/>
          </rPr>
          <t>液体固化不结块的最大值。</t>
        </r>
      </text>
    </comment>
    <comment ref="R4" authorId="0">
      <text>
        <r>
          <rPr>
            <b/>
            <sz val="9"/>
            <rFont val="宋体"/>
            <charset val="134"/>
          </rPr>
          <t>一旦达到这个液体量，液体就会流动，少一丁点不会流动。</t>
        </r>
      </text>
    </comment>
    <comment ref="S4" authorId="0">
      <text>
        <r>
          <rPr>
            <b/>
            <sz val="9"/>
            <rFont val="宋体"/>
            <charset val="134"/>
          </rPr>
          <t>小判定值为0.35*默认量，是建筑的淹没判定，少量液体堆叠不淹没。也是鱼不挣扎的判定点，少量液体堆叠也可以不挣扎。
大判定值为0.95*默认量，是鱼以外的动物和植物的淹没判定(螃蟹无法淹死)，少量液体堆叠会淹没。</t>
        </r>
      </text>
    </comment>
    <comment ref="Q10" authorId="0">
      <text>
        <r>
          <rPr>
            <b/>
            <sz val="9"/>
            <rFont val="宋体"/>
            <charset val="134"/>
          </rPr>
          <t>-271.15-3=-274.15低于绝对零度，所以不可能凝固。</t>
        </r>
      </text>
    </comment>
    <comment ref="V36" authorId="0">
      <text>
        <r>
          <rPr>
            <b/>
            <sz val="9"/>
            <rFont val="宋体"/>
            <charset val="134"/>
          </rPr>
          <t>液化后33%为硫，67%为液态甲烷，瞬间降至低温硫的占比量会提高。</t>
        </r>
      </text>
    </comment>
    <comment ref="U37" authorId="0">
      <text>
        <r>
          <rPr>
            <b/>
            <sz val="9"/>
            <rFont val="宋体"/>
            <charset val="134"/>
          </rPr>
          <t>污染氧的液化也是1:1的液氧，和氧气液化完全相同。</t>
        </r>
      </text>
    </comment>
    <comment ref="U55" authorId="0">
      <text>
        <r>
          <rPr>
            <b/>
            <sz val="9"/>
            <rFont val="宋体"/>
            <charset val="134"/>
          </rPr>
          <t>气化30%为盐，70%为蒸汽，但是因为特性，如果瞬间升至高温，盐的占比量会提高。</t>
        </r>
      </text>
    </comment>
    <comment ref="J58" authorId="0">
      <text>
        <r>
          <rPr>
            <b/>
            <sz val="9"/>
            <rFont val="宋体"/>
            <charset val="134"/>
          </rPr>
          <t>冷凝后77%变为冰，23%变为浓盐水，瞬间降温至浓盐水的冰点以下，冰的占比量会提高。</t>
        </r>
      </text>
    </comment>
    <comment ref="U58" authorId="0">
      <text>
        <r>
          <rPr>
            <b/>
            <sz val="9"/>
            <rFont val="宋体"/>
            <charset val="134"/>
          </rPr>
          <t>气化后7%变为盐，93%变为蒸汽，瞬间升至高温盐的占比量会提高。</t>
        </r>
      </text>
    </comment>
    <comment ref="U59" authorId="0">
      <text>
        <r>
          <rPr>
            <b/>
            <sz val="9"/>
            <rFont val="宋体"/>
            <charset val="134"/>
          </rPr>
          <t>气化后1%变为碎片泥土，99%变为蒸汽，瞬间升至高温泥土占比量会提高。</t>
        </r>
      </text>
    </comment>
    <comment ref="I66" authorId="0">
      <text>
        <r>
          <rPr>
            <b/>
            <sz val="9"/>
            <rFont val="宋体"/>
            <charset val="134"/>
          </rPr>
          <t>本体是100度，DLC改成200度了，因为树脂125变相。</t>
        </r>
        <r>
          <rPr>
            <sz val="9"/>
            <rFont val="宋体"/>
            <charset val="134"/>
          </rPr>
          <t xml:space="preserve">
</t>
        </r>
      </text>
    </comment>
    <comment ref="U69" authorId="0">
      <text>
        <r>
          <rPr>
            <b/>
            <sz val="9"/>
            <rFont val="宋体"/>
            <charset val="134"/>
          </rPr>
          <t>气化25%为异构树脂，75%为蒸汽，但是因为特性，如果瞬间升至高温，盐的占比量会提高。</t>
        </r>
      </text>
    </comment>
  </commentList>
</comments>
</file>

<file path=xl/comments2.xml><?xml version="1.0" encoding="utf-8"?>
<comments xmlns="http://schemas.openxmlformats.org/spreadsheetml/2006/main">
  <authors>
    <author>周建鹏</author>
    <author>qazse</author>
  </authors>
  <commentList>
    <comment ref="D4" authorId="0">
      <text>
        <r>
          <rPr>
            <b/>
            <sz val="9"/>
            <rFont val="宋体"/>
            <charset val="134"/>
          </rPr>
          <t>自然砖块几乎都是按照固体默认量为基础上下波动的，部分物质在部分地形的基础数值有可能会变化。其中不同的是：铜矿350kg，肥料50kg，固态二氧化碳8kg。</t>
        </r>
      </text>
    </comment>
    <comment ref="E4" authorId="0">
      <text>
        <r>
          <rPr>
            <b/>
            <sz val="9"/>
            <rFont val="宋体"/>
            <charset val="134"/>
          </rPr>
          <t>同种物质相互掩埋的条件是块状固体质量超过满格量。
读档时，块状物质上下没有未达到满格量以上的同种物质时，被掩埋的物质将变成块状向上挤出，如果上方挨着固体，则会穿过固体直到接触到非固体。</t>
        </r>
      </text>
    </comment>
    <comment ref="F4" authorId="0">
      <text>
        <r>
          <rPr>
            <b/>
            <sz val="9"/>
            <rFont val="宋体"/>
            <charset val="134"/>
          </rPr>
          <t>辐射阻率=因数*(0.3+0.7*质量/2000kg)(自然土块)
或0.8*因数(非自热土块)
多块砖时总辐射阻率=1-(1-辐射阻率1)*(1-辐射阻率2)*……*(1-辐射阻率n)</t>
        </r>
      </text>
    </comment>
    <comment ref="G4" authorId="1">
      <text>
        <r>
          <rPr>
            <b/>
            <sz val="9"/>
            <rFont val="宋体"/>
            <charset val="134"/>
          </rPr>
          <t>qazse:</t>
        </r>
        <r>
          <rPr>
            <sz val="9"/>
            <rFont val="宋体"/>
            <charset val="134"/>
          </rPr>
          <t xml:space="preserve">
比热容越大，物体的吸热或散热能力越强。它指单位质量的某种物质升高或下降单位温度所吸收或放出的热量。
https://www.zhihu.com/topic/19685369/intro</t>
        </r>
      </text>
    </comment>
    <comment ref="H4" authorId="1">
      <text>
        <r>
          <rPr>
            <b/>
            <sz val="9"/>
            <rFont val="宋体"/>
            <charset val="134"/>
          </rPr>
          <t>qazse:</t>
        </r>
        <r>
          <rPr>
            <sz val="9"/>
            <rFont val="宋体"/>
            <charset val="134"/>
          </rPr>
          <t xml:space="preserve">
当温度垂直向下梯度为1℃/m时，单位时间内通当温度垂直向下梯度为1℃/m时，单位时间内通过单位水平截面积所传递的 热量 。
若导热率为2，可能说明当我加热这个东西的时候，需要2的费力程度来让它升高一度，那么导热率为1可能就说明改变温度更加容易，反之则困难。</t>
        </r>
      </text>
    </comment>
    <comment ref="P4" authorId="0">
      <text>
        <r>
          <rPr>
            <b/>
            <sz val="9"/>
            <rFont val="宋体"/>
            <charset val="134"/>
          </rPr>
          <t>常压下一格液体不溢出的最大值。</t>
        </r>
      </text>
    </comment>
    <comment ref="Q4" authorId="0">
      <text>
        <r>
          <rPr>
            <b/>
            <sz val="9"/>
            <rFont val="宋体"/>
            <charset val="134"/>
          </rPr>
          <t>液体固化不结块的最大值。</t>
        </r>
      </text>
    </comment>
    <comment ref="R4" authorId="0">
      <text>
        <r>
          <rPr>
            <b/>
            <sz val="9"/>
            <rFont val="宋体"/>
            <charset val="134"/>
          </rPr>
          <t>一旦达到这个液体量，液体就会流动，少一丁点不会流动。</t>
        </r>
      </text>
    </comment>
    <comment ref="S4" authorId="0">
      <text>
        <r>
          <rPr>
            <b/>
            <sz val="9"/>
            <rFont val="宋体"/>
            <charset val="134"/>
          </rPr>
          <t>小判定值为0.35*默认量，是建筑的淹没判定，少量液体堆叠不淹没。也是鱼不挣扎的判定点，少量液体堆叠也可以不挣扎。
大判定值为0.95*默认量，是鱼以外的动物和植物的淹没判定(螃蟹无法淹死)，少量液体堆叠会淹没。</t>
        </r>
      </text>
    </comment>
    <comment ref="Q10" authorId="0">
      <text>
        <r>
          <rPr>
            <b/>
            <sz val="9"/>
            <rFont val="宋体"/>
            <charset val="134"/>
          </rPr>
          <t>-271.15-3=-274.15低于绝对零度，所以不可能凝固。</t>
        </r>
      </text>
    </comment>
    <comment ref="V36" authorId="0">
      <text>
        <r>
          <rPr>
            <b/>
            <sz val="9"/>
            <rFont val="宋体"/>
            <charset val="134"/>
          </rPr>
          <t>液化后33%为硫，67%为液态甲烷，瞬间降至低温硫的占比量会提高。</t>
        </r>
      </text>
    </comment>
    <comment ref="U37" authorId="0">
      <text>
        <r>
          <rPr>
            <b/>
            <sz val="9"/>
            <rFont val="宋体"/>
            <charset val="134"/>
          </rPr>
          <t>污染氧的液化也是1:1的液氧，和氧气液化完全相同。</t>
        </r>
      </text>
    </comment>
    <comment ref="U55" authorId="0">
      <text>
        <r>
          <rPr>
            <b/>
            <sz val="9"/>
            <rFont val="宋体"/>
            <charset val="134"/>
          </rPr>
          <t>气化30%为盐，70%为蒸汽，但是因为特性，如果瞬间升至高温，盐的占比量会提高。</t>
        </r>
      </text>
    </comment>
    <comment ref="J58" authorId="0">
      <text>
        <r>
          <rPr>
            <b/>
            <sz val="9"/>
            <rFont val="宋体"/>
            <charset val="134"/>
          </rPr>
          <t>冷凝后77%变为冰，23%变为浓盐水，瞬间降温至浓盐水的冰点以下，冰的占比量会提高。</t>
        </r>
      </text>
    </comment>
    <comment ref="U58" authorId="0">
      <text>
        <r>
          <rPr>
            <b/>
            <sz val="9"/>
            <rFont val="宋体"/>
            <charset val="134"/>
          </rPr>
          <t>气化后7%变为盐，93%变为蒸汽，瞬间升至高温盐的占比量会提高。</t>
        </r>
      </text>
    </comment>
    <comment ref="U59" authorId="0">
      <text>
        <r>
          <rPr>
            <b/>
            <sz val="9"/>
            <rFont val="宋体"/>
            <charset val="134"/>
          </rPr>
          <t>气化后1%变为碎片泥土，99%变为蒸汽，瞬间升至高温泥土占比量会提高。</t>
        </r>
      </text>
    </comment>
    <comment ref="I66" authorId="0">
      <text>
        <r>
          <rPr>
            <b/>
            <sz val="9"/>
            <rFont val="宋体"/>
            <charset val="134"/>
          </rPr>
          <t>本体是100度，DLC改成200度了，因为树脂125变相。</t>
        </r>
        <r>
          <rPr>
            <sz val="9"/>
            <rFont val="宋体"/>
            <charset val="134"/>
          </rPr>
          <t xml:space="preserve">
</t>
        </r>
      </text>
    </comment>
    <comment ref="U69" authorId="0">
      <text>
        <r>
          <rPr>
            <b/>
            <sz val="9"/>
            <rFont val="宋体"/>
            <charset val="134"/>
          </rPr>
          <t>气化25%为异构树脂，75%为蒸汽，但是因为特性，如果瞬间升至高温，盐的占比量会提高。</t>
        </r>
      </text>
    </comment>
  </commentList>
</comments>
</file>

<file path=xl/comments3.xml><?xml version="1.0" encoding="utf-8"?>
<comments xmlns="http://schemas.openxmlformats.org/spreadsheetml/2006/main">
  <authors>
    <author>周建鹏</author>
    <author>qazse</author>
  </authors>
  <commentList>
    <comment ref="D1" authorId="0">
      <text>
        <r>
          <rPr>
            <b/>
            <sz val="9"/>
            <rFont val="宋体"/>
            <charset val="134"/>
          </rPr>
          <t>自然砖块几乎都是按照固体默认量为基础上下波动的，部分物质在部分地形的基础数值有可能会变化。其中不同的是：铜矿350kg，肥料50kg，固态二氧化碳8kg。</t>
        </r>
      </text>
    </comment>
    <comment ref="E1" authorId="0">
      <text>
        <r>
          <rPr>
            <b/>
            <sz val="9"/>
            <rFont val="宋体"/>
            <charset val="134"/>
          </rPr>
          <t>同种物质相互掩埋的条件是块状固体质量超过满格量。
读档时，块状物质上下没有未达到满格量以上的同种物质时，被掩埋的物质将变成块状向上挤出，如果上方挨着固体，则会穿过固体直到接触到非固体。</t>
        </r>
      </text>
    </comment>
    <comment ref="F1" authorId="0">
      <text>
        <r>
          <rPr>
            <b/>
            <sz val="9"/>
            <rFont val="宋体"/>
            <charset val="134"/>
          </rPr>
          <t>辐射阻率=因数*(0.3+0.7*质量/2000kg)(自然土块)
或0.8*因数(非自热土块)
多块砖时总辐射阻率=1-(1-辐射阻率1)*(1-辐射阻率2)*……*(1-辐射阻率n)</t>
        </r>
      </text>
    </comment>
    <comment ref="G1" authorId="1">
      <text>
        <r>
          <rPr>
            <b/>
            <sz val="9"/>
            <rFont val="宋体"/>
            <charset val="134"/>
          </rPr>
          <t>qazse:</t>
        </r>
        <r>
          <rPr>
            <sz val="9"/>
            <rFont val="宋体"/>
            <charset val="134"/>
          </rPr>
          <t xml:space="preserve">
我还是不懂为什么高的好，但是一种可能性是游戏内的实用装置固定降低14度，所以有一个差价的优势，这时候比热容高的再放出去吸的热量更多，不过也就是适合作为冷却剂，甚至不是加热剂，如果按照这个理论的话。</t>
        </r>
      </text>
    </comment>
    <comment ref="P1" authorId="0">
      <text>
        <r>
          <rPr>
            <b/>
            <sz val="9"/>
            <rFont val="宋体"/>
            <charset val="134"/>
          </rPr>
          <t>常压下一格液体不溢出的最大值。</t>
        </r>
      </text>
    </comment>
    <comment ref="Q1" authorId="0">
      <text>
        <r>
          <rPr>
            <b/>
            <sz val="9"/>
            <rFont val="宋体"/>
            <charset val="134"/>
          </rPr>
          <t>液体固化不结块的最大值。</t>
        </r>
      </text>
    </comment>
    <comment ref="R1" authorId="0">
      <text>
        <r>
          <rPr>
            <b/>
            <sz val="9"/>
            <rFont val="宋体"/>
            <charset val="134"/>
          </rPr>
          <t>一旦达到这个液体量，液体就会流动，少一丁点不会流动。</t>
        </r>
      </text>
    </comment>
    <comment ref="S1" authorId="0">
      <text>
        <r>
          <rPr>
            <b/>
            <sz val="9"/>
            <rFont val="宋体"/>
            <charset val="134"/>
          </rPr>
          <t>小判定值为0.35*默认量，是建筑的淹没判定，少量液体堆叠不淹没。也是鱼不挣扎的判定点，少量液体堆叠也可以不挣扎。
大判定值为0.95*默认量，是鱼以外的动物和植物的淹没判定(螃蟹无法淹死)，少量液体堆叠会淹没。</t>
        </r>
      </text>
    </comment>
    <comment ref="Q6" authorId="0">
      <text>
        <r>
          <rPr>
            <b/>
            <sz val="9"/>
            <rFont val="宋体"/>
            <charset val="134"/>
          </rPr>
          <t>-271.15-3=-274.15低于绝对零度，所以不可能凝固。</t>
        </r>
      </text>
    </comment>
    <comment ref="U7" authorId="0">
      <text>
        <r>
          <rPr>
            <b/>
            <sz val="9"/>
            <rFont val="宋体"/>
            <charset val="134"/>
          </rPr>
          <t>气化30%为盐，70%为蒸汽，但是因为特性，如果瞬间升至高温，盐的占比量会提高。</t>
        </r>
      </text>
    </comment>
    <comment ref="U8" authorId="0">
      <text>
        <r>
          <rPr>
            <b/>
            <sz val="9"/>
            <rFont val="宋体"/>
            <charset val="134"/>
          </rPr>
          <t>气化后1%变为碎片泥土，99%变为蒸汽，瞬间升至高温泥土占比量会提高。</t>
        </r>
      </text>
    </comment>
    <comment ref="V16" authorId="0">
      <text>
        <r>
          <rPr>
            <b/>
            <sz val="9"/>
            <rFont val="宋体"/>
            <charset val="134"/>
          </rPr>
          <t>液化后33%为硫，67%为液态甲烷，瞬间降至低温硫的占比量会提高。</t>
        </r>
      </text>
    </comment>
    <comment ref="I21" authorId="0">
      <text>
        <r>
          <rPr>
            <b/>
            <sz val="9"/>
            <rFont val="宋体"/>
            <charset val="134"/>
          </rPr>
          <t>本体是100度，DLC改成200度了，因为树脂125变相。</t>
        </r>
        <r>
          <rPr>
            <sz val="9"/>
            <rFont val="宋体"/>
            <charset val="134"/>
          </rPr>
          <t xml:space="preserve">
</t>
        </r>
      </text>
    </comment>
    <comment ref="U22" authorId="0">
      <text>
        <r>
          <rPr>
            <b/>
            <sz val="9"/>
            <rFont val="宋体"/>
            <charset val="134"/>
          </rPr>
          <t>气化25%为异构树脂，75%为蒸汽，但是因为特性，如果瞬间升至高温，盐的占比量会提高。</t>
        </r>
      </text>
    </comment>
    <comment ref="U24" authorId="0">
      <text>
        <r>
          <rPr>
            <b/>
            <sz val="9"/>
            <rFont val="宋体"/>
            <charset val="134"/>
          </rPr>
          <t>污染氧的液化也是1:1的液氧，和氧气液化完全相同。</t>
        </r>
      </text>
    </comment>
    <comment ref="J79" authorId="0">
      <text>
        <r>
          <rPr>
            <b/>
            <sz val="9"/>
            <rFont val="宋体"/>
            <charset val="134"/>
          </rPr>
          <t>冷凝后77%变为冰，23%变为浓盐水，瞬间降温至浓盐水的冰点以下，冰的占比量会提高。</t>
        </r>
      </text>
    </comment>
    <comment ref="U79" authorId="0">
      <text>
        <r>
          <rPr>
            <b/>
            <sz val="9"/>
            <rFont val="宋体"/>
            <charset val="134"/>
          </rPr>
          <t>气化后7%变为盐，93%变为蒸汽，瞬间升至高温盐的占比量会提高。</t>
        </r>
      </text>
    </comment>
  </commentList>
</comments>
</file>

<file path=xl/comments4.xml><?xml version="1.0" encoding="utf-8"?>
<comments xmlns="http://schemas.openxmlformats.org/spreadsheetml/2006/main">
  <authors>
    <author>周建鹏</author>
  </authors>
  <commentList>
    <comment ref="A1" authorId="0">
      <text>
        <r>
          <rPr>
            <b/>
            <sz val="9"/>
            <rFont val="宋体"/>
            <charset val="134"/>
          </rPr>
          <t>-：块状会挥发；
=：碎片会挥发。
几颗*为需要几级挖掘。</t>
        </r>
      </text>
    </comment>
    <comment ref="B1" authorId="0">
      <text>
        <r>
          <rPr>
            <b/>
            <sz val="9"/>
            <rFont val="宋体"/>
            <charset val="134"/>
          </rPr>
          <t>同种物质相互掩埋的条件是块状固体质量超过满格量。
读档时，块状物质上下没有未达到满格量以上的同种物质时，被掩埋的物质将变成块状向上挤出，如果上方挨着固体，则会穿过固体直到接触到非固体。</t>
        </r>
      </text>
    </comment>
  </commentList>
</comments>
</file>

<file path=xl/sharedStrings.xml><?xml version="1.0" encoding="utf-8"?>
<sst xmlns="http://schemas.openxmlformats.org/spreadsheetml/2006/main" count="3900" uniqueCount="1513">
  <si>
    <t>物质</t>
  </si>
  <si>
    <t>辐射吸收因数</t>
  </si>
  <si>
    <t>比热容</t>
  </si>
  <si>
    <t>导热率</t>
  </si>
  <si>
    <t>升温相变</t>
  </si>
  <si>
    <t>固态核废料</t>
  </si>
  <si>
    <t>堆芯熔融物</t>
  </si>
  <si>
    <t>隔热质</t>
  </si>
  <si>
    <t>深渊晶石</t>
  </si>
  <si>
    <t>遗传生物软泥</t>
  </si>
  <si>
    <t>浓盐冰</t>
  </si>
  <si>
    <t>污染冰</t>
  </si>
  <si>
    <t>固态乙醇</t>
  </si>
  <si>
    <t>固态氢</t>
  </si>
  <si>
    <t>固态石脑油</t>
  </si>
  <si>
    <t>固态甲烷</t>
  </si>
  <si>
    <t>冰</t>
  </si>
  <si>
    <t>雪</t>
  </si>
  <si>
    <t>塑料</t>
  </si>
  <si>
    <t>固态石油</t>
  </si>
  <si>
    <t>固态原油</t>
  </si>
  <si>
    <t>固态粘性凝胶</t>
  </si>
  <si>
    <t>泥土</t>
  </si>
  <si>
    <t>异构树脂</t>
  </si>
  <si>
    <t>固态树脂</t>
  </si>
  <si>
    <t>蔗糖</t>
  </si>
  <si>
    <t>固态氧</t>
  </si>
  <si>
    <t>火成岩</t>
  </si>
  <si>
    <t>氧石</t>
  </si>
  <si>
    <t>镭</t>
  </si>
  <si>
    <t>铀矿</t>
  </si>
  <si>
    <t>贫铀</t>
  </si>
  <si>
    <t>浓缩铀</t>
  </si>
  <si>
    <t>富勒烯</t>
  </si>
  <si>
    <t>粘土</t>
  </si>
  <si>
    <t>化石</t>
  </si>
  <si>
    <t>铝</t>
  </si>
  <si>
    <t>铝矿</t>
  </si>
  <si>
    <t>固态二氧化碳</t>
  </si>
  <si>
    <t>陶瓷</t>
  </si>
  <si>
    <t>玻璃</t>
  </si>
  <si>
    <t>石灰</t>
  </si>
  <si>
    <t>沙子</t>
  </si>
  <si>
    <t>污染土</t>
  </si>
  <si>
    <t>肥料</t>
  </si>
  <si>
    <t>泥巴</t>
  </si>
  <si>
    <t>污染泥</t>
  </si>
  <si>
    <t>砂岩</t>
  </si>
  <si>
    <t>花岗岩</t>
  </si>
  <si>
    <t>固态磷</t>
  </si>
  <si>
    <t>石墨</t>
  </si>
  <si>
    <t>煤炭</t>
  </si>
  <si>
    <t>精炼碳</t>
  </si>
  <si>
    <t>盐</t>
  </si>
  <si>
    <t>硫</t>
  </si>
  <si>
    <t>导热质</t>
  </si>
  <si>
    <t>钻石</t>
  </si>
  <si>
    <t>漂白石</t>
  </si>
  <si>
    <t>钢</t>
  </si>
  <si>
    <t>固态氯</t>
  </si>
  <si>
    <t>铁</t>
  </si>
  <si>
    <t>铁矿</t>
  </si>
  <si>
    <t>铁锈</t>
  </si>
  <si>
    <t>钴</t>
  </si>
  <si>
    <t>钴矿</t>
  </si>
  <si>
    <t>黄铁矿</t>
  </si>
  <si>
    <t>铜矿</t>
  </si>
  <si>
    <t>铜</t>
  </si>
  <si>
    <t>铌</t>
  </si>
  <si>
    <t>沉积岩</t>
  </si>
  <si>
    <t>镁铁质岩</t>
  </si>
  <si>
    <t>黑曜石</t>
  </si>
  <si>
    <t>浮土</t>
  </si>
  <si>
    <t>藻类</t>
  </si>
  <si>
    <t>菌泥</t>
  </si>
  <si>
    <t>金贡齐</t>
  </si>
  <si>
    <t>银金矿</t>
  </si>
  <si>
    <t>磷矿</t>
  </si>
  <si>
    <t>钨</t>
  </si>
  <si>
    <t>黑钨矿</t>
  </si>
  <si>
    <t>金</t>
  </si>
  <si>
    <t>铅</t>
  </si>
  <si>
    <t>中子物质</t>
  </si>
  <si>
    <t>编号</t>
  </si>
  <si>
    <t>生物</t>
  </si>
  <si>
    <t>生存温度/℃</t>
  </si>
  <si>
    <t>寿命/c</t>
  </si>
  <si>
    <t>起步时间</t>
  </si>
  <si>
    <t>基础时间</t>
  </si>
  <si>
    <t>冗杂时间</t>
  </si>
  <si>
    <t>肉/C</t>
  </si>
  <si>
    <t>孵化C</t>
  </si>
  <si>
    <t>精养繁殖C</t>
  </si>
  <si>
    <t>繁殖C</t>
  </si>
  <si>
    <t>肉量</t>
  </si>
  <si>
    <t>初始/kcal</t>
  </si>
  <si>
    <t>释气海牛</t>
  </si>
  <si>
    <t>-200~200</t>
  </si>
  <si>
    <t>锹环~</t>
  </si>
  <si>
    <t>田鼠</t>
  </si>
  <si>
    <t>-200~500</t>
  </si>
  <si>
    <t>20000</t>
  </si>
  <si>
    <t>大嘴~</t>
  </si>
  <si>
    <t>鱼</t>
  </si>
  <si>
    <t>-50~25</t>
  </si>
  <si>
    <t>帕库~</t>
  </si>
  <si>
    <t>-20~80</t>
  </si>
  <si>
    <t>热带帕库~</t>
  </si>
  <si>
    <t>10~100</t>
  </si>
  <si>
    <t>珍馐~</t>
  </si>
  <si>
    <t>虫果果虫</t>
  </si>
  <si>
    <t>异化虫</t>
  </si>
  <si>
    <t>-30~70</t>
  </si>
  <si>
    <t>沙泥~</t>
  </si>
  <si>
    <t>蟹</t>
  </si>
  <si>
    <t>-30~100</t>
  </si>
  <si>
    <t>5600</t>
  </si>
  <si>
    <t>好吃~</t>
  </si>
  <si>
    <t>哈奇</t>
  </si>
  <si>
    <t>石壳~</t>
  </si>
  <si>
    <t>草质~</t>
  </si>
  <si>
    <t>光滑~</t>
  </si>
  <si>
    <t>~</t>
  </si>
  <si>
    <t>浮油生物</t>
  </si>
  <si>
    <t>25~160</t>
  </si>
  <si>
    <t>熔岩~</t>
  </si>
  <si>
    <t>75~270</t>
  </si>
  <si>
    <t>电弧~</t>
  </si>
  <si>
    <t>蛞蝓</t>
  </si>
  <si>
    <t>烟雾~</t>
  </si>
  <si>
    <t>-30~90</t>
  </si>
  <si>
    <t>海绵~</t>
  </si>
  <si>
    <t>毛鳞~</t>
  </si>
  <si>
    <t>壁虎</t>
  </si>
  <si>
    <t>15~110</t>
  </si>
  <si>
    <t>滑鳞~</t>
  </si>
  <si>
    <t>5~80</t>
  </si>
  <si>
    <t>长毛~</t>
  </si>
  <si>
    <t>-5~90</t>
  </si>
  <si>
    <t>贵族~</t>
  </si>
  <si>
    <t>飞鱼</t>
  </si>
  <si>
    <t>-60~115</t>
  </si>
  <si>
    <t>喷浮~</t>
  </si>
  <si>
    <t>-30~105</t>
  </si>
  <si>
    <t>厚壳~</t>
  </si>
  <si>
    <t>-15~115</t>
  </si>
  <si>
    <t>洁净~</t>
  </si>
  <si>
    <t>-60~85</t>
  </si>
  <si>
    <t>甜素甲虫</t>
  </si>
  <si>
    <t>树鼠</t>
  </si>
  <si>
    <t>毛绒~</t>
  </si>
  <si>
    <t>抛壳~</t>
  </si>
  <si>
    <t>0</t>
  </si>
  <si>
    <t>木壳~</t>
  </si>
  <si>
    <t>①所有动物孵化周期是寿命的1/5，繁殖周期是3/5，快乐时繁殖周期为十倍，即3/50。比如哈奇、树鼠、抛壳蟹年龄是100c，则蛋孵化需要20c，正常下蛋60c，精养快乐下蛋6c。</t>
  </si>
  <si>
    <t>②动物的幼年期基本上都是5c，唯一的特例是辐射蜂为2.5c；幼年期代谢为10%。年老期为后10%的年龄，无任何实质改变。</t>
  </si>
  <si>
    <t>③排泄物产出的温度是依据当时动物的体温而定的，理论上能将低温浮土喂给499度的田鼠得到499度的块状浮土。</t>
  </si>
  <si>
    <t>④动物的初始卡路里都是最大卡路里的90%，且动物只在卡路里低于最大值的90%才能进食。温顺的动物卡路里清零后有10周期的死亡倒计时，野生则无事发生。</t>
  </si>
  <si>
    <t>⑤大小抛壳蟹、大小树鼠、壁虎、哈奇、果虫和蛞蝓在被攻击时会反击(未写“大小”则不包括幼年)。</t>
  </si>
  <si>
    <t>⑥田鼠不管幼年与否都不能跳，但都能钻低于150硬度的非精炼金属砖以及黑钨矿和铀矿做的透气砖网格砖；浮油以外的动物幼年不能跳，浮油能跳过空一格再高或低一格的地方，能站在液体上。</t>
  </si>
  <si>
    <t>⑦鱼需要8格房间格数，所有鱼共享格数，即不管多少条鱼都只需要8格房间；但液体区域每条鱼都需要8格，n条鱼就需要8n格连通的液体区域，穿过网格砖、气动门、打开的气闸也算连通；两个需求独立计算，可以有重合部分，可以有格子既是液体又是房间。</t>
  </si>
  <si>
    <r>
      <rPr>
        <sz val="11"/>
        <rFont val="等线"/>
        <charset val="134"/>
      </rPr>
      <t>⑧</t>
    </r>
    <r>
      <rPr>
        <sz val="11"/>
        <rFont val="等线"/>
        <charset val="134"/>
        <scheme val="minor"/>
      </rPr>
      <t>树鼠盘树产橡实的速率参照的是枝杈归零的次数，每归零一次将计算一次概率，每棵树最多同时存一个橡实，更多可看bilibili.com/video/BV1kA411V7tn ；树鼠种植规则可看bilibili.com/video/BV1d44y1t7Rn。</t>
    </r>
  </si>
  <si>
    <r>
      <rPr>
        <sz val="11"/>
        <rFont val="等线"/>
        <charset val="134"/>
      </rPr>
      <t>⑨</t>
    </r>
    <r>
      <rPr>
        <sz val="11"/>
        <rFont val="等线"/>
        <charset val="134"/>
        <scheme val="minor"/>
      </rPr>
      <t>毛绒树鼠在小人路径上时，会隔段时间求拥抱，小人路过必须拥抱毛绒树鼠，小人会得到一个减压buff；毛绒进入拥抱狂欢状态，能抱蛋，被毛绒树鼠抱过的蛋孵化速率+100%，与孵化器不冲突；毛绒可以抱到孵化器里的蛋；小人不会主动跑去抱树鼠。</t>
    </r>
  </si>
  <si>
    <r>
      <rPr>
        <sz val="11"/>
        <rFont val="等线"/>
        <charset val="134"/>
      </rPr>
      <t>⑩</t>
    </r>
    <r>
      <rPr>
        <sz val="11"/>
        <rFont val="等线"/>
        <charset val="134"/>
        <scheme val="minor"/>
      </rPr>
      <t>蟹的路径上(与房间无关)有蟹卵时，会变红并主动攻击所有非同类动物；辐射蜂会主动攻击所有非同类动物，4.5血/次，但只能攻击一次自己就会死亡(模拟现实一种蜂失去蜂刺不久死亡)。</t>
    </r>
  </si>
  <si>
    <r>
      <rPr>
        <sz val="11"/>
        <rFont val="宋体"/>
        <charset val="128"/>
      </rPr>
      <t>⑪</t>
    </r>
    <r>
      <rPr>
        <sz val="11"/>
        <rFont val="等线"/>
        <charset val="134"/>
        <scheme val="minor"/>
      </rPr>
      <t>木壳蟹在卡路里大于850kcal时，会每600s掉落0.2单位的木蟹壳，但只在跑动后且不处于乙醇环境时掉落。</t>
    </r>
  </si>
  <si>
    <r>
      <rPr>
        <sz val="11"/>
        <rFont val="宋体"/>
        <charset val="128"/>
      </rPr>
      <t>⑫</t>
    </r>
    <r>
      <rPr>
        <sz val="11"/>
        <rFont val="等线"/>
        <charset val="134"/>
        <scheme val="minor"/>
      </rPr>
      <t>珍馐吃70~80度的食物长毛更快，根据③，珍馐的体温也应该保持在这个区间。珍馐在卡路里大于等于21600kcal长毛，长毛速度取决于最后吃的食物温度，合适为12.5%/c，不合适为2.5%/c。滋补根仅能用于制作咖喱豆。</t>
    </r>
  </si>
  <si>
    <r>
      <rPr>
        <sz val="11"/>
        <rFont val="宋体"/>
        <charset val="128"/>
      </rPr>
      <t>⑬</t>
    </r>
    <r>
      <rPr>
        <sz val="11"/>
        <rFont val="等线"/>
        <charset val="134"/>
        <scheme val="minor"/>
      </rPr>
      <t>章鱼只在跑动后，且在非真空非液体气压小于1kg的环境中，不定间隔地一次吐200g带粘液肺病的污染氧，有7格活动范围时大概9kg/c；注意吐出污染氧有时不是单格，而是分成多格，这意味着有时会吞掉非污染氧气体，故必须养在纯污氧环境里。</t>
    </r>
  </si>
  <si>
    <t>复制人</t>
  </si>
  <si>
    <t>＜71.85</t>
  </si>
  <si>
    <t>发光~</t>
  </si>
  <si>
    <t>虫</t>
  </si>
  <si>
    <t>-20.15~49.85</t>
  </si>
  <si>
    <t>阳光~</t>
  </si>
  <si>
    <t>皇家~</t>
  </si>
  <si>
    <t>珊瑚~</t>
  </si>
  <si>
    <t>天蓝~</t>
  </si>
  <si>
    <t>深渊~</t>
  </si>
  <si>
    <t>光耀~</t>
  </si>
  <si>
    <r>
      <rPr>
        <sz val="11"/>
        <rFont val="等线"/>
        <charset val="134"/>
        <scheme val="minor"/>
      </rPr>
      <t>疫病章鱼</t>
    </r>
    <r>
      <rPr>
        <sz val="11"/>
        <rFont val="MS Gothic"/>
        <charset val="128"/>
      </rPr>
      <t>⑬</t>
    </r>
  </si>
  <si>
    <t>0~150</t>
  </si>
  <si>
    <t>\</t>
  </si>
  <si>
    <t>辐射蜂巢</t>
  </si>
  <si>
    <t>-100.15~-0.15</t>
  </si>
  <si>
    <r>
      <rPr>
        <sz val="11"/>
        <rFont val="等线"/>
        <charset val="134"/>
        <scheme val="minor"/>
      </rPr>
      <t>辐射蜂</t>
    </r>
    <r>
      <rPr>
        <sz val="11"/>
        <rFont val="等线"/>
        <charset val="134"/>
      </rPr>
      <t>⑩</t>
    </r>
  </si>
  <si>
    <t>占位</t>
  </si>
  <si>
    <r>
      <rPr>
        <sz val="8"/>
        <color theme="1"/>
        <rFont val="等线"/>
        <charset val="134"/>
        <scheme val="minor"/>
      </rPr>
      <t>生长周期</t>
    </r>
    <r>
      <rPr>
        <sz val="11"/>
        <color theme="1"/>
        <rFont val="等线"/>
        <charset val="134"/>
        <scheme val="minor"/>
      </rPr>
      <t>/c</t>
    </r>
  </si>
  <si>
    <r>
      <rPr>
        <sz val="11"/>
        <color theme="1"/>
        <rFont val="等线"/>
        <charset val="134"/>
        <scheme val="minor"/>
      </rPr>
      <t>消耗/c</t>
    </r>
    <r>
      <rPr>
        <vertAlign val="superscript"/>
        <sz val="11"/>
        <color theme="1"/>
        <rFont val="等线"/>
        <charset val="134"/>
        <scheme val="minor"/>
      </rPr>
      <t>-1</t>
    </r>
  </si>
  <si>
    <t>产出</t>
  </si>
  <si>
    <t>环境</t>
  </si>
  <si>
    <t>温度/℃</t>
  </si>
  <si>
    <t>气压</t>
  </si>
  <si>
    <t>装饰</t>
  </si>
  <si>
    <t>辐射/rad</t>
  </si>
  <si>
    <t>变异</t>
  </si>
  <si>
    <t>最小辐射</t>
  </si>
  <si>
    <t>生长周期</t>
  </si>
  <si>
    <t>消耗</t>
  </si>
  <si>
    <t>产量</t>
  </si>
  <si>
    <t>光照</t>
  </si>
  <si>
    <t>其它</t>
  </si>
  <si>
    <t>食用性植物</t>
  </si>
  <si>
    <t>米虱木</t>
  </si>
  <si>
    <t>10kg泥土</t>
  </si>
  <si>
    <t>600kcal米虱</t>
  </si>
  <si>
    <t>默认</t>
  </si>
  <si>
    <t>10~30</t>
  </si>
  <si>
    <t>+</t>
  </si>
  <si>
    <t>-10(2)</t>
  </si>
  <si>
    <t>＜460</t>
  </si>
  <si>
    <t>盛开</t>
  </si>
  <si>
    <t>+250rad/c</t>
  </si>
  <si>
    <t>+20装饰</t>
  </si>
  <si>
    <t>夜幕菇</t>
  </si>
  <si>
    <t>4kg菌泥</t>
  </si>
  <si>
    <t>黑暗</t>
  </si>
  <si>
    <t>2400kcal蘑菇</t>
  </si>
  <si>
    <t>二氧化碳</t>
  </si>
  <si>
    <t>5~35</t>
  </si>
  <si>
    <t>15(2)</t>
  </si>
  <si>
    <t>米虱</t>
  </si>
  <si>
    <t>+600kcal米虱</t>
  </si>
  <si>
    <t>冰霜小麦</t>
  </si>
  <si>
    <t>20kg水</t>
  </si>
  <si>
    <t>5kg泥土</t>
  </si>
  <si>
    <t>18kg冰霜麦粒</t>
  </si>
  <si>
    <t>-55~5</t>
  </si>
  <si>
    <t>＜1220</t>
  </si>
  <si>
    <t>专化</t>
  </si>
  <si>
    <t>温度范围上下收缩50%</t>
  </si>
  <si>
    <t>小吃芽</t>
  </si>
  <si>
    <t>20kg乙醇</t>
  </si>
  <si>
    <t>12kg小吃豆</t>
  </si>
  <si>
    <t>-25~0</t>
  </si>
  <si>
    <t>-</t>
  </si>
  <si>
    <t>＜980</t>
  </si>
  <si>
    <t>超专化</t>
  </si>
  <si>
    <t>温度范围上下收缩80%</t>
  </si>
  <si>
    <t>水草</t>
  </si>
  <si>
    <t>5kg盐水</t>
  </si>
  <si>
    <t>0.5kg漂白石</t>
  </si>
  <si>
    <t>4800kcal海生菜</t>
  </si>
  <si>
    <t>水/盐水/浓盐水</t>
  </si>
  <si>
    <t>22~65</t>
  </si>
  <si>
    <t>10(1)</t>
  </si>
  <si>
    <t>＜740</t>
  </si>
  <si>
    <t>硕果</t>
  </si>
  <si>
    <t>作物成熟立即掉落</t>
  </si>
  <si>
    <t>毛刺花</t>
  </si>
  <si>
    <t>200lux光照</t>
  </si>
  <si>
    <t>1600kcal毛刺浆果+100万花香</t>
  </si>
  <si>
    <t>5~30</t>
  </si>
  <si>
    <t>富饶</t>
  </si>
  <si>
    <t>+200lux</t>
  </si>
  <si>
    <t>5倍收获时间</t>
  </si>
  <si>
    <t>沼浆笼</t>
  </si>
  <si>
    <t>40kg污染水</t>
  </si>
  <si>
    <t>1840kcal沼浆果冻</t>
  </si>
  <si>
    <t>温和</t>
  </si>
  <si>
    <t>温度范围上下扩展50%</t>
  </si>
  <si>
    <t>贫瘠虫果植株</t>
  </si>
  <si>
    <t>10kg硫</t>
  </si>
  <si>
    <t>800kcal贫瘠虫果</t>
  </si>
  <si>
    <t>15~50</t>
  </si>
  <si>
    <t>-5(1)</t>
  </si>
  <si>
    <t>旺盛</t>
  </si>
  <si>
    <t>+4kg腐烂物，作物带食物中毒</t>
  </si>
  <si>
    <t>虫果植株</t>
  </si>
  <si>
    <t>2000kcal虫果</t>
  </si>
  <si>
    <t>野化</t>
  </si>
  <si>
    <t>掩埋的淤泥根</t>
  </si>
  <si>
    <t>800kcal淤泥根</t>
  </si>
  <si>
    <t>绿叶</t>
  </si>
  <si>
    <t>+1000lux</t>
  </si>
  <si>
    <t>沼泽甜菜</t>
  </si>
  <si>
    <t>一次性食物</t>
  </si>
  <si>
    <t>2400kcal沼泽甜菜心</t>
  </si>
  <si>
    <t>装饰性植物</t>
  </si>
  <si>
    <t>六角根</t>
  </si>
  <si>
    <t>6400kcal六角根果实</t>
  </si>
  <si>
    <t>同伴芽</t>
  </si>
  <si>
    <t>5000花香/s</t>
  </si>
  <si>
    <t>20~40</t>
  </si>
  <si>
    <t>＜220</t>
  </si>
  <si>
    <t>雀跃掌</t>
  </si>
  <si>
    <t>0~100</t>
  </si>
  <si>
    <t>25(4)</t>
  </si>
  <si>
    <t>诱人荆棘</t>
  </si>
  <si>
    <t>＜90</t>
  </si>
  <si>
    <t>欢乐叶</t>
  </si>
  <si>
    <t xml:space="preserve">      \</t>
  </si>
  <si>
    <t>默认/氢气/氯气</t>
  </si>
  <si>
    <t>20~50</t>
  </si>
  <si>
    <t>孢子兰</t>
  </si>
  <si>
    <t>1000僵尸孢子/s</t>
  </si>
  <si>
    <t>-15~240</t>
  </si>
  <si>
    <t>80(7)</t>
  </si>
  <si>
    <t>极乐刺</t>
  </si>
  <si>
    <t>安宁芷</t>
  </si>
  <si>
    <t>-90.15~-0.15</t>
  </si>
  <si>
    <t>醇锦菇</t>
  </si>
  <si>
    <t>木料树</t>
  </si>
  <si>
    <t>乔木树</t>
  </si>
  <si>
    <t>2+n</t>
  </si>
  <si>
    <t>70kg污染水</t>
  </si>
  <si>
    <t>n*300kg木料</t>
  </si>
  <si>
    <t>15~40</t>
  </si>
  <si>
    <t>植物</t>
  </si>
  <si>
    <t>仙水掌</t>
  </si>
  <si>
    <t>65kg污染水</t>
  </si>
  <si>
    <t>5kg沙子</t>
  </si>
  <si>
    <t>350kg水+5kg/c氧气</t>
  </si>
  <si>
    <t>氧气</t>
  </si>
  <si>
    <t>20~110</t>
  </si>
  <si>
    <t>氧齿蕨</t>
  </si>
  <si>
    <t>19kg水</t>
  </si>
  <si>
    <t>4kg泥土</t>
  </si>
  <si>
    <t>18.75kg/c氧气</t>
  </si>
  <si>
    <t>0~40</t>
  </si>
  <si>
    <t>93.75g二氧化碳</t>
  </si>
  <si>
    <t>食肉植物</t>
  </si>
  <si>
    <t>土星动物捕草</t>
  </si>
  <si>
    <t>10kg/s污染水</t>
  </si>
  <si>
    <t>陆生动物</t>
  </si>
  <si>
    <t>12000kcal植物肉+25kg/c氢气</t>
  </si>
  <si>
    <t>食用性香料植物</t>
  </si>
  <si>
    <t>沙盐藤↓</t>
  </si>
  <si>
    <t>3.6kg氯气</t>
  </si>
  <si>
    <t>7kg沙子</t>
  </si>
  <si>
    <t>65kg盐</t>
  </si>
  <si>
    <t>氯气</t>
  </si>
  <si>
    <t>-25~50</t>
  </si>
  <si>
    <t>火椒藤↓</t>
  </si>
  <si>
    <t>35kg污染水</t>
  </si>
  <si>
    <t>1kg磷矿</t>
  </si>
  <si>
    <t>4kg火椒粒</t>
  </si>
  <si>
    <t>35~85</t>
  </si>
  <si>
    <t>药用性植物</t>
  </si>
  <si>
    <t>芳香百合</t>
  </si>
  <si>
    <t>2kg芳香百合</t>
  </si>
  <si>
    <t>小动物饲料</t>
  </si>
  <si>
    <t>释气草</t>
  </si>
  <si>
    <t>0.5kg液态氯</t>
  </si>
  <si>
    <t>1kg释气草</t>
  </si>
  <si>
    <t>≤75</t>
  </si>
  <si>
    <t>纺织性植物</t>
  </si>
  <si>
    <t>芦苇</t>
  </si>
  <si>
    <t>160kg污染水</t>
  </si>
  <si>
    <t>1单位芦苇纤维</t>
  </si>
  <si>
    <t>默认/水/污染水</t>
  </si>
  <si>
    <t>22~37</t>
  </si>
  <si>
    <t>植物？</t>
  </si>
  <si>
    <t>冰息萝卜</t>
  </si>
  <si>
    <t>4kg磷矿</t>
  </si>
  <si>
    <t>5℃ 1kg/s吞热</t>
  </si>
  <si>
    <t>\(氢气最佳)</t>
  </si>
  <si>
    <t>-60~95</t>
  </si>
  <si>
    <t>试验体52B</t>
  </si>
  <si>
    <t>5*5</t>
  </si>
  <si>
    <t>30kg食物</t>
  </si>
  <si>
    <t>5g树脂/kcal</t>
  </si>
  <si>
    <t>-100~100</t>
  </si>
  <si>
    <t>35(6)</t>
  </si>
  <si>
    <t>*环境默认为“氧气、污染氧、二氧化碳”；气压“+”代表150~10000g、“-”代表25~10000g；乔木n指枝杈数，n=0~5；六角根分类到装饰性是游戏的问题；
一般动植物产出都与体温相同，而捕草产氢气为体温+10℃，所以需要降温系统；捕草捕捉后可以一直产生氢气直到收获，所以野生捕草更有优势。</t>
  </si>
  <si>
    <t>单位：kg、℃</t>
  </si>
  <si>
    <t>污染泥-</t>
  </si>
  <si>
    <t>碎片相变，变成40%污染土和60%污染水；块状相变，变成50%的污染氧和一格虚空。</t>
  </si>
  <si>
    <t>碎片相变，变成40%泥土和60%蒸汽；块状相变，变成一格虚空。</t>
  </si>
  <si>
    <t>默认量</t>
  </si>
  <si>
    <t>满格量</t>
  </si>
  <si>
    <t>比热容（比热容越大，物体的吸热或散热能力越强。它指单位质量的某种物质升高或下降单位温度所吸收或放出的热量。）</t>
  </si>
  <si>
    <t>导热率（越高越好）</t>
  </si>
  <si>
    <t>降温相变</t>
  </si>
  <si>
    <t>辐射</t>
  </si>
  <si>
    <t>结块临界</t>
  </si>
  <si>
    <t>流动</t>
  </si>
  <si>
    <t>淹没判定</t>
  </si>
  <si>
    <t>钢*</t>
  </si>
  <si>
    <t>熔融钢</t>
  </si>
  <si>
    <t>气态钢</t>
  </si>
  <si>
    <t>导热质*</t>
  </si>
  <si>
    <t>熔融铌</t>
  </si>
  <si>
    <t>气态铌</t>
  </si>
  <si>
    <t>熔融铝</t>
  </si>
  <si>
    <t>气态铝</t>
  </si>
  <si>
    <t>熔融铜</t>
  </si>
  <si>
    <t>气态铜</t>
  </si>
  <si>
    <t>熔融铅</t>
  </si>
  <si>
    <t>气态铅</t>
  </si>
  <si>
    <t>超级冷却剂</t>
  </si>
  <si>
    <t>气态超级冷却剂</t>
  </si>
  <si>
    <t>熔融金</t>
  </si>
  <si>
    <t>气态金</t>
  </si>
  <si>
    <t>核废料</t>
  </si>
  <si>
    <t>核尘埃</t>
  </si>
  <si>
    <t>*</t>
  </si>
  <si>
    <t>铁*</t>
  </si>
  <si>
    <t>熔融铁</t>
  </si>
  <si>
    <t>气态铁</t>
  </si>
  <si>
    <t>钴*</t>
  </si>
  <si>
    <t>熔融钴</t>
  </si>
  <si>
    <t>气态钴</t>
  </si>
  <si>
    <t>钨***</t>
  </si>
  <si>
    <t>熔融钨</t>
  </si>
  <si>
    <t>气态钨</t>
  </si>
  <si>
    <t>黑钨矿**</t>
  </si>
  <si>
    <t>深渊晶石**</t>
  </si>
  <si>
    <t>隔热质***</t>
  </si>
  <si>
    <t>碳</t>
  </si>
  <si>
    <t>铀</t>
  </si>
  <si>
    <t>铀矿**</t>
  </si>
  <si>
    <t>熔融铀</t>
  </si>
  <si>
    <t>气态岩</t>
  </si>
  <si>
    <t>贫铀***</t>
  </si>
  <si>
    <t>浓缩铀***</t>
  </si>
  <si>
    <t>有机物</t>
  </si>
  <si>
    <t>菌泥=</t>
  </si>
  <si>
    <t>土</t>
  </si>
  <si>
    <t>熔融碳</t>
  </si>
  <si>
    <t>气态碳</t>
  </si>
  <si>
    <t>钻石***</t>
  </si>
  <si>
    <t>富勒烯***</t>
  </si>
  <si>
    <t>油</t>
  </si>
  <si>
    <t>原油</t>
  </si>
  <si>
    <t>石油</t>
  </si>
  <si>
    <t>高硫天然气</t>
  </si>
  <si>
    <t>固态~</t>
  </si>
  <si>
    <t>液态氧</t>
  </si>
  <si>
    <t>氧气/污染氧</t>
  </si>
  <si>
    <t>1.005/1.01</t>
  </si>
  <si>
    <t>液态二氧化碳</t>
  </si>
  <si>
    <t>矿物</t>
  </si>
  <si>
    <t>岩浆</t>
  </si>
  <si>
    <t>花岗岩*</t>
  </si>
  <si>
    <t>黑曜石***</t>
  </si>
  <si>
    <t>陶瓷*</t>
  </si>
  <si>
    <t>化石*</t>
  </si>
  <si>
    <t>石灰*</t>
  </si>
  <si>
    <t>氧石-=</t>
  </si>
  <si>
    <t>镭***</t>
  </si>
  <si>
    <t>熔融玻璃</t>
  </si>
  <si>
    <t>污染土-=</t>
  </si>
  <si>
    <t>浓盐水</t>
  </si>
  <si>
    <t>蒸汽</t>
  </si>
  <si>
    <t>水</t>
  </si>
  <si>
    <t>中子物质***</t>
  </si>
  <si>
    <t>盐水</t>
  </si>
  <si>
    <t>污染水</t>
  </si>
  <si>
    <t>粘性凝胶</t>
  </si>
  <si>
    <t>(10+)</t>
  </si>
  <si>
    <t>石脑油</t>
  </si>
  <si>
    <t>熔融盐</t>
  </si>
  <si>
    <t>气态盐</t>
  </si>
  <si>
    <t>磷</t>
  </si>
  <si>
    <t>液态磷</t>
  </si>
  <si>
    <t>气态磷</t>
  </si>
  <si>
    <t>精炼磷</t>
  </si>
  <si>
    <t>树脂</t>
  </si>
  <si>
    <t>液态硫</t>
  </si>
  <si>
    <t>硫蒸气</t>
  </si>
  <si>
    <t>固态乙醇***</t>
  </si>
  <si>
    <t>乙醇</t>
  </si>
  <si>
    <t>气态乙醇</t>
  </si>
  <si>
    <t>熔融蔗糖</t>
  </si>
  <si>
    <t>液态氢</t>
  </si>
  <si>
    <t>氢气</t>
  </si>
  <si>
    <t>液态甲烷</t>
  </si>
  <si>
    <t>天然气</t>
  </si>
  <si>
    <t>氯</t>
  </si>
  <si>
    <t>漂白石=*</t>
  </si>
  <si>
    <t xml:space="preserve">液态氯 </t>
  </si>
  <si>
    <t>堆芯熔融物-****</t>
  </si>
  <si>
    <t>比热容capacity</t>
  </si>
  <si>
    <t>铌*</t>
  </si>
  <si>
    <t>产出/周期</t>
  </si>
  <si>
    <t>产出/max</t>
  </si>
  <si>
    <t>产出/min</t>
  </si>
  <si>
    <r>
      <rPr>
        <sz val="11"/>
        <color theme="1"/>
        <rFont val="等线"/>
        <charset val="134"/>
        <scheme val="minor"/>
      </rPr>
      <t>生长周期</t>
    </r>
    <r>
      <rPr>
        <sz val="11"/>
        <color theme="1"/>
        <rFont val="等线"/>
        <charset val="134"/>
        <scheme val="minor"/>
      </rPr>
      <t>/c</t>
    </r>
  </si>
  <si>
    <t>消耗/kg</t>
  </si>
  <si>
    <t>消耗/材料1</t>
  </si>
  <si>
    <t>消耗/材料2</t>
  </si>
  <si>
    <t>品质</t>
  </si>
  <si>
    <t>保鲜</t>
  </si>
  <si>
    <t>产出说明</t>
  </si>
  <si>
    <t>10/s</t>
  </si>
  <si>
    <t>0.093.75</t>
  </si>
  <si>
    <t>食物</t>
  </si>
  <si>
    <t>液态氯</t>
  </si>
  <si>
    <t>烹饪设备</t>
  </si>
  <si>
    <t>产品</t>
  </si>
  <si>
    <r>
      <rPr>
        <sz val="9"/>
        <color theme="1"/>
        <rFont val="等线"/>
        <charset val="134"/>
        <scheme val="minor"/>
      </rPr>
      <t>卡路里/kcal·kg</t>
    </r>
    <r>
      <rPr>
        <vertAlign val="superscript"/>
        <sz val="9"/>
        <color theme="1"/>
        <rFont val="等线"/>
        <charset val="134"/>
        <scheme val="minor"/>
      </rPr>
      <t>-1</t>
    </r>
  </si>
  <si>
    <t>原材料</t>
  </si>
  <si>
    <r>
      <rPr>
        <sz val="11"/>
        <color theme="1"/>
        <rFont val="等线"/>
        <charset val="134"/>
        <scheme val="minor"/>
      </rPr>
      <t>保鲜</t>
    </r>
    <r>
      <rPr>
        <sz val="11"/>
        <color theme="1"/>
        <rFont val="等线"/>
        <charset val="134"/>
        <scheme val="minor"/>
      </rPr>
      <t>/c</t>
    </r>
  </si>
  <si>
    <t>食物
压制器</t>
  </si>
  <si>
    <t>软泥膏</t>
  </si>
  <si>
    <t>75kg泥土</t>
  </si>
  <si>
    <t>75kg水</t>
  </si>
  <si>
    <t>一次性
食物</t>
  </si>
  <si>
    <t>营养棒</t>
  </si>
  <si>
    <t>∞</t>
  </si>
  <si>
    <t>米虱面包</t>
  </si>
  <si>
    <t>1200kcal米虱</t>
  </si>
  <si>
    <t>50kg水</t>
  </si>
  <si>
    <t>淤泥根</t>
  </si>
  <si>
    <t>豆腐</t>
  </si>
  <si>
    <t>6kg小吃豆</t>
  </si>
  <si>
    <t>六角根果实</t>
  </si>
  <si>
    <t>浆果糕</t>
  </si>
  <si>
    <t>5kg冰霜麦粒</t>
  </si>
  <si>
    <t>1600kcal毛刺浆果</t>
  </si>
  <si>
    <t>沼泽甜菜心</t>
  </si>
  <si>
    <t>电动烤炉</t>
  </si>
  <si>
    <t>炸泥膏</t>
  </si>
  <si>
    <t>800kcal软泥膏</t>
  </si>
  <si>
    <t>植物果实</t>
  </si>
  <si>
    <t>腌制米虱</t>
  </si>
  <si>
    <t>1800kcal米虱</t>
  </si>
  <si>
    <t>蘑菇</t>
  </si>
  <si>
    <t>煎蛋卷</t>
  </si>
  <si>
    <t>1kg生蛋</t>
  </si>
  <si>
    <t>毛刺浆果</t>
  </si>
  <si>
    <t>煎蘑菇</t>
  </si>
  <si>
    <t>海生菜(海产)</t>
  </si>
  <si>
    <t>炙烤浆果</t>
  </si>
  <si>
    <t>动物产物</t>
  </si>
  <si>
    <t>肉</t>
  </si>
  <si>
    <t>沼泽欢愉</t>
  </si>
  <si>
    <t>1840kcal沼泽果冻</t>
  </si>
  <si>
    <t>生蟹肉(海产)</t>
  </si>
  <si>
    <t>烤虫果仁</t>
  </si>
  <si>
    <t>帕库鱼片(海产)</t>
  </si>
  <si>
    <t>冰霜面包</t>
  </si>
  <si>
    <t>3kg冰霜麦粒</t>
  </si>
  <si>
    <t>滋补根</t>
  </si>
  <si>
    <t>虫果果酱</t>
  </si>
  <si>
    <t>4kg蔗糖</t>
  </si>
  <si>
    <t>植物果实
(DLC)</t>
  </si>
  <si>
    <t>沼泽果冻</t>
  </si>
  <si>
    <t>烤海鲜(海产)</t>
  </si>
  <si>
    <t>1000kcal帕库鱼片/生蟹肉</t>
  </si>
  <si>
    <t>贫瘠虫果</t>
  </si>
  <si>
    <t>烤肉串</t>
  </si>
  <si>
    <t>3200kcal肉</t>
  </si>
  <si>
    <t>虫果</t>
  </si>
  <si>
    <t>燃气灶</t>
  </si>
  <si>
    <t>浆果酿</t>
  </si>
  <si>
    <t>4000kcal炙烤浆果</t>
  </si>
  <si>
    <t>2kg火椒粒</t>
  </si>
  <si>
    <t>植物肉</t>
  </si>
  <si>
    <t>蘑菇卷(海产)</t>
  </si>
  <si>
    <t>2800kcal煎蘑菇</t>
  </si>
  <si>
    <t>1600kcal海生菜</t>
  </si>
  <si>
    <t>烹饪原料</t>
  </si>
  <si>
    <t>小吃豆</t>
  </si>
  <si>
    <t>海路双拼(海产)</t>
  </si>
  <si>
    <t>4000kcal烤肉串</t>
  </si>
  <si>
    <t>1600kcal烤鱼排</t>
  </si>
  <si>
    <t>冰霜麦粒</t>
  </si>
  <si>
    <t>咖喱豆</t>
  </si>
  <si>
    <t>4kg小吃豆</t>
  </si>
  <si>
    <t>4kg滋补根</t>
  </si>
  <si>
    <t>火椒粒</t>
  </si>
  <si>
    <t>火椒面包</t>
  </si>
  <si>
    <t>10kg冰霜麦粒</t>
  </si>
  <si>
    <t>1kg火椒粒</t>
  </si>
  <si>
    <t>生蛋</t>
  </si>
  <si>
    <t>麻婆豆腐</t>
  </si>
  <si>
    <t>3600kcal豆腐</t>
  </si>
  <si>
    <t>混合浆果派</t>
  </si>
  <si>
    <t>1000kcal虫果</t>
  </si>
  <si>
    <t>2000kcal炙烤浆果</t>
  </si>
  <si>
    <t>冰霜汉堡(海产)</t>
  </si>
  <si>
    <t>400kcal海生菜</t>
  </si>
  <si>
    <t>1200kcal冰霜面包</t>
  </si>
  <si>
    <r>
      <rPr>
        <sz val="11"/>
        <color rgb="FF000000"/>
        <rFont val="等线"/>
        <charset val="134"/>
        <scheme val="minor"/>
      </rPr>
      <t>生长周期</t>
    </r>
    <r>
      <rPr>
        <sz val="11"/>
        <color rgb="FF000000"/>
        <rFont val="等线"/>
        <charset val="134"/>
      </rPr>
      <t>/c</t>
    </r>
  </si>
  <si>
    <t>产出/原材料</t>
  </si>
  <si>
    <t>帕库鱼片/生蟹肉</t>
  </si>
  <si>
    <t>间歇泉</t>
  </si>
  <si>
    <r>
      <rPr>
        <sz val="10"/>
        <color theme="1"/>
        <rFont val="等线"/>
        <charset val="134"/>
        <scheme val="minor"/>
      </rPr>
      <t>均产量期望/kg·s</t>
    </r>
    <r>
      <rPr>
        <vertAlign val="superscript"/>
        <sz val="10"/>
        <color theme="1"/>
        <rFont val="等线"/>
        <charset val="134"/>
        <scheme val="minor"/>
      </rPr>
      <t>-1</t>
    </r>
  </si>
  <si>
    <t>超压/kg</t>
  </si>
  <si>
    <r>
      <rPr>
        <sz val="11"/>
        <color theme="1"/>
        <rFont val="等线"/>
        <charset val="134"/>
        <scheme val="minor"/>
      </rPr>
      <t>均产热/</t>
    </r>
    <r>
      <rPr>
        <sz val="8"/>
        <color theme="1"/>
        <rFont val="等线"/>
        <charset val="134"/>
        <scheme val="minor"/>
      </rPr>
      <t>DTU·s</t>
    </r>
    <r>
      <rPr>
        <vertAlign val="superscript"/>
        <sz val="8"/>
        <color theme="1"/>
        <rFont val="等线"/>
        <charset val="134"/>
        <scheme val="minor"/>
      </rPr>
      <t>-1</t>
    </r>
    <r>
      <rPr>
        <sz val="11"/>
        <color theme="1"/>
        <rFont val="等线"/>
        <charset val="134"/>
        <scheme val="minor"/>
      </rPr>
      <t xml:space="preserve">
</t>
    </r>
    <r>
      <rPr>
        <sz val="8"/>
        <color theme="1"/>
        <rFont val="等线"/>
        <charset val="134"/>
        <scheme val="minor"/>
      </rPr>
      <t>(以125℃为参考)</t>
    </r>
  </si>
  <si>
    <t>开发方式</t>
  </si>
  <si>
    <r>
      <rPr>
        <sz val="11"/>
        <color theme="1"/>
        <rFont val="等线"/>
        <charset val="134"/>
        <scheme val="minor"/>
      </rPr>
      <t>调谐</t>
    </r>
    <r>
      <rPr>
        <sz val="10"/>
        <color theme="1"/>
        <rFont val="等线"/>
        <charset val="134"/>
        <scheme val="minor"/>
      </rPr>
      <t xml:space="preserve">
材料+温度/℃</t>
    </r>
  </si>
  <si>
    <t>水泉</t>
  </si>
  <si>
    <t>污水泉</t>
  </si>
  <si>
    <t>自流</t>
  </si>
  <si>
    <t>清水泉</t>
  </si>
  <si>
    <t>盐水泉</t>
  </si>
  <si>
    <t>50kg漂白石
+20</t>
  </si>
  <si>
    <t>低温泥浆泉</t>
  </si>
  <si>
    <t>低温盐泥泉</t>
  </si>
  <si>
    <t>低温蒸汽喷孔</t>
  </si>
  <si>
    <t>电泉</t>
  </si>
  <si>
    <t>蒸汽喷孔</t>
  </si>
  <si>
    <t>小型火山</t>
  </si>
  <si>
    <t>找模块去</t>
  </si>
  <si>
    <t>100kg晶石
+150</t>
  </si>
  <si>
    <t>火山</t>
  </si>
  <si>
    <t>金属
火山</t>
  </si>
  <si>
    <t>铌火山</t>
  </si>
  <si>
    <t>金火山</t>
  </si>
  <si>
    <t xml:space="preserve">自冷 </t>
  </si>
  <si>
    <t>铜火山</t>
  </si>
  <si>
    <t>80kg精炼磷
+50</t>
  </si>
  <si>
    <t>铁火山</t>
  </si>
  <si>
    <t>钨火山</t>
  </si>
  <si>
    <t>铝火山</t>
  </si>
  <si>
    <t>钴火山</t>
  </si>
  <si>
    <t>油泉</t>
  </si>
  <si>
    <t>油井</t>
  </si>
  <si>
    <t>≥90</t>
  </si>
  <si>
    <t>渗油裂缝</t>
  </si>
  <si>
    <t>真空泵</t>
  </si>
  <si>
    <t>硫泉</t>
  </si>
  <si>
    <t>液硫泉</t>
  </si>
  <si>
    <t>自冷</t>
  </si>
  <si>
    <t>100kg晶石
+15</t>
  </si>
  <si>
    <t>气泉</t>
  </si>
  <si>
    <t>氢气喷孔</t>
  </si>
  <si>
    <t>自冷+推气</t>
  </si>
  <si>
    <t>天然气喷孔</t>
  </si>
  <si>
    <t>推气</t>
  </si>
  <si>
    <t>氯气喷孔</t>
  </si>
  <si>
    <t>推气养飞鱼</t>
  </si>
  <si>
    <t>50kg盐
+15</t>
  </si>
  <si>
    <t>含菌污氧喷孔</t>
  </si>
  <si>
    <t>高温污氧喷孔</t>
  </si>
  <si>
    <t>封闭</t>
  </si>
  <si>
    <t>二氧化碳喷孔</t>
  </si>
  <si>
    <t>养熔岩浮油</t>
  </si>
  <si>
    <t>50kg污染土
+5</t>
  </si>
  <si>
    <t>二氧化碳泉</t>
  </si>
  <si>
    <t>养辐射蜂</t>
  </si>
  <si>
    <t>①表中产量为理论的期望值，也就是概率最大的平均喷发量(算上休眠期)。以低蒸为例，活跃期平均产量为1~2t/c，期望为1.5t/c，而活跃期占比为40%~80%，期望为60%，所以均产量期望为0.9t/c，理论上下限为0.4~1.6t/c，常见的范围是0.6~1.2t/c；其它泉皆可按比例推算，例外是渗油裂缝的活跃期喷发量为1~250kg/c；
②地质调谐仪，它能显示当前星球非迷雾里所有的泉，即使被掩埋；调谐使产量+20%，持续时间600s，仅在喷发时消耗时间；每个泉最多同时调谐5次。</t>
  </si>
  <si>
    <t>分类</t>
  </si>
  <si>
    <t>建筑</t>
  </si>
  <si>
    <t>建材</t>
  </si>
  <si>
    <t>建造时间/s</t>
  </si>
  <si>
    <t>电/W</t>
  </si>
  <si>
    <r>
      <rPr>
        <sz val="11"/>
        <color theme="1"/>
        <rFont val="等线"/>
        <charset val="134"/>
        <scheme val="minor"/>
      </rPr>
      <t>消耗/s</t>
    </r>
    <r>
      <rPr>
        <vertAlign val="superscript"/>
        <sz val="11"/>
        <color theme="1"/>
        <rFont val="等线"/>
        <charset val="134"/>
        <scheme val="minor"/>
      </rPr>
      <t>-1</t>
    </r>
    <r>
      <rPr>
        <sz val="11"/>
        <color theme="1"/>
        <rFont val="等线"/>
        <charset val="134"/>
        <scheme val="minor"/>
      </rPr>
      <t>或次</t>
    </r>
    <r>
      <rPr>
        <vertAlign val="superscript"/>
        <sz val="11"/>
        <color theme="1"/>
        <rFont val="等线"/>
        <charset val="134"/>
        <scheme val="minor"/>
      </rPr>
      <t>-1</t>
    </r>
  </si>
  <si>
    <r>
      <rPr>
        <sz val="11"/>
        <color theme="1"/>
        <rFont val="等线"/>
        <charset val="134"/>
        <scheme val="minor"/>
      </rPr>
      <t>产出/s</t>
    </r>
    <r>
      <rPr>
        <vertAlign val="superscript"/>
        <sz val="11"/>
        <color theme="1"/>
        <rFont val="等线"/>
        <charset val="134"/>
        <scheme val="minor"/>
      </rPr>
      <t>-1</t>
    </r>
    <r>
      <rPr>
        <sz val="11"/>
        <color theme="1"/>
        <rFont val="等线"/>
        <charset val="134"/>
        <scheme val="minor"/>
      </rPr>
      <t>或次</t>
    </r>
    <r>
      <rPr>
        <vertAlign val="superscript"/>
        <sz val="11"/>
        <color theme="1"/>
        <rFont val="等线"/>
        <charset val="134"/>
        <scheme val="minor"/>
      </rPr>
      <t>-1</t>
    </r>
  </si>
  <si>
    <r>
      <rPr>
        <sz val="11"/>
        <color theme="1"/>
        <rFont val="等线"/>
        <charset val="134"/>
        <scheme val="minor"/>
      </rPr>
      <t>产热/kDTU·s</t>
    </r>
    <r>
      <rPr>
        <vertAlign val="superscript"/>
        <sz val="11"/>
        <color theme="1"/>
        <rFont val="等线"/>
        <charset val="134"/>
        <scheme val="minor"/>
      </rPr>
      <t>-1</t>
    </r>
  </si>
  <si>
    <t>装饰(格)</t>
  </si>
  <si>
    <t>过热/℃</t>
  </si>
  <si>
    <t>占地</t>
  </si>
  <si>
    <t>备注</t>
  </si>
  <si>
    <t>藻类箱</t>
  </si>
  <si>
    <t>400kg可耕土</t>
  </si>
  <si>
    <t>30g藻类</t>
  </si>
  <si>
    <t>300g水+1/3g二氧化碳</t>
  </si>
  <si>
    <t>≥30℃ 40g氧气(1,1)</t>
  </si>
  <si>
    <t>≥30℃ 290.33g污染水</t>
  </si>
  <si>
    <t>≥30℃ 4g氧气(光照下)</t>
  </si>
  <si>
    <t>1*2</t>
  </si>
  <si>
    <t>可以直接吸收地上的水；不会被淹没</t>
  </si>
  <si>
    <t>藻类制氧器</t>
  </si>
  <si>
    <t>200kg金属矿</t>
  </si>
  <si>
    <t>550g藻类</t>
  </si>
  <si>
    <t>≥30℃ 500g氧气(1,2)</t>
  </si>
  <si>
    <t>2kg超压</t>
  </si>
  <si>
    <t>电解器</t>
  </si>
  <si>
    <t>1kg水</t>
  </si>
  <si>
    <t>≥70℃ 112g氢气(1,2)</t>
  </si>
  <si>
    <t>≥70℃ 888g氧气(1,2)</t>
  </si>
  <si>
    <t>2*2</t>
  </si>
  <si>
    <t>铁锈脱氧机</t>
  </si>
  <si>
    <t>750g铁锈</t>
  </si>
  <si>
    <t>250g盐</t>
  </si>
  <si>
    <t>≥75℃ 570g氧气(1,2)</t>
  </si>
  <si>
    <t>≥75℃ 30g氯气(1,2)</t>
  </si>
  <si>
    <t>≥75℃ 400g铁矿(1,2)</t>
  </si>
  <si>
    <t>2*3</t>
  </si>
  <si>
    <t>升华站</t>
  </si>
  <si>
    <t>1kg污土</t>
  </si>
  <si>
    <t>≥30℃ 660g污染氧(1,1)</t>
  </si>
  <si>
    <t>2*1</t>
  </si>
  <si>
    <t>1.8kg超压</t>
  </si>
  <si>
    <t>碳素脱离器</t>
  </si>
  <si>
    <t>100kg金属矿</t>
  </si>
  <si>
    <t>300g二氧化碳</t>
  </si>
  <si>
    <t>1kg污染水</t>
  </si>
  <si>
    <t>空气净化器</t>
  </si>
  <si>
    <t>100kg矿物</t>
  </si>
  <si>
    <t>133.33g沙子</t>
  </si>
  <si>
    <t>100g污染氧</t>
  </si>
  <si>
    <t>143.33g粘土(1,1)</t>
  </si>
  <si>
    <t>90g氧气(1,1)</t>
  </si>
  <si>
    <t>1*1</t>
  </si>
  <si>
    <t>电力</t>
  </si>
  <si>
    <t>煤炭发电机</t>
  </si>
  <si>
    <t>800kg金属矿</t>
  </si>
  <si>
    <t>1kg煤炭</t>
  </si>
  <si>
    <t>≥110℃ 20g二氧化碳(3,3)</t>
  </si>
  <si>
    <t>-15(3)</t>
  </si>
  <si>
    <t>3*3</t>
  </si>
  <si>
    <t>氢气发电机</t>
  </si>
  <si>
    <t>100g氢气</t>
  </si>
  <si>
    <t>4*3</t>
  </si>
  <si>
    <t>天然气发电机</t>
  </si>
  <si>
    <t>90g天然气</t>
  </si>
  <si>
    <t>≥110℃ 20g二氧化碳</t>
  </si>
  <si>
    <t>≥40℃ 67.5g污染水(3,1)</t>
  </si>
  <si>
    <t>木料发电机</t>
  </si>
  <si>
    <t>1.2kg木料</t>
  </si>
  <si>
    <t>≥110℃ 170g二氧化碳(1,2)</t>
  </si>
  <si>
    <t>石油发电机</t>
  </si>
  <si>
    <t>2kg乙醇/石油</t>
  </si>
  <si>
    <t>≥110℃ 500g二氧化碳(2,4)</t>
  </si>
  <si>
    <t>≥40℃ 750g污染水(3,1)</t>
  </si>
  <si>
    <t>3*4</t>
  </si>
  <si>
    <t>水管</t>
  </si>
  <si>
    <t>户外厕所</t>
  </si>
  <si>
    <t>200kg矿物</t>
  </si>
  <si>
    <t>13kg泥土</t>
  </si>
  <si>
    <t>13kg污染土(1,1)</t>
  </si>
  <si>
    <t>37℃ 6.7kg污染土(1,1)</t>
  </si>
  <si>
    <t>200000食物中毒</t>
  </si>
  <si>
    <t>-20(5)</t>
  </si>
  <si>
    <t>抽水马桶</t>
  </si>
  <si>
    <t>400kg金属矿</t>
  </si>
  <si>
    <t>5kg水</t>
  </si>
  <si>
    <t>5kg污染水</t>
  </si>
  <si>
    <t xml:space="preserve">37℃ 6.7kg污染水       </t>
  </si>
  <si>
    <t>105000食物中毒</t>
  </si>
  <si>
    <t>墙壁马桶</t>
  </si>
  <si>
    <t>100kg塑料</t>
  </si>
  <si>
    <t>2.5kg水</t>
  </si>
  <si>
    <t>2.5kg污染水(-2,1)</t>
  </si>
  <si>
    <t>37℃ 6.7kg污染水(-2,1)</t>
  </si>
  <si>
    <t>120000食物中毒</t>
  </si>
  <si>
    <t>1*3</t>
  </si>
  <si>
    <t>淋浴间</t>
  </si>
  <si>
    <t>16kg/14kg水(有无光照)</t>
  </si>
  <si>
    <t>16kg/14kg污染水</t>
  </si>
  <si>
    <t>10(2)</t>
  </si>
  <si>
    <t>2*4</t>
  </si>
  <si>
    <t>祛湿，除皮肤刺激，士气+3</t>
  </si>
  <si>
    <t>精炼</t>
  </si>
  <si>
    <t>堆肥堆</t>
  </si>
  <si>
    <t>800kg矿物</t>
  </si>
  <si>
    <t>100g污染土/腐烂物</t>
  </si>
  <si>
    <t>≥75℃ 100g泥土(1,2)</t>
  </si>
  <si>
    <t>-20(4)</t>
  </si>
  <si>
    <t>堆肥时间为20/(1+0.25*力量)s</t>
  </si>
  <si>
    <t>藻类蒸馏器</t>
  </si>
  <si>
    <t>600g菌泥</t>
  </si>
  <si>
    <t>≥30℃ 200藻类(2,1)</t>
  </si>
  <si>
    <t>≥30℃ 400g污染水</t>
  </si>
  <si>
    <t>乙醇蒸馏器</t>
  </si>
  <si>
    <t>1kg木料</t>
  </si>
  <si>
    <t>≥93℃ 166.67g二氧化碳(2,1)</t>
  </si>
  <si>
    <t>≥93℃ 333.33g污染土(4,1)</t>
  </si>
  <si>
    <t>≥73℃ 500g乙醇</t>
  </si>
  <si>
    <t>肥料合成器</t>
  </si>
  <si>
    <t>39g污染水</t>
  </si>
  <si>
    <t>65g泥土+26g磷矿</t>
  </si>
  <si>
    <t>≥50℃ 120g肥料(2,3)</t>
  </si>
  <si>
    <t>≥76℃ 10g天然气(4,3)</t>
  </si>
  <si>
    <t>出气格不可堵住</t>
  </si>
  <si>
    <t>窑炉</t>
  </si>
  <si>
    <t>100kg粘土/煤炭</t>
  </si>
  <si>
    <t>25kg煤炭</t>
  </si>
  <si>
    <t>80℃ 100kg陶瓷/精炼碳(1,2)</t>
  </si>
  <si>
    <t>精炼时间40s</t>
  </si>
  <si>
    <t>原油精炼器</t>
  </si>
  <si>
    <t>10kg原油</t>
  </si>
  <si>
    <t>≥75℃ 5kg石油</t>
  </si>
  <si>
    <t>≥75℃ 90g天然气(2,4)</t>
  </si>
  <si>
    <t>4*4</t>
  </si>
  <si>
    <t>5kg超压；需要人力操作</t>
  </si>
  <si>
    <t>净水器</t>
  </si>
  <si>
    <t>1kg沙子/浮土</t>
  </si>
  <si>
    <t>200g污染土(2,1)</t>
  </si>
  <si>
    <t>可以进水基物</t>
  </si>
  <si>
    <t>脱盐器</t>
  </si>
  <si>
    <t>5kg盐水/浓盐水</t>
  </si>
  <si>
    <t>4.65kg/3.5kg水</t>
  </si>
  <si>
    <t>0.35kg/1.5kg盐(2,1)</t>
  </si>
  <si>
    <t>盐积累到1t要小人去抠，不然不能工作；
可以进水基物；不会被淹没</t>
  </si>
  <si>
    <t>泥浆分离器</t>
  </si>
  <si>
    <t>150kg泥巴/污染泥</t>
  </si>
  <si>
    <t>90kg水/污染水</t>
  </si>
  <si>
    <t>60kg泥土/污染土(2,1)</t>
  </si>
  <si>
    <t>操作时间20s</t>
  </si>
  <si>
    <t>聚合物压塑器</t>
  </si>
  <si>
    <t>830g石油</t>
  </si>
  <si>
    <t>≥75℃ 500g塑料(1,2)</t>
  </si>
  <si>
    <t>≥200℃ 8.33g蒸汽(1,2)</t>
  </si>
  <si>
    <t>≥150℃ 8.33g二氧化碳</t>
  </si>
  <si>
    <t>塑料达到15kg排出塑料和蒸汽</t>
  </si>
  <si>
    <t>氧石精炼炉</t>
  </si>
  <si>
    <t>800kg精炼金属
+100kg塑料</t>
  </si>
  <si>
    <t>600g氧气</t>
  </si>
  <si>
    <t>3g金</t>
  </si>
  <si>
    <t>≥30℃ 600g氧石(2,2)</t>
  </si>
  <si>
    <t>玻璃熔炉</t>
  </si>
  <si>
    <t>100kg沙子</t>
  </si>
  <si>
    <t>1941.85℃ 25kg熔融玻璃</t>
  </si>
  <si>
    <t>5*4</t>
  </si>
  <si>
    <t>操作时间40s</t>
  </si>
  <si>
    <t>金属精炼器</t>
  </si>
  <si>
    <t>100kg金属矿/导热质/70kg铁
+20kg精炼碳+10kg石灰</t>
  </si>
  <si>
    <t>400kg液体</t>
  </si>
  <si>
    <t>40℃ 100kg对应精炼
金属/铌/钢(3,1)</t>
  </si>
  <si>
    <t>400kg升高一定热量的
对应液体</t>
  </si>
  <si>
    <t>碎石机</t>
  </si>
  <si>
    <t>100kg(金属矿/导热质/矿物)/
富勒烯/盐/(5kg蛋壳/1单位蟹壳/小蟹壳)</t>
  </si>
  <si>
    <t>40℃ (50kg对应精炼金属/铌/沙子+50kg沙子)/
90kg石墨+10kg沙子/100kg沙子+5g食盐/(5/10/5kg石灰)(2,1)</t>
  </si>
  <si>
    <t>分子熔炉</t>
  </si>
  <si>
    <t>太空材料/石墨</t>
  </si>
  <si>
    <t>40℃ 超级冷却剂/隔热质/粘性凝胶/导热质/富勒烯(2,1)</t>
  </si>
  <si>
    <t>4*5</t>
  </si>
  <si>
    <t>实用</t>
  </si>
  <si>
    <t>200kg精炼金属</t>
  </si>
  <si>
    <t>≥90℃ 3.33kg原油(4,1)</t>
  </si>
  <si>
    <t>300℃ 33.33g天然气(2,1)</t>
  </si>
  <si>
    <t>4*2</t>
  </si>
  <si>
    <t>只能建在储油石上；天然气积累到80kg时压力满，油井不能工作，需要小人来泄压，泄压速度为444.44g/s</t>
  </si>
  <si>
    <t>所有建筑的判定格都在最下一层，奇数为正中间那格，偶数为中间左边那格；坐标以左下角为(1,1)，横坐标在前，无坐标的就由管道排出。</t>
  </si>
  <si>
    <t>配比（尽量少的小数）</t>
  </si>
  <si>
    <t>耗材（单位:kg/c，记得除以小人数)</t>
  </si>
  <si>
    <t>单人配比</t>
  </si>
  <si>
    <t>耗材（kg/c)</t>
  </si>
  <si>
    <t>15夜幕菇</t>
  </si>
  <si>
    <t>:5.6</t>
  </si>
  <si>
    <t>60菌泥</t>
  </si>
  <si>
    <t>2.679夜幕菇</t>
  </si>
  <si>
    <t>10.714菌泥</t>
  </si>
  <si>
    <t>3刺花</t>
  </si>
  <si>
    <t>:1</t>
  </si>
  <si>
    <t>60水</t>
  </si>
  <si>
    <t>3.3沼浆笼</t>
  </si>
  <si>
    <t>:1.12</t>
  </si>
  <si>
    <t>132污染水</t>
  </si>
  <si>
    <t>2.946沼浆笼</t>
  </si>
  <si>
    <t>117.857污染水</t>
  </si>
  <si>
    <t>10贫瘠虫果</t>
  </si>
  <si>
    <t>:3</t>
  </si>
  <si>
    <t>100硫</t>
  </si>
  <si>
    <t>3.333贫瘠虫果</t>
  </si>
  <si>
    <t>33.333硫</t>
  </si>
  <si>
    <t>5小麦</t>
  </si>
  <si>
    <t>:2</t>
  </si>
  <si>
    <t>100水+25泥土</t>
  </si>
  <si>
    <t>2.5小麦</t>
  </si>
  <si>
    <t>50水+12.5泥土</t>
  </si>
  <si>
    <t>10虫果</t>
  </si>
  <si>
    <t>100硫+5蔗糖</t>
  </si>
  <si>
    <t>3.333虫果</t>
  </si>
  <si>
    <t>33.333硫+1.667蔗糖</t>
  </si>
  <si>
    <t>5小麦:6刺花</t>
  </si>
  <si>
    <t>:4</t>
  </si>
  <si>
    <t>220水+25泥土</t>
  </si>
  <si>
    <t>1.25小麦:1.5刺花</t>
  </si>
  <si>
    <t>55.042水+6.25泥土</t>
  </si>
  <si>
    <t>3刺花:1火椒</t>
  </si>
  <si>
    <t>:1.1</t>
  </si>
  <si>
    <t>60水+35污染水+1磷矿</t>
  </si>
  <si>
    <t>2.727刺花:0.909火椒</t>
  </si>
  <si>
    <t>54.545水+31.818污染水+0.909磷矿</t>
  </si>
  <si>
    <t>15夜幕菇:8水草</t>
  </si>
  <si>
    <t>:9.6</t>
  </si>
  <si>
    <t>60菌泥+40盐水+4漂白石</t>
  </si>
  <si>
    <t>1.5625夜幕菇:0.833水草</t>
  </si>
  <si>
    <t>6.25菌泥+4.167盐水+0.417漂白石</t>
  </si>
  <si>
    <t>5小麦:1火椒</t>
  </si>
  <si>
    <t>100水+25泥土+35污染水+1磷矿</t>
  </si>
  <si>
    <t>2.5小麦:0.5火椒</t>
  </si>
  <si>
    <t>50水+12.5泥土+17.5污染水+0.5磷矿</t>
  </si>
  <si>
    <t>5.25小吃芽:1火椒</t>
  </si>
  <si>
    <t>105乙醇+26.25泥土+35污染水+1磷矿+25水</t>
  </si>
  <si>
    <t>2.625小吃芽:0.5火椒</t>
  </si>
  <si>
    <t>52.5乙醇+13.125泥土+12.5水+17.5火椒+0.5磷矿</t>
  </si>
  <si>
    <t>4虫果:3小麦:6刺花</t>
  </si>
  <si>
    <t>:4.2</t>
  </si>
  <si>
    <t>40硫+180水+15泥土</t>
  </si>
  <si>
    <t>0.952虫果:0.714小麦:1.429刺花</t>
  </si>
  <si>
    <t>9.524硫+42.857水+3.571泥土</t>
  </si>
  <si>
    <t>1水草:3小麦</t>
  </si>
  <si>
    <t>:6</t>
  </si>
  <si>
    <t>2肉+5盐水+0.5漂白石+20水+5泥土</t>
  </si>
  <si>
    <t>0.167水草:0.5小麦</t>
  </si>
  <si>
    <t>0.333肉+0.833盐水+0.083漂白石+3.33水+0.833泥土</t>
  </si>
  <si>
    <t>排名</t>
  </si>
  <si>
    <t>优先</t>
  </si>
  <si>
    <t>娱乐建筑</t>
  </si>
  <si>
    <t>buff</t>
  </si>
  <si>
    <t>最多共用人数</t>
  </si>
  <si>
    <t>士气</t>
  </si>
  <si>
    <t>使用时长/s</t>
  </si>
  <si>
    <t>持续时间/周期</t>
  </si>
  <si>
    <t>建筑耗电/W</t>
  </si>
  <si>
    <t>平均每周期耗电/j</t>
  </si>
  <si>
    <t>平均每秒获得士气</t>
  </si>
  <si>
    <t>额外
作用</t>
  </si>
  <si>
    <t>普通</t>
  </si>
  <si>
    <t>加速</t>
  </si>
  <si>
    <t>游戏机台</t>
  </si>
  <si>
    <t>玩电子游戏</t>
  </si>
  <si>
    <t>墨镜沙滩椅</t>
  </si>
  <si>
    <t>日光之吻</t>
  </si>
  <si>
    <t>点唱机器人</t>
  </si>
  <si>
    <t>最近跳舞</t>
  </si>
  <si>
    <t>垂直风洞</t>
  </si>
  <si>
    <t>强风吹过</t>
  </si>
  <si>
    <t>5~8</t>
  </si>
  <si>
    <t>热水浴缸</t>
  </si>
  <si>
    <t>洗了热水浴</t>
  </si>
  <si>
    <t>沙滩椅</t>
  </si>
  <si>
    <t>完全放松</t>
  </si>
  <si>
    <t>桑拿浴室</t>
  </si>
  <si>
    <t>蒸汽力量</t>
  </si>
  <si>
    <t>机械冲浪板</t>
  </si>
  <si>
    <t>兴奋</t>
  </si>
  <si>
    <t>1st</t>
  </si>
  <si>
    <t>淋浴隔间</t>
  </si>
  <si>
    <t>洗浴</t>
  </si>
  <si>
    <t>祛湿</t>
  </si>
  <si>
    <t>汽水机</t>
  </si>
  <si>
    <t>喝了汽水</t>
  </si>
  <si>
    <t>+1科学</t>
  </si>
  <si>
    <t>浓缩咖啡机</t>
  </si>
  <si>
    <t>喝了浓缩咖啡</t>
  </si>
  <si>
    <t>+1运动</t>
  </si>
  <si>
    <t>榨汁机</t>
  </si>
  <si>
    <t>喝了饮料</t>
  </si>
  <si>
    <t>+1力量</t>
  </si>
  <si>
    <t>观光仓</t>
  </si>
  <si>
    <t>观光太空</t>
  </si>
  <si>
    <t>液泵耗电</t>
  </si>
  <si>
    <t>+3全部</t>
  </si>
  <si>
    <t>共线电话</t>
  </si>
  <si>
    <t>长途</t>
  </si>
  <si>
    <t>闲谈</t>
  </si>
  <si>
    <t>安心</t>
  </si>
  <si>
    <t>饮水机</t>
  </si>
  <si>
    <t>社交</t>
  </si>
  <si>
    <t>人力</t>
  </si>
  <si>
    <t>类型</t>
  </si>
  <si>
    <t>重型/工业器械</t>
  </si>
  <si>
    <t>轻型器械</t>
  </si>
  <si>
    <t>基础/食物/
医疗/家具</t>
  </si>
  <si>
    <t>所有</t>
  </si>
  <si>
    <t>氧气扩散器</t>
  </si>
  <si>
    <t>钻石压机</t>
  </si>
  <si>
    <t>人力发电机</t>
  </si>
  <si>
    <t>开发者发电机</t>
  </si>
  <si>
    <t>木料燃烧器</t>
  </si>
  <si>
    <t>蒸汽涡轮机</t>
  </si>
  <si>
    <t>三种电池</t>
  </si>
  <si>
    <t>站台</t>
  </si>
  <si>
    <t>技能涤除器</t>
  </si>
  <si>
    <t>工作台</t>
  </si>
  <si>
    <t>纺织机</t>
  </si>
  <si>
    <t>时装翻新器</t>
  </si>
  <si>
    <t>太阳能板</t>
  </si>
  <si>
    <t>太空服锻造台</t>
  </si>
  <si>
    <t>（大型）变压器</t>
  </si>
  <si>
    <t>信号</t>
  </si>
  <si>
    <t>太空扫描仪</t>
  </si>
  <si>
    <t>水管/通风/
运输</t>
  </si>
  <si>
    <t>（微型）气/液泵</t>
  </si>
  <si>
    <t>自动清扫器</t>
  </si>
  <si>
    <t>火箭</t>
  </si>
  <si>
    <t>运输装载器</t>
  </si>
  <si>
    <t>机器人矿工</t>
  </si>
  <si>
    <t>火箭平台</t>
  </si>
  <si>
    <t>开发者气/液/固体泵</t>
  </si>
  <si>
    <t>定位信标</t>
  </si>
  <si>
    <t>气/液/固体筛选器</t>
  </si>
  <si>
    <t>铀素离心机</t>
  </si>
  <si>
    <t>火箭端口气/液/固体装/卸载器</t>
  </si>
  <si>
    <t>研究性反应堆</t>
  </si>
  <si>
    <t>矿石洗涤器</t>
  </si>
  <si>
    <t>满格量N=</t>
  </si>
  <si>
    <t>单位:kg</t>
  </si>
  <si>
    <r>
      <rPr>
        <sz val="10"/>
        <color theme="1"/>
        <rFont val="等线"/>
        <charset val="134"/>
        <scheme val="minor"/>
      </rPr>
      <t>单格抗压值P=A+N=x*N     抗压倍数x与液体种类无关
一格裂纹每2秒漏1kg液体
不同液体要更改上面的满格量N，整个表格会随之变动
两格抗压值P’=A</t>
    </r>
    <r>
      <rPr>
        <sz val="8"/>
        <color theme="1"/>
        <rFont val="等线"/>
        <charset val="134"/>
        <scheme val="minor"/>
      </rPr>
      <t>1</t>
    </r>
    <r>
      <rPr>
        <sz val="10"/>
        <color theme="1"/>
        <rFont val="等线"/>
        <charset val="134"/>
        <scheme val="minor"/>
      </rPr>
      <t>+A</t>
    </r>
    <r>
      <rPr>
        <sz val="8"/>
        <color theme="1"/>
        <rFont val="等线"/>
        <charset val="134"/>
        <scheme val="minor"/>
      </rPr>
      <t>2</t>
    </r>
    <r>
      <rPr>
        <sz val="10"/>
        <color theme="1"/>
        <rFont val="等线"/>
        <charset val="134"/>
        <scheme val="minor"/>
      </rPr>
      <t>+N=x’*N，两格不会漏液体</t>
    </r>
  </si>
  <si>
    <t xml:space="preserve">       砖类
材料</t>
  </si>
  <si>
    <r>
      <rPr>
        <sz val="11"/>
        <color theme="1"/>
        <rFont val="等线"/>
        <charset val="134"/>
        <scheme val="minor"/>
      </rPr>
      <t xml:space="preserve">自然砖
</t>
    </r>
    <r>
      <rPr>
        <sz val="10"/>
        <color theme="1"/>
        <rFont val="等线"/>
        <charset val="134"/>
        <scheme val="minor"/>
      </rPr>
      <t>A</t>
    </r>
    <r>
      <rPr>
        <sz val="8"/>
        <color theme="1"/>
        <rFont val="等线"/>
        <charset val="134"/>
        <scheme val="minor"/>
      </rPr>
      <t>∝</t>
    </r>
    <r>
      <rPr>
        <sz val="10"/>
        <color theme="1"/>
        <rFont val="等线"/>
        <charset val="134"/>
        <scheme val="minor"/>
      </rPr>
      <t>m
P=m/m</t>
    </r>
    <r>
      <rPr>
        <sz val="6"/>
        <color theme="1"/>
        <rFont val="等线"/>
        <charset val="134"/>
        <scheme val="minor"/>
      </rPr>
      <t>0</t>
    </r>
    <r>
      <rPr>
        <sz val="10"/>
        <color theme="1"/>
        <rFont val="等线"/>
        <charset val="134"/>
        <scheme val="minor"/>
      </rPr>
      <t>*A</t>
    </r>
    <r>
      <rPr>
        <sz val="6"/>
        <color theme="1"/>
        <rFont val="等线"/>
        <charset val="134"/>
        <scheme val="minor"/>
      </rPr>
      <t>0</t>
    </r>
    <r>
      <rPr>
        <sz val="10"/>
        <color theme="1"/>
        <rFont val="等线"/>
        <charset val="134"/>
        <scheme val="minor"/>
      </rPr>
      <t>+N</t>
    </r>
  </si>
  <si>
    <t>砖块
P=1.5A0+N</t>
  </si>
  <si>
    <t xml:space="preserve">
隔热砖/
地毯砖/
窗户砖/
金属砖/
塑料砖/
土培砖/
液培砖/
压力板/
高压电线接合板/
高压导线接合板/
运载管道渡口/
砖块(遗迹)
P=P0</t>
  </si>
  <si>
    <t>气液体/三层实体砖/所有门包括遗迹门/透气砖/太阳能板/中子物质
P=∞</t>
  </si>
  <si>
    <r>
      <rPr>
        <sz val="11"/>
        <color theme="1"/>
        <rFont val="等线"/>
        <charset val="134"/>
        <scheme val="minor"/>
      </rPr>
      <t>质量m</t>
    </r>
    <r>
      <rPr>
        <sz val="6"/>
        <color theme="1"/>
        <rFont val="等线"/>
        <charset val="134"/>
        <scheme val="minor"/>
      </rPr>
      <t>0</t>
    </r>
  </si>
  <si>
    <r>
      <rPr>
        <sz val="11"/>
        <color theme="1"/>
        <rFont val="等线"/>
        <charset val="134"/>
        <scheme val="minor"/>
      </rPr>
      <t>抗压质量</t>
    </r>
    <r>
      <rPr>
        <sz val="11"/>
        <color theme="1"/>
        <rFont val="等线"/>
        <charset val="134"/>
        <scheme val="minor"/>
      </rPr>
      <t>P</t>
    </r>
    <r>
      <rPr>
        <sz val="8"/>
        <color theme="1"/>
        <rFont val="等线"/>
        <charset val="134"/>
        <scheme val="minor"/>
      </rPr>
      <t>0</t>
    </r>
  </si>
  <si>
    <r>
      <rPr>
        <sz val="10"/>
        <color theme="1"/>
        <rFont val="等线"/>
        <charset val="134"/>
        <scheme val="minor"/>
      </rPr>
      <t>其它
P=m/m</t>
    </r>
    <r>
      <rPr>
        <sz val="6"/>
        <color theme="1"/>
        <rFont val="等线"/>
        <charset val="134"/>
        <scheme val="minor"/>
      </rPr>
      <t>0</t>
    </r>
    <r>
      <rPr>
        <sz val="10"/>
        <color theme="1"/>
        <rFont val="等线"/>
        <charset val="134"/>
        <scheme val="minor"/>
      </rPr>
      <t>*A</t>
    </r>
    <r>
      <rPr>
        <sz val="6"/>
        <color theme="1"/>
        <rFont val="等线"/>
        <charset val="134"/>
        <scheme val="minor"/>
      </rPr>
      <t>0</t>
    </r>
    <r>
      <rPr>
        <sz val="10"/>
        <color theme="1"/>
        <rFont val="等线"/>
        <charset val="134"/>
        <scheme val="minor"/>
      </rPr>
      <t>+N</t>
    </r>
    <r>
      <rPr>
        <sz val="6"/>
        <color theme="1"/>
        <rFont val="等线"/>
        <charset val="134"/>
        <scheme val="minor"/>
      </rPr>
      <t xml:space="preserve">
</t>
    </r>
    <r>
      <rPr>
        <sz val="10"/>
        <color theme="1"/>
        <rFont val="等线"/>
        <charset val="134"/>
        <scheme val="minor"/>
      </rPr>
      <t>m为建筑质量</t>
    </r>
  </si>
  <si>
    <t>火箭平台
m=800</t>
  </si>
  <si>
    <t>喂鱼器
m=200</t>
  </si>
  <si>
    <t>鱼类放生点
m=50</t>
  </si>
  <si>
    <t>钨锰铁矿</t>
  </si>
  <si>
    <t>地堡砖
P=21*N</t>
  </si>
  <si>
    <t>发射支架
P=1.04*N</t>
  </si>
  <si>
    <t>方块类别</t>
  </si>
  <si>
    <t>组成物质</t>
  </si>
  <si>
    <t>液体种类</t>
  </si>
  <si>
    <t>方块质量kg(选填)</t>
  </si>
  <si>
    <t>抗压值</t>
  </si>
  <si>
    <t>砖块1</t>
  </si>
  <si>
    <t>普通砖</t>
  </si>
  <si>
    <t>砖块2</t>
  </si>
  <si>
    <t>自然砖</t>
  </si>
  <si>
    <t>双砖合计</t>
  </si>
  <si>
    <t>注：</t>
  </si>
  <si>
    <t>只有自然砖需要填写方块质量；</t>
  </si>
  <si>
    <t>下拉选项可以直接打字，再从下拉选项中确认输入正确；</t>
  </si>
  <si>
    <t>中子物质、所有门、透气砖、三层砖是无限抗压的；</t>
  </si>
  <si>
    <t>全部抗压系数数据来自EWZP；</t>
  </si>
  <si>
    <t>计算器整理来自caspase9。</t>
  </si>
  <si>
    <t>类别</t>
  </si>
  <si>
    <t>mod原名</t>
  </si>
  <si>
    <t>mod直译</t>
  </si>
  <si>
    <t>mod意译</t>
  </si>
  <si>
    <t>mod作用</t>
  </si>
  <si>
    <t>Falling Sand</t>
  </si>
  <si>
    <t>正在掉落的沙子</t>
  </si>
  <si>
    <t>挖掘落沙</t>
  </si>
  <si>
    <t>挖掉一块土块后其上的坠落土块如沙子会自动标记挖掘命令。</t>
  </si>
  <si>
    <t>Sweep By Type</t>
  </si>
  <si>
    <t>根据类别清扫</t>
  </si>
  <si>
    <t>分类清扫</t>
  </si>
  <si>
    <t>Efficient Supply</t>
  </si>
  <si>
    <t>高效供应</t>
  </si>
  <si>
    <r>
      <rPr>
        <sz val="11"/>
        <color rgb="FF0070C0"/>
        <rFont val="等线"/>
        <charset val="134"/>
        <scheme val="minor"/>
      </rPr>
      <t>可以设定每次供应的百分比，尽量一次供应足够的量，</t>
    </r>
    <r>
      <rPr>
        <sz val="11"/>
        <color rgb="FFC00000"/>
        <rFont val="等线"/>
        <charset val="134"/>
        <scheme val="minor"/>
      </rPr>
      <t>建议去mod设置里改成100%</t>
    </r>
    <r>
      <rPr>
        <sz val="11"/>
        <color rgb="FF0070C0"/>
        <rFont val="等线"/>
        <charset val="134"/>
        <scheme val="minor"/>
      </rPr>
      <t>。</t>
    </r>
  </si>
  <si>
    <t>Bigger Camera Zoom Out</t>
  </si>
  <si>
    <t>更大的相机缩小</t>
  </si>
  <si>
    <t>无限制视角</t>
  </si>
  <si>
    <t>缩放视角不再有最大值。</t>
  </si>
  <si>
    <t>Bigger Building Menu</t>
  </si>
  <si>
    <t>更大的建筑菜单</t>
  </si>
  <si>
    <t>telescope auto research</t>
  </si>
  <si>
    <t>望远镜自动研究</t>
  </si>
  <si>
    <t>望远镜研究完一个会自动换下一个，按顺序研究完4层后会每层一个的快速研究到裂隙。</t>
  </si>
  <si>
    <t>schedule shift</t>
  </si>
  <si>
    <t>排班</t>
  </si>
  <si>
    <t>新建日程表会复制上面一个，同时有左右按钮可以横移整个日程表。</t>
  </si>
  <si>
    <t>Research Queue</t>
  </si>
  <si>
    <t>研究队列</t>
  </si>
  <si>
    <t>按住shift可以给多个研究排序。</t>
  </si>
  <si>
    <t>No Research Alerts</t>
  </si>
  <si>
    <t>没有研究警报</t>
  </si>
  <si>
    <r>
      <rPr>
        <sz val="11"/>
        <color theme="1"/>
        <rFont val="等线"/>
        <charset val="134"/>
        <scheme val="minor"/>
      </rPr>
      <t>左下的叹号会被隐藏，</t>
    </r>
    <r>
      <rPr>
        <sz val="11"/>
        <color rgb="FFC00000"/>
        <rFont val="等线"/>
        <charset val="134"/>
        <scheme val="minor"/>
      </rPr>
      <t>可在配置里修改成只在大分类上显示叹号。</t>
    </r>
  </si>
  <si>
    <t>Show Building Ranges</t>
  </si>
  <si>
    <t>显示建筑范围</t>
  </si>
  <si>
    <t>显示气泵、液泵、空气净化器和碳素机等机器的工作范围。</t>
  </si>
  <si>
    <t>Better Info Cards</t>
  </si>
  <si>
    <t>更好的信息卡</t>
  </si>
  <si>
    <t>信息卡在下方不够显示会在第二列显示，可以修改每个卡片的大小。</t>
  </si>
  <si>
    <t>Suppress Notifications</t>
  </si>
  <si>
    <t>禁止通知</t>
  </si>
  <si>
    <t>禁言</t>
  </si>
  <si>
    <t>像插头，过热的红条，损坏的裂开，缺资源等红标都可以隐藏，左上角的提示也同步隐藏。</t>
  </si>
  <si>
    <t>1*</t>
  </si>
  <si>
    <t>Mod Updater</t>
  </si>
  <si>
    <t>模组更新器</t>
  </si>
  <si>
    <t>更新部分mod至最新。</t>
  </si>
  <si>
    <t>Default Building Settings</t>
  </si>
  <si>
    <t>默认建筑设置</t>
  </si>
  <si>
    <r>
      <rPr>
        <sz val="11"/>
        <color rgb="FF0070C0"/>
        <rFont val="等线"/>
        <charset val="134"/>
        <scheme val="minor"/>
      </rPr>
      <t>1建筑默认禁用维修，2气动门造好立刻安排打开的命令，3信号开关默认红信号，4检查站默认仅限空位，5存储箱默认仅限清扫，6修改智能电池的默认百分比，7修改人力、煤炭、木料发电机的默认百分比，8修改储液库、储气库的默认百分比。（</t>
    </r>
    <r>
      <rPr>
        <sz val="11"/>
        <color rgb="FFC00000"/>
        <rFont val="等线"/>
        <charset val="134"/>
        <scheme val="minor"/>
      </rPr>
      <t>以上内容都需要去mod页面内设置</t>
    </r>
    <r>
      <rPr>
        <sz val="11"/>
        <color rgb="FF0070C0"/>
        <rFont val="等线"/>
        <charset val="134"/>
        <scheme val="minor"/>
      </rPr>
      <t>）</t>
    </r>
  </si>
  <si>
    <t>Better Automation Overlay</t>
  </si>
  <si>
    <t>更好的自动化概览</t>
  </si>
  <si>
    <t>在自动化概览直接显示自动化的秒数等。</t>
  </si>
  <si>
    <t>Clarified Max Decor</t>
  </si>
  <si>
    <t>澄清最大装饰</t>
  </si>
  <si>
    <t>显示实际装饰</t>
  </si>
  <si>
    <t>显示实际装饰而不是120。</t>
  </si>
  <si>
    <t>GasOverlay</t>
  </si>
  <si>
    <t>气体概览</t>
  </si>
  <si>
    <t>替代原版F1的氧气概览，用不同的颜色区分不同的气体。</t>
  </si>
  <si>
    <t>Mod Filter</t>
  </si>
  <si>
    <t>mod过滤器</t>
  </si>
  <si>
    <t>mod界面新增一个搜索框，搜索已装mod。</t>
  </si>
  <si>
    <t>Blueprints fixed</t>
  </si>
  <si>
    <t>蓝图修复</t>
  </si>
  <si>
    <t>蓝图</t>
  </si>
  <si>
    <t>Don't Idle in Doors</t>
  </si>
  <si>
    <t>不要在门里闲逛</t>
  </si>
  <si>
    <t>小人闲逛时尽量不待在门里，一般用于不严格要求气密性的气闸。</t>
  </si>
  <si>
    <t>Build Straight Up</t>
  </si>
  <si>
    <t>直接建造</t>
  </si>
  <si>
    <t>允许本体火箭和丰碑在蓝图上直接继续搭建蓝图。</t>
  </si>
  <si>
    <t>Deconstruct Only Buildings</t>
  </si>
  <si>
    <t>仅解构建筑物</t>
  </si>
  <si>
    <t>读档后拆除默认仅建筑，以前没有这个mod老是忘勾选，然后拆了别的东西。</t>
  </si>
  <si>
    <t>Map Overlay</t>
  </si>
  <si>
    <t>地图概览</t>
  </si>
  <si>
    <t>高亮中子以及泉水，高亮不同区块的颜色等功能。</t>
  </si>
  <si>
    <t>Ach/Res:Names</t>
  </si>
  <si>
    <t>成就/科技：名字</t>
  </si>
  <si>
    <t>完成成就或研究时，左上角直接显示具体的名字。</t>
  </si>
  <si>
    <t>Conveyor Rail Display</t>
  </si>
  <si>
    <t>传送带显示</t>
  </si>
  <si>
    <t>轨道会显示在轨桥上面，而不是被挡住。</t>
  </si>
  <si>
    <t>Plan Buildings Without Materials</t>
  </si>
  <si>
    <t>无材料规划建筑</t>
  </si>
  <si>
    <t>材料不足的时候也能继续规划蓝图，这样就不会自动换成其它的材料。没发现的材料不行。</t>
  </si>
  <si>
    <t>Workshop Profiles</t>
  </si>
  <si>
    <t>车间简介</t>
  </si>
  <si>
    <t>设置建筑使用者</t>
  </si>
  <si>
    <t>一些建筑多了一个类似马桶的限制，可以只许某个或某些小人使用该建筑。</t>
  </si>
  <si>
    <t>Pip Plant Overlay</t>
  </si>
  <si>
    <t>树鼠种植概览</t>
  </si>
  <si>
    <t>显示土块对于树鼠可以种植或不可种植的原因。</t>
  </si>
  <si>
    <t>Resize Dup UI</t>
  </si>
  <si>
    <t>调整面板大小</t>
  </si>
  <si>
    <t>日程表、小人信息、优先级、食物限制的面板更长了。</t>
  </si>
  <si>
    <t>Material Selection Properties</t>
  </si>
  <si>
    <t>材料选择属性</t>
  </si>
  <si>
    <t>在“材质选择”面板中，导热、比热和熔点都会显示出来。</t>
  </si>
  <si>
    <t>Fast Pod Notification</t>
  </si>
  <si>
    <t>快速 Pod 通知</t>
  </si>
  <si>
    <t>点击左上角的打印门刷新可以立刻打开选人界面，就跟以前一样。</t>
  </si>
  <si>
    <t>Auto-Eject</t>
  </si>
  <si>
    <t>自动弹出</t>
  </si>
  <si>
    <t>传送器和洗脑机完成后会自动弹出小人，和下文的“选择神经振荡器”兼容。</t>
  </si>
  <si>
    <t>TemperaturE-05</t>
  </si>
  <si>
    <t>温度e-5</t>
  </si>
  <si>
    <t>温度显示小数点后5位。</t>
  </si>
  <si>
    <t>Quick Priority</t>
  </si>
  <si>
    <t>快捷优先级</t>
  </si>
  <si>
    <t>在激活工具时，数字按键将修改优先级，而非开启建筑菜单。影响的工具：挖掘、拆除、攻击、捕捉、清空管道、收割。</t>
  </si>
  <si>
    <t>Missing Element Textures</t>
  </si>
  <si>
    <t>缺少元素纹理</t>
  </si>
  <si>
    <t>为一些元素（比如浓盐冰碎片）添加缺少的纹理，纯视觉效果。</t>
  </si>
  <si>
    <t>Grouped Resources</t>
  </si>
  <si>
    <t>分组资源</t>
  </si>
  <si>
    <t>Drag Area More Visible</t>
  </si>
  <si>
    <t>拖动区域更明显</t>
  </si>
  <si>
    <t>Radioactive Wheezewort [Visual] [DLC]</t>
  </si>
  <si>
    <t>放射性冰息萝卜</t>
  </si>
  <si>
    <t>萝卜带有辐射的视觉效果，仅DLC。</t>
  </si>
  <si>
    <t>No Manual Delivery</t>
  </si>
  <si>
    <t>无人工交付</t>
  </si>
  <si>
    <t>无人力供应</t>
  </si>
  <si>
    <t>大部分建筑多了一个类似装载器的允许人力操作的选项，禁用后只能清扫器使用，禁止小人抢供应任务（仍能操作、烹饪等）。</t>
  </si>
  <si>
    <t>2*</t>
  </si>
  <si>
    <t>bottle emptier extend</t>
  </si>
  <si>
    <t>空瓶器延长</t>
  </si>
  <si>
    <t>取水大爷的量杯</t>
  </si>
  <si>
    <t>可以设定使用空瓶器的最大值。</t>
  </si>
  <si>
    <t>Move This Here</t>
  </si>
  <si>
    <t>把这个移到这里</t>
  </si>
  <si>
    <t>可以命令小人运送材料、液体到某处。（打这个mod的话就不需要上面那个量杯了）</t>
  </si>
  <si>
    <t>squirrel behavior correction</t>
  </si>
  <si>
    <t>松鼠行为矫正</t>
  </si>
  <si>
    <t>树鼠仍会翻箱子，但只会翻出种子来。</t>
  </si>
  <si>
    <t>Better Multitool Animations</t>
  </si>
  <si>
    <t>更好的多工具动画</t>
  </si>
  <si>
    <t>复制人在等级高时能更快的更换工具枪，而不是永远的恒速，7级时与原版相同，20级时为3倍原版速度。</t>
  </si>
  <si>
    <t>No Sensor Limits</t>
  </si>
  <si>
    <t>无传感器限制</t>
  </si>
  <si>
    <t>传感器无上限</t>
  </si>
  <si>
    <t>所有传感器和放生点上限上调至999999，但滑条上下限不变。</t>
  </si>
  <si>
    <t>Build Over Plants</t>
  </si>
  <si>
    <t>建造覆盖植物</t>
  </si>
  <si>
    <t>可以在不挖掉植物的情况下直接画蓝图。</t>
  </si>
  <si>
    <t>DGSM</t>
  </si>
  <si>
    <t>定制小人。</t>
  </si>
  <si>
    <t>Immigrants Reroll</t>
  </si>
  <si>
    <t>刷新选人</t>
  </si>
  <si>
    <t>打印舱的全部拒绝改成全部重选，可以和DGSM共用。</t>
  </si>
  <si>
    <t>PrintingPodRefresh</t>
  </si>
  <si>
    <t>打印仓像开局一样可以单个刷新和确定一项兴趣，也能全部重选。</t>
  </si>
  <si>
    <t>Choose Neural Vacillator</t>
  </si>
  <si>
    <t>选择神经震荡器</t>
  </si>
  <si>
    <t>自选洗脑的特质。</t>
  </si>
  <si>
    <t>Hold Construction</t>
  </si>
  <si>
    <t>持有建设</t>
  </si>
  <si>
    <t>暂停施工</t>
  </si>
  <si>
    <t>3*</t>
  </si>
  <si>
    <t>More Marble Sculptures</t>
  </si>
  <si>
    <t>更多大理石雕塑</t>
  </si>
  <si>
    <t>More Small Sculptures</t>
  </si>
  <si>
    <t>更多的小雕塑</t>
  </si>
  <si>
    <t>True Tiles (texture mod)</t>
  </si>
  <si>
    <t>真正的瓷砖（纹理模型）</t>
  </si>
  <si>
    <t>Visualization of sensor data</t>
  </si>
  <si>
    <t>传感器数据可视化</t>
  </si>
  <si>
    <t>新增可以显示气压表、液压表等的实时数据的显示屏。</t>
  </si>
  <si>
    <t>Force Geyser Eruption</t>
  </si>
  <si>
    <t>暴力间歇泉喷发</t>
  </si>
  <si>
    <t>沙盒下可以使泉强制喷发或强制间歇（debug不行）。</t>
  </si>
  <si>
    <t>Sandbox Tools</t>
  </si>
  <si>
    <t>沙盒工具</t>
  </si>
  <si>
    <t>沙盒中的摧毁可分类，生成新增泉水、太空装饰品。</t>
  </si>
  <si>
    <t>Remove Sandbox Lock Mode</t>
  </si>
  <si>
    <t>去除沙盒模式限制</t>
  </si>
  <si>
    <t>可以自由开关沙盒模式，且不影响成就。</t>
  </si>
  <si>
    <t>Free Resource Buildings</t>
  </si>
  <si>
    <t>免费资源建筑</t>
  </si>
  <si>
    <t>增加一些自动虚空补充物质的箱子，本身是比较imba的mod，但是可以在mod设置里改成仅沙盒，这样装置的材料就是中子做的，正常是做不出来的。</t>
  </si>
  <si>
    <t>5*</t>
  </si>
  <si>
    <t>MiniBase</t>
  </si>
  <si>
    <t>迷你星</t>
  </si>
  <si>
    <t>新增一个很小的地图，可在设置左右下三个方向的泉，下方和初始区域的生态，区域大小等。</t>
  </si>
  <si>
    <t>EmptyWorlds (SkyBlock)</t>
  </si>
  <si>
    <t>真空世界</t>
  </si>
  <si>
    <t>新增两个图：一个除了舒适区都是太空暴露和泉；另一个是区块间是太空暴露的群岛。</t>
  </si>
  <si>
    <t>Pinned Resource List Extended</t>
  </si>
  <si>
    <t>固定资源列表扩展</t>
  </si>
  <si>
    <t>将“资源”窗口展开为5页，当前页面突出显示为绿色，右键单击绿色按钮，将变为紫色并转为一个新页面，紫色页面更换星球时会锁定资源列表。可在资源中心对资源排序。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</si>
  <si>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</si>
  <si>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</si>
  <si>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</si>
  <si>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</si>
  <si>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</si>
  <si>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</si>
  <si>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</si>
  <si>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</si>
  <si>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</si>
  <si>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</si>
  <si>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</si>
  <si>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Shift+F1</t>
  </si>
  <si>
    <t>Shift+F2</t>
  </si>
  <si>
    <t>Shift+F3</t>
  </si>
  <si>
    <t>Shift+F4</t>
  </si>
  <si>
    <t>氧气概览</t>
  </si>
  <si>
    <t>温度</t>
  </si>
  <si>
    <t>材料</t>
  </si>
  <si>
    <t>通风</t>
  </si>
  <si>
    <t>病菌</t>
  </si>
  <si>
    <t>农业</t>
  </si>
  <si>
    <t>房间</t>
  </si>
  <si>
    <t>太空服</t>
  </si>
  <si>
    <t>自动化</t>
  </si>
  <si>
    <t>运输</t>
  </si>
  <si>
    <t>=</t>
  </si>
  <si>
    <t>Backspace</t>
  </si>
  <si>
    <t>Ins</t>
  </si>
  <si>
    <t>基础</t>
  </si>
  <si>
    <t>医疗</t>
  </si>
  <si>
    <t>家具</t>
  </si>
  <si>
    <t>debug调试</t>
  </si>
  <si>
    <t>清空管道</t>
  </si>
  <si>
    <t>Tab</t>
  </si>
  <si>
    <t>Q</t>
  </si>
  <si>
    <t>W</t>
  </si>
  <si>
    <t>E</t>
  </si>
  <si>
    <t>R</t>
  </si>
  <si>
    <t>T</t>
  </si>
  <si>
    <t>Y</t>
  </si>
  <si>
    <t>U</t>
  </si>
  <si>
    <t>I</t>
  </si>
  <si>
    <t>O</t>
  </si>
  <si>
    <t>P</t>
  </si>
  <si>
    <t>Shift+-</t>
  </si>
  <si>
    <t>Shift+=</t>
  </si>
  <si>
    <t>倍速</t>
  </si>
  <si>
    <t>上</t>
  </si>
  <si>
    <t>每日报告</t>
  </si>
  <si>
    <t>研究</t>
  </si>
  <si>
    <t>攻击</t>
  </si>
  <si>
    <t>收获</t>
  </si>
  <si>
    <t>数据库</t>
  </si>
  <si>
    <t>消毒</t>
  </si>
  <si>
    <t>旋转</t>
  </si>
  <si>
    <t>优先度</t>
  </si>
  <si>
    <t>复制设置</t>
  </si>
  <si>
    <t>Caps</t>
  </si>
  <si>
    <t>A</t>
  </si>
  <si>
    <t>S</t>
  </si>
  <si>
    <t>D</t>
  </si>
  <si>
    <t>F</t>
  </si>
  <si>
    <t>G</t>
  </si>
  <si>
    <t>H</t>
  </si>
  <si>
    <t>J</t>
  </si>
  <si>
    <t>K</t>
  </si>
  <si>
    <t>L</t>
  </si>
  <si>
    <t>分号</t>
  </si>
  <si>
    <t>引号</t>
  </si>
  <si>
    <t>Enter</t>
  </si>
  <si>
    <t>左</t>
  </si>
  <si>
    <t>下</t>
  </si>
  <si>
    <t>右</t>
  </si>
  <si>
    <t>食谱</t>
  </si>
  <si>
    <t>挖掘</t>
  </si>
  <si>
    <t>聚焦打印舱</t>
  </si>
  <si>
    <t>技能</t>
  </si>
  <si>
    <t>清扫</t>
  </si>
  <si>
    <t>优先级</t>
  </si>
  <si>
    <t>禁用建筑</t>
  </si>
  <si>
    <t>Shift</t>
  </si>
  <si>
    <t>Z</t>
  </si>
  <si>
    <t>X</t>
  </si>
  <si>
    <t>C</t>
  </si>
  <si>
    <t>V</t>
  </si>
  <si>
    <t>B</t>
  </si>
  <si>
    <t>N</t>
  </si>
  <si>
    <t>M</t>
  </si>
  <si>
    <t>逗号</t>
  </si>
  <si>
    <t>句号</t>
  </si>
  <si>
    <t>问号</t>
  </si>
  <si>
    <t>星图</t>
  </si>
  <si>
    <t>拆除</t>
  </si>
  <si>
    <t>取消</t>
  </si>
  <si>
    <t>状态</t>
  </si>
  <si>
    <t>复制</t>
  </si>
  <si>
    <t>捕捉</t>
  </si>
  <si>
    <t>擦拭</t>
  </si>
  <si>
    <t>日程表</t>
  </si>
  <si>
    <t>Ctrl</t>
  </si>
  <si>
    <t>Alt</t>
  </si>
  <si>
    <t>Space</t>
  </si>
  <si>
    <t>暂停</t>
  </si>
  <si>
    <t>Ctrl+数字</t>
  </si>
  <si>
    <t>Shift+数字</t>
  </si>
  <si>
    <t>~+数字</t>
  </si>
  <si>
    <t>记录镜头位置</t>
  </si>
  <si>
    <t>聚焦镜头位置</t>
  </si>
  <si>
    <t>跳转星球</t>
  </si>
  <si>
    <t>个人把
旋转改至Q
钳子改至E
自动化概览和F1交换
轨道概览和F3交换</t>
  </si>
  <si>
    <t>Ctrl+F4</t>
  </si>
  <si>
    <t>Ctrl+F2</t>
  </si>
  <si>
    <t>Alt+F2</t>
  </si>
  <si>
    <t>Ctrl+U</t>
  </si>
  <si>
    <t>Alt+Z</t>
  </si>
  <si>
    <t>Alt+S</t>
  </si>
  <si>
    <t>瞬间建造</t>
  </si>
  <si>
    <t>生成小人</t>
  </si>
  <si>
    <t>生成气压服小人</t>
  </si>
  <si>
    <t>十倍速</t>
  </si>
  <si>
    <t>隐藏UI</t>
  </si>
  <si>
    <t>Shift+S</t>
  </si>
  <si>
    <t>Shift+E</t>
  </si>
  <si>
    <t>Shift+F</t>
  </si>
  <si>
    <t>Shift+B</t>
  </si>
  <si>
    <t>Shift+K</t>
  </si>
  <si>
    <t>Shift+C</t>
  </si>
  <si>
    <t>Shift+X</t>
  </si>
  <si>
    <t>Shift+H</t>
  </si>
  <si>
    <t>沙盒模式</t>
  </si>
  <si>
    <t>生成</t>
  </si>
  <si>
    <t>填充</t>
  </si>
  <si>
    <t>刷子</t>
  </si>
  <si>
    <t>取样</t>
  </si>
  <si>
    <t>清除碎片</t>
  </si>
  <si>
    <t>摧毁</t>
  </si>
  <si>
    <t>热量</t>
  </si>
  <si>
    <t>单位:kg或kj/周期</t>
  </si>
  <si>
    <t>原产品</t>
  </si>
  <si>
    <t>中间产物</t>
  </si>
  <si>
    <t>最终产物</t>
  </si>
  <si>
    <t>单位水产电(kj/kg)</t>
  </si>
  <si>
    <t>单位水芯片产电(kj/kg)</t>
  </si>
  <si>
    <t>芯片比率</t>
  </si>
  <si>
    <t>产电</t>
  </si>
  <si>
    <t>耗电</t>
  </si>
  <si>
    <t>净产电</t>
  </si>
  <si>
    <t>芯片净产电</t>
  </si>
  <si>
    <r>
      <rPr>
        <sz val="11"/>
        <color theme="1"/>
        <rFont val="等线"/>
        <charset val="134"/>
        <scheme val="minor"/>
      </rPr>
      <t>CO</t>
    </r>
    <r>
      <rPr>
        <sz val="6"/>
        <color theme="1"/>
        <rFont val="等线"/>
        <charset val="134"/>
        <scheme val="minor"/>
      </rPr>
      <t>2</t>
    </r>
  </si>
  <si>
    <t>污水</t>
  </si>
  <si>
    <t>水-油-机器</t>
  </si>
  <si>
    <t>水-油-裂化</t>
  </si>
  <si>
    <t>水-油-裂解</t>
  </si>
  <si>
    <t>木料</t>
  </si>
  <si>
    <t>水-木料</t>
  </si>
  <si>
    <t>水-乙醇</t>
  </si>
  <si>
    <t>水-氢</t>
  </si>
  <si>
    <t>水-氢,人</t>
  </si>
  <si>
    <t>单位:kg或kj每周期</t>
  </si>
  <si>
    <t>发电</t>
  </si>
  <si>
    <t>净发电</t>
  </si>
  <si>
    <t>芯片净发电</t>
  </si>
  <si>
    <t>CO2</t>
  </si>
  <si>
    <t>污土</t>
  </si>
  <si>
    <t>泥土/污土</t>
  </si>
  <si>
    <t>种植的两棵树</t>
  </si>
  <si>
    <t>净产量</t>
  </si>
  <si>
    <t>野生的一棵树</t>
  </si>
  <si>
    <t>序号</t>
  </si>
  <si>
    <t>名称</t>
  </si>
  <si>
    <t>压力</t>
  </si>
  <si>
    <t>喜悦</t>
  </si>
  <si>
    <t>1-6</t>
  </si>
  <si>
    <t>班妮</t>
  </si>
  <si>
    <t>毁坏</t>
  </si>
  <si>
    <t>超生</t>
  </si>
  <si>
    <t>1-4</t>
  </si>
  <si>
    <t>阿里</t>
  </si>
  <si>
    <t>大哭</t>
  </si>
  <si>
    <t>贴纸</t>
  </si>
  <si>
    <t>4-7</t>
  </si>
  <si>
    <t>尼古拉</t>
  </si>
  <si>
    <t>3-7</t>
  </si>
  <si>
    <t>琳赛</t>
  </si>
  <si>
    <t>5-1</t>
  </si>
  <si>
    <t>尼斯贝特</t>
  </si>
  <si>
    <t>3-4</t>
  </si>
  <si>
    <t>约书亚</t>
  </si>
  <si>
    <t>4-1</t>
  </si>
  <si>
    <t>梅娅</t>
  </si>
  <si>
    <t>呕吐</t>
  </si>
  <si>
    <t>2-1</t>
  </si>
  <si>
    <t>博特</t>
  </si>
  <si>
    <t>狂吃</t>
  </si>
  <si>
    <t>4-5</t>
  </si>
  <si>
    <t>咪玛</t>
  </si>
  <si>
    <t>5-7</t>
  </si>
  <si>
    <t>鲁比</t>
  </si>
  <si>
    <t>3-6</t>
  </si>
  <si>
    <t>利亚姆</t>
  </si>
  <si>
    <t>5-6</t>
  </si>
  <si>
    <t>罗恩</t>
  </si>
  <si>
    <t>2-3</t>
  </si>
  <si>
    <t>卡塔莉娜</t>
  </si>
  <si>
    <t>1-7</t>
  </si>
  <si>
    <t>泡泡</t>
  </si>
  <si>
    <t>2-4</t>
  </si>
  <si>
    <t>德文</t>
  </si>
  <si>
    <t>2-5</t>
  </si>
  <si>
    <t>埃莉</t>
  </si>
  <si>
    <t>1-3</t>
  </si>
  <si>
    <t>阿玛里</t>
  </si>
  <si>
    <t>鬼嚎</t>
  </si>
  <si>
    <t>2-2</t>
  </si>
  <si>
    <t>卡米耶</t>
  </si>
  <si>
    <t>5-5</t>
  </si>
  <si>
    <t>莲</t>
  </si>
  <si>
    <t>气球</t>
  </si>
  <si>
    <t>3-2</t>
  </si>
  <si>
    <t>哈桑</t>
  </si>
  <si>
    <t>闪光</t>
  </si>
  <si>
    <t>1-2</t>
  </si>
  <si>
    <t>艾达</t>
  </si>
  <si>
    <t>4-2</t>
  </si>
  <si>
    <t>玛丽</t>
  </si>
  <si>
    <t>5-2</t>
  </si>
  <si>
    <t>奥托</t>
  </si>
  <si>
    <t>3-3</t>
  </si>
  <si>
    <t>吉恩</t>
  </si>
  <si>
    <t>6-2</t>
  </si>
  <si>
    <t>斯丁奇</t>
  </si>
  <si>
    <t>4-4</t>
  </si>
  <si>
    <t>米珀</t>
  </si>
  <si>
    <t>6-3</t>
  </si>
  <si>
    <t>特拉瓦尔多</t>
  </si>
  <si>
    <t>2-6</t>
  </si>
  <si>
    <t>弗兰奇</t>
  </si>
  <si>
    <t>3-1</t>
  </si>
  <si>
    <t>哈罗德</t>
  </si>
  <si>
    <t>3-5</t>
  </si>
  <si>
    <t>蕾拉</t>
  </si>
  <si>
    <t>5-3</t>
  </si>
  <si>
    <t>裴</t>
  </si>
  <si>
    <t>6-4</t>
  </si>
  <si>
    <t>特纳</t>
  </si>
  <si>
    <t>1-1</t>
  </si>
  <si>
    <t>亚伯</t>
  </si>
  <si>
    <t>1-5</t>
  </si>
  <si>
    <t>阿思肯</t>
  </si>
  <si>
    <t>4-6</t>
  </si>
  <si>
    <t>老钉</t>
  </si>
  <si>
    <t>2-7</t>
  </si>
  <si>
    <t>戈斯曼</t>
  </si>
  <si>
    <t>4-3</t>
  </si>
  <si>
    <t>麦克斯</t>
  </si>
  <si>
    <t>5-4</t>
  </si>
  <si>
    <t>奎恩</t>
  </si>
  <si>
    <t>哼唱</t>
  </si>
  <si>
    <t>0-0</t>
  </si>
  <si>
    <t>豪尔赫</t>
  </si>
  <si>
    <t>6-1</t>
  </si>
  <si>
    <t>史蒂夫</t>
  </si>
  <si>
    <t>职业</t>
  </si>
  <si>
    <t>技能+士气需求</t>
  </si>
  <si>
    <t>总需求</t>
  </si>
  <si>
    <t>8
工人</t>
  </si>
  <si>
    <t>建造+6-3</t>
  </si>
  <si>
    <t>挖掘+6</t>
  </si>
  <si>
    <t>供应+3</t>
  </si>
  <si>
    <t>太空服训练+3</t>
  </si>
  <si>
    <t>自带机电</t>
  </si>
  <si>
    <t>18-3</t>
  </si>
  <si>
    <t>操作+6</t>
  </si>
  <si>
    <t>24-3</t>
  </si>
  <si>
    <t>3
牧民</t>
  </si>
  <si>
    <t>放牧+5-2</t>
  </si>
  <si>
    <t>耕作+1</t>
  </si>
  <si>
    <t>烹饪+3</t>
  </si>
  <si>
    <t>15-2</t>
  </si>
  <si>
    <t>12-2</t>
  </si>
  <si>
    <t>科学+6-3</t>
  </si>
  <si>
    <t>12-3</t>
  </si>
  <si>
    <t>顺序</t>
  </si>
  <si>
    <t>技能+士气需求-感兴趣士气</t>
  </si>
  <si>
    <t>5
工人</t>
  </si>
  <si>
    <t>科学+11-5</t>
  </si>
  <si>
    <t>供应+3
火箭+1
穿服+5</t>
  </si>
  <si>
    <t>20-5</t>
  </si>
  <si>
    <t>21-3</t>
  </si>
  <si>
    <t>操作+6-3</t>
  </si>
  <si>
    <t>建造+6</t>
  </si>
  <si>
    <t>2
牧民</t>
  </si>
  <si>
    <t>18-2</t>
  </si>
  <si>
    <t>6
工人</t>
  </si>
  <si>
    <t>牧民</t>
  </si>
  <si>
    <t>固体物质</t>
  </si>
  <si>
    <t>抗压系数</t>
  </si>
  <si>
    <t>液体物质</t>
  </si>
  <si>
    <t>砖块种类</t>
  </si>
  <si>
    <t>计算公式1</t>
  </si>
  <si>
    <t>计算公式2</t>
  </si>
  <si>
    <t>变量</t>
  </si>
  <si>
    <t>值1</t>
  </si>
  <si>
    <t>值2</t>
  </si>
  <si>
    <t>超级冷却液</t>
  </si>
  <si>
    <t>固体满格量</t>
  </si>
  <si>
    <t>其他砖块</t>
  </si>
  <si>
    <t>液体满格量</t>
  </si>
  <si>
    <t>方块质量</t>
  </si>
  <si>
    <t>喂鱼器</t>
  </si>
  <si>
    <t>鱼类放生点</t>
  </si>
  <si>
    <t>暂无数据</t>
  </si>
  <si>
    <t>发射支架</t>
  </si>
  <si>
    <t>金汞齐</t>
  </si>
  <si>
    <t>金银矿</t>
  </si>
</sst>
</file>

<file path=xl/styles.xml><?xml version="1.0" encoding="utf-8"?>
<styleSheet xmlns="http://schemas.openxmlformats.org/spreadsheetml/2006/main">
  <numFmts count="11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_ "/>
    <numFmt numFmtId="177" formatCode="0.00_ "/>
    <numFmt numFmtId="178" formatCode="0.0_ "/>
    <numFmt numFmtId="179" formatCode="#\ ?/?"/>
    <numFmt numFmtId="180" formatCode="0_ "/>
    <numFmt numFmtId="181" formatCode="\+0%;\-0%"/>
    <numFmt numFmtId="182" formatCode="0.00000_ "/>
  </numFmts>
  <fonts count="67">
    <font>
      <sz val="11"/>
      <color theme="1"/>
      <name val="等线"/>
      <charset val="134"/>
      <scheme val="minor"/>
    </font>
    <font>
      <b/>
      <sz val="11"/>
      <color rgb="FF9C5700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0"/>
      <color theme="1"/>
      <name val="等线"/>
      <charset val="134"/>
      <scheme val="minor"/>
    </font>
    <font>
      <sz val="8"/>
      <color theme="1"/>
      <name val="等线"/>
      <charset val="134"/>
      <scheme val="minor"/>
    </font>
    <font>
      <sz val="9"/>
      <color theme="1"/>
      <name val="等线"/>
      <charset val="134"/>
      <scheme val="minor"/>
    </font>
    <font>
      <sz val="11"/>
      <name val="等线"/>
      <charset val="134"/>
      <scheme val="minor"/>
    </font>
    <font>
      <sz val="11"/>
      <color rgb="FF0070C0"/>
      <name val="等线"/>
      <charset val="134"/>
      <scheme val="minor"/>
    </font>
    <font>
      <sz val="11"/>
      <color theme="0" tint="-0.499984740745262"/>
      <name val="等线"/>
      <charset val="134"/>
      <scheme val="minor"/>
    </font>
    <font>
      <b/>
      <sz val="16"/>
      <color rgb="FF006100"/>
      <name val="等线"/>
      <charset val="134"/>
      <scheme val="minor"/>
    </font>
    <font>
      <sz val="16"/>
      <color theme="1"/>
      <name val="等线"/>
      <charset val="134"/>
      <scheme val="minor"/>
    </font>
    <font>
      <b/>
      <sz val="16"/>
      <color rgb="FFFA7D00"/>
      <name val="等线"/>
      <charset val="134"/>
      <scheme val="minor"/>
    </font>
    <font>
      <u/>
      <sz val="16"/>
      <color theme="10"/>
      <name val="等线"/>
      <charset val="134"/>
      <scheme val="minor"/>
    </font>
    <font>
      <u/>
      <sz val="18"/>
      <color theme="10"/>
      <name val="等线"/>
      <charset val="134"/>
      <scheme val="minor"/>
    </font>
    <font>
      <sz val="14"/>
      <color theme="1"/>
      <name val="等线"/>
      <charset val="134"/>
      <scheme val="minor"/>
    </font>
    <font>
      <sz val="11"/>
      <color theme="1"/>
      <name val="站酷快乐体2016修订版"/>
      <charset val="134"/>
    </font>
    <font>
      <sz val="11"/>
      <color rgb="FFFFC000"/>
      <name val="站酷快乐体2016修订版"/>
      <charset val="134"/>
    </font>
    <font>
      <sz val="11"/>
      <name val="站酷快乐体2016修订版"/>
      <charset val="134"/>
    </font>
    <font>
      <sz val="11"/>
      <color theme="7" tint="-0.499984740745262"/>
      <name val="站酷快乐体2016修订版"/>
      <charset val="134"/>
    </font>
    <font>
      <sz val="11"/>
      <color theme="5"/>
      <name val="站酷快乐体2016修订版"/>
      <charset val="134"/>
    </font>
    <font>
      <sz val="11"/>
      <color rgb="FF7030A0"/>
      <name val="站酷快乐体2016修订版"/>
      <charset val="134"/>
    </font>
    <font>
      <sz val="9"/>
      <name val="站酷快乐体2016修订版"/>
      <charset val="134"/>
    </font>
    <font>
      <b/>
      <sz val="11"/>
      <color theme="1"/>
      <name val="黑体"/>
      <charset val="134"/>
    </font>
    <font>
      <sz val="11"/>
      <color theme="1"/>
      <name val="小赖字体 SC"/>
      <charset val="134"/>
    </font>
    <font>
      <sz val="12"/>
      <color theme="1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1"/>
      <color theme="0"/>
      <name val="等线"/>
      <charset val="134"/>
      <scheme val="minor"/>
    </font>
    <font>
      <sz val="11"/>
      <color rgb="FF000000"/>
      <name val="等线"/>
      <charset val="134"/>
      <scheme val="minor"/>
    </font>
    <font>
      <b/>
      <sz val="11"/>
      <color theme="0" tint="-0.499984740745262"/>
      <name val="等线"/>
      <charset val="134"/>
      <scheme val="minor"/>
    </font>
    <font>
      <b/>
      <sz val="11"/>
      <color theme="0" tint="-0.349986266670736"/>
      <name val="等线"/>
      <charset val="134"/>
      <scheme val="minor"/>
    </font>
    <font>
      <b/>
      <sz val="11"/>
      <name val="等线"/>
      <charset val="134"/>
      <scheme val="minor"/>
    </font>
    <font>
      <b/>
      <sz val="11"/>
      <color theme="4" tint="-0.249977111117893"/>
      <name val="等线"/>
      <charset val="134"/>
      <scheme val="minor"/>
    </font>
    <font>
      <b/>
      <sz val="10"/>
      <color theme="1"/>
      <name val="等线"/>
      <charset val="134"/>
      <scheme val="minor"/>
    </font>
    <font>
      <sz val="11"/>
      <color theme="1"/>
      <name val="微软雅黑"/>
      <charset val="134"/>
    </font>
    <font>
      <sz val="9"/>
      <name val="等线"/>
      <charset val="134"/>
      <scheme val="minor"/>
    </font>
    <font>
      <sz val="11"/>
      <name val="等线"/>
      <charset val="134"/>
    </font>
    <font>
      <sz val="11"/>
      <name val="宋体"/>
      <charset val="128"/>
    </font>
    <font>
      <sz val="14"/>
      <color theme="1"/>
      <name val="华文仿宋"/>
      <charset val="134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theme="10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134"/>
      <scheme val="minor"/>
    </font>
    <font>
      <sz val="11"/>
      <color rgb="FF9C5700"/>
      <name val="等线"/>
      <charset val="134"/>
      <scheme val="minor"/>
    </font>
    <font>
      <sz val="6"/>
      <color theme="1"/>
      <name val="等线"/>
      <charset val="134"/>
      <scheme val="minor"/>
    </font>
    <font>
      <sz val="11"/>
      <color rgb="FFC00000"/>
      <name val="等线"/>
      <charset val="134"/>
      <scheme val="minor"/>
    </font>
    <font>
      <vertAlign val="superscript"/>
      <sz val="11"/>
      <color theme="1"/>
      <name val="等线"/>
      <charset val="134"/>
      <scheme val="minor"/>
    </font>
    <font>
      <vertAlign val="superscript"/>
      <sz val="10"/>
      <color theme="1"/>
      <name val="等线"/>
      <charset val="134"/>
      <scheme val="minor"/>
    </font>
    <font>
      <vertAlign val="superscript"/>
      <sz val="8"/>
      <color theme="1"/>
      <name val="等线"/>
      <charset val="134"/>
      <scheme val="minor"/>
    </font>
    <font>
      <sz val="11"/>
      <color rgb="FF000000"/>
      <name val="等线"/>
      <charset val="134"/>
    </font>
    <font>
      <vertAlign val="superscript"/>
      <sz val="9"/>
      <color theme="1"/>
      <name val="等线"/>
      <charset val="134"/>
      <scheme val="minor"/>
    </font>
    <font>
      <sz val="11"/>
      <name val="MS Gothic"/>
      <charset val="128"/>
    </font>
    <font>
      <b/>
      <sz val="9"/>
      <name val="宋体"/>
      <charset val="134"/>
    </font>
    <font>
      <sz val="9"/>
      <name val="宋体"/>
      <charset val="134"/>
    </font>
  </fonts>
  <fills count="62">
    <fill>
      <patternFill patternType="none"/>
    </fill>
    <fill>
      <patternFill patternType="gray125"/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gradientFill degree="90">
        <stop position="0">
          <color theme="5" tint="0.599993896298105"/>
        </stop>
        <stop position="1">
          <color theme="7" tint="0.80001220740379"/>
        </stop>
      </gradientFill>
    </fill>
    <fill>
      <patternFill patternType="solid">
        <fgColor rgb="FFFFFF00"/>
        <bgColor indexed="64"/>
      </patternFill>
    </fill>
    <fill>
      <gradientFill degree="90">
        <stop position="0">
          <color theme="8" tint="0.80001220740379"/>
        </stop>
        <stop position="1">
          <color theme="7" tint="0.400006103701895"/>
        </stop>
      </gradientFill>
    </fill>
    <fill>
      <gradientFill degree="90">
        <stop position="0">
          <color theme="7" tint="0.400006103701895"/>
        </stop>
        <stop position="1">
          <color theme="5" tint="0.599993896298105"/>
        </stop>
      </gradientFill>
    </fill>
    <fill>
      <patternFill patternType="solid">
        <fgColor theme="4" tint="0.399975585192419"/>
        <bgColor indexed="64"/>
      </patternFill>
    </fill>
    <fill>
      <gradientFill degree="90">
        <stop position="0">
          <color theme="7" tint="0.599993896298105"/>
        </stop>
        <stop position="1">
          <color theme="7"/>
        </stop>
      </gradientFill>
    </fill>
    <fill>
      <patternFill patternType="solid">
        <fgColor theme="7"/>
        <bgColor indexed="64"/>
      </patternFill>
    </fill>
    <fill>
      <gradientFill degree="90">
        <stop position="0">
          <color theme="7"/>
        </stop>
        <stop position="1">
          <color theme="4" tint="0.599993896298105"/>
        </stop>
      </gradientFill>
    </fill>
    <fill>
      <patternFill patternType="solid">
        <fgColor theme="4" tint="0.599993896298105"/>
        <bgColor indexed="64"/>
      </patternFill>
    </fill>
    <fill>
      <patternFill patternType="solid">
        <fgColor theme="0" tint="-0.249977111117893"/>
        <bgColor indexed="64"/>
      </patternFill>
    </fill>
    <fill>
      <gradientFill degree="90">
        <stop position="0">
          <color theme="0" tint="-0.250984221930601"/>
        </stop>
        <stop position="1">
          <color rgb="FFFFFF00"/>
        </stop>
      </gradientFill>
    </fill>
    <fill>
      <gradientFill degree="90">
        <stop position="0">
          <color rgb="FFFFFF00"/>
        </stop>
        <stop position="1">
          <color theme="5" tint="0.80001220740379"/>
        </stop>
      </gradientFill>
    </fill>
    <fill>
      <patternFill patternType="solid">
        <fgColor rgb="FFFCE4D6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4" tint="0.799981688894314"/>
        <bgColor indexed="64"/>
      </patternFill>
    </fill>
    <fill>
      <gradientFill degree="90">
        <stop position="0">
          <color theme="9" tint="0.599993896298105"/>
        </stop>
        <stop position="1">
          <color theme="7" tint="0.599993896298105"/>
        </stop>
      </gradientFill>
    </fill>
    <fill>
      <patternFill patternType="solid">
        <fgColor theme="5" tint="0.8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7" tint="0.8"/>
        <bgColor indexed="64"/>
      </patternFill>
    </fill>
    <fill>
      <gradientFill degree="180">
        <stop position="0">
          <color theme="4" tint="0.599993896298105"/>
        </stop>
        <stop position="1">
          <color theme="9" tint="0.599993896298105"/>
        </stop>
      </gradientFill>
    </fill>
    <fill>
      <gradientFill>
        <stop position="0">
          <color theme="4" tint="0.599993896298105"/>
        </stop>
        <stop position="1">
          <color theme="7" tint="0.599993896298105"/>
        </stop>
      </gradientFill>
    </fill>
    <fill>
      <patternFill patternType="solid">
        <fgColor theme="7" tint="0.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0" tint="-0.34998626667073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</fills>
  <borders count="10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 style="thin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double">
        <color auto="1"/>
      </right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/>
      <bottom/>
      <diagonal/>
    </border>
    <border>
      <left style="double">
        <color auto="1"/>
      </left>
      <right/>
      <top style="thin">
        <color auto="1"/>
      </top>
      <bottom/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/>
      <bottom style="double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ck">
        <color auto="1"/>
      </right>
      <top style="thin">
        <color auto="1"/>
      </top>
      <bottom/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Down="1">
      <left style="thin">
        <color auto="1"/>
      </left>
      <right style="thin">
        <color auto="1"/>
      </right>
      <top/>
      <bottom style="thin">
        <color auto="1"/>
      </bottom>
      <diagonal style="thin">
        <color auto="1"/>
      </diagonal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/>
      <diagonal/>
    </border>
    <border>
      <left style="double">
        <color auto="1"/>
      </left>
      <right style="thin">
        <color auto="1"/>
      </right>
      <top/>
      <bottom/>
      <diagonal/>
    </border>
    <border>
      <left style="thin">
        <color auto="1"/>
      </left>
      <right style="double">
        <color auto="1"/>
      </right>
      <top style="thin">
        <color auto="1"/>
      </top>
      <bottom/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/>
      <top style="double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 style="double">
        <color auto="1"/>
      </right>
      <top style="thin">
        <color auto="1"/>
      </top>
      <bottom style="double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/>
      <diagonal/>
    </border>
    <border>
      <left/>
      <right/>
      <top style="double">
        <color auto="1"/>
      </top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/>
      <right style="double">
        <color auto="1"/>
      </right>
      <top style="thin">
        <color auto="1"/>
      </top>
      <bottom/>
      <diagonal/>
    </border>
    <border>
      <left style="double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/>
      <right style="double">
        <color auto="1"/>
      </right>
      <top/>
      <bottom style="thin">
        <color auto="1"/>
      </bottom>
      <diagonal/>
    </border>
    <border>
      <left/>
      <right style="double">
        <color auto="1"/>
      </right>
      <top/>
      <bottom/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 style="thin">
        <color auto="1"/>
      </left>
      <right/>
      <top style="double">
        <color auto="1"/>
      </top>
      <bottom/>
      <diagonal/>
    </border>
    <border>
      <left style="double">
        <color auto="1"/>
      </left>
      <right style="double">
        <color auto="1"/>
      </right>
      <top/>
      <bottom style="thin">
        <color auto="1"/>
      </bottom>
      <diagonal/>
    </border>
    <border>
      <left style="double">
        <color auto="1"/>
      </left>
      <right style="double">
        <color auto="1"/>
      </right>
      <top/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auto="1"/>
      </left>
      <right/>
      <top/>
      <bottom/>
      <diagonal/>
    </border>
    <border>
      <left style="double">
        <color auto="1"/>
      </left>
      <right/>
      <top/>
      <bottom style="thin">
        <color auto="1"/>
      </bottom>
      <diagonal/>
    </border>
    <border>
      <left style="mediumDashed">
        <color auto="1"/>
      </left>
      <right style="thin">
        <color auto="1"/>
      </right>
      <top style="thin">
        <color auto="1"/>
      </top>
      <bottom/>
      <diagonal/>
    </border>
    <border>
      <left style="mediumDashed">
        <color auto="1"/>
      </left>
      <right style="thin">
        <color auto="1"/>
      </right>
      <top/>
      <bottom/>
      <diagonal/>
    </border>
    <border>
      <left style="mediumDashed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double">
        <color auto="1"/>
      </top>
      <bottom/>
      <diagonal/>
    </border>
    <border>
      <left/>
      <right style="thin">
        <color auto="1"/>
      </right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37" fillId="0" borderId="0" applyFont="0" applyFill="0" applyBorder="0" applyAlignment="0" applyProtection="0">
      <alignment vertical="center"/>
    </xf>
    <xf numFmtId="0" fontId="38" fillId="50" borderId="0" applyNumberFormat="0" applyBorder="0" applyAlignment="0" applyProtection="0">
      <alignment vertical="center"/>
    </xf>
    <xf numFmtId="0" fontId="39" fillId="51" borderId="53" applyNumberFormat="0" applyAlignment="0" applyProtection="0">
      <alignment vertical="center"/>
    </xf>
    <xf numFmtId="44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0" fontId="38" fillId="52" borderId="0" applyNumberFormat="0" applyBorder="0" applyAlignment="0" applyProtection="0">
      <alignment vertical="center"/>
    </xf>
    <xf numFmtId="0" fontId="40" fillId="53" borderId="0" applyNumberFormat="0" applyBorder="0" applyAlignment="0" applyProtection="0">
      <alignment vertical="center"/>
    </xf>
    <xf numFmtId="43" fontId="37" fillId="0" borderId="0" applyFont="0" applyFill="0" applyBorder="0" applyAlignment="0" applyProtection="0">
      <alignment vertical="center"/>
    </xf>
    <xf numFmtId="0" fontId="41" fillId="54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/>
    <xf numFmtId="9" fontId="37" fillId="0" borderId="0" applyFon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37" fillId="55" borderId="101" applyNumberFormat="0" applyFont="0" applyAlignment="0" applyProtection="0">
      <alignment vertical="center"/>
    </xf>
    <xf numFmtId="0" fontId="41" fillId="14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8" fillId="0" borderId="102" applyNumberFormat="0" applyFill="0" applyAlignment="0" applyProtection="0">
      <alignment vertical="center"/>
    </xf>
    <xf numFmtId="0" fontId="49" fillId="0" borderId="102" applyNumberFormat="0" applyFill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4" fillId="0" borderId="103" applyNumberFormat="0" applyFill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50" fillId="10" borderId="104" applyNumberFormat="0" applyAlignment="0" applyProtection="0">
      <alignment vertical="center"/>
    </xf>
    <xf numFmtId="0" fontId="51" fillId="10" borderId="53" applyNumberFormat="0" applyAlignment="0" applyProtection="0">
      <alignment vertical="center"/>
    </xf>
    <xf numFmtId="0" fontId="52" fillId="56" borderId="105" applyNumberFormat="0" applyAlignment="0" applyProtection="0">
      <alignment vertical="center"/>
    </xf>
    <xf numFmtId="0" fontId="38" fillId="44" borderId="0" applyNumberFormat="0" applyBorder="0" applyAlignment="0" applyProtection="0">
      <alignment vertical="center"/>
    </xf>
    <xf numFmtId="0" fontId="41" fillId="57" borderId="0" applyNumberFormat="0" applyBorder="0" applyAlignment="0" applyProtection="0">
      <alignment vertical="center"/>
    </xf>
    <xf numFmtId="0" fontId="53" fillId="0" borderId="106" applyNumberFormat="0" applyFill="0" applyAlignment="0" applyProtection="0">
      <alignment vertical="center"/>
    </xf>
    <xf numFmtId="0" fontId="54" fillId="0" borderId="107" applyNumberFormat="0" applyFill="0" applyAlignment="0" applyProtection="0">
      <alignment vertical="center"/>
    </xf>
    <xf numFmtId="0" fontId="55" fillId="9" borderId="0" applyNumberFormat="0" applyBorder="0" applyAlignment="0" applyProtection="0">
      <alignment vertical="center"/>
    </xf>
    <xf numFmtId="0" fontId="56" fillId="2" borderId="0" applyNumberFormat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41" fillId="58" borderId="0" applyNumberFormat="0" applyBorder="0" applyAlignment="0" applyProtection="0">
      <alignment vertical="center"/>
    </xf>
    <xf numFmtId="0" fontId="38" fillId="35" borderId="0" applyNumberFormat="0" applyBorder="0" applyAlignment="0" applyProtection="0">
      <alignment vertical="center"/>
    </xf>
    <xf numFmtId="0" fontId="38" fillId="26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41" fillId="59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38" fillId="5" borderId="0" applyNumberFormat="0" applyBorder="0" applyAlignment="0" applyProtection="0">
      <alignment vertical="center"/>
    </xf>
    <xf numFmtId="0" fontId="38" fillId="7" borderId="0" applyNumberFormat="0" applyBorder="0" applyAlignment="0" applyProtection="0">
      <alignment vertical="center"/>
    </xf>
    <xf numFmtId="0" fontId="41" fillId="60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41" fillId="49" borderId="0" applyNumberFormat="0" applyBorder="0" applyAlignment="0" applyProtection="0">
      <alignment vertical="center"/>
    </xf>
    <xf numFmtId="0" fontId="41" fillId="61" borderId="0" applyNumberFormat="0" applyBorder="0" applyAlignment="0" applyProtection="0">
      <alignment vertical="center"/>
    </xf>
    <xf numFmtId="0" fontId="38" fillId="11" borderId="0" applyNumberFormat="0" applyBorder="0" applyAlignment="0" applyProtection="0">
      <alignment vertical="center"/>
    </xf>
    <xf numFmtId="0" fontId="41" fillId="47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1261">
    <xf numFmtId="0" fontId="0" fillId="0" borderId="0" xfId="0"/>
    <xf numFmtId="0" fontId="1" fillId="2" borderId="0" xfId="32" applyFont="1" applyAlignment="1"/>
    <xf numFmtId="0" fontId="2" fillId="0" borderId="0" xfId="0" applyFont="1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0" fontId="0" fillId="0" borderId="4" xfId="0" applyBorder="1" applyAlignment="1">
      <alignment vertical="center"/>
    </xf>
    <xf numFmtId="49" fontId="0" fillId="0" borderId="8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49" fontId="0" fillId="0" borderId="9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49" fontId="0" fillId="3" borderId="13" xfId="0" applyNumberFormat="1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49" fontId="0" fillId="4" borderId="14" xfId="0" applyNumberFormat="1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49" fontId="0" fillId="3" borderId="18" xfId="0" applyNumberFormat="1" applyFill="1" applyBorder="1" applyAlignment="1">
      <alignment horizontal="center" vertical="center"/>
    </xf>
    <xf numFmtId="0" fontId="0" fillId="3" borderId="19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49" fontId="0" fillId="4" borderId="19" xfId="0" applyNumberForma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49" fontId="0" fillId="3" borderId="21" xfId="0" applyNumberFormat="1" applyFill="1" applyBorder="1" applyAlignment="1">
      <alignment horizontal="center" vertical="center"/>
    </xf>
    <xf numFmtId="0" fontId="0" fillId="3" borderId="22" xfId="0" applyFill="1" applyBorder="1" applyAlignment="1">
      <alignment horizontal="center" vertical="center"/>
    </xf>
    <xf numFmtId="49" fontId="0" fillId="4" borderId="23" xfId="0" applyNumberFormat="1" applyFill="1" applyBorder="1" applyAlignment="1">
      <alignment horizontal="center" vertical="center"/>
    </xf>
    <xf numFmtId="0" fontId="0" fillId="4" borderId="24" xfId="0" applyFill="1" applyBorder="1" applyAlignment="1">
      <alignment horizontal="center" vertical="center"/>
    </xf>
    <xf numFmtId="0" fontId="0" fillId="4" borderId="25" xfId="0" applyFill="1" applyBorder="1" applyAlignment="1">
      <alignment horizontal="center" vertical="center"/>
    </xf>
    <xf numFmtId="49" fontId="0" fillId="5" borderId="13" xfId="0" applyNumberFormat="1" applyFill="1" applyBorder="1" applyAlignment="1">
      <alignment horizontal="center" vertical="center"/>
    </xf>
    <xf numFmtId="0" fontId="0" fillId="5" borderId="14" xfId="0" applyFill="1" applyBorder="1" applyAlignment="1">
      <alignment horizontal="center" vertical="center"/>
    </xf>
    <xf numFmtId="0" fontId="0" fillId="5" borderId="26" xfId="0" applyFill="1" applyBorder="1" applyAlignment="1">
      <alignment horizontal="center" vertical="center"/>
    </xf>
    <xf numFmtId="0" fontId="0" fillId="5" borderId="27" xfId="0" applyFill="1" applyBorder="1" applyAlignment="1">
      <alignment horizontal="center" vertical="center"/>
    </xf>
    <xf numFmtId="49" fontId="0" fillId="6" borderId="14" xfId="0" applyNumberFormat="1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0" fillId="6" borderId="15" xfId="0" applyFill="1" applyBorder="1" applyAlignment="1">
      <alignment horizontal="center" vertical="center"/>
    </xf>
    <xf numFmtId="49" fontId="0" fillId="5" borderId="18" xfId="0" applyNumberFormat="1" applyFill="1" applyBorder="1" applyAlignment="1">
      <alignment horizontal="center" vertical="center"/>
    </xf>
    <xf numFmtId="0" fontId="0" fillId="5" borderId="19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28" xfId="0" applyFill="1" applyBorder="1" applyAlignment="1">
      <alignment horizontal="center" vertical="center"/>
    </xf>
    <xf numFmtId="49" fontId="0" fillId="6" borderId="19" xfId="0" applyNumberFormat="1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3" fillId="5" borderId="19" xfId="0" applyFont="1" applyFill="1" applyBorder="1" applyAlignment="1">
      <alignment horizontal="center" vertical="center"/>
    </xf>
    <xf numFmtId="49" fontId="0" fillId="6" borderId="23" xfId="0" applyNumberFormat="1" applyFill="1" applyBorder="1" applyAlignment="1">
      <alignment horizontal="center" vertical="center"/>
    </xf>
    <xf numFmtId="0" fontId="0" fillId="6" borderId="24" xfId="0" applyFill="1" applyBorder="1" applyAlignment="1">
      <alignment horizontal="center" vertical="center"/>
    </xf>
    <xf numFmtId="0" fontId="0" fillId="6" borderId="25" xfId="0" applyFill="1" applyBorder="1" applyAlignment="1">
      <alignment horizontal="center" vertical="center"/>
    </xf>
    <xf numFmtId="49" fontId="0" fillId="7" borderId="14" xfId="0" applyNumberFormat="1" applyFill="1" applyBorder="1" applyAlignment="1">
      <alignment horizontal="center" vertical="center"/>
    </xf>
    <xf numFmtId="0" fontId="0" fillId="7" borderId="17" xfId="0" applyFill="1" applyBorder="1" applyAlignment="1">
      <alignment horizontal="center" vertical="center"/>
    </xf>
    <xf numFmtId="0" fontId="0" fillId="7" borderId="26" xfId="0" applyFill="1" applyBorder="1" applyAlignment="1">
      <alignment horizontal="center" vertical="center"/>
    </xf>
    <xf numFmtId="49" fontId="0" fillId="5" borderId="29" xfId="0" applyNumberFormat="1" applyFill="1" applyBorder="1" applyAlignment="1">
      <alignment horizontal="center" vertical="center"/>
    </xf>
    <xf numFmtId="0" fontId="0" fillId="5" borderId="23" xfId="0" applyFill="1" applyBorder="1" applyAlignment="1">
      <alignment horizontal="center" vertical="center"/>
    </xf>
    <xf numFmtId="0" fontId="0" fillId="5" borderId="25" xfId="0" applyFill="1" applyBorder="1" applyAlignment="1">
      <alignment horizontal="center" vertical="center"/>
    </xf>
    <xf numFmtId="0" fontId="0" fillId="5" borderId="30" xfId="0" applyFill="1" applyBorder="1" applyAlignment="1">
      <alignment horizontal="center" vertical="center"/>
    </xf>
    <xf numFmtId="49" fontId="0" fillId="7" borderId="23" xfId="0" applyNumberFormat="1" applyFill="1" applyBorder="1" applyAlignment="1">
      <alignment horizontal="center" vertical="center"/>
    </xf>
    <xf numFmtId="0" fontId="0" fillId="7" borderId="24" xfId="0" applyFill="1" applyBorder="1" applyAlignment="1">
      <alignment horizontal="center" vertical="center"/>
    </xf>
    <xf numFmtId="0" fontId="0" fillId="7" borderId="25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0" fillId="4" borderId="20" xfId="0" applyFill="1" applyBorder="1" applyAlignment="1">
      <alignment horizontal="center" vertical="center"/>
    </xf>
    <xf numFmtId="0" fontId="0" fillId="4" borderId="31" xfId="0" applyFill="1" applyBorder="1" applyAlignment="1">
      <alignment horizontal="center" vertical="center"/>
    </xf>
    <xf numFmtId="0" fontId="0" fillId="6" borderId="16" xfId="0" applyFill="1" applyBorder="1" applyAlignment="1">
      <alignment horizontal="center" vertical="center"/>
    </xf>
    <xf numFmtId="0" fontId="0" fillId="6" borderId="20" xfId="0" applyFill="1" applyBorder="1" applyAlignment="1">
      <alignment horizontal="center" vertical="center"/>
    </xf>
    <xf numFmtId="0" fontId="0" fillId="6" borderId="31" xfId="0" applyFill="1" applyBorder="1" applyAlignment="1">
      <alignment horizontal="center" vertical="center"/>
    </xf>
    <xf numFmtId="0" fontId="0" fillId="7" borderId="27" xfId="0" applyFill="1" applyBorder="1" applyAlignment="1">
      <alignment horizontal="center" vertical="center"/>
    </xf>
    <xf numFmtId="0" fontId="0" fillId="7" borderId="30" xfId="0" applyFill="1" applyBorder="1" applyAlignment="1">
      <alignment horizontal="center" vertical="center"/>
    </xf>
    <xf numFmtId="0" fontId="0" fillId="0" borderId="0" xfId="49" applyAlignment="1">
      <alignment horizontal="center" vertical="center"/>
    </xf>
    <xf numFmtId="0" fontId="0" fillId="0" borderId="1" xfId="49" applyBorder="1" applyAlignment="1">
      <alignment horizontal="center" vertical="center"/>
    </xf>
    <xf numFmtId="0" fontId="4" fillId="0" borderId="1" xfId="49" applyFont="1" applyBorder="1" applyAlignment="1">
      <alignment horizontal="center" vertical="center"/>
    </xf>
    <xf numFmtId="0" fontId="0" fillId="0" borderId="32" xfId="49" applyBorder="1" applyAlignment="1">
      <alignment horizontal="center" vertical="center"/>
    </xf>
    <xf numFmtId="0" fontId="0" fillId="0" borderId="33" xfId="49" applyBorder="1" applyAlignment="1">
      <alignment horizontal="center" vertical="center"/>
    </xf>
    <xf numFmtId="0" fontId="0" fillId="0" borderId="3" xfId="49" applyBorder="1" applyAlignment="1">
      <alignment horizontal="center" vertical="center"/>
    </xf>
    <xf numFmtId="0" fontId="0" fillId="0" borderId="2" xfId="49" applyBorder="1" applyAlignment="1">
      <alignment horizontal="center" vertical="center" wrapText="1"/>
    </xf>
    <xf numFmtId="0" fontId="0" fillId="0" borderId="4" xfId="49" applyBorder="1" applyAlignment="1">
      <alignment horizontal="center" vertical="center" wrapText="1"/>
    </xf>
    <xf numFmtId="0" fontId="0" fillId="0" borderId="34" xfId="49" applyBorder="1" applyAlignment="1">
      <alignment horizontal="center" vertical="center"/>
    </xf>
    <xf numFmtId="176" fontId="0" fillId="0" borderId="6" xfId="49" applyNumberFormat="1" applyBorder="1" applyAlignment="1">
      <alignment horizontal="center" vertical="center"/>
    </xf>
    <xf numFmtId="0" fontId="0" fillId="0" borderId="35" xfId="49" applyBorder="1" applyAlignment="1">
      <alignment horizontal="center" vertical="center"/>
    </xf>
    <xf numFmtId="0" fontId="0" fillId="0" borderId="36" xfId="49" applyBorder="1" applyAlignment="1">
      <alignment horizontal="center" vertical="center"/>
    </xf>
    <xf numFmtId="0" fontId="0" fillId="0" borderId="37" xfId="49" applyBorder="1" applyAlignment="1">
      <alignment horizontal="center" vertical="center"/>
    </xf>
    <xf numFmtId="0" fontId="0" fillId="0" borderId="38" xfId="49" applyBorder="1" applyAlignment="1">
      <alignment horizontal="center" vertical="center"/>
    </xf>
    <xf numFmtId="0" fontId="0" fillId="0" borderId="39" xfId="49" applyBorder="1" applyAlignment="1">
      <alignment horizontal="center" vertical="center"/>
    </xf>
    <xf numFmtId="0" fontId="0" fillId="0" borderId="40" xfId="49" applyBorder="1" applyAlignment="1">
      <alignment horizontal="center" vertical="center"/>
    </xf>
    <xf numFmtId="0" fontId="0" fillId="0" borderId="41" xfId="49" applyBorder="1" applyAlignment="1">
      <alignment horizontal="center" vertical="center"/>
    </xf>
    <xf numFmtId="0" fontId="0" fillId="0" borderId="42" xfId="49" applyBorder="1" applyAlignment="1">
      <alignment horizontal="center" vertical="center"/>
    </xf>
    <xf numFmtId="0" fontId="0" fillId="0" borderId="5" xfId="49" applyBorder="1" applyAlignment="1">
      <alignment horizontal="center" vertical="center"/>
    </xf>
    <xf numFmtId="0" fontId="0" fillId="0" borderId="43" xfId="49" applyBorder="1" applyAlignment="1">
      <alignment horizontal="center" vertical="center"/>
    </xf>
    <xf numFmtId="0" fontId="0" fillId="0" borderId="44" xfId="49" applyBorder="1" applyAlignment="1">
      <alignment horizontal="center" vertical="center"/>
    </xf>
    <xf numFmtId="0" fontId="0" fillId="0" borderId="45" xfId="49" applyBorder="1" applyAlignment="1">
      <alignment horizontal="center" vertical="center"/>
    </xf>
    <xf numFmtId="177" fontId="0" fillId="0" borderId="1" xfId="49" applyNumberFormat="1" applyBorder="1" applyAlignment="1">
      <alignment horizontal="center" vertical="center"/>
    </xf>
    <xf numFmtId="0" fontId="0" fillId="0" borderId="7" xfId="49" applyBorder="1" applyAlignment="1">
      <alignment horizontal="center" vertical="center"/>
    </xf>
    <xf numFmtId="0" fontId="0" fillId="0" borderId="46" xfId="49" applyBorder="1" applyAlignment="1">
      <alignment horizontal="center" vertical="center"/>
    </xf>
    <xf numFmtId="0" fontId="4" fillId="0" borderId="47" xfId="49" applyFont="1" applyBorder="1" applyAlignment="1">
      <alignment horizontal="center" vertical="center" wrapText="1"/>
    </xf>
    <xf numFmtId="0" fontId="4" fillId="0" borderId="5" xfId="49" applyFont="1" applyBorder="1" applyAlignment="1">
      <alignment horizontal="center" vertical="center" wrapText="1"/>
    </xf>
    <xf numFmtId="0" fontId="0" fillId="0" borderId="1" xfId="49" applyBorder="1" applyAlignment="1">
      <alignment horizontal="center" vertical="center" wrapText="1"/>
    </xf>
    <xf numFmtId="0" fontId="0" fillId="0" borderId="48" xfId="49" applyBorder="1" applyAlignment="1">
      <alignment horizontal="center" vertical="center"/>
    </xf>
    <xf numFmtId="0" fontId="5" fillId="0" borderId="7" xfId="49" applyFont="1" applyBorder="1" applyAlignment="1">
      <alignment horizontal="center" vertical="center"/>
    </xf>
    <xf numFmtId="0" fontId="4" fillId="0" borderId="49" xfId="49" applyFont="1" applyBorder="1" applyAlignment="1">
      <alignment horizontal="center" vertical="center" wrapText="1"/>
    </xf>
    <xf numFmtId="176" fontId="0" fillId="0" borderId="50" xfId="49" applyNumberFormat="1" applyBorder="1" applyAlignment="1">
      <alignment horizontal="center" vertical="center"/>
    </xf>
    <xf numFmtId="176" fontId="0" fillId="0" borderId="1" xfId="49" applyNumberFormat="1" applyBorder="1" applyAlignment="1">
      <alignment horizontal="center" vertical="center"/>
    </xf>
    <xf numFmtId="0" fontId="0" fillId="0" borderId="47" xfId="49" applyBorder="1" applyAlignment="1">
      <alignment horizontal="center" vertical="center"/>
    </xf>
    <xf numFmtId="0" fontId="0" fillId="0" borderId="6" xfId="49" applyBorder="1" applyAlignment="1">
      <alignment horizontal="center" vertical="center"/>
    </xf>
    <xf numFmtId="177" fontId="0" fillId="0" borderId="42" xfId="49" applyNumberFormat="1" applyBorder="1" applyAlignment="1">
      <alignment horizontal="center" vertical="center"/>
    </xf>
    <xf numFmtId="177" fontId="0" fillId="0" borderId="49" xfId="49" applyNumberFormat="1" applyBorder="1" applyAlignment="1">
      <alignment horizontal="center" vertical="center"/>
    </xf>
    <xf numFmtId="0" fontId="0" fillId="0" borderId="4" xfId="49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0" borderId="34" xfId="0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0" fillId="6" borderId="35" xfId="0" applyFill="1" applyBorder="1" applyAlignment="1">
      <alignment horizontal="center" vertical="center"/>
    </xf>
    <xf numFmtId="0" fontId="0" fillId="6" borderId="46" xfId="0" applyFill="1" applyBorder="1" applyAlignment="1">
      <alignment horizontal="center" vertical="center"/>
    </xf>
    <xf numFmtId="0" fontId="0" fillId="6" borderId="39" xfId="0" applyFill="1" applyBorder="1" applyAlignment="1">
      <alignment horizontal="center" vertical="center"/>
    </xf>
    <xf numFmtId="0" fontId="0" fillId="6" borderId="33" xfId="0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34" xfId="0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vertical="center" wrapText="1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8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9" fillId="9" borderId="1" xfId="31" applyFont="1" applyBorder="1" applyAlignment="1"/>
    <xf numFmtId="0" fontId="9" fillId="9" borderId="1" xfId="31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2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10" fillId="0" borderId="7" xfId="0" applyFont="1" applyBorder="1" applyAlignment="1">
      <alignment horizontal="center"/>
    </xf>
    <xf numFmtId="0" fontId="10" fillId="0" borderId="0" xfId="0" applyFont="1"/>
    <xf numFmtId="0" fontId="11" fillId="10" borderId="53" xfId="25" applyFont="1" applyAlignment="1"/>
    <xf numFmtId="0" fontId="12" fillId="0" borderId="0" xfId="10" applyFont="1" applyAlignment="1"/>
    <xf numFmtId="0" fontId="13" fillId="0" borderId="0" xfId="10" applyFont="1" applyAlignment="1"/>
    <xf numFmtId="0" fontId="3" fillId="11" borderId="5" xfId="0" applyFont="1" applyFill="1" applyBorder="1" applyAlignment="1">
      <alignment horizontal="center" vertical="center"/>
    </xf>
    <xf numFmtId="0" fontId="3" fillId="11" borderId="6" xfId="0" applyFont="1" applyFill="1" applyBorder="1" applyAlignment="1">
      <alignment horizontal="center" vertical="center"/>
    </xf>
    <xf numFmtId="0" fontId="3" fillId="11" borderId="5" xfId="0" applyFont="1" applyFill="1" applyBorder="1" applyAlignment="1">
      <alignment horizontal="right" vertical="center"/>
    </xf>
    <xf numFmtId="0" fontId="3" fillId="11" borderId="6" xfId="0" applyFont="1" applyFill="1" applyBorder="1" applyAlignment="1">
      <alignment horizontal="right" vertical="center"/>
    </xf>
    <xf numFmtId="0" fontId="0" fillId="11" borderId="7" xfId="0" applyFill="1" applyBorder="1" applyAlignment="1">
      <alignment horizontal="left" vertical="top"/>
    </xf>
    <xf numFmtId="0" fontId="3" fillId="11" borderId="7" xfId="0" applyFont="1" applyFill="1" applyBorder="1" applyAlignment="1">
      <alignment horizontal="center" vertical="center"/>
    </xf>
    <xf numFmtId="0" fontId="3" fillId="11" borderId="5" xfId="0" applyFont="1" applyFill="1" applyBorder="1" applyAlignment="1">
      <alignment horizontal="center" vertical="center" wrapText="1"/>
    </xf>
    <xf numFmtId="0" fontId="3" fillId="11" borderId="6" xfId="0" applyFont="1" applyFill="1" applyBorder="1" applyAlignment="1">
      <alignment horizontal="center" vertical="center" wrapText="1"/>
    </xf>
    <xf numFmtId="0" fontId="3" fillId="11" borderId="34" xfId="0" applyFont="1" applyFill="1" applyBorder="1" applyAlignment="1">
      <alignment horizontal="center" vertical="center" wrapText="1"/>
    </xf>
    <xf numFmtId="0" fontId="3" fillId="11" borderId="7" xfId="0" applyFont="1" applyFill="1" applyBorder="1" applyAlignment="1">
      <alignment horizontal="center" vertical="center" wrapText="1"/>
    </xf>
    <xf numFmtId="0" fontId="0" fillId="11" borderId="54" xfId="0" applyFill="1" applyBorder="1" applyAlignment="1">
      <alignment horizontal="left" vertical="center" wrapText="1"/>
    </xf>
    <xf numFmtId="0" fontId="0" fillId="11" borderId="4" xfId="0" applyFill="1" applyBorder="1" applyAlignment="1">
      <alignment horizontal="center" vertical="center" wrapText="1"/>
    </xf>
    <xf numFmtId="0" fontId="0" fillId="11" borderId="4" xfId="0" applyFont="1" applyFill="1" applyBorder="1" applyAlignment="1">
      <alignment horizontal="center" vertical="center" wrapText="1"/>
    </xf>
    <xf numFmtId="0" fontId="14" fillId="11" borderId="4" xfId="0" applyFont="1" applyFill="1" applyBorder="1" applyAlignment="1">
      <alignment horizontal="center" vertical="top" wrapText="1"/>
    </xf>
    <xf numFmtId="0" fontId="14" fillId="11" borderId="35" xfId="0" applyFont="1" applyFill="1" applyBorder="1" applyAlignment="1">
      <alignment horizontal="center" vertical="center" wrapText="1"/>
    </xf>
    <xf numFmtId="0" fontId="14" fillId="11" borderId="51" xfId="0" applyFont="1" applyFill="1" applyBorder="1" applyAlignment="1">
      <alignment horizontal="center" vertical="center" wrapText="1"/>
    </xf>
    <xf numFmtId="0" fontId="14" fillId="11" borderId="46" xfId="0" applyFont="1" applyFill="1" applyBorder="1" applyAlignment="1">
      <alignment horizontal="center" vertical="center" wrapText="1"/>
    </xf>
    <xf numFmtId="0" fontId="0" fillId="11" borderId="55" xfId="0" applyFill="1" applyBorder="1" applyAlignment="1">
      <alignment horizontal="left" vertical="center" wrapText="1"/>
    </xf>
    <xf numFmtId="0" fontId="0" fillId="11" borderId="1" xfId="0" applyFill="1" applyBorder="1" applyAlignment="1">
      <alignment horizontal="center" vertical="center"/>
    </xf>
    <xf numFmtId="0" fontId="0" fillId="11" borderId="1" xfId="0" applyFont="1" applyFill="1" applyBorder="1" applyAlignment="1">
      <alignment horizontal="center" vertical="center" wrapText="1"/>
    </xf>
    <xf numFmtId="0" fontId="14" fillId="11" borderId="1" xfId="0" applyFont="1" applyFill="1" applyBorder="1" applyAlignment="1">
      <alignment horizontal="center" vertical="top" wrapText="1"/>
    </xf>
    <xf numFmtId="0" fontId="14" fillId="11" borderId="32" xfId="0" applyFont="1" applyFill="1" applyBorder="1" applyAlignment="1">
      <alignment horizontal="center" vertical="center" wrapText="1"/>
    </xf>
    <xf numFmtId="0" fontId="14" fillId="11" borderId="0" xfId="0" applyFont="1" applyFill="1" applyAlignment="1">
      <alignment horizontal="center" vertical="center" wrapText="1"/>
    </xf>
    <xf numFmtId="0" fontId="14" fillId="11" borderId="52" xfId="0" applyFont="1" applyFill="1" applyBorder="1" applyAlignment="1">
      <alignment horizontal="center" vertical="center" wrapText="1"/>
    </xf>
    <xf numFmtId="0" fontId="14" fillId="11" borderId="39" xfId="0" applyFont="1" applyFill="1" applyBorder="1" applyAlignment="1">
      <alignment horizontal="center" vertical="center" wrapText="1"/>
    </xf>
    <xf numFmtId="0" fontId="14" fillId="11" borderId="34" xfId="0" applyFont="1" applyFill="1" applyBorder="1" applyAlignment="1">
      <alignment horizontal="center" vertical="center" wrapText="1"/>
    </xf>
    <xf numFmtId="0" fontId="14" fillId="11" borderId="33" xfId="0" applyFont="1" applyFill="1" applyBorder="1" applyAlignment="1">
      <alignment horizontal="center" vertical="center" wrapText="1"/>
    </xf>
    <xf numFmtId="0" fontId="3" fillId="11" borderId="35" xfId="0" applyFont="1" applyFill="1" applyBorder="1" applyAlignment="1">
      <alignment horizontal="center" vertical="center" wrapText="1"/>
    </xf>
    <xf numFmtId="0" fontId="3" fillId="11" borderId="51" xfId="0" applyFont="1" applyFill="1" applyBorder="1" applyAlignment="1">
      <alignment horizontal="center" vertical="center" wrapText="1"/>
    </xf>
    <xf numFmtId="0" fontId="3" fillId="11" borderId="46" xfId="0" applyFont="1" applyFill="1" applyBorder="1" applyAlignment="1">
      <alignment horizontal="center" vertical="center" wrapText="1"/>
    </xf>
    <xf numFmtId="0" fontId="3" fillId="11" borderId="32" xfId="0" applyFont="1" applyFill="1" applyBorder="1" applyAlignment="1">
      <alignment horizontal="center" vertical="center" wrapText="1"/>
    </xf>
    <xf numFmtId="0" fontId="3" fillId="11" borderId="0" xfId="0" applyFont="1" applyFill="1" applyAlignment="1">
      <alignment horizontal="center" vertical="center" wrapText="1"/>
    </xf>
    <xf numFmtId="0" fontId="3" fillId="11" borderId="52" xfId="0" applyFont="1" applyFill="1" applyBorder="1" applyAlignment="1">
      <alignment horizontal="center" vertical="center" wrapText="1"/>
    </xf>
    <xf numFmtId="0" fontId="3" fillId="11" borderId="39" xfId="0" applyFont="1" applyFill="1" applyBorder="1" applyAlignment="1">
      <alignment horizontal="center" vertical="center" wrapText="1"/>
    </xf>
    <xf numFmtId="0" fontId="3" fillId="11" borderId="33" xfId="0" applyFont="1" applyFill="1" applyBorder="1" applyAlignment="1">
      <alignment horizontal="center" vertical="center" wrapText="1"/>
    </xf>
    <xf numFmtId="177" fontId="5" fillId="11" borderId="1" xfId="0" applyNumberFormat="1" applyFont="1" applyFill="1" applyBorder="1" applyAlignment="1">
      <alignment horizontal="center" vertical="center" wrapText="1"/>
    </xf>
    <xf numFmtId="0" fontId="5" fillId="11" borderId="1" xfId="0" applyFont="1" applyFill="1" applyBorder="1" applyAlignment="1">
      <alignment horizontal="center" vertical="center" wrapText="1"/>
    </xf>
    <xf numFmtId="0" fontId="0" fillId="11" borderId="2" xfId="0" applyFill="1" applyBorder="1" applyAlignment="1">
      <alignment vertical="center"/>
    </xf>
    <xf numFmtId="177" fontId="5" fillId="11" borderId="1" xfId="0" applyNumberFormat="1" applyFont="1" applyFill="1" applyBorder="1" applyAlignment="1">
      <alignment horizontal="center" vertical="center"/>
    </xf>
    <xf numFmtId="0" fontId="0" fillId="11" borderId="3" xfId="0" applyFill="1" applyBorder="1" applyAlignment="1">
      <alignment vertical="center"/>
    </xf>
    <xf numFmtId="177" fontId="0" fillId="11" borderId="2" xfId="0" applyNumberFormat="1" applyFill="1" applyBorder="1" applyAlignment="1">
      <alignment horizontal="center" vertical="center"/>
    </xf>
    <xf numFmtId="177" fontId="0" fillId="11" borderId="1" xfId="0" applyNumberFormat="1" applyFill="1" applyBorder="1" applyAlignment="1">
      <alignment horizontal="center" vertical="center"/>
    </xf>
    <xf numFmtId="177" fontId="0" fillId="11" borderId="3" xfId="0" applyNumberFormat="1" applyFill="1" applyBorder="1" applyAlignment="1">
      <alignment horizontal="center" vertical="center"/>
    </xf>
    <xf numFmtId="177" fontId="0" fillId="11" borderId="4" xfId="0" applyNumberFormat="1" applyFill="1" applyBorder="1" applyAlignment="1">
      <alignment horizontal="center" vertical="center"/>
    </xf>
    <xf numFmtId="177" fontId="0" fillId="11" borderId="35" xfId="0" applyNumberFormat="1" applyFill="1" applyBorder="1" applyAlignment="1">
      <alignment horizontal="center" vertical="center"/>
    </xf>
    <xf numFmtId="177" fontId="0" fillId="11" borderId="46" xfId="0" applyNumberFormat="1" applyFill="1" applyBorder="1" applyAlignment="1">
      <alignment horizontal="center" vertical="center"/>
    </xf>
    <xf numFmtId="177" fontId="0" fillId="11" borderId="32" xfId="0" applyNumberFormat="1" applyFill="1" applyBorder="1" applyAlignment="1">
      <alignment horizontal="center" vertical="center"/>
    </xf>
    <xf numFmtId="177" fontId="0" fillId="11" borderId="52" xfId="0" applyNumberFormat="1" applyFill="1" applyBorder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0" fontId="0" fillId="11" borderId="3" xfId="0" applyFill="1" applyBorder="1" applyAlignment="1">
      <alignment horizontal="center" vertical="center"/>
    </xf>
    <xf numFmtId="0" fontId="0" fillId="11" borderId="4" xfId="0" applyFill="1" applyBorder="1" applyAlignment="1">
      <alignment horizontal="center" vertical="center"/>
    </xf>
    <xf numFmtId="177" fontId="0" fillId="11" borderId="39" xfId="0" applyNumberFormat="1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 wrapText="1"/>
    </xf>
    <xf numFmtId="177" fontId="3" fillId="11" borderId="1" xfId="0" applyNumberFormat="1" applyFont="1" applyFill="1" applyBorder="1" applyAlignment="1">
      <alignment horizontal="center" vertical="center" wrapText="1"/>
    </xf>
    <xf numFmtId="177" fontId="3" fillId="11" borderId="1" xfId="0" applyNumberFormat="1" applyFont="1" applyFill="1" applyBorder="1" applyAlignment="1">
      <alignment horizontal="center" vertical="center"/>
    </xf>
    <xf numFmtId="177" fontId="0" fillId="11" borderId="33" xfId="0" applyNumberFormat="1" applyFill="1" applyBorder="1" applyAlignment="1">
      <alignment horizontal="center" vertical="center"/>
    </xf>
    <xf numFmtId="177" fontId="0" fillId="11" borderId="51" xfId="0" applyNumberFormat="1" applyFill="1" applyBorder="1" applyAlignment="1">
      <alignment horizontal="center" vertical="center"/>
    </xf>
    <xf numFmtId="177" fontId="0" fillId="11" borderId="0" xfId="0" applyNumberFormat="1" applyFill="1" applyAlignment="1">
      <alignment horizontal="center" vertical="center"/>
    </xf>
    <xf numFmtId="0" fontId="14" fillId="11" borderId="2" xfId="0" applyFont="1" applyFill="1" applyBorder="1" applyAlignment="1">
      <alignment horizontal="center" vertical="top" wrapText="1"/>
    </xf>
    <xf numFmtId="177" fontId="0" fillId="11" borderId="56" xfId="0" applyNumberFormat="1" applyFill="1" applyBorder="1" applyAlignment="1">
      <alignment horizontal="center" vertical="center"/>
    </xf>
    <xf numFmtId="177" fontId="0" fillId="11" borderId="57" xfId="0" applyNumberFormat="1" applyFill="1" applyBorder="1" applyAlignment="1">
      <alignment horizontal="center" vertical="center"/>
    </xf>
    <xf numFmtId="177" fontId="0" fillId="11" borderId="58" xfId="0" applyNumberFormat="1" applyFill="1" applyBorder="1" applyAlignment="1">
      <alignment horizontal="center" vertical="center"/>
    </xf>
    <xf numFmtId="0" fontId="0" fillId="11" borderId="59" xfId="0" applyFill="1" applyBorder="1" applyAlignment="1">
      <alignment horizontal="center" vertical="center"/>
    </xf>
    <xf numFmtId="0" fontId="0" fillId="11" borderId="60" xfId="0" applyFill="1" applyBorder="1" applyAlignment="1">
      <alignment horizontal="center" vertical="center"/>
    </xf>
    <xf numFmtId="0" fontId="0" fillId="11" borderId="61" xfId="0" applyFill="1" applyBorder="1" applyAlignment="1">
      <alignment horizontal="center" vertical="center"/>
    </xf>
    <xf numFmtId="0" fontId="0" fillId="11" borderId="7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4" fillId="11" borderId="7" xfId="0" applyFont="1" applyFill="1" applyBorder="1" applyAlignment="1">
      <alignment horizontal="center" vertical="center" wrapText="1"/>
    </xf>
    <xf numFmtId="0" fontId="0" fillId="11" borderId="35" xfId="0" applyFill="1" applyBorder="1" applyAlignment="1">
      <alignment horizontal="center" vertical="center"/>
    </xf>
    <xf numFmtId="0" fontId="0" fillId="11" borderId="46" xfId="0" applyFill="1" applyBorder="1" applyAlignment="1">
      <alignment horizontal="center" vertical="center"/>
    </xf>
    <xf numFmtId="0" fontId="0" fillId="11" borderId="32" xfId="0" applyFill="1" applyBorder="1" applyAlignment="1">
      <alignment horizontal="center" vertical="center"/>
    </xf>
    <xf numFmtId="0" fontId="0" fillId="11" borderId="52" xfId="0" applyFill="1" applyBorder="1" applyAlignment="1">
      <alignment horizontal="center" vertical="center"/>
    </xf>
    <xf numFmtId="0" fontId="0" fillId="11" borderId="39" xfId="0" applyFill="1" applyBorder="1" applyAlignment="1">
      <alignment horizontal="center" vertical="center"/>
    </xf>
    <xf numFmtId="0" fontId="0" fillId="11" borderId="33" xfId="0" applyFill="1" applyBorder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14" fillId="0" borderId="62" xfId="0" applyFont="1" applyBorder="1" applyAlignment="1">
      <alignment horizontal="center" vertical="center"/>
    </xf>
    <xf numFmtId="0" fontId="14" fillId="0" borderId="15" xfId="0" applyFont="1" applyBorder="1" applyAlignment="1">
      <alignment horizontal="center" vertical="center"/>
    </xf>
    <xf numFmtId="0" fontId="14" fillId="0" borderId="16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26" xfId="0" applyFont="1" applyBorder="1" applyAlignment="1">
      <alignment horizontal="center" vertical="center"/>
    </xf>
    <xf numFmtId="0" fontId="0" fillId="0" borderId="27" xfId="0" applyFont="1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19" xfId="0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28" xfId="0" applyFont="1" applyBorder="1" applyAlignment="1">
      <alignment horizontal="center" vertical="center"/>
    </xf>
    <xf numFmtId="0" fontId="0" fillId="0" borderId="63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3" xfId="0" applyBorder="1" applyAlignment="1">
      <alignment horizontal="center" vertical="center" wrapText="1"/>
    </xf>
    <xf numFmtId="0" fontId="0" fillId="0" borderId="25" xfId="0" applyFont="1" applyBorder="1" applyAlignment="1">
      <alignment horizontal="center" vertical="center"/>
    </xf>
    <xf numFmtId="0" fontId="0" fillId="0" borderId="30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64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65" xfId="0" applyBorder="1" applyAlignment="1">
      <alignment horizontal="center" vertical="center"/>
    </xf>
    <xf numFmtId="0" fontId="0" fillId="0" borderId="66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67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68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69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70" xfId="0" applyBorder="1" applyAlignment="1">
      <alignment horizontal="center" vertical="center"/>
    </xf>
    <xf numFmtId="0" fontId="0" fillId="0" borderId="25" xfId="0" applyBorder="1" applyAlignment="1">
      <alignment horizontal="center" vertical="center" wrapText="1"/>
    </xf>
    <xf numFmtId="177" fontId="0" fillId="0" borderId="0" xfId="0" applyNumberFormat="1" applyAlignment="1">
      <alignment horizontal="center" vertical="center"/>
    </xf>
    <xf numFmtId="0" fontId="15" fillId="8" borderId="1" xfId="0" applyFont="1" applyFill="1" applyBorder="1" applyAlignment="1">
      <alignment horizontal="left" vertical="center" wrapText="1"/>
    </xf>
    <xf numFmtId="0" fontId="15" fillId="8" borderId="1" xfId="0" applyFont="1" applyFill="1" applyBorder="1" applyAlignment="1">
      <alignment horizontal="center" vertical="center" wrapText="1"/>
    </xf>
    <xf numFmtId="0" fontId="15" fillId="8" borderId="1" xfId="0" applyFont="1" applyFill="1" applyBorder="1" applyAlignment="1">
      <alignment horizontal="center" vertical="center"/>
    </xf>
    <xf numFmtId="0" fontId="15" fillId="8" borderId="2" xfId="0" applyFont="1" applyFill="1" applyBorder="1" applyAlignment="1">
      <alignment horizontal="center" vertical="center"/>
    </xf>
    <xf numFmtId="0" fontId="15" fillId="8" borderId="2" xfId="0" applyFont="1" applyFill="1" applyBorder="1" applyAlignment="1">
      <alignment horizontal="center" vertical="center" wrapText="1"/>
    </xf>
    <xf numFmtId="0" fontId="15" fillId="8" borderId="4" xfId="0" applyFont="1" applyFill="1" applyBorder="1" applyAlignment="1">
      <alignment horizontal="center" vertical="center"/>
    </xf>
    <xf numFmtId="0" fontId="15" fillId="8" borderId="4" xfId="0" applyFont="1" applyFill="1" applyBorder="1" applyAlignment="1">
      <alignment horizontal="center" vertical="center" wrapText="1"/>
    </xf>
    <xf numFmtId="0" fontId="16" fillId="8" borderId="1" xfId="0" applyFont="1" applyFill="1" applyBorder="1" applyAlignment="1">
      <alignment horizontal="center" vertical="center"/>
    </xf>
    <xf numFmtId="0" fontId="17" fillId="8" borderId="1" xfId="0" applyFont="1" applyFill="1" applyBorder="1" applyAlignment="1">
      <alignment horizontal="center" vertical="center"/>
    </xf>
    <xf numFmtId="0" fontId="18" fillId="8" borderId="1" xfId="0" applyFont="1" applyFill="1" applyBorder="1" applyAlignment="1">
      <alignment horizontal="center" vertical="center"/>
    </xf>
    <xf numFmtId="0" fontId="19" fillId="8" borderId="1" xfId="0" applyFont="1" applyFill="1" applyBorder="1" applyAlignment="1">
      <alignment horizontal="center" vertical="center"/>
    </xf>
    <xf numFmtId="0" fontId="15" fillId="8" borderId="3" xfId="0" applyFont="1" applyFill="1" applyBorder="1" applyAlignment="1">
      <alignment horizontal="center" vertical="center"/>
    </xf>
    <xf numFmtId="0" fontId="15" fillId="8" borderId="3" xfId="0" applyFont="1" applyFill="1" applyBorder="1" applyAlignment="1">
      <alignment horizontal="center" vertical="center" wrapText="1"/>
    </xf>
    <xf numFmtId="0" fontId="17" fillId="8" borderId="2" xfId="0" applyFont="1" applyFill="1" applyBorder="1" applyAlignment="1">
      <alignment horizontal="center" vertical="center"/>
    </xf>
    <xf numFmtId="0" fontId="20" fillId="8" borderId="1" xfId="0" applyFont="1" applyFill="1" applyBorder="1" applyAlignment="1">
      <alignment horizontal="center" vertical="center"/>
    </xf>
    <xf numFmtId="0" fontId="17" fillId="8" borderId="3" xfId="0" applyFont="1" applyFill="1" applyBorder="1" applyAlignment="1">
      <alignment horizontal="center" vertical="center"/>
    </xf>
    <xf numFmtId="0" fontId="21" fillId="8" borderId="1" xfId="0" applyFont="1" applyFill="1" applyBorder="1" applyAlignment="1">
      <alignment horizontal="center" vertical="center"/>
    </xf>
    <xf numFmtId="0" fontId="22" fillId="8" borderId="1" xfId="0" applyFont="1" applyFill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0" fontId="15" fillId="8" borderId="5" xfId="0" applyFont="1" applyFill="1" applyBorder="1" applyAlignment="1">
      <alignment horizontal="center" vertical="center"/>
    </xf>
    <xf numFmtId="0" fontId="15" fillId="8" borderId="7" xfId="0" applyFont="1" applyFill="1" applyBorder="1" applyAlignment="1">
      <alignment horizontal="center" vertical="center"/>
    </xf>
    <xf numFmtId="177" fontId="15" fillId="8" borderId="1" xfId="0" applyNumberFormat="1" applyFont="1" applyFill="1" applyBorder="1" applyAlignment="1">
      <alignment horizontal="center" vertical="center"/>
    </xf>
    <xf numFmtId="178" fontId="15" fillId="8" borderId="1" xfId="0" applyNumberFormat="1" applyFont="1" applyFill="1" applyBorder="1" applyAlignment="1">
      <alignment horizontal="center" vertical="center"/>
    </xf>
    <xf numFmtId="176" fontId="15" fillId="8" borderId="4" xfId="0" applyNumberFormat="1" applyFont="1" applyFill="1" applyBorder="1" applyAlignment="1">
      <alignment vertical="center"/>
    </xf>
    <xf numFmtId="176" fontId="15" fillId="8" borderId="1" xfId="0" applyNumberFormat="1" applyFont="1" applyFill="1" applyBorder="1" applyAlignment="1">
      <alignment horizontal="center" vertical="center"/>
    </xf>
    <xf numFmtId="178" fontId="15" fillId="8" borderId="4" xfId="0" applyNumberFormat="1" applyFont="1" applyFill="1" applyBorder="1" applyAlignment="1">
      <alignment horizontal="center" vertical="center"/>
    </xf>
    <xf numFmtId="176" fontId="15" fillId="8" borderId="1" xfId="0" applyNumberFormat="1" applyFont="1" applyFill="1" applyBorder="1" applyAlignment="1">
      <alignment vertical="center"/>
    </xf>
    <xf numFmtId="178" fontId="15" fillId="8" borderId="2" xfId="0" applyNumberFormat="1" applyFont="1" applyFill="1" applyBorder="1" applyAlignment="1">
      <alignment horizontal="center" vertical="center"/>
    </xf>
    <xf numFmtId="176" fontId="15" fillId="8" borderId="2" xfId="0" applyNumberFormat="1" applyFont="1" applyFill="1" applyBorder="1" applyAlignment="1">
      <alignment horizontal="center" vertical="center"/>
    </xf>
    <xf numFmtId="176" fontId="15" fillId="8" borderId="4" xfId="0" applyNumberFormat="1" applyFont="1" applyFill="1" applyBorder="1" applyAlignment="1">
      <alignment horizontal="center" vertical="center"/>
    </xf>
    <xf numFmtId="178" fontId="15" fillId="8" borderId="5" xfId="0" applyNumberFormat="1" applyFont="1" applyFill="1" applyBorder="1" applyAlignment="1">
      <alignment horizontal="center" vertical="center"/>
    </xf>
    <xf numFmtId="179" fontId="23" fillId="8" borderId="1" xfId="0" applyNumberFormat="1" applyFont="1" applyFill="1" applyBorder="1" applyAlignment="1">
      <alignment horizontal="center" vertical="center"/>
    </xf>
    <xf numFmtId="179" fontId="23" fillId="8" borderId="2" xfId="0" applyNumberFormat="1" applyFont="1" applyFill="1" applyBorder="1" applyAlignment="1">
      <alignment horizontal="center" vertical="center"/>
    </xf>
    <xf numFmtId="178" fontId="15" fillId="8" borderId="35" xfId="0" applyNumberFormat="1" applyFont="1" applyFill="1" applyBorder="1" applyAlignment="1">
      <alignment horizontal="center" vertical="center"/>
    </xf>
    <xf numFmtId="178" fontId="15" fillId="8" borderId="3" xfId="0" applyNumberFormat="1" applyFont="1" applyFill="1" applyBorder="1" applyAlignment="1">
      <alignment horizontal="center" vertical="center"/>
    </xf>
    <xf numFmtId="179" fontId="23" fillId="8" borderId="3" xfId="0" applyNumberFormat="1" applyFont="1" applyFill="1" applyBorder="1" applyAlignment="1">
      <alignment horizontal="center" vertical="center"/>
    </xf>
    <xf numFmtId="176" fontId="15" fillId="8" borderId="3" xfId="0" applyNumberFormat="1" applyFont="1" applyFill="1" applyBorder="1" applyAlignment="1">
      <alignment horizontal="center" vertical="center"/>
    </xf>
    <xf numFmtId="179" fontId="23" fillId="8" borderId="4" xfId="0" applyNumberFormat="1" applyFont="1" applyFill="1" applyBorder="1" applyAlignment="1">
      <alignment horizontal="center" vertical="center"/>
    </xf>
    <xf numFmtId="180" fontId="15" fillId="8" borderId="1" xfId="0" applyNumberFormat="1" applyFont="1" applyFill="1" applyBorder="1" applyAlignment="1">
      <alignment horizontal="center" vertical="center"/>
    </xf>
    <xf numFmtId="0" fontId="22" fillId="8" borderId="2" xfId="0" applyFont="1" applyFill="1" applyBorder="1" applyAlignment="1">
      <alignment horizontal="center" vertical="center"/>
    </xf>
    <xf numFmtId="0" fontId="22" fillId="8" borderId="3" xfId="0" applyFont="1" applyFill="1" applyBorder="1" applyAlignment="1">
      <alignment horizontal="center" vertical="center"/>
    </xf>
    <xf numFmtId="0" fontId="22" fillId="8" borderId="4" xfId="0" applyFont="1" applyFill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0" fillId="12" borderId="1" xfId="0" applyFill="1" applyBorder="1" applyAlignment="1">
      <alignment horizontal="center" vertical="center"/>
    </xf>
    <xf numFmtId="0" fontId="0" fillId="12" borderId="5" xfId="0" applyFill="1" applyBorder="1" applyAlignment="1">
      <alignment horizontal="center" vertical="center"/>
    </xf>
    <xf numFmtId="0" fontId="0" fillId="12" borderId="7" xfId="0" applyFill="1" applyBorder="1" applyAlignment="1">
      <alignment horizontal="center" vertical="center"/>
    </xf>
    <xf numFmtId="0" fontId="0" fillId="12" borderId="1" xfId="0" applyFill="1" applyBorder="1" applyAlignment="1">
      <alignment horizontal="left" vertical="center"/>
    </xf>
    <xf numFmtId="0" fontId="0" fillId="7" borderId="1" xfId="0" applyFill="1" applyBorder="1" applyAlignment="1">
      <alignment horizontal="center" vertical="center"/>
    </xf>
    <xf numFmtId="0" fontId="0" fillId="13" borderId="5" xfId="0" applyFill="1" applyBorder="1" applyAlignment="1">
      <alignment horizontal="right" vertical="center"/>
    </xf>
    <xf numFmtId="0" fontId="0" fillId="13" borderId="7" xfId="0" applyFill="1" applyBorder="1" applyAlignment="1">
      <alignment horizontal="left" vertical="center"/>
    </xf>
    <xf numFmtId="0" fontId="0" fillId="14" borderId="1" xfId="0" applyFill="1" applyBorder="1" applyAlignment="1">
      <alignment horizontal="left" vertical="center"/>
    </xf>
    <xf numFmtId="0" fontId="0" fillId="7" borderId="2" xfId="0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14" borderId="1" xfId="0" applyFont="1" applyFill="1" applyBorder="1" applyAlignment="1">
      <alignment horizontal="left" vertical="center"/>
    </xf>
    <xf numFmtId="0" fontId="0" fillId="15" borderId="1" xfId="0" applyFill="1" applyBorder="1" applyAlignment="1">
      <alignment horizontal="center" vertical="center"/>
    </xf>
    <xf numFmtId="0" fontId="0" fillId="15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6" fillId="5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/>
    </xf>
    <xf numFmtId="0" fontId="0" fillId="11" borderId="22" xfId="0" applyFill="1" applyBorder="1" applyAlignment="1">
      <alignment horizontal="center" vertical="center"/>
    </xf>
    <xf numFmtId="0" fontId="0" fillId="11" borderId="29" xfId="0" applyFill="1" applyBorder="1" applyAlignment="1">
      <alignment horizontal="center" vertical="center"/>
    </xf>
    <xf numFmtId="0" fontId="0" fillId="11" borderId="71" xfId="0" applyFill="1" applyBorder="1" applyAlignment="1">
      <alignment horizontal="center" vertical="center"/>
    </xf>
    <xf numFmtId="0" fontId="0" fillId="6" borderId="67" xfId="0" applyFill="1" applyBorder="1" applyAlignment="1">
      <alignment horizontal="center" vertical="center"/>
    </xf>
    <xf numFmtId="0" fontId="0" fillId="6" borderId="14" xfId="0" applyFill="1" applyBorder="1" applyAlignment="1">
      <alignment horizontal="center" vertical="center"/>
    </xf>
    <xf numFmtId="0" fontId="0" fillId="6" borderId="27" xfId="0" applyFill="1" applyBorder="1" applyAlignment="1">
      <alignment horizontal="center" vertical="center"/>
    </xf>
    <xf numFmtId="0" fontId="0" fillId="6" borderId="22" xfId="0" applyFill="1" applyBorder="1" applyAlignment="1">
      <alignment horizontal="center" vertical="center"/>
    </xf>
    <xf numFmtId="0" fontId="0" fillId="6" borderId="64" xfId="0" applyFill="1" applyBorder="1" applyAlignment="1">
      <alignment horizontal="center" vertical="center"/>
    </xf>
    <xf numFmtId="0" fontId="0" fillId="6" borderId="18" xfId="0" applyFill="1" applyBorder="1" applyAlignment="1">
      <alignment horizontal="center" vertical="center"/>
    </xf>
    <xf numFmtId="0" fontId="0" fillId="6" borderId="72" xfId="0" applyFill="1" applyBorder="1" applyAlignment="1">
      <alignment horizontal="center" vertical="center"/>
    </xf>
    <xf numFmtId="0" fontId="0" fillId="6" borderId="63" xfId="0" applyFill="1" applyBorder="1" applyAlignment="1">
      <alignment horizontal="center" vertical="center"/>
    </xf>
    <xf numFmtId="0" fontId="0" fillId="6" borderId="66" xfId="0" applyFill="1" applyBorder="1" applyAlignment="1">
      <alignment horizontal="center" vertical="center"/>
    </xf>
    <xf numFmtId="0" fontId="0" fillId="6" borderId="19" xfId="0" applyFill="1" applyBorder="1" applyAlignment="1">
      <alignment horizontal="center" vertical="center"/>
    </xf>
    <xf numFmtId="0" fontId="0" fillId="6" borderId="28" xfId="0" applyFill="1" applyBorder="1" applyAlignment="1">
      <alignment horizontal="center" vertical="center"/>
    </xf>
    <xf numFmtId="0" fontId="0" fillId="6" borderId="65" xfId="0" applyFill="1" applyBorder="1" applyAlignment="1">
      <alignment horizontal="center" vertical="center"/>
    </xf>
    <xf numFmtId="0" fontId="0" fillId="6" borderId="73" xfId="0" applyFill="1" applyBorder="1" applyAlignment="1">
      <alignment horizontal="center" vertical="center"/>
    </xf>
    <xf numFmtId="0" fontId="0" fillId="6" borderId="70" xfId="0" applyFill="1" applyBorder="1" applyAlignment="1">
      <alignment horizontal="center" vertical="center"/>
    </xf>
    <xf numFmtId="0" fontId="0" fillId="6" borderId="23" xfId="0" applyFill="1" applyBorder="1" applyAlignment="1">
      <alignment horizontal="center" vertical="center"/>
    </xf>
    <xf numFmtId="0" fontId="0" fillId="6" borderId="30" xfId="0" applyFill="1" applyBorder="1" applyAlignment="1">
      <alignment horizontal="center" vertical="center"/>
    </xf>
    <xf numFmtId="0" fontId="0" fillId="16" borderId="15" xfId="0" applyFill="1" applyBorder="1" applyAlignment="1">
      <alignment horizontal="center" vertical="center"/>
    </xf>
    <xf numFmtId="0" fontId="0" fillId="16" borderId="67" xfId="0" applyFill="1" applyBorder="1" applyAlignment="1">
      <alignment horizontal="center" vertical="center"/>
    </xf>
    <xf numFmtId="0" fontId="0" fillId="16" borderId="62" xfId="0" applyFill="1" applyBorder="1" applyAlignment="1">
      <alignment horizontal="center" vertical="center"/>
    </xf>
    <xf numFmtId="0" fontId="0" fillId="16" borderId="13" xfId="0" applyFill="1" applyBorder="1" applyAlignment="1">
      <alignment horizontal="center" vertical="center"/>
    </xf>
    <xf numFmtId="0" fontId="0" fillId="16" borderId="74" xfId="0" applyFill="1" applyBorder="1" applyAlignment="1">
      <alignment horizontal="center" vertical="center"/>
    </xf>
    <xf numFmtId="0" fontId="0" fillId="16" borderId="3" xfId="0" applyFill="1" applyBorder="1" applyAlignment="1">
      <alignment horizontal="center" vertical="center"/>
    </xf>
    <xf numFmtId="0" fontId="0" fillId="16" borderId="5" xfId="0" applyFill="1" applyBorder="1" applyAlignment="1">
      <alignment horizontal="center" vertical="center"/>
    </xf>
    <xf numFmtId="0" fontId="0" fillId="16" borderId="63" xfId="0" applyFill="1" applyBorder="1" applyAlignment="1">
      <alignment horizontal="center" vertical="center"/>
    </xf>
    <xf numFmtId="0" fontId="0" fillId="16" borderId="64" xfId="0" applyFill="1" applyBorder="1" applyAlignment="1">
      <alignment horizontal="center" vertical="center"/>
    </xf>
    <xf numFmtId="0" fontId="0" fillId="16" borderId="18" xfId="0" applyFill="1" applyBorder="1" applyAlignment="1">
      <alignment horizontal="center" vertical="center"/>
    </xf>
    <xf numFmtId="0" fontId="0" fillId="16" borderId="72" xfId="0" applyFill="1" applyBorder="1" applyAlignment="1">
      <alignment horizontal="center" vertical="center"/>
    </xf>
    <xf numFmtId="0" fontId="0" fillId="16" borderId="66" xfId="0" applyFill="1" applyBorder="1" applyAlignment="1">
      <alignment horizontal="center" vertical="center"/>
    </xf>
    <xf numFmtId="0" fontId="0" fillId="16" borderId="4" xfId="0" applyFill="1" applyBorder="1" applyAlignment="1">
      <alignment horizontal="center" vertical="center"/>
    </xf>
    <xf numFmtId="0" fontId="0" fillId="16" borderId="73" xfId="0" applyFill="1" applyBorder="1" applyAlignment="1">
      <alignment horizontal="center" vertical="center"/>
    </xf>
    <xf numFmtId="0" fontId="0" fillId="16" borderId="70" xfId="0" applyFill="1" applyBorder="1" applyAlignment="1">
      <alignment horizontal="center" vertical="center"/>
    </xf>
    <xf numFmtId="0" fontId="0" fillId="16" borderId="68" xfId="0" applyFill="1" applyBorder="1" applyAlignment="1">
      <alignment horizontal="center" vertical="center"/>
    </xf>
    <xf numFmtId="0" fontId="0" fillId="16" borderId="25" xfId="0" applyFill="1" applyBorder="1" applyAlignment="1">
      <alignment horizontal="center" vertical="center"/>
    </xf>
    <xf numFmtId="0" fontId="0" fillId="16" borderId="29" xfId="0" applyFill="1" applyBorder="1" applyAlignment="1">
      <alignment horizontal="center" vertical="center"/>
    </xf>
    <xf numFmtId="0" fontId="0" fillId="16" borderId="71" xfId="0" applyFill="1" applyBorder="1" applyAlignment="1">
      <alignment horizontal="center" vertical="center"/>
    </xf>
    <xf numFmtId="0" fontId="0" fillId="17" borderId="15" xfId="0" applyFill="1" applyBorder="1" applyAlignment="1">
      <alignment horizontal="center" vertical="center"/>
    </xf>
    <xf numFmtId="0" fontId="0" fillId="17" borderId="39" xfId="0" applyFill="1" applyBorder="1" applyAlignment="1">
      <alignment horizontal="center" vertical="center"/>
    </xf>
    <xf numFmtId="0" fontId="0" fillId="17" borderId="65" xfId="0" applyFill="1" applyBorder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7" borderId="16" xfId="0" applyFill="1" applyBorder="1" applyAlignment="1">
      <alignment horizontal="center" vertical="center"/>
    </xf>
    <xf numFmtId="0" fontId="0" fillId="17" borderId="13" xfId="0" applyFill="1" applyBorder="1" applyAlignment="1">
      <alignment horizontal="center" vertical="center"/>
    </xf>
    <xf numFmtId="0" fontId="0" fillId="17" borderId="74" xfId="0" applyFill="1" applyBorder="1" applyAlignment="1">
      <alignment horizontal="center" vertical="center"/>
    </xf>
    <xf numFmtId="0" fontId="0" fillId="17" borderId="3" xfId="0" applyFill="1" applyBorder="1" applyAlignment="1">
      <alignment horizontal="center" vertical="center"/>
    </xf>
    <xf numFmtId="0" fontId="0" fillId="17" borderId="5" xfId="0" applyFill="1" applyBorder="1" applyAlignment="1">
      <alignment horizontal="center" vertical="center"/>
    </xf>
    <xf numFmtId="0" fontId="0" fillId="17" borderId="3" xfId="0" applyFill="1" applyBorder="1" applyAlignment="1">
      <alignment vertical="center"/>
    </xf>
    <xf numFmtId="0" fontId="0" fillId="17" borderId="20" xfId="0" applyFill="1" applyBorder="1" applyAlignment="1">
      <alignment horizontal="center" vertical="center"/>
    </xf>
    <xf numFmtId="0" fontId="0" fillId="17" borderId="18" xfId="0" applyFill="1" applyBorder="1" applyAlignment="1">
      <alignment horizontal="center" vertical="center"/>
    </xf>
    <xf numFmtId="0" fontId="0" fillId="17" borderId="72" xfId="0" applyFill="1" applyBorder="1" applyAlignment="1">
      <alignment horizontal="center" vertical="center"/>
    </xf>
    <xf numFmtId="0" fontId="0" fillId="17" borderId="73" xfId="0" applyFill="1" applyBorder="1" applyAlignment="1">
      <alignment horizontal="center" vertical="center"/>
    </xf>
    <xf numFmtId="0" fontId="0" fillId="17" borderId="35" xfId="0" applyFill="1" applyBorder="1" applyAlignment="1">
      <alignment horizontal="center" vertical="center"/>
    </xf>
    <xf numFmtId="0" fontId="0" fillId="17" borderId="63" xfId="0" applyFill="1" applyBorder="1" applyAlignment="1">
      <alignment horizontal="center" vertical="center"/>
    </xf>
    <xf numFmtId="0" fontId="0" fillId="18" borderId="3" xfId="0" applyFill="1" applyBorder="1" applyAlignment="1">
      <alignment horizontal="center" vertical="center"/>
    </xf>
    <xf numFmtId="0" fontId="0" fillId="17" borderId="31" xfId="0" applyFill="1" applyBorder="1" applyAlignment="1">
      <alignment horizontal="center" vertical="center"/>
    </xf>
    <xf numFmtId="0" fontId="0" fillId="17" borderId="29" xfId="0" applyFill="1" applyBorder="1" applyAlignment="1">
      <alignment horizontal="center" vertical="center"/>
    </xf>
    <xf numFmtId="0" fontId="0" fillId="17" borderId="71" xfId="0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0" fillId="5" borderId="67" xfId="0" applyFill="1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0" fillId="5" borderId="74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22" xfId="0" applyFill="1" applyBorder="1" applyAlignment="1">
      <alignment horizontal="center" vertical="center"/>
    </xf>
    <xf numFmtId="0" fontId="0" fillId="5" borderId="18" xfId="0" applyFill="1" applyBorder="1" applyAlignment="1">
      <alignment horizontal="center" vertical="center"/>
    </xf>
    <xf numFmtId="0" fontId="0" fillId="5" borderId="72" xfId="0" applyFill="1" applyBorder="1" applyAlignment="1">
      <alignment horizontal="center" vertical="center"/>
    </xf>
    <xf numFmtId="0" fontId="0" fillId="5" borderId="63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65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63" xfId="0" applyFill="1" applyBorder="1" applyAlignment="1">
      <alignment horizontal="center" vertical="center" wrapText="1"/>
    </xf>
    <xf numFmtId="0" fontId="0" fillId="5" borderId="64" xfId="0" applyFill="1" applyBorder="1" applyAlignment="1">
      <alignment horizontal="center" vertical="center"/>
    </xf>
    <xf numFmtId="0" fontId="0" fillId="5" borderId="20" xfId="0" applyFill="1" applyBorder="1" applyAlignment="1">
      <alignment horizontal="center" vertical="center"/>
    </xf>
    <xf numFmtId="0" fontId="0" fillId="5" borderId="35" xfId="0" applyFill="1" applyBorder="1" applyAlignment="1">
      <alignment horizontal="center" vertical="center"/>
    </xf>
    <xf numFmtId="0" fontId="0" fillId="5" borderId="66" xfId="0" applyFill="1" applyBorder="1" applyAlignment="1">
      <alignment horizontal="center" vertical="center"/>
    </xf>
    <xf numFmtId="0" fontId="0" fillId="5" borderId="19" xfId="0" applyFill="1" applyBorder="1" applyAlignment="1">
      <alignment horizontal="center" vertical="center" wrapText="1"/>
    </xf>
    <xf numFmtId="0" fontId="0" fillId="5" borderId="18" xfId="0" applyFill="1" applyBorder="1" applyAlignment="1">
      <alignment horizontal="center" vertical="center" wrapText="1"/>
    </xf>
    <xf numFmtId="0" fontId="0" fillId="5" borderId="72" xfId="0" applyFill="1" applyBorder="1" applyAlignment="1">
      <alignment horizontal="center" vertical="center" wrapText="1"/>
    </xf>
    <xf numFmtId="0" fontId="0" fillId="5" borderId="73" xfId="0" applyFill="1" applyBorder="1" applyAlignment="1">
      <alignment horizontal="center" vertical="center"/>
    </xf>
    <xf numFmtId="0" fontId="0" fillId="5" borderId="70" xfId="0" applyFill="1" applyBorder="1" applyAlignment="1">
      <alignment horizontal="center" vertical="center"/>
    </xf>
    <xf numFmtId="0" fontId="0" fillId="5" borderId="68" xfId="0" applyFill="1" applyBorder="1" applyAlignment="1">
      <alignment horizontal="center" vertical="center"/>
    </xf>
    <xf numFmtId="0" fontId="0" fillId="5" borderId="29" xfId="0" applyFill="1" applyBorder="1" applyAlignment="1">
      <alignment horizontal="center" vertical="center"/>
    </xf>
    <xf numFmtId="0" fontId="0" fillId="5" borderId="71" xfId="0" applyFill="1" applyBorder="1" applyAlignment="1">
      <alignment horizontal="center" vertical="center"/>
    </xf>
    <xf numFmtId="0" fontId="0" fillId="19" borderId="10" xfId="0" applyFill="1" applyBorder="1" applyAlignment="1">
      <alignment horizontal="center" vertical="center"/>
    </xf>
    <xf numFmtId="0" fontId="0" fillId="19" borderId="69" xfId="0" applyFill="1" applyBorder="1" applyAlignment="1">
      <alignment horizontal="center" vertical="center"/>
    </xf>
    <xf numFmtId="0" fontId="0" fillId="19" borderId="9" xfId="0" applyFill="1" applyBorder="1" applyAlignment="1">
      <alignment horizontal="center" vertical="center"/>
    </xf>
    <xf numFmtId="0" fontId="0" fillId="19" borderId="11" xfId="0" applyFill="1" applyBorder="1" applyAlignment="1">
      <alignment horizontal="center" vertical="center"/>
    </xf>
    <xf numFmtId="0" fontId="0" fillId="19" borderId="8" xfId="0" applyFill="1" applyBorder="1" applyAlignment="1">
      <alignment horizontal="center" vertical="center"/>
    </xf>
    <xf numFmtId="0" fontId="0" fillId="19" borderId="12" xfId="0" applyFill="1" applyBorder="1" applyAlignment="1">
      <alignment horizontal="center" vertical="center"/>
    </xf>
    <xf numFmtId="0" fontId="24" fillId="11" borderId="67" xfId="0" applyFont="1" applyFill="1" applyBorder="1" applyAlignment="1">
      <alignment horizontal="left" vertical="top"/>
    </xf>
    <xf numFmtId="0" fontId="24" fillId="11" borderId="75" xfId="0" applyFont="1" applyFill="1" applyBorder="1" applyAlignment="1">
      <alignment horizontal="left" vertical="top"/>
    </xf>
    <xf numFmtId="0" fontId="0" fillId="11" borderId="76" xfId="0" applyFill="1" applyBorder="1" applyAlignment="1">
      <alignment horizontal="center" vertical="center"/>
    </xf>
    <xf numFmtId="0" fontId="0" fillId="11" borderId="77" xfId="0" applyFill="1" applyBorder="1" applyAlignment="1">
      <alignment horizontal="center" vertical="center"/>
    </xf>
    <xf numFmtId="49" fontId="0" fillId="11" borderId="2" xfId="0" applyNumberFormat="1" applyFill="1" applyBorder="1" applyAlignment="1">
      <alignment horizontal="center" vertical="center"/>
    </xf>
    <xf numFmtId="0" fontId="0" fillId="6" borderId="26" xfId="0" applyFill="1" applyBorder="1" applyAlignment="1">
      <alignment horizontal="center" vertical="center"/>
    </xf>
    <xf numFmtId="0" fontId="0" fillId="6" borderId="78" xfId="0" applyFill="1" applyBorder="1" applyAlignment="1">
      <alignment horizontal="center" vertical="center"/>
    </xf>
    <xf numFmtId="0" fontId="0" fillId="6" borderId="79" xfId="0" applyFill="1" applyBorder="1" applyAlignment="1">
      <alignment horizontal="center" vertical="center"/>
    </xf>
    <xf numFmtId="49" fontId="0" fillId="6" borderId="15" xfId="0" applyNumberFormat="1" applyFill="1" applyBorder="1" applyAlignment="1">
      <alignment horizontal="center" vertical="center"/>
    </xf>
    <xf numFmtId="0" fontId="0" fillId="6" borderId="80" xfId="0" applyFill="1" applyBorder="1" applyAlignment="1">
      <alignment horizontal="center" vertical="center"/>
    </xf>
    <xf numFmtId="0" fontId="0" fillId="6" borderId="81" xfId="0" applyFill="1" applyBorder="1" applyAlignment="1">
      <alignment horizontal="center" vertical="center"/>
    </xf>
    <xf numFmtId="49" fontId="0" fillId="6" borderId="3" xfId="0" applyNumberFormat="1" applyFill="1" applyBorder="1" applyAlignment="1">
      <alignment horizontal="center" vertical="center"/>
    </xf>
    <xf numFmtId="0" fontId="0" fillId="6" borderId="82" xfId="0" applyFill="1" applyBorder="1" applyAlignment="1">
      <alignment horizontal="center" vertical="center"/>
    </xf>
    <xf numFmtId="0" fontId="0" fillId="6" borderId="83" xfId="0" applyFill="1" applyBorder="1" applyAlignment="1">
      <alignment horizontal="center" vertical="center"/>
    </xf>
    <xf numFmtId="49" fontId="0" fillId="6" borderId="4" xfId="0" applyNumberFormat="1" applyFill="1" applyBorder="1" applyAlignment="1">
      <alignment horizontal="center" vertical="center"/>
    </xf>
    <xf numFmtId="0" fontId="0" fillId="6" borderId="84" xfId="0" applyFill="1" applyBorder="1" applyAlignment="1">
      <alignment horizontal="center" vertical="center"/>
    </xf>
    <xf numFmtId="0" fontId="0" fillId="6" borderId="85" xfId="0" applyFill="1" applyBorder="1" applyAlignment="1">
      <alignment horizontal="center" vertical="center"/>
    </xf>
    <xf numFmtId="0" fontId="0" fillId="16" borderId="14" xfId="0" applyFill="1" applyBorder="1" applyAlignment="1">
      <alignment horizontal="center" vertical="center"/>
    </xf>
    <xf numFmtId="0" fontId="0" fillId="16" borderId="78" xfId="0" applyFill="1" applyBorder="1" applyAlignment="1">
      <alignment horizontal="center" vertical="center"/>
    </xf>
    <xf numFmtId="0" fontId="0" fillId="16" borderId="86" xfId="0" applyFill="1" applyBorder="1" applyAlignment="1">
      <alignment horizontal="center" vertical="center"/>
    </xf>
    <xf numFmtId="0" fontId="0" fillId="16" borderId="79" xfId="0" applyFill="1" applyBorder="1" applyAlignment="1">
      <alignment horizontal="center" vertical="center"/>
    </xf>
    <xf numFmtId="49" fontId="0" fillId="16" borderId="15" xfId="0" applyNumberFormat="1" applyFill="1" applyBorder="1" applyAlignment="1">
      <alignment horizontal="center" vertical="center"/>
    </xf>
    <xf numFmtId="0" fontId="0" fillId="16" borderId="87" xfId="0" applyFill="1" applyBorder="1" applyAlignment="1">
      <alignment horizontal="center" vertical="center"/>
    </xf>
    <xf numFmtId="0" fontId="0" fillId="16" borderId="34" xfId="0" applyFill="1" applyBorder="1" applyAlignment="1">
      <alignment horizontal="center" vertical="center"/>
    </xf>
    <xf numFmtId="0" fontId="0" fillId="16" borderId="83" xfId="0" applyFill="1" applyBorder="1" applyAlignment="1">
      <alignment horizontal="center" vertical="center"/>
    </xf>
    <xf numFmtId="0" fontId="0" fillId="16" borderId="81" xfId="0" applyFill="1" applyBorder="1" applyAlignment="1">
      <alignment horizontal="center" vertical="center"/>
    </xf>
    <xf numFmtId="0" fontId="0" fillId="16" borderId="19" xfId="0" applyFill="1" applyBorder="1" applyAlignment="1">
      <alignment horizontal="center" vertical="center"/>
    </xf>
    <xf numFmtId="49" fontId="0" fillId="16" borderId="3" xfId="0" applyNumberFormat="1" applyFill="1" applyBorder="1" applyAlignment="1">
      <alignment horizontal="center" vertical="center"/>
    </xf>
    <xf numFmtId="0" fontId="0" fillId="16" borderId="1" xfId="0" applyFill="1" applyBorder="1" applyAlignment="1">
      <alignment horizontal="center" vertical="center"/>
    </xf>
    <xf numFmtId="0" fontId="0" fillId="16" borderId="23" xfId="0" applyFill="1" applyBorder="1" applyAlignment="1">
      <alignment horizontal="center" vertical="center"/>
    </xf>
    <xf numFmtId="0" fontId="0" fillId="16" borderId="84" xfId="0" applyFill="1" applyBorder="1" applyAlignment="1">
      <alignment horizontal="center" vertical="center"/>
    </xf>
    <xf numFmtId="0" fontId="0" fillId="16" borderId="85" xfId="0" applyFill="1" applyBorder="1" applyAlignment="1">
      <alignment horizontal="center" vertical="center"/>
    </xf>
    <xf numFmtId="49" fontId="0" fillId="16" borderId="73" xfId="0" applyNumberFormat="1" applyFill="1" applyBorder="1" applyAlignment="1">
      <alignment horizontal="center" vertical="center"/>
    </xf>
    <xf numFmtId="0" fontId="0" fillId="17" borderId="4" xfId="0" applyFill="1" applyBorder="1" applyAlignment="1">
      <alignment horizontal="center" vertical="center"/>
    </xf>
    <xf numFmtId="0" fontId="0" fillId="17" borderId="88" xfId="0" applyFill="1" applyBorder="1" applyAlignment="1">
      <alignment horizontal="center" vertical="center"/>
    </xf>
    <xf numFmtId="0" fontId="0" fillId="17" borderId="62" xfId="0" applyFill="1" applyBorder="1" applyAlignment="1">
      <alignment horizontal="center" vertical="center"/>
    </xf>
    <xf numFmtId="49" fontId="0" fillId="17" borderId="4" xfId="0" applyNumberFormat="1" applyFill="1" applyBorder="1" applyAlignment="1">
      <alignment horizontal="center" vertical="center"/>
    </xf>
    <xf numFmtId="0" fontId="0" fillId="17" borderId="19" xfId="0" applyFill="1" applyBorder="1" applyAlignment="1">
      <alignment horizontal="center" vertical="center"/>
    </xf>
    <xf numFmtId="0" fontId="0" fillId="17" borderId="2" xfId="0" applyFill="1" applyBorder="1" applyAlignment="1">
      <alignment horizontal="center" vertical="center"/>
    </xf>
    <xf numFmtId="0" fontId="0" fillId="17" borderId="81" xfId="0" applyFill="1" applyBorder="1" applyAlignment="1">
      <alignment horizontal="center" vertical="center"/>
    </xf>
    <xf numFmtId="49" fontId="0" fillId="17" borderId="2" xfId="0" applyNumberFormat="1" applyFill="1" applyBorder="1" applyAlignment="1">
      <alignment horizontal="center" vertical="center"/>
    </xf>
    <xf numFmtId="0" fontId="0" fillId="17" borderId="66" xfId="0" applyFill="1" applyBorder="1" applyAlignment="1">
      <alignment horizontal="center" vertical="center"/>
    </xf>
    <xf numFmtId="0" fontId="0" fillId="17" borderId="22" xfId="0" applyFill="1" applyBorder="1" applyAlignment="1">
      <alignment horizontal="center" vertical="center"/>
    </xf>
    <xf numFmtId="0" fontId="0" fillId="18" borderId="35" xfId="0" applyFill="1" applyBorder="1" applyAlignment="1">
      <alignment horizontal="center" vertical="top"/>
    </xf>
    <xf numFmtId="0" fontId="0" fillId="18" borderId="80" xfId="0" applyFill="1" applyBorder="1" applyAlignment="1">
      <alignment horizontal="center" vertical="top"/>
    </xf>
    <xf numFmtId="0" fontId="0" fillId="17" borderId="77" xfId="0" applyFill="1" applyBorder="1" applyAlignment="1">
      <alignment horizontal="center" vertical="center"/>
    </xf>
    <xf numFmtId="0" fontId="0" fillId="17" borderId="68" xfId="0" applyFill="1" applyBorder="1" applyAlignment="1">
      <alignment horizontal="center" vertical="center"/>
    </xf>
    <xf numFmtId="49" fontId="0" fillId="17" borderId="3" xfId="0" applyNumberFormat="1" applyFill="1" applyBorder="1" applyAlignment="1">
      <alignment horizontal="center" vertical="center"/>
    </xf>
    <xf numFmtId="0" fontId="0" fillId="18" borderId="3" xfId="0" applyFill="1" applyBorder="1" applyAlignment="1">
      <alignment horizontal="center" vertical="top"/>
    </xf>
    <xf numFmtId="0" fontId="0" fillId="18" borderId="39" xfId="0" applyFill="1" applyBorder="1" applyAlignment="1">
      <alignment horizontal="center" vertical="top"/>
    </xf>
    <xf numFmtId="0" fontId="0" fillId="18" borderId="83" xfId="0" applyFill="1" applyBorder="1" applyAlignment="1">
      <alignment horizontal="center" vertical="top"/>
    </xf>
    <xf numFmtId="0" fontId="0" fillId="5" borderId="79" xfId="0" applyFill="1" applyBorder="1" applyAlignment="1">
      <alignment horizontal="center" vertical="center"/>
    </xf>
    <xf numFmtId="49" fontId="0" fillId="5" borderId="26" xfId="0" applyNumberFormat="1" applyFill="1" applyBorder="1" applyAlignment="1">
      <alignment horizontal="center" vertical="center"/>
    </xf>
    <xf numFmtId="0" fontId="0" fillId="5" borderId="66" xfId="0" applyFill="1" applyBorder="1" applyAlignment="1">
      <alignment vertical="center"/>
    </xf>
    <xf numFmtId="0" fontId="0" fillId="5" borderId="81" xfId="0" applyFill="1" applyBorder="1" applyAlignment="1">
      <alignment horizontal="center" vertical="center"/>
    </xf>
    <xf numFmtId="49" fontId="0" fillId="5" borderId="2" xfId="0" applyNumberFormat="1" applyFill="1" applyBorder="1" applyAlignment="1">
      <alignment horizontal="center" vertical="center"/>
    </xf>
    <xf numFmtId="49" fontId="0" fillId="5" borderId="4" xfId="0" applyNumberFormat="1" applyFill="1" applyBorder="1" applyAlignment="1">
      <alignment horizontal="center" vertical="center"/>
    </xf>
    <xf numFmtId="0" fontId="0" fillId="5" borderId="80" xfId="0" applyFill="1" applyBorder="1" applyAlignment="1">
      <alignment horizontal="center" vertical="center"/>
    </xf>
    <xf numFmtId="49" fontId="0" fillId="5" borderId="1" xfId="0" applyNumberFormat="1" applyFill="1" applyBorder="1" applyAlignment="1">
      <alignment horizontal="center" vertical="center"/>
    </xf>
    <xf numFmtId="0" fontId="0" fillId="5" borderId="83" xfId="0" applyFill="1" applyBorder="1" applyAlignment="1">
      <alignment horizontal="center" vertical="center"/>
    </xf>
    <xf numFmtId="0" fontId="0" fillId="5" borderId="82" xfId="0" applyFill="1" applyBorder="1" applyAlignment="1">
      <alignment horizontal="center" vertical="center"/>
    </xf>
    <xf numFmtId="0" fontId="0" fillId="5" borderId="89" xfId="0" applyFill="1" applyBorder="1" applyAlignment="1">
      <alignment horizontal="center" vertical="center"/>
    </xf>
    <xf numFmtId="0" fontId="0" fillId="5" borderId="39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0" fillId="5" borderId="77" xfId="0" applyFill="1" applyBorder="1" applyAlignment="1">
      <alignment horizontal="center" vertical="center"/>
    </xf>
    <xf numFmtId="49" fontId="0" fillId="5" borderId="3" xfId="0" applyNumberFormat="1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 wrapText="1"/>
    </xf>
    <xf numFmtId="0" fontId="0" fillId="5" borderId="76" xfId="0" applyFill="1" applyBorder="1" applyAlignment="1">
      <alignment horizontal="center" vertical="center"/>
    </xf>
    <xf numFmtId="0" fontId="0" fillId="5" borderId="85" xfId="0" applyFill="1" applyBorder="1" applyAlignment="1">
      <alignment horizontal="center" vertical="center"/>
    </xf>
    <xf numFmtId="49" fontId="0" fillId="5" borderId="73" xfId="0" applyNumberFormat="1" applyFill="1" applyBorder="1" applyAlignment="1">
      <alignment horizontal="center" vertical="center"/>
    </xf>
    <xf numFmtId="0" fontId="0" fillId="19" borderId="90" xfId="0" applyFill="1" applyBorder="1" applyAlignment="1">
      <alignment horizontal="center" vertical="center"/>
    </xf>
    <xf numFmtId="0" fontId="0" fillId="6" borderId="22" xfId="0" applyFill="1" applyBorder="1" applyAlignment="1">
      <alignment vertical="center"/>
    </xf>
    <xf numFmtId="0" fontId="0" fillId="20" borderId="63" xfId="0" applyFill="1" applyBorder="1" applyAlignment="1">
      <alignment horizontal="center" vertical="center"/>
    </xf>
    <xf numFmtId="0" fontId="0" fillId="21" borderId="63" xfId="0" applyFill="1" applyBorder="1" applyAlignment="1">
      <alignment horizontal="center" vertical="center"/>
    </xf>
    <xf numFmtId="0" fontId="0" fillId="5" borderId="22" xfId="0" applyFill="1" applyBorder="1" applyAlignment="1">
      <alignment horizontal="center" vertical="center" wrapText="1"/>
    </xf>
    <xf numFmtId="0" fontId="0" fillId="5" borderId="68" xfId="0" applyFill="1" applyBorder="1" applyAlignment="1">
      <alignment horizontal="center" vertical="center" wrapText="1"/>
    </xf>
    <xf numFmtId="0" fontId="0" fillId="19" borderId="12" xfId="0" applyFill="1" applyBorder="1" applyAlignment="1">
      <alignment horizontal="center" vertical="center" wrapText="1"/>
    </xf>
    <xf numFmtId="0" fontId="24" fillId="11" borderId="17" xfId="0" applyFont="1" applyFill="1" applyBorder="1" applyAlignment="1">
      <alignment horizontal="left" vertical="top"/>
    </xf>
    <xf numFmtId="0" fontId="25" fillId="0" borderId="0" xfId="0" applyFont="1" applyAlignment="1">
      <alignment horizontal="center" vertical="center"/>
    </xf>
    <xf numFmtId="0" fontId="0" fillId="22" borderId="5" xfId="0" applyFill="1" applyBorder="1" applyAlignment="1">
      <alignment horizontal="center" vertical="center"/>
    </xf>
    <xf numFmtId="0" fontId="0" fillId="22" borderId="7" xfId="0" applyFill="1" applyBorder="1" applyAlignment="1">
      <alignment horizontal="center" vertical="center"/>
    </xf>
    <xf numFmtId="0" fontId="3" fillId="22" borderId="1" xfId="0" applyFont="1" applyFill="1" applyBorder="1" applyAlignment="1">
      <alignment horizontal="center" vertical="center" wrapText="1"/>
    </xf>
    <xf numFmtId="0" fontId="0" fillId="22" borderId="1" xfId="0" applyFill="1" applyBorder="1" applyAlignment="1">
      <alignment horizontal="center" vertical="center" wrapText="1"/>
    </xf>
    <xf numFmtId="0" fontId="0" fillId="22" borderId="1" xfId="0" applyFont="1" applyFill="1" applyBorder="1" applyAlignment="1">
      <alignment horizontal="center" vertical="center" wrapText="1"/>
    </xf>
    <xf numFmtId="177" fontId="0" fillId="7" borderId="1" xfId="0" applyNumberFormat="1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7" borderId="3" xfId="0" applyFill="1" applyBorder="1" applyAlignment="1">
      <alignment vertical="center"/>
    </xf>
    <xf numFmtId="0" fontId="0" fillId="23" borderId="2" xfId="0" applyFill="1" applyBorder="1" applyAlignment="1">
      <alignment horizontal="center" vertical="center"/>
    </xf>
    <xf numFmtId="0" fontId="0" fillId="24" borderId="2" xfId="0" applyFill="1" applyBorder="1" applyAlignment="1">
      <alignment horizontal="center" vertical="center"/>
    </xf>
    <xf numFmtId="0" fontId="0" fillId="24" borderId="1" xfId="0" applyFill="1" applyBorder="1" applyAlignment="1">
      <alignment horizontal="center" vertical="center"/>
    </xf>
    <xf numFmtId="0" fontId="0" fillId="23" borderId="3" xfId="0" applyFill="1" applyBorder="1" applyAlignment="1">
      <alignment horizontal="center" vertical="center"/>
    </xf>
    <xf numFmtId="177" fontId="0" fillId="24" borderId="1" xfId="0" applyNumberFormat="1" applyFill="1" applyBorder="1" applyAlignment="1">
      <alignment horizontal="center" vertical="center"/>
    </xf>
    <xf numFmtId="0" fontId="0" fillId="24" borderId="3" xfId="0" applyFill="1" applyBorder="1" applyAlignment="1">
      <alignment horizontal="center" vertical="center"/>
    </xf>
    <xf numFmtId="0" fontId="0" fillId="24" borderId="35" xfId="0" applyFill="1" applyBorder="1" applyAlignment="1">
      <alignment horizontal="center" vertical="center"/>
    </xf>
    <xf numFmtId="0" fontId="0" fillId="24" borderId="2" xfId="0" applyFill="1" applyBorder="1" applyAlignment="1">
      <alignment vertical="center"/>
    </xf>
    <xf numFmtId="0" fontId="0" fillId="24" borderId="46" xfId="0" applyFill="1" applyBorder="1" applyAlignment="1">
      <alignment horizontal="center" vertical="center"/>
    </xf>
    <xf numFmtId="0" fontId="0" fillId="24" borderId="4" xfId="0" applyFill="1" applyBorder="1" applyAlignment="1">
      <alignment horizontal="center" vertical="center"/>
    </xf>
    <xf numFmtId="0" fontId="0" fillId="25" borderId="3" xfId="0" applyFill="1" applyBorder="1" applyAlignment="1">
      <alignment horizontal="center" vertical="center"/>
    </xf>
    <xf numFmtId="0" fontId="0" fillId="24" borderId="39" xfId="0" applyFill="1" applyBorder="1" applyAlignment="1">
      <alignment horizontal="center" vertical="center"/>
    </xf>
    <xf numFmtId="0" fontId="0" fillId="24" borderId="33" xfId="0" applyFill="1" applyBorder="1" applyAlignment="1">
      <alignment horizontal="center" vertical="center"/>
    </xf>
    <xf numFmtId="0" fontId="0" fillId="26" borderId="2" xfId="0" applyFill="1" applyBorder="1" applyAlignment="1">
      <alignment horizontal="center" vertical="center" wrapText="1"/>
    </xf>
    <xf numFmtId="0" fontId="0" fillId="26" borderId="1" xfId="0" applyFill="1" applyBorder="1" applyAlignment="1">
      <alignment horizontal="center" vertical="center"/>
    </xf>
    <xf numFmtId="0" fontId="0" fillId="26" borderId="3" xfId="0" applyFill="1" applyBorder="1" applyAlignment="1">
      <alignment horizontal="center" vertical="center" wrapText="1"/>
    </xf>
    <xf numFmtId="0" fontId="0" fillId="26" borderId="2" xfId="0" applyFill="1" applyBorder="1" applyAlignment="1">
      <alignment horizontal="center" vertical="center"/>
    </xf>
    <xf numFmtId="0" fontId="0" fillId="26" borderId="3" xfId="0" applyFill="1" applyBorder="1" applyAlignment="1">
      <alignment vertical="center"/>
    </xf>
    <xf numFmtId="177" fontId="0" fillId="26" borderId="1" xfId="0" applyNumberFormat="1" applyFill="1" applyBorder="1" applyAlignment="1">
      <alignment horizontal="center" vertical="center"/>
    </xf>
    <xf numFmtId="0" fontId="0" fillId="26" borderId="3" xfId="0" applyFill="1" applyBorder="1" applyAlignment="1">
      <alignment horizontal="center" vertical="center"/>
    </xf>
    <xf numFmtId="0" fontId="0" fillId="26" borderId="4" xfId="0" applyFill="1" applyBorder="1" applyAlignment="1">
      <alignment horizontal="center" vertical="center" wrapText="1"/>
    </xf>
    <xf numFmtId="0" fontId="0" fillId="26" borderId="4" xfId="0" applyFill="1" applyBorder="1" applyAlignment="1">
      <alignment horizontal="center" vertical="center"/>
    </xf>
    <xf numFmtId="0" fontId="0" fillId="27" borderId="2" xfId="0" applyFill="1" applyBorder="1" applyAlignment="1">
      <alignment horizontal="center" vertical="center"/>
    </xf>
    <xf numFmtId="0" fontId="0" fillId="27" borderId="7" xfId="0" applyFill="1" applyBorder="1" applyAlignment="1">
      <alignment horizontal="center" vertical="center"/>
    </xf>
    <xf numFmtId="0" fontId="0" fillId="27" borderId="1" xfId="0" applyFill="1" applyBorder="1" applyAlignment="1">
      <alignment horizontal="center" vertical="center"/>
    </xf>
    <xf numFmtId="177" fontId="0" fillId="27" borderId="1" xfId="0" applyNumberFormat="1" applyFill="1" applyBorder="1" applyAlignment="1">
      <alignment horizontal="center" vertical="center"/>
    </xf>
    <xf numFmtId="0" fontId="0" fillId="27" borderId="4" xfId="0" applyFill="1" applyBorder="1" applyAlignment="1">
      <alignment horizontal="center" vertical="center"/>
    </xf>
    <xf numFmtId="0" fontId="0" fillId="27" borderId="5" xfId="0" applyFill="1" applyBorder="1" applyAlignment="1">
      <alignment horizontal="center" vertical="center"/>
    </xf>
    <xf numFmtId="0" fontId="0" fillId="19" borderId="1" xfId="0" applyFill="1" applyBorder="1" applyAlignment="1">
      <alignment horizontal="center" vertical="center"/>
    </xf>
    <xf numFmtId="177" fontId="0" fillId="19" borderId="1" xfId="0" applyNumberFormat="1" applyFill="1" applyBorder="1" applyAlignment="1">
      <alignment horizontal="center" vertical="center"/>
    </xf>
    <xf numFmtId="177" fontId="0" fillId="3" borderId="1" xfId="0" applyNumberFormat="1" applyFill="1" applyBorder="1" applyAlignment="1">
      <alignment horizontal="center" vertical="center"/>
    </xf>
    <xf numFmtId="0" fontId="5" fillId="8" borderId="5" xfId="0" applyFont="1" applyFill="1" applyBorder="1" applyAlignment="1">
      <alignment horizontal="left" vertical="top" wrapText="1"/>
    </xf>
    <xf numFmtId="0" fontId="3" fillId="8" borderId="6" xfId="0" applyFont="1" applyFill="1" applyBorder="1" applyAlignment="1">
      <alignment horizontal="left" vertical="top" wrapText="1"/>
    </xf>
    <xf numFmtId="0" fontId="0" fillId="7" borderId="2" xfId="0" applyFill="1" applyBorder="1" applyAlignment="1">
      <alignment vertical="center" wrapText="1"/>
    </xf>
    <xf numFmtId="0" fontId="26" fillId="0" borderId="0" xfId="0" applyFont="1" applyAlignment="1">
      <alignment horizontal="center" vertical="center"/>
    </xf>
    <xf numFmtId="0" fontId="0" fillId="7" borderId="3" xfId="0" applyFill="1" applyBorder="1" applyAlignment="1">
      <alignment vertical="center" wrapText="1"/>
    </xf>
    <xf numFmtId="0" fontId="0" fillId="7" borderId="3" xfId="0" applyFont="1" applyFill="1" applyBorder="1" applyAlignment="1">
      <alignment horizontal="center" vertical="center" wrapText="1"/>
    </xf>
    <xf numFmtId="0" fontId="0" fillId="7" borderId="39" xfId="0" applyFill="1" applyBorder="1" applyAlignment="1">
      <alignment horizontal="center" vertical="center"/>
    </xf>
    <xf numFmtId="0" fontId="0" fillId="24" borderId="2" xfId="0" applyFill="1" applyBorder="1" applyAlignment="1">
      <alignment horizontal="center" vertical="center" wrapText="1"/>
    </xf>
    <xf numFmtId="0" fontId="0" fillId="24" borderId="4" xfId="0" applyFill="1" applyBorder="1" applyAlignment="1">
      <alignment horizontal="center" vertical="center" wrapText="1"/>
    </xf>
    <xf numFmtId="0" fontId="0" fillId="26" borderId="3" xfId="0" applyFill="1" applyBorder="1" applyAlignment="1">
      <alignment vertical="center" wrapText="1"/>
    </xf>
    <xf numFmtId="0" fontId="0" fillId="26" borderId="4" xfId="0" applyFill="1" applyBorder="1" applyAlignment="1">
      <alignment vertical="center" wrapText="1"/>
    </xf>
    <xf numFmtId="0" fontId="0" fillId="27" borderId="2" xfId="0" applyFill="1" applyBorder="1" applyAlignment="1">
      <alignment horizontal="center" vertical="center" wrapText="1"/>
    </xf>
    <xf numFmtId="0" fontId="0" fillId="28" borderId="2" xfId="0" applyFill="1" applyBorder="1" applyAlignment="1">
      <alignment horizontal="center" vertical="center"/>
    </xf>
    <xf numFmtId="0" fontId="0" fillId="29" borderId="3" xfId="0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4" xfId="0" applyFont="1" applyFill="1" applyBorder="1" applyAlignment="1">
      <alignment vertical="center" wrapText="1"/>
    </xf>
    <xf numFmtId="0" fontId="0" fillId="3" borderId="2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3" fillId="8" borderId="7" xfId="0" applyFont="1" applyFill="1" applyBorder="1" applyAlignment="1">
      <alignment horizontal="left" vertical="top" wrapText="1"/>
    </xf>
    <xf numFmtId="0" fontId="0" fillId="0" borderId="0" xfId="0" applyAlignment="1">
      <alignment horizontal="left"/>
    </xf>
    <xf numFmtId="0" fontId="0" fillId="13" borderId="25" xfId="0" applyFill="1" applyBorder="1" applyAlignment="1">
      <alignment horizontal="left" vertical="center"/>
    </xf>
    <xf numFmtId="0" fontId="0" fillId="13" borderId="70" xfId="0" applyFill="1" applyBorder="1" applyAlignment="1">
      <alignment horizontal="left" vertical="center"/>
    </xf>
    <xf numFmtId="0" fontId="27" fillId="30" borderId="91" xfId="0" applyFont="1" applyFill="1" applyBorder="1" applyAlignment="1">
      <alignment horizontal="left" vertical="center"/>
    </xf>
    <xf numFmtId="0" fontId="27" fillId="30" borderId="46" xfId="0" applyFont="1" applyFill="1" applyBorder="1" applyAlignment="1">
      <alignment horizontal="left" vertical="center"/>
    </xf>
    <xf numFmtId="0" fontId="0" fillId="11" borderId="4" xfId="0" applyFill="1" applyBorder="1" applyAlignment="1">
      <alignment horizontal="left" vertical="center"/>
    </xf>
    <xf numFmtId="0" fontId="0" fillId="31" borderId="4" xfId="0" applyFill="1" applyBorder="1" applyAlignment="1">
      <alignment horizontal="left" vertical="center"/>
    </xf>
    <xf numFmtId="0" fontId="0" fillId="0" borderId="4" xfId="0" applyFill="1" applyBorder="1" applyAlignment="1">
      <alignment horizontal="left" vertical="center"/>
    </xf>
    <xf numFmtId="0" fontId="0" fillId="32" borderId="4" xfId="0" applyFill="1" applyBorder="1" applyAlignment="1">
      <alignment horizontal="left" vertical="center"/>
    </xf>
    <xf numFmtId="0" fontId="0" fillId="7" borderId="1" xfId="0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0" fillId="16" borderId="1" xfId="0" applyFill="1" applyBorder="1" applyAlignment="1">
      <alignment horizontal="left" vertical="center" wrapText="1"/>
    </xf>
    <xf numFmtId="0" fontId="0" fillId="31" borderId="1" xfId="0" applyFill="1" applyBorder="1" applyAlignment="1">
      <alignment horizontal="left" vertical="center"/>
    </xf>
    <xf numFmtId="0" fontId="0" fillId="16" borderId="25" xfId="0" applyFill="1" applyBorder="1" applyAlignment="1">
      <alignment horizontal="left" vertical="center" wrapText="1"/>
    </xf>
    <xf numFmtId="0" fontId="0" fillId="31" borderId="25" xfId="0" applyFill="1" applyBorder="1" applyAlignment="1">
      <alignment horizontal="left" vertical="center"/>
    </xf>
    <xf numFmtId="0" fontId="0" fillId="0" borderId="25" xfId="0" applyFill="1" applyBorder="1" applyAlignment="1">
      <alignment horizontal="left" vertical="center"/>
    </xf>
    <xf numFmtId="0" fontId="0" fillId="11" borderId="15" xfId="0" applyFill="1" applyBorder="1" applyAlignment="1">
      <alignment horizontal="left" vertical="center"/>
    </xf>
    <xf numFmtId="0" fontId="0" fillId="31" borderId="26" xfId="0" applyFill="1" applyBorder="1" applyAlignment="1">
      <alignment horizontal="left" vertical="center"/>
    </xf>
    <xf numFmtId="0" fontId="0" fillId="0" borderId="17" xfId="0" applyFill="1" applyBorder="1" applyAlignment="1">
      <alignment horizontal="left" vertical="center"/>
    </xf>
    <xf numFmtId="0" fontId="0" fillId="33" borderId="4" xfId="0" applyFill="1" applyBorder="1" applyAlignment="1">
      <alignment horizontal="left" vertical="center"/>
    </xf>
    <xf numFmtId="0" fontId="0" fillId="11" borderId="3" xfId="0" applyFill="1" applyBorder="1" applyAlignment="1">
      <alignment horizontal="left" vertical="center"/>
    </xf>
    <xf numFmtId="0" fontId="0" fillId="0" borderId="7" xfId="0" applyFill="1" applyBorder="1" applyAlignment="1">
      <alignment horizontal="left" vertical="center"/>
    </xf>
    <xf numFmtId="0" fontId="0" fillId="16" borderId="3" xfId="0" applyFill="1" applyBorder="1" applyAlignment="1">
      <alignment horizontal="left" vertical="center" wrapText="1"/>
    </xf>
    <xf numFmtId="0" fontId="0" fillId="0" borderId="2" xfId="0" applyFill="1" applyBorder="1" applyAlignment="1">
      <alignment horizontal="left" vertical="center"/>
    </xf>
    <xf numFmtId="0" fontId="0" fillId="7" borderId="3" xfId="0" applyFill="1" applyBorder="1" applyAlignment="1">
      <alignment horizontal="left" vertical="center"/>
    </xf>
    <xf numFmtId="0" fontId="0" fillId="16" borderId="73" xfId="0" applyFill="1" applyBorder="1" applyAlignment="1">
      <alignment horizontal="left" vertical="center" wrapText="1"/>
    </xf>
    <xf numFmtId="0" fontId="6" fillId="31" borderId="25" xfId="0" applyFont="1" applyFill="1" applyBorder="1" applyAlignment="1">
      <alignment horizontal="left" vertical="center"/>
    </xf>
    <xf numFmtId="0" fontId="6" fillId="0" borderId="24" xfId="0" applyFont="1" applyFill="1" applyBorder="1" applyAlignment="1">
      <alignment horizontal="left" vertical="center"/>
    </xf>
    <xf numFmtId="0" fontId="0" fillId="7" borderId="15" xfId="0" applyFill="1" applyBorder="1" applyAlignment="1">
      <alignment horizontal="left" vertical="center"/>
    </xf>
    <xf numFmtId="0" fontId="0" fillId="0" borderId="3" xfId="0" applyFill="1" applyBorder="1" applyAlignment="1">
      <alignment horizontal="left" vertical="center"/>
    </xf>
    <xf numFmtId="0" fontId="0" fillId="7" borderId="4" xfId="0" applyFill="1" applyBorder="1" applyAlignment="1">
      <alignment horizontal="left" vertical="center"/>
    </xf>
    <xf numFmtId="0" fontId="5" fillId="13" borderId="25" xfId="0" applyFont="1" applyFill="1" applyBorder="1" applyAlignment="1">
      <alignment horizontal="left" vertical="top"/>
    </xf>
    <xf numFmtId="0" fontId="0" fillId="13" borderId="25" xfId="0" applyFont="1" applyFill="1" applyBorder="1" applyAlignment="1">
      <alignment horizontal="left" vertical="center"/>
    </xf>
    <xf numFmtId="0" fontId="0" fillId="0" borderId="15" xfId="0" applyFill="1" applyBorder="1" applyAlignment="1">
      <alignment horizontal="left" vertical="center"/>
    </xf>
    <xf numFmtId="0" fontId="0" fillId="34" borderId="1" xfId="0" applyFill="1" applyBorder="1" applyAlignment="1">
      <alignment vertical="center"/>
    </xf>
    <xf numFmtId="0" fontId="0" fillId="0" borderId="24" xfId="0" applyFill="1" applyBorder="1" applyAlignment="1">
      <alignment horizontal="left" vertical="center"/>
    </xf>
    <xf numFmtId="0" fontId="0" fillId="34" borderId="25" xfId="0" applyFill="1" applyBorder="1" applyAlignment="1">
      <alignment vertical="center"/>
    </xf>
    <xf numFmtId="0" fontId="0" fillId="32" borderId="17" xfId="0" applyFill="1" applyBorder="1" applyAlignment="1">
      <alignment horizontal="left" vertical="center"/>
    </xf>
    <xf numFmtId="0" fontId="0" fillId="0" borderId="26" xfId="0" applyFill="1" applyBorder="1" applyAlignment="1">
      <alignment horizontal="left" vertical="center"/>
    </xf>
    <xf numFmtId="0" fontId="0" fillId="32" borderId="7" xfId="0" applyFill="1" applyBorder="1" applyAlignment="1">
      <alignment horizontal="left" vertical="center"/>
    </xf>
    <xf numFmtId="0" fontId="0" fillId="32" borderId="2" xfId="0" applyFill="1" applyBorder="1" applyAlignment="1">
      <alignment horizontal="left" vertical="center"/>
    </xf>
    <xf numFmtId="0" fontId="0" fillId="0" borderId="46" xfId="0" applyFill="1" applyBorder="1" applyAlignment="1">
      <alignment horizontal="left" vertical="center"/>
    </xf>
    <xf numFmtId="0" fontId="0" fillId="0" borderId="52" xfId="0" applyFill="1" applyBorder="1" applyAlignment="1">
      <alignment horizontal="left" vertical="center"/>
    </xf>
    <xf numFmtId="0" fontId="0" fillId="0" borderId="52" xfId="0" applyFill="1" applyBorder="1" applyAlignment="1">
      <alignment horizontal="left"/>
    </xf>
    <xf numFmtId="0" fontId="0" fillId="32" borderId="33" xfId="0" applyFill="1" applyBorder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0" fillId="32" borderId="3" xfId="0" applyFill="1" applyBorder="1" applyAlignment="1">
      <alignment horizontal="left" vertical="center"/>
    </xf>
    <xf numFmtId="0" fontId="0" fillId="0" borderId="73" xfId="0" applyFill="1" applyBorder="1" applyAlignment="1">
      <alignment horizontal="left" vertical="center"/>
    </xf>
    <xf numFmtId="0" fontId="0" fillId="0" borderId="25" xfId="0" applyFill="1" applyBorder="1" applyAlignment="1">
      <alignment vertical="center"/>
    </xf>
    <xf numFmtId="0" fontId="0" fillId="0" borderId="3" xfId="0" applyFill="1" applyBorder="1" applyAlignment="1">
      <alignment horizontal="left"/>
    </xf>
    <xf numFmtId="0" fontId="0" fillId="0" borderId="1" xfId="0" applyBorder="1" applyAlignment="1">
      <alignment horizontal="left" vertical="center"/>
    </xf>
    <xf numFmtId="0" fontId="0" fillId="0" borderId="5" xfId="0" applyFill="1" applyBorder="1" applyAlignment="1">
      <alignment horizontal="left" vertical="center"/>
    </xf>
    <xf numFmtId="0" fontId="0" fillId="0" borderId="6" xfId="0" applyFill="1" applyBorder="1" applyAlignment="1">
      <alignment horizontal="left" vertical="center"/>
    </xf>
    <xf numFmtId="0" fontId="0" fillId="13" borderId="24" xfId="0" applyFill="1" applyBorder="1" applyAlignment="1">
      <alignment horizontal="left" vertical="center"/>
    </xf>
    <xf numFmtId="0" fontId="0" fillId="35" borderId="26" xfId="0" applyFill="1" applyBorder="1" applyAlignment="1">
      <alignment vertical="center"/>
    </xf>
    <xf numFmtId="0" fontId="0" fillId="35" borderId="26" xfId="0" applyFill="1" applyBorder="1" applyAlignment="1">
      <alignment horizontal="left" vertical="center"/>
    </xf>
    <xf numFmtId="0" fontId="0" fillId="35" borderId="15" xfId="0" applyFill="1" applyBorder="1" applyAlignment="1">
      <alignment horizontal="left" vertical="center"/>
    </xf>
    <xf numFmtId="0" fontId="0" fillId="35" borderId="1" xfId="0" applyFill="1" applyBorder="1" applyAlignment="1">
      <alignment vertical="center"/>
    </xf>
    <xf numFmtId="0" fontId="0" fillId="35" borderId="1" xfId="0" applyFill="1" applyBorder="1" applyAlignment="1">
      <alignment horizontal="left" vertical="center"/>
    </xf>
    <xf numFmtId="0" fontId="0" fillId="35" borderId="4" xfId="0" applyFill="1" applyBorder="1" applyAlignment="1">
      <alignment horizontal="left" vertical="center"/>
    </xf>
    <xf numFmtId="0" fontId="0" fillId="35" borderId="3" xfId="0" applyFill="1" applyBorder="1" applyAlignment="1">
      <alignment horizontal="left" vertical="center"/>
    </xf>
    <xf numFmtId="0" fontId="0" fillId="0" borderId="1" xfId="0" applyFill="1" applyBorder="1" applyAlignment="1">
      <alignment vertical="center"/>
    </xf>
    <xf numFmtId="0" fontId="0" fillId="35" borderId="1" xfId="0" applyFill="1" applyBorder="1" applyAlignment="1">
      <alignment vertical="center" wrapText="1"/>
    </xf>
    <xf numFmtId="0" fontId="0" fillId="35" borderId="2" xfId="0" applyFill="1" applyBorder="1" applyAlignment="1">
      <alignment horizontal="left" vertical="center"/>
    </xf>
    <xf numFmtId="0" fontId="0" fillId="35" borderId="2" xfId="0" applyFill="1" applyBorder="1" applyAlignment="1">
      <alignment vertical="center"/>
    </xf>
    <xf numFmtId="0" fontId="0" fillId="35" borderId="3" xfId="0" applyFill="1" applyBorder="1" applyAlignment="1">
      <alignment vertical="center" wrapText="1"/>
    </xf>
    <xf numFmtId="0" fontId="0" fillId="35" borderId="3" xfId="0" applyFill="1" applyBorder="1" applyAlignment="1">
      <alignment vertical="center"/>
    </xf>
    <xf numFmtId="0" fontId="0" fillId="35" borderId="4" xfId="0" applyFill="1" applyBorder="1" applyAlignment="1">
      <alignment vertical="center" wrapText="1"/>
    </xf>
    <xf numFmtId="0" fontId="0" fillId="35" borderId="5" xfId="0" applyFill="1" applyBorder="1" applyAlignment="1">
      <alignment horizontal="left" vertical="center"/>
    </xf>
    <xf numFmtId="0" fontId="0" fillId="35" borderId="6" xfId="0" applyFill="1" applyBorder="1" applyAlignment="1">
      <alignment horizontal="left" vertical="center"/>
    </xf>
    <xf numFmtId="0" fontId="0" fillId="35" borderId="7" xfId="0" applyFill="1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 vertical="center"/>
    </xf>
    <xf numFmtId="0" fontId="0" fillId="0" borderId="2" xfId="0" applyBorder="1" applyAlignment="1">
      <alignment horizontal="left"/>
    </xf>
    <xf numFmtId="0" fontId="0" fillId="0" borderId="4" xfId="0" applyBorder="1" applyAlignment="1">
      <alignment horizontal="left" vertical="center"/>
    </xf>
    <xf numFmtId="0" fontId="0" fillId="35" borderId="0" xfId="0" applyFill="1" applyBorder="1" applyAlignment="1">
      <alignment vertical="center"/>
    </xf>
    <xf numFmtId="0" fontId="0" fillId="35" borderId="0" xfId="0" applyFill="1" applyBorder="1" applyAlignment="1">
      <alignment horizontal="left" vertical="center"/>
    </xf>
    <xf numFmtId="0" fontId="0" fillId="13" borderId="25" xfId="0" applyFill="1" applyBorder="1" applyAlignment="1">
      <alignment horizontal="center" vertical="center"/>
    </xf>
    <xf numFmtId="0" fontId="0" fillId="13" borderId="70" xfId="0" applyFill="1" applyBorder="1" applyAlignment="1">
      <alignment horizontal="center" vertical="center"/>
    </xf>
    <xf numFmtId="0" fontId="5" fillId="13" borderId="25" xfId="0" applyFont="1" applyFill="1" applyBorder="1" applyAlignment="1">
      <alignment horizontal="center" vertical="top"/>
    </xf>
    <xf numFmtId="0" fontId="0" fillId="16" borderId="4" xfId="0" applyFill="1" applyBorder="1" applyAlignment="1">
      <alignment horizontal="center" vertical="center" wrapText="1"/>
    </xf>
    <xf numFmtId="0" fontId="0" fillId="16" borderId="1" xfId="0" applyFill="1" applyBorder="1" applyAlignment="1">
      <alignment horizontal="center" vertical="center" wrapText="1"/>
    </xf>
    <xf numFmtId="0" fontId="0" fillId="16" borderId="25" xfId="0" applyFill="1" applyBorder="1" applyAlignment="1">
      <alignment horizontal="center" vertical="center" wrapText="1"/>
    </xf>
    <xf numFmtId="0" fontId="6" fillId="16" borderId="25" xfId="0" applyFont="1" applyFill="1" applyBorder="1" applyAlignment="1">
      <alignment horizontal="center" vertical="center"/>
    </xf>
    <xf numFmtId="0" fontId="0" fillId="11" borderId="15" xfId="0" applyFill="1" applyBorder="1" applyAlignment="1">
      <alignment horizontal="center" vertical="center"/>
    </xf>
    <xf numFmtId="0" fontId="0" fillId="11" borderId="26" xfId="0" applyFill="1" applyBorder="1" applyAlignment="1">
      <alignment horizontal="center" vertical="center"/>
    </xf>
    <xf numFmtId="0" fontId="0" fillId="11" borderId="17" xfId="0" applyFill="1" applyBorder="1" applyAlignment="1">
      <alignment horizontal="center" vertical="center"/>
    </xf>
    <xf numFmtId="0" fontId="0" fillId="11" borderId="73" xfId="0" applyFill="1" applyBorder="1" applyAlignment="1">
      <alignment horizontal="center" vertical="center"/>
    </xf>
    <xf numFmtId="0" fontId="0" fillId="11" borderId="25" xfId="0" applyFill="1" applyBorder="1" applyAlignment="1">
      <alignment horizontal="center" vertical="center"/>
    </xf>
    <xf numFmtId="0" fontId="0" fillId="11" borderId="24" xfId="0" applyFill="1" applyBorder="1" applyAlignment="1">
      <alignment horizontal="center" vertical="center"/>
    </xf>
    <xf numFmtId="0" fontId="0" fillId="7" borderId="15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13" borderId="25" xfId="0" applyFont="1" applyFill="1" applyBorder="1" applyAlignment="1">
      <alignment horizontal="center" vertical="center"/>
    </xf>
    <xf numFmtId="0" fontId="0" fillId="13" borderId="24" xfId="0" applyFill="1" applyBorder="1" applyAlignment="1">
      <alignment horizontal="center" vertical="center"/>
    </xf>
    <xf numFmtId="0" fontId="0" fillId="35" borderId="26" xfId="0" applyFill="1" applyBorder="1" applyAlignment="1">
      <alignment horizontal="center" vertical="center" wrapText="1"/>
    </xf>
    <xf numFmtId="0" fontId="0" fillId="35" borderId="26" xfId="0" applyFill="1" applyBorder="1" applyAlignment="1">
      <alignment horizontal="center" vertical="center"/>
    </xf>
    <xf numFmtId="0" fontId="0" fillId="35" borderId="15" xfId="0" applyFill="1" applyBorder="1" applyAlignment="1">
      <alignment horizontal="center" vertical="center"/>
    </xf>
    <xf numFmtId="0" fontId="0" fillId="35" borderId="1" xfId="0" applyFill="1" applyBorder="1" applyAlignment="1">
      <alignment horizontal="center" vertical="center"/>
    </xf>
    <xf numFmtId="0" fontId="0" fillId="35" borderId="4" xfId="0" applyFill="1" applyBorder="1" applyAlignment="1">
      <alignment horizontal="center" vertical="center"/>
    </xf>
    <xf numFmtId="0" fontId="0" fillId="16" borderId="7" xfId="0" applyFill="1" applyBorder="1" applyAlignment="1">
      <alignment horizontal="center" vertical="center"/>
    </xf>
    <xf numFmtId="0" fontId="0" fillId="16" borderId="24" xfId="0" applyFill="1" applyBorder="1" applyAlignment="1">
      <alignment horizontal="center" vertical="center"/>
    </xf>
    <xf numFmtId="0" fontId="0" fillId="35" borderId="2" xfId="0" applyFill="1" applyBorder="1" applyAlignment="1">
      <alignment horizontal="center" vertical="center"/>
    </xf>
    <xf numFmtId="0" fontId="0" fillId="35" borderId="3" xfId="0" applyFill="1" applyBorder="1" applyAlignment="1">
      <alignment horizontal="center" vertical="center"/>
    </xf>
    <xf numFmtId="0" fontId="0" fillId="35" borderId="5" xfId="0" applyFill="1" applyBorder="1" applyAlignment="1">
      <alignment horizontal="center" vertical="center"/>
    </xf>
    <xf numFmtId="0" fontId="0" fillId="35" borderId="1" xfId="0" applyFill="1" applyBorder="1" applyAlignment="1">
      <alignment horizontal="center" vertical="center" wrapText="1"/>
    </xf>
    <xf numFmtId="0" fontId="0" fillId="11" borderId="0" xfId="0" applyFill="1" applyAlignment="1">
      <alignment horizontal="center" vertical="center"/>
    </xf>
    <xf numFmtId="0" fontId="0" fillId="36" borderId="3" xfId="0" applyFill="1" applyBorder="1" applyAlignment="1">
      <alignment horizontal="center"/>
    </xf>
    <xf numFmtId="0" fontId="0" fillId="35" borderId="6" xfId="0" applyFill="1" applyBorder="1" applyAlignment="1">
      <alignment horizontal="center" vertical="center"/>
    </xf>
    <xf numFmtId="0" fontId="0" fillId="35" borderId="7" xfId="0" applyFill="1" applyBorder="1" applyAlignment="1">
      <alignment horizontal="center" vertical="center"/>
    </xf>
    <xf numFmtId="49" fontId="0" fillId="0" borderId="0" xfId="0" applyNumberFormat="1" applyAlignment="1">
      <alignment horizontal="left" vertical="center"/>
    </xf>
    <xf numFmtId="0" fontId="0" fillId="6" borderId="1" xfId="0" applyFill="1" applyBorder="1" applyAlignment="1">
      <alignment horizontal="left" vertical="center"/>
    </xf>
    <xf numFmtId="0" fontId="0" fillId="37" borderId="7" xfId="0" applyFill="1" applyBorder="1" applyAlignment="1">
      <alignment horizontal="left" vertical="center"/>
    </xf>
    <xf numFmtId="0" fontId="0" fillId="37" borderId="7" xfId="0" applyFont="1" applyFill="1" applyBorder="1" applyAlignment="1">
      <alignment horizontal="left" vertical="center"/>
    </xf>
    <xf numFmtId="0" fontId="0" fillId="0" borderId="1" xfId="0" applyNumberFormat="1" applyFill="1" applyBorder="1" applyAlignment="1">
      <alignment horizontal="left" vertical="center"/>
    </xf>
    <xf numFmtId="0" fontId="0" fillId="34" borderId="1" xfId="0" applyFill="1" applyBorder="1" applyAlignment="1">
      <alignment horizontal="left" vertical="center"/>
    </xf>
    <xf numFmtId="0" fontId="0" fillId="17" borderId="1" xfId="0" applyFill="1" applyBorder="1" applyAlignment="1">
      <alignment horizontal="left" vertical="center"/>
    </xf>
    <xf numFmtId="0" fontId="0" fillId="0" borderId="2" xfId="0" applyNumberFormat="1" applyFill="1" applyBorder="1" applyAlignment="1">
      <alignment horizontal="left" vertical="center"/>
    </xf>
    <xf numFmtId="0" fontId="0" fillId="38" borderId="2" xfId="0" applyFill="1" applyBorder="1" applyAlignment="1">
      <alignment horizontal="left" vertical="center"/>
    </xf>
    <xf numFmtId="0" fontId="0" fillId="33" borderId="2" xfId="0" applyFill="1" applyBorder="1" applyAlignment="1">
      <alignment horizontal="left" vertical="center"/>
    </xf>
    <xf numFmtId="0" fontId="0" fillId="38" borderId="1" xfId="0" applyFill="1" applyBorder="1" applyAlignment="1">
      <alignment horizontal="left" vertical="center"/>
    </xf>
    <xf numFmtId="0" fontId="0" fillId="39" borderId="1" xfId="0" applyFill="1" applyBorder="1" applyAlignment="1">
      <alignment horizontal="left" vertical="center"/>
    </xf>
    <xf numFmtId="0" fontId="0" fillId="0" borderId="4" xfId="0" applyNumberFormat="1" applyFill="1" applyBorder="1" applyAlignment="1">
      <alignment horizontal="left" vertical="center"/>
    </xf>
    <xf numFmtId="0" fontId="0" fillId="31" borderId="2" xfId="0" applyFill="1" applyBorder="1" applyAlignment="1">
      <alignment horizontal="left" vertical="center"/>
    </xf>
    <xf numFmtId="0" fontId="0" fillId="31" borderId="3" xfId="0" applyFill="1" applyBorder="1" applyAlignment="1">
      <alignment horizontal="left" vertical="center"/>
    </xf>
    <xf numFmtId="0" fontId="0" fillId="0" borderId="0" xfId="0" applyNumberFormat="1" applyFill="1" applyBorder="1" applyAlignment="1">
      <alignment horizontal="left" vertical="center"/>
    </xf>
    <xf numFmtId="0" fontId="0" fillId="38" borderId="0" xfId="0" applyFill="1" applyBorder="1" applyAlignment="1">
      <alignment horizontal="left" vertical="center"/>
    </xf>
    <xf numFmtId="0" fontId="0" fillId="0" borderId="5" xfId="0" applyNumberFormat="1" applyFill="1" applyBorder="1" applyAlignment="1">
      <alignment horizontal="left" vertical="center"/>
    </xf>
    <xf numFmtId="0" fontId="0" fillId="40" borderId="7" xfId="0" applyFont="1" applyFill="1" applyBorder="1" applyAlignment="1">
      <alignment horizontal="left" vertical="center"/>
    </xf>
    <xf numFmtId="0" fontId="0" fillId="40" borderId="7" xfId="0" applyFill="1" applyBorder="1" applyAlignment="1">
      <alignment horizontal="left" vertical="center"/>
    </xf>
    <xf numFmtId="0" fontId="0" fillId="33" borderId="6" xfId="0" applyFill="1" applyBorder="1" applyAlignment="1">
      <alignment horizontal="left" vertical="center"/>
    </xf>
    <xf numFmtId="0" fontId="0" fillId="6" borderId="5" xfId="0" applyFill="1" applyBorder="1" applyAlignment="1">
      <alignment horizontal="left" vertical="center"/>
    </xf>
    <xf numFmtId="0" fontId="0" fillId="6" borderId="7" xfId="0" applyFill="1" applyBorder="1" applyAlignment="1">
      <alignment horizontal="left" vertical="center"/>
    </xf>
    <xf numFmtId="0" fontId="0" fillId="0" borderId="7" xfId="0" applyNumberFormat="1" applyFill="1" applyBorder="1" applyAlignment="1">
      <alignment horizontal="left" vertical="center"/>
    </xf>
    <xf numFmtId="0" fontId="0" fillId="38" borderId="7" xfId="0" applyNumberFormat="1" applyFill="1" applyBorder="1" applyAlignment="1">
      <alignment horizontal="left" vertical="center"/>
    </xf>
    <xf numFmtId="0" fontId="0" fillId="38" borderId="7" xfId="0" applyFill="1" applyBorder="1" applyAlignment="1">
      <alignment horizontal="left" vertical="center"/>
    </xf>
    <xf numFmtId="0" fontId="0" fillId="38" borderId="1" xfId="0" applyNumberFormat="1" applyFill="1" applyBorder="1" applyAlignment="1">
      <alignment horizontal="left" vertical="center"/>
    </xf>
    <xf numFmtId="0" fontId="0" fillId="0" borderId="46" xfId="0" applyNumberFormat="1" applyFill="1" applyBorder="1" applyAlignment="1">
      <alignment horizontal="left" vertical="center"/>
    </xf>
    <xf numFmtId="0" fontId="0" fillId="0" borderId="35" xfId="0" applyNumberFormat="1" applyFill="1" applyBorder="1" applyAlignment="1">
      <alignment horizontal="left" vertical="center"/>
    </xf>
    <xf numFmtId="0" fontId="0" fillId="0" borderId="35" xfId="0" applyFill="1" applyBorder="1" applyAlignment="1">
      <alignment horizontal="left" vertical="center"/>
    </xf>
    <xf numFmtId="0" fontId="0" fillId="0" borderId="52" xfId="0" applyNumberFormat="1" applyFill="1" applyBorder="1" applyAlignment="1">
      <alignment horizontal="left" vertical="center"/>
    </xf>
    <xf numFmtId="0" fontId="0" fillId="38" borderId="52" xfId="0" applyNumberFormat="1" applyFill="1" applyBorder="1" applyAlignment="1">
      <alignment horizontal="left" vertical="center"/>
    </xf>
    <xf numFmtId="0" fontId="0" fillId="0" borderId="32" xfId="0" applyNumberFormat="1" applyFill="1" applyBorder="1" applyAlignment="1">
      <alignment horizontal="left" vertical="center"/>
    </xf>
    <xf numFmtId="0" fontId="0" fillId="0" borderId="32" xfId="0" applyFill="1" applyBorder="1" applyAlignment="1">
      <alignment horizontal="left" vertical="center"/>
    </xf>
    <xf numFmtId="0" fontId="0" fillId="38" borderId="4" xfId="0" applyNumberFormat="1" applyFill="1" applyBorder="1" applyAlignment="1">
      <alignment horizontal="left" vertical="center"/>
    </xf>
    <xf numFmtId="0" fontId="0" fillId="39" borderId="33" xfId="0" applyNumberFormat="1" applyFill="1" applyBorder="1" applyAlignment="1">
      <alignment horizontal="left" vertical="center"/>
    </xf>
    <xf numFmtId="0" fontId="0" fillId="39" borderId="33" xfId="0" applyFill="1" applyBorder="1" applyAlignment="1">
      <alignment horizontal="left" vertical="center"/>
    </xf>
    <xf numFmtId="0" fontId="0" fillId="0" borderId="39" xfId="0" applyNumberFormat="1" applyFill="1" applyBorder="1" applyAlignment="1">
      <alignment horizontal="left" vertical="center"/>
    </xf>
    <xf numFmtId="0" fontId="0" fillId="38" borderId="0" xfId="0" applyNumberFormat="1" applyFill="1" applyBorder="1" applyAlignment="1">
      <alignment horizontal="left" vertical="center"/>
    </xf>
    <xf numFmtId="0" fontId="0" fillId="0" borderId="6" xfId="0" applyNumberFormat="1" applyFill="1" applyBorder="1" applyAlignment="1">
      <alignment horizontal="left" vertical="center"/>
    </xf>
    <xf numFmtId="0" fontId="0" fillId="38" borderId="6" xfId="0" applyNumberFormat="1" applyFill="1" applyBorder="1" applyAlignment="1">
      <alignment horizontal="left" vertical="center"/>
    </xf>
    <xf numFmtId="49" fontId="0" fillId="6" borderId="1" xfId="0" applyNumberFormat="1" applyFill="1" applyBorder="1" applyAlignment="1">
      <alignment horizontal="left" vertical="center"/>
    </xf>
    <xf numFmtId="49" fontId="0" fillId="0" borderId="1" xfId="0" applyNumberFormat="1" applyFill="1" applyBorder="1" applyAlignment="1">
      <alignment horizontal="left" vertical="center"/>
    </xf>
    <xf numFmtId="49" fontId="0" fillId="0" borderId="2" xfId="0" applyNumberFormat="1" applyFill="1" applyBorder="1" applyAlignment="1">
      <alignment horizontal="left" vertical="center"/>
    </xf>
    <xf numFmtId="0" fontId="0" fillId="5" borderId="1" xfId="0" applyFill="1" applyBorder="1" applyAlignment="1">
      <alignment horizontal="left" vertical="center"/>
    </xf>
    <xf numFmtId="49" fontId="0" fillId="0" borderId="3" xfId="0" applyNumberFormat="1" applyFill="1" applyBorder="1" applyAlignment="1">
      <alignment horizontal="left" vertical="center"/>
    </xf>
    <xf numFmtId="49" fontId="0" fillId="0" borderId="4" xfId="0" applyNumberFormat="1" applyFill="1" applyBorder="1" applyAlignment="1">
      <alignment horizontal="left" vertical="center"/>
    </xf>
    <xf numFmtId="0" fontId="0" fillId="5" borderId="0" xfId="0" applyFill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181" fontId="0" fillId="5" borderId="3" xfId="0" applyNumberFormat="1" applyFill="1" applyBorder="1" applyAlignment="1">
      <alignment horizontal="left" vertical="center"/>
    </xf>
    <xf numFmtId="181" fontId="0" fillId="5" borderId="1" xfId="0" applyNumberFormat="1" applyFill="1" applyBorder="1" applyAlignment="1">
      <alignment horizontal="left" vertical="center"/>
    </xf>
    <xf numFmtId="49" fontId="0" fillId="5" borderId="1" xfId="0" applyNumberFormat="1" applyFill="1" applyBorder="1" applyAlignment="1">
      <alignment horizontal="left" vertical="center"/>
    </xf>
    <xf numFmtId="181" fontId="0" fillId="5" borderId="2" xfId="0" applyNumberFormat="1" applyFill="1" applyBorder="1" applyAlignment="1">
      <alignment horizontal="left" vertical="center"/>
    </xf>
    <xf numFmtId="49" fontId="0" fillId="5" borderId="2" xfId="0" applyNumberFormat="1" applyFill="1" applyBorder="1" applyAlignment="1">
      <alignment horizontal="left" vertical="center"/>
    </xf>
    <xf numFmtId="181" fontId="0" fillId="5" borderId="4" xfId="0" applyNumberFormat="1" applyFill="1" applyBorder="1" applyAlignment="1">
      <alignment horizontal="left" vertical="center"/>
    </xf>
    <xf numFmtId="0" fontId="0" fillId="5" borderId="3" xfId="0" applyFill="1" applyBorder="1" applyAlignment="1">
      <alignment horizontal="left" vertical="center"/>
    </xf>
    <xf numFmtId="49" fontId="0" fillId="5" borderId="3" xfId="0" applyNumberFormat="1" applyFill="1" applyBorder="1" applyAlignment="1">
      <alignment horizontal="left" vertical="center"/>
    </xf>
    <xf numFmtId="0" fontId="0" fillId="5" borderId="4" xfId="0" applyFill="1" applyBorder="1" applyAlignment="1">
      <alignment horizontal="left" vertical="center"/>
    </xf>
    <xf numFmtId="181" fontId="0" fillId="5" borderId="0" xfId="0" applyNumberFormat="1" applyFill="1" applyBorder="1" applyAlignment="1">
      <alignment horizontal="left" vertical="center"/>
    </xf>
    <xf numFmtId="49" fontId="0" fillId="5" borderId="0" xfId="0" applyNumberFormat="1" applyFill="1" applyBorder="1" applyAlignment="1">
      <alignment horizontal="left" vertical="center"/>
    </xf>
    <xf numFmtId="49" fontId="0" fillId="0" borderId="0" xfId="0" applyNumberFormat="1" applyBorder="1" applyAlignment="1">
      <alignment horizontal="left" vertical="center"/>
    </xf>
    <xf numFmtId="49" fontId="0" fillId="0" borderId="4" xfId="0" applyNumberFormat="1" applyBorder="1" applyAlignment="1">
      <alignment horizontal="left" vertical="center"/>
    </xf>
    <xf numFmtId="0" fontId="0" fillId="0" borderId="0" xfId="0" applyFill="1" applyAlignment="1">
      <alignment horizontal="left"/>
    </xf>
    <xf numFmtId="0" fontId="0" fillId="31" borderId="0" xfId="0" applyFill="1" applyAlignment="1">
      <alignment horizontal="left"/>
    </xf>
    <xf numFmtId="0" fontId="2" fillId="11" borderId="1" xfId="0" applyFont="1" applyFill="1" applyBorder="1" applyAlignment="1">
      <alignment horizontal="left" vertical="center"/>
    </xf>
    <xf numFmtId="0" fontId="28" fillId="11" borderId="4" xfId="0" applyFont="1" applyFill="1" applyBorder="1" applyAlignment="1">
      <alignment horizontal="left" vertical="center"/>
    </xf>
    <xf numFmtId="0" fontId="2" fillId="11" borderId="4" xfId="0" applyFont="1" applyFill="1" applyBorder="1" applyAlignment="1">
      <alignment horizontal="left" vertical="center"/>
    </xf>
    <xf numFmtId="9" fontId="2" fillId="11" borderId="4" xfId="0" applyNumberFormat="1" applyFont="1" applyFill="1" applyBorder="1" applyAlignment="1">
      <alignment horizontal="left" vertical="center"/>
    </xf>
    <xf numFmtId="176" fontId="2" fillId="11" borderId="4" xfId="0" applyNumberFormat="1" applyFont="1" applyFill="1" applyBorder="1" applyAlignment="1">
      <alignment horizontal="left" vertical="center"/>
    </xf>
    <xf numFmtId="176" fontId="2" fillId="11" borderId="39" xfId="0" applyNumberFormat="1" applyFont="1" applyFill="1" applyBorder="1" applyAlignment="1">
      <alignment horizontal="left" vertical="center"/>
    </xf>
    <xf numFmtId="0" fontId="28" fillId="11" borderId="1" xfId="0" applyFont="1" applyFill="1" applyBorder="1" applyAlignment="1">
      <alignment horizontal="left" vertical="center"/>
    </xf>
    <xf numFmtId="9" fontId="2" fillId="11" borderId="1" xfId="0" applyNumberFormat="1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5" xfId="0" applyFont="1" applyFill="1" applyBorder="1" applyAlignment="1">
      <alignment horizontal="left" vertical="center"/>
    </xf>
    <xf numFmtId="0" fontId="29" fillId="11" borderId="2" xfId="0" applyFont="1" applyFill="1" applyBorder="1" applyAlignment="1">
      <alignment horizontal="left" vertical="center"/>
    </xf>
    <xf numFmtId="0" fontId="2" fillId="11" borderId="5" xfId="0" applyFont="1" applyFill="1" applyBorder="1" applyAlignment="1">
      <alignment horizontal="left" vertical="center"/>
    </xf>
    <xf numFmtId="0" fontId="2" fillId="11" borderId="7" xfId="0" applyFont="1" applyFill="1" applyBorder="1" applyAlignment="1">
      <alignment horizontal="left" vertical="center"/>
    </xf>
    <xf numFmtId="0" fontId="2" fillId="11" borderId="5" xfId="0" applyFont="1" applyFill="1" applyBorder="1" applyAlignment="1">
      <alignment horizontal="left" vertical="center" wrapText="1"/>
    </xf>
    <xf numFmtId="0" fontId="2" fillId="11" borderId="7" xfId="0" applyFont="1" applyFill="1" applyBorder="1" applyAlignment="1">
      <alignment horizontal="left" vertical="center" wrapText="1"/>
    </xf>
    <xf numFmtId="0" fontId="29" fillId="11" borderId="1" xfId="0" applyFont="1" applyFill="1" applyBorder="1" applyAlignment="1">
      <alignment horizontal="left" vertical="center"/>
    </xf>
    <xf numFmtId="0" fontId="28" fillId="11" borderId="2" xfId="0" applyFont="1" applyFill="1" applyBorder="1" applyAlignment="1">
      <alignment horizontal="left" vertical="center"/>
    </xf>
    <xf numFmtId="0" fontId="2" fillId="11" borderId="2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0" borderId="4" xfId="0" applyFont="1" applyFill="1" applyBorder="1" applyAlignment="1">
      <alignment horizontal="left" vertical="center"/>
    </xf>
    <xf numFmtId="0" fontId="2" fillId="0" borderId="39" xfId="0" applyFont="1" applyFill="1" applyBorder="1" applyAlignment="1">
      <alignment horizontal="left" vertical="center"/>
    </xf>
    <xf numFmtId="0" fontId="2" fillId="11" borderId="1" xfId="0" applyFont="1" applyFill="1" applyBorder="1" applyAlignment="1">
      <alignment horizontal="left" vertical="center" wrapText="1"/>
    </xf>
    <xf numFmtId="9" fontId="2" fillId="11" borderId="2" xfId="0" applyNumberFormat="1" applyFont="1" applyFill="1" applyBorder="1" applyAlignment="1">
      <alignment horizontal="left" vertical="center"/>
    </xf>
    <xf numFmtId="0" fontId="28" fillId="11" borderId="3" xfId="0" applyFont="1" applyFill="1" applyBorder="1" applyAlignment="1">
      <alignment horizontal="left" vertical="center"/>
    </xf>
    <xf numFmtId="0" fontId="2" fillId="11" borderId="3" xfId="0" applyFont="1" applyFill="1" applyBorder="1" applyAlignment="1">
      <alignment horizontal="left" vertical="center"/>
    </xf>
    <xf numFmtId="0" fontId="2" fillId="0" borderId="3" xfId="0" applyFont="1" applyFill="1" applyBorder="1" applyAlignment="1">
      <alignment horizontal="left" vertical="center"/>
    </xf>
    <xf numFmtId="0" fontId="2" fillId="0" borderId="35" xfId="0" applyFont="1" applyFill="1" applyBorder="1" applyAlignment="1">
      <alignment horizontal="left" vertical="center"/>
    </xf>
    <xf numFmtId="0" fontId="2" fillId="0" borderId="32" xfId="0" applyFont="1" applyFill="1" applyBorder="1" applyAlignment="1">
      <alignment horizontal="left" vertical="center"/>
    </xf>
    <xf numFmtId="0" fontId="30" fillId="11" borderId="4" xfId="0" applyFont="1" applyFill="1" applyBorder="1" applyAlignment="1">
      <alignment horizontal="left" vertical="center"/>
    </xf>
    <xf numFmtId="9" fontId="2" fillId="11" borderId="3" xfId="0" applyNumberFormat="1" applyFont="1" applyFill="1" applyBorder="1" applyAlignment="1">
      <alignment horizontal="left" vertical="center"/>
    </xf>
    <xf numFmtId="0" fontId="2" fillId="11" borderId="39" xfId="0" applyFont="1" applyFill="1" applyBorder="1" applyAlignment="1">
      <alignment horizontal="left" vertical="center"/>
    </xf>
    <xf numFmtId="0" fontId="2" fillId="26" borderId="19" xfId="0" applyFont="1" applyFill="1" applyBorder="1" applyAlignment="1">
      <alignment horizontal="left" vertical="center"/>
    </xf>
    <xf numFmtId="176" fontId="2" fillId="39" borderId="1" xfId="0" applyNumberFormat="1" applyFont="1" applyFill="1" applyBorder="1" applyAlignment="1">
      <alignment horizontal="left" vertical="center"/>
    </xf>
    <xf numFmtId="0" fontId="2" fillId="39" borderId="1" xfId="0" applyFont="1" applyFill="1" applyBorder="1" applyAlignment="1">
      <alignment horizontal="left" vertical="center"/>
    </xf>
    <xf numFmtId="9" fontId="2" fillId="26" borderId="1" xfId="0" applyNumberFormat="1" applyFont="1" applyFill="1" applyBorder="1" applyAlignment="1">
      <alignment horizontal="left" vertical="center"/>
    </xf>
    <xf numFmtId="0" fontId="28" fillId="26" borderId="1" xfId="0" applyFont="1" applyFill="1" applyBorder="1" applyAlignment="1">
      <alignment horizontal="left" vertical="center"/>
    </xf>
    <xf numFmtId="0" fontId="2" fillId="26" borderId="1" xfId="0" applyFont="1" applyFill="1" applyBorder="1" applyAlignment="1">
      <alignment horizontal="left" vertical="center"/>
    </xf>
    <xf numFmtId="0" fontId="2" fillId="41" borderId="5" xfId="0" applyFont="1" applyFill="1" applyBorder="1" applyAlignment="1">
      <alignment horizontal="left" vertical="center"/>
    </xf>
    <xf numFmtId="0" fontId="2" fillId="41" borderId="63" xfId="0" applyFont="1" applyFill="1" applyBorder="1" applyAlignment="1">
      <alignment horizontal="left" vertical="center"/>
    </xf>
    <xf numFmtId="0" fontId="2" fillId="31" borderId="3" xfId="0" applyFont="1" applyFill="1" applyBorder="1" applyAlignment="1">
      <alignment horizontal="left" vertical="center"/>
    </xf>
    <xf numFmtId="9" fontId="2" fillId="26" borderId="3" xfId="0" applyNumberFormat="1" applyFont="1" applyFill="1" applyBorder="1" applyAlignment="1">
      <alignment horizontal="left" vertical="center"/>
    </xf>
    <xf numFmtId="0" fontId="28" fillId="26" borderId="3" xfId="0" applyFont="1" applyFill="1" applyBorder="1" applyAlignment="1">
      <alignment horizontal="left" vertical="center"/>
    </xf>
    <xf numFmtId="0" fontId="2" fillId="26" borderId="3" xfId="0" applyFont="1" applyFill="1" applyBorder="1" applyAlignment="1">
      <alignment horizontal="left" vertical="center"/>
    </xf>
    <xf numFmtId="0" fontId="0" fillId="26" borderId="63" xfId="0" applyFill="1" applyBorder="1" applyAlignment="1">
      <alignment horizontal="left" vertical="center"/>
    </xf>
    <xf numFmtId="0" fontId="0" fillId="26" borderId="3" xfId="0" applyFill="1" applyBorder="1" applyAlignment="1">
      <alignment horizontal="left" vertical="center"/>
    </xf>
    <xf numFmtId="0" fontId="2" fillId="26" borderId="63" xfId="0" applyFont="1" applyFill="1" applyBorder="1" applyAlignment="1">
      <alignment horizontal="left" vertical="center"/>
    </xf>
    <xf numFmtId="0" fontId="2" fillId="31" borderId="3" xfId="0" applyFont="1" applyFill="1" applyBorder="1" applyAlignment="1">
      <alignment horizontal="left" vertical="center" wrapText="1"/>
    </xf>
    <xf numFmtId="0" fontId="2" fillId="11" borderId="64" xfId="0" applyFont="1" applyFill="1" applyBorder="1" applyAlignment="1">
      <alignment horizontal="left" vertical="center"/>
    </xf>
    <xf numFmtId="0" fontId="2" fillId="32" borderId="2" xfId="0" applyFont="1" applyFill="1" applyBorder="1" applyAlignment="1">
      <alignment horizontal="left" vertical="center"/>
    </xf>
    <xf numFmtId="9" fontId="2" fillId="26" borderId="2" xfId="0" applyNumberFormat="1" applyFont="1" applyFill="1" applyBorder="1" applyAlignment="1">
      <alignment horizontal="left" vertical="center"/>
    </xf>
    <xf numFmtId="0" fontId="28" fillId="26" borderId="2" xfId="0" applyFont="1" applyFill="1" applyBorder="1" applyAlignment="1">
      <alignment horizontal="left" vertical="center"/>
    </xf>
    <xf numFmtId="0" fontId="2" fillId="26" borderId="2" xfId="0" applyFont="1" applyFill="1" applyBorder="1" applyAlignment="1">
      <alignment horizontal="left" vertical="center"/>
    </xf>
    <xf numFmtId="0" fontId="2" fillId="41" borderId="39" xfId="0" applyFont="1" applyFill="1" applyBorder="1" applyAlignment="1">
      <alignment horizontal="left" vertical="center"/>
    </xf>
    <xf numFmtId="0" fontId="2" fillId="41" borderId="19" xfId="0" applyFont="1" applyFill="1" applyBorder="1" applyAlignment="1">
      <alignment horizontal="left" vertical="center"/>
    </xf>
    <xf numFmtId="0" fontId="2" fillId="32" borderId="1" xfId="0" applyFont="1" applyFill="1" applyBorder="1" applyAlignment="1">
      <alignment horizontal="left" vertical="center"/>
    </xf>
    <xf numFmtId="0" fontId="2" fillId="32" borderId="4" xfId="0" applyFont="1" applyFill="1" applyBorder="1" applyAlignment="1">
      <alignment horizontal="left" vertical="center"/>
    </xf>
    <xf numFmtId="9" fontId="2" fillId="26" borderId="4" xfId="0" applyNumberFormat="1" applyFont="1" applyFill="1" applyBorder="1" applyAlignment="1">
      <alignment horizontal="left" vertical="center"/>
    </xf>
    <xf numFmtId="0" fontId="28" fillId="26" borderId="4" xfId="0" applyFont="1" applyFill="1" applyBorder="1" applyAlignment="1">
      <alignment horizontal="left" vertical="center"/>
    </xf>
    <xf numFmtId="0" fontId="2" fillId="26" borderId="4" xfId="0" applyFont="1" applyFill="1" applyBorder="1" applyAlignment="1">
      <alignment horizontal="left" vertical="center"/>
    </xf>
    <xf numFmtId="0" fontId="2" fillId="32" borderId="3" xfId="0" applyFont="1" applyFill="1" applyBorder="1" applyAlignment="1">
      <alignment horizontal="left" vertical="center"/>
    </xf>
    <xf numFmtId="0" fontId="2" fillId="41" borderId="7" xfId="0" applyFont="1" applyFill="1" applyBorder="1" applyAlignment="1">
      <alignment horizontal="left" vertical="center"/>
    </xf>
    <xf numFmtId="0" fontId="2" fillId="31" borderId="2" xfId="0" applyFont="1" applyFill="1" applyBorder="1" applyAlignment="1">
      <alignment horizontal="left" vertical="center"/>
    </xf>
    <xf numFmtId="0" fontId="2" fillId="41" borderId="22" xfId="0" applyFont="1" applyFill="1" applyBorder="1" applyAlignment="1">
      <alignment horizontal="left" vertical="center"/>
    </xf>
    <xf numFmtId="0" fontId="2" fillId="26" borderId="65" xfId="0" applyFont="1" applyFill="1" applyBorder="1" applyAlignment="1">
      <alignment horizontal="left" vertical="center"/>
    </xf>
    <xf numFmtId="0" fontId="2" fillId="31" borderId="4" xfId="0" applyFont="1" applyFill="1" applyBorder="1" applyAlignment="1">
      <alignment horizontal="left" vertical="center"/>
    </xf>
    <xf numFmtId="0" fontId="2" fillId="11" borderId="35" xfId="0" applyFont="1" applyFill="1" applyBorder="1" applyAlignment="1">
      <alignment horizontal="left" vertical="center"/>
    </xf>
    <xf numFmtId="0" fontId="2" fillId="31" borderId="1" xfId="0" applyFont="1" applyFill="1" applyBorder="1" applyAlignment="1">
      <alignment horizontal="left" vertical="center"/>
    </xf>
    <xf numFmtId="0" fontId="2" fillId="41" borderId="66" xfId="0" applyFont="1" applyFill="1" applyBorder="1" applyAlignment="1">
      <alignment horizontal="left" vertical="center"/>
    </xf>
    <xf numFmtId="0" fontId="2" fillId="11" borderId="19" xfId="0" applyFont="1" applyFill="1" applyBorder="1" applyAlignment="1">
      <alignment horizontal="left" vertical="center"/>
    </xf>
    <xf numFmtId="0" fontId="2" fillId="26" borderId="7" xfId="0" applyFont="1" applyFill="1" applyBorder="1" applyAlignment="1">
      <alignment horizontal="left" vertical="center"/>
    </xf>
    <xf numFmtId="0" fontId="2" fillId="41" borderId="35" xfId="0" applyFont="1" applyFill="1" applyBorder="1" applyAlignment="1">
      <alignment horizontal="left" vertical="center"/>
    </xf>
    <xf numFmtId="0" fontId="2" fillId="41" borderId="32" xfId="0" applyFont="1" applyFill="1" applyBorder="1" applyAlignment="1">
      <alignment horizontal="left" vertical="center"/>
    </xf>
    <xf numFmtId="0" fontId="2" fillId="26" borderId="35" xfId="0" applyFont="1" applyFill="1" applyBorder="1" applyAlignment="1">
      <alignment horizontal="left" vertical="center"/>
    </xf>
    <xf numFmtId="0" fontId="2" fillId="26" borderId="32" xfId="0" applyFont="1" applyFill="1" applyBorder="1" applyAlignment="1">
      <alignment horizontal="left" vertical="center"/>
    </xf>
    <xf numFmtId="0" fontId="2" fillId="11" borderId="32" xfId="0" applyFont="1" applyFill="1" applyBorder="1" applyAlignment="1">
      <alignment horizontal="left" vertical="center"/>
    </xf>
    <xf numFmtId="176" fontId="2" fillId="31" borderId="3" xfId="0" applyNumberFormat="1" applyFont="1" applyFill="1" applyBorder="1" applyAlignment="1">
      <alignment horizontal="left" vertical="center"/>
    </xf>
    <xf numFmtId="176" fontId="2" fillId="31" borderId="4" xfId="0" applyNumberFormat="1" applyFont="1" applyFill="1" applyBorder="1" applyAlignment="1">
      <alignment horizontal="left" vertical="center"/>
    </xf>
    <xf numFmtId="0" fontId="2" fillId="41" borderId="46" xfId="0" applyFont="1" applyFill="1" applyBorder="1" applyAlignment="1">
      <alignment horizontal="left" vertical="center"/>
    </xf>
    <xf numFmtId="176" fontId="2" fillId="31" borderId="2" xfId="0" applyNumberFormat="1" applyFont="1" applyFill="1" applyBorder="1" applyAlignment="1">
      <alignment horizontal="left" vertical="center"/>
    </xf>
    <xf numFmtId="0" fontId="2" fillId="26" borderId="33" xfId="0" applyFont="1" applyFill="1" applyBorder="1" applyAlignment="1">
      <alignment horizontal="left" vertical="center"/>
    </xf>
    <xf numFmtId="0" fontId="2" fillId="26" borderId="39" xfId="0" applyFont="1" applyFill="1" applyBorder="1" applyAlignment="1">
      <alignment horizontal="left" vertical="center"/>
    </xf>
    <xf numFmtId="0" fontId="2" fillId="31" borderId="4" xfId="0" applyFont="1" applyFill="1" applyBorder="1" applyAlignment="1">
      <alignment horizontal="left" vertical="center" wrapText="1"/>
    </xf>
    <xf numFmtId="0" fontId="2" fillId="26" borderId="22" xfId="0" applyFont="1" applyFill="1" applyBorder="1" applyAlignment="1">
      <alignment horizontal="left" vertical="center"/>
    </xf>
    <xf numFmtId="0" fontId="2" fillId="31" borderId="35" xfId="0" applyFont="1" applyFill="1" applyBorder="1" applyAlignment="1">
      <alignment horizontal="left" vertical="center"/>
    </xf>
    <xf numFmtId="0" fontId="2" fillId="26" borderId="21" xfId="0" applyFont="1" applyFill="1" applyBorder="1" applyAlignment="1">
      <alignment horizontal="left" vertical="center"/>
    </xf>
    <xf numFmtId="0" fontId="2" fillId="26" borderId="51" xfId="0" applyFont="1" applyFill="1" applyBorder="1" applyAlignment="1">
      <alignment horizontal="left" vertical="center"/>
    </xf>
    <xf numFmtId="0" fontId="2" fillId="11" borderId="63" xfId="0" applyFont="1" applyFill="1" applyBorder="1" applyAlignment="1">
      <alignment horizontal="left" vertical="center"/>
    </xf>
    <xf numFmtId="0" fontId="2" fillId="31" borderId="32" xfId="0" applyFont="1" applyFill="1" applyBorder="1" applyAlignment="1">
      <alignment horizontal="left" vertical="center"/>
    </xf>
    <xf numFmtId="0" fontId="2" fillId="26" borderId="92" xfId="0" applyFont="1" applyFill="1" applyBorder="1" applyAlignment="1">
      <alignment horizontal="left" vertical="center"/>
    </xf>
    <xf numFmtId="0" fontId="2" fillId="26" borderId="0" xfId="0" applyFont="1" applyFill="1" applyBorder="1" applyAlignment="1">
      <alignment horizontal="left" vertical="center"/>
    </xf>
    <xf numFmtId="0" fontId="2" fillId="31" borderId="39" xfId="0" applyFont="1" applyFill="1" applyBorder="1" applyAlignment="1">
      <alignment horizontal="left" vertical="center"/>
    </xf>
    <xf numFmtId="0" fontId="28" fillId="26" borderId="92" xfId="0" applyFont="1" applyFill="1" applyBorder="1" applyAlignment="1">
      <alignment horizontal="left" vertical="center"/>
    </xf>
    <xf numFmtId="0" fontId="2" fillId="31" borderId="5" xfId="0" applyFont="1" applyFill="1" applyBorder="1" applyAlignment="1">
      <alignment horizontal="left" vertical="center"/>
    </xf>
    <xf numFmtId="176" fontId="2" fillId="31" borderId="5" xfId="0" applyNumberFormat="1" applyFont="1" applyFill="1" applyBorder="1" applyAlignment="1">
      <alignment horizontal="left" vertical="center"/>
    </xf>
    <xf numFmtId="176" fontId="2" fillId="31" borderId="35" xfId="0" applyNumberFormat="1" applyFont="1" applyFill="1" applyBorder="1" applyAlignment="1">
      <alignment horizontal="left" vertical="center"/>
    </xf>
    <xf numFmtId="0" fontId="2" fillId="41" borderId="65" xfId="0" applyFont="1" applyFill="1" applyBorder="1" applyAlignment="1">
      <alignment horizontal="left" vertical="center"/>
    </xf>
    <xf numFmtId="0" fontId="28" fillId="26" borderId="93" xfId="0" applyFont="1" applyFill="1" applyBorder="1" applyAlignment="1">
      <alignment horizontal="left" vertical="center"/>
    </xf>
    <xf numFmtId="0" fontId="2" fillId="26" borderId="34" xfId="0" applyFont="1" applyFill="1" applyBorder="1" applyAlignment="1">
      <alignment horizontal="left" vertical="center"/>
    </xf>
    <xf numFmtId="0" fontId="30" fillId="26" borderId="1" xfId="0" applyFont="1" applyFill="1" applyBorder="1" applyAlignment="1">
      <alignment horizontal="left" vertical="center"/>
    </xf>
    <xf numFmtId="0" fontId="2" fillId="26" borderId="1" xfId="0" applyFont="1" applyFill="1" applyBorder="1" applyAlignment="1">
      <alignment horizontal="left" vertical="center" wrapText="1"/>
    </xf>
    <xf numFmtId="0" fontId="2" fillId="26" borderId="5" xfId="0" applyFont="1" applyFill="1" applyBorder="1" applyAlignment="1">
      <alignment horizontal="left" vertical="center"/>
    </xf>
    <xf numFmtId="0" fontId="30" fillId="26" borderId="6" xfId="0" applyFont="1" applyFill="1" applyBorder="1" applyAlignment="1">
      <alignment horizontal="left" vertical="center"/>
    </xf>
    <xf numFmtId="0" fontId="30" fillId="7" borderId="19" xfId="0" applyFont="1" applyFill="1" applyBorder="1" applyAlignment="1">
      <alignment horizontal="left" vertical="center"/>
    </xf>
    <xf numFmtId="0" fontId="2" fillId="7" borderId="1" xfId="0" applyFont="1" applyFill="1" applyBorder="1" applyAlignment="1">
      <alignment horizontal="left" vertical="center"/>
    </xf>
    <xf numFmtId="176" fontId="2" fillId="7" borderId="1" xfId="0" applyNumberFormat="1" applyFont="1" applyFill="1" applyBorder="1" applyAlignment="1">
      <alignment horizontal="left" vertical="center"/>
    </xf>
    <xf numFmtId="0" fontId="30" fillId="26" borderId="3" xfId="0" applyFont="1" applyFill="1" applyBorder="1" applyAlignment="1">
      <alignment horizontal="left" vertical="center"/>
    </xf>
    <xf numFmtId="0" fontId="2" fillId="7" borderId="52" xfId="0" applyFont="1" applyFill="1" applyBorder="1" applyAlignment="1">
      <alignment horizontal="left" vertical="center"/>
    </xf>
    <xf numFmtId="0" fontId="2" fillId="7" borderId="3" xfId="0" applyFont="1" applyFill="1" applyBorder="1" applyAlignment="1">
      <alignment horizontal="left" vertical="center"/>
    </xf>
    <xf numFmtId="0" fontId="0" fillId="42" borderId="32" xfId="0" applyFill="1" applyBorder="1" applyAlignment="1">
      <alignment horizontal="left" vertical="center"/>
    </xf>
    <xf numFmtId="0" fontId="0" fillId="42" borderId="52" xfId="0" applyFill="1" applyBorder="1" applyAlignment="1">
      <alignment horizontal="left" vertical="center"/>
    </xf>
    <xf numFmtId="0" fontId="2" fillId="42" borderId="32" xfId="0" applyFont="1" applyFill="1" applyBorder="1" applyAlignment="1">
      <alignment horizontal="left" vertical="center"/>
    </xf>
    <xf numFmtId="0" fontId="2" fillId="42" borderId="52" xfId="0" applyFont="1" applyFill="1" applyBorder="1" applyAlignment="1">
      <alignment horizontal="left" vertical="center"/>
    </xf>
    <xf numFmtId="0" fontId="31" fillId="26" borderId="3" xfId="0" applyFont="1" applyFill="1" applyBorder="1" applyAlignment="1">
      <alignment horizontal="left" vertical="center"/>
    </xf>
    <xf numFmtId="0" fontId="32" fillId="7" borderId="3" xfId="0" applyFont="1" applyFill="1" applyBorder="1" applyAlignment="1">
      <alignment horizontal="left" vertical="center" wrapText="1"/>
    </xf>
    <xf numFmtId="0" fontId="30" fillId="26" borderId="2" xfId="0" applyFont="1" applyFill="1" applyBorder="1" applyAlignment="1">
      <alignment horizontal="left" vertical="center"/>
    </xf>
    <xf numFmtId="0" fontId="2" fillId="26" borderId="64" xfId="0" applyFont="1" applyFill="1" applyBorder="1" applyAlignment="1">
      <alignment horizontal="left" vertical="center"/>
    </xf>
    <xf numFmtId="0" fontId="2" fillId="7" borderId="63" xfId="0" applyFont="1" applyFill="1" applyBorder="1" applyAlignment="1">
      <alignment horizontal="left" vertical="center"/>
    </xf>
    <xf numFmtId="0" fontId="30" fillId="26" borderId="4" xfId="0" applyFont="1" applyFill="1" applyBorder="1" applyAlignment="1">
      <alignment horizontal="left" vertical="center"/>
    </xf>
    <xf numFmtId="0" fontId="2" fillId="7" borderId="33" xfId="0" applyFont="1" applyFill="1" applyBorder="1" applyAlignment="1">
      <alignment horizontal="left" vertical="center"/>
    </xf>
    <xf numFmtId="0" fontId="2" fillId="7" borderId="4" xfId="0" applyFont="1" applyFill="1" applyBorder="1" applyAlignment="1">
      <alignment horizontal="left" vertical="center"/>
    </xf>
    <xf numFmtId="0" fontId="2" fillId="42" borderId="35" xfId="0" applyFont="1" applyFill="1" applyBorder="1" applyAlignment="1">
      <alignment horizontal="left" vertical="center"/>
    </xf>
    <xf numFmtId="0" fontId="2" fillId="42" borderId="46" xfId="0" applyFont="1" applyFill="1" applyBorder="1" applyAlignment="1">
      <alignment horizontal="left" vertical="center"/>
    </xf>
    <xf numFmtId="0" fontId="2" fillId="7" borderId="2" xfId="0" applyFont="1" applyFill="1" applyBorder="1" applyAlignment="1">
      <alignment horizontal="left" vertical="center"/>
    </xf>
    <xf numFmtId="0" fontId="2" fillId="7" borderId="3" xfId="0" applyFont="1" applyFill="1" applyBorder="1" applyAlignment="1">
      <alignment horizontal="left" vertical="center" wrapText="1"/>
    </xf>
    <xf numFmtId="0" fontId="30" fillId="42" borderId="32" xfId="0" applyFont="1" applyFill="1" applyBorder="1" applyAlignment="1">
      <alignment horizontal="left" vertical="center"/>
    </xf>
    <xf numFmtId="0" fontId="30" fillId="42" borderId="52" xfId="0" applyFont="1" applyFill="1" applyBorder="1" applyAlignment="1">
      <alignment horizontal="left" vertical="center"/>
    </xf>
    <xf numFmtId="0" fontId="2" fillId="7" borderId="22" xfId="0" applyFont="1" applyFill="1" applyBorder="1" applyAlignment="1">
      <alignment horizontal="left" vertical="center"/>
    </xf>
    <xf numFmtId="0" fontId="2" fillId="42" borderId="63" xfId="0" applyFont="1" applyFill="1" applyBorder="1" applyAlignment="1">
      <alignment horizontal="left" vertical="center"/>
    </xf>
    <xf numFmtId="49" fontId="2" fillId="26" borderId="3" xfId="0" applyNumberFormat="1" applyFont="1" applyFill="1" applyBorder="1" applyAlignment="1">
      <alignment horizontal="left" vertical="center"/>
    </xf>
    <xf numFmtId="0" fontId="2" fillId="26" borderId="20" xfId="0" applyFont="1" applyFill="1" applyBorder="1" applyAlignment="1">
      <alignment horizontal="left" vertical="center"/>
    </xf>
    <xf numFmtId="0" fontId="2" fillId="42" borderId="66" xfId="0" applyFont="1" applyFill="1" applyBorder="1" applyAlignment="1">
      <alignment horizontal="left" vertical="center"/>
    </xf>
    <xf numFmtId="0" fontId="2" fillId="42" borderId="65" xfId="0" applyFont="1" applyFill="1" applyBorder="1" applyAlignment="1">
      <alignment horizontal="left" vertical="center"/>
    </xf>
    <xf numFmtId="0" fontId="2" fillId="7" borderId="7" xfId="0" applyFont="1" applyFill="1" applyBorder="1" applyAlignment="1">
      <alignment horizontal="left" vertical="center"/>
    </xf>
    <xf numFmtId="0" fontId="2" fillId="7" borderId="1" xfId="0" applyFont="1" applyFill="1" applyBorder="1" applyAlignment="1">
      <alignment horizontal="left" vertical="center" wrapText="1"/>
    </xf>
    <xf numFmtId="0" fontId="2" fillId="7" borderId="46" xfId="0" applyFont="1" applyFill="1" applyBorder="1" applyAlignment="1">
      <alignment horizontal="left" vertical="center"/>
    </xf>
    <xf numFmtId="176" fontId="32" fillId="7" borderId="52" xfId="0" applyNumberFormat="1" applyFont="1" applyFill="1" applyBorder="1" applyAlignment="1">
      <alignment horizontal="left" vertical="center"/>
    </xf>
    <xf numFmtId="0" fontId="2" fillId="42" borderId="51" xfId="0" applyFont="1" applyFill="1" applyBorder="1" applyAlignment="1">
      <alignment horizontal="left" vertical="center"/>
    </xf>
    <xf numFmtId="0" fontId="2" fillId="42" borderId="0" xfId="0" applyFont="1" applyFill="1" applyBorder="1" applyAlignment="1">
      <alignment horizontal="left" vertical="center"/>
    </xf>
    <xf numFmtId="0" fontId="2" fillId="42" borderId="34" xfId="0" applyFont="1" applyFill="1" applyBorder="1" applyAlignment="1">
      <alignment horizontal="left" vertical="center"/>
    </xf>
    <xf numFmtId="0" fontId="2" fillId="42" borderId="33" xfId="0" applyFont="1" applyFill="1" applyBorder="1" applyAlignment="1">
      <alignment horizontal="left" vertical="center"/>
    </xf>
    <xf numFmtId="0" fontId="2" fillId="42" borderId="39" xfId="0" applyFont="1" applyFill="1" applyBorder="1" applyAlignment="1">
      <alignment horizontal="left" vertical="center"/>
    </xf>
    <xf numFmtId="0" fontId="2" fillId="42" borderId="5" xfId="0" applyFont="1" applyFill="1" applyBorder="1" applyAlignment="1">
      <alignment horizontal="left" vertical="center"/>
    </xf>
    <xf numFmtId="0" fontId="2" fillId="42" borderId="7" xfId="0" applyFont="1" applyFill="1" applyBorder="1" applyAlignment="1">
      <alignment horizontal="left" vertical="center"/>
    </xf>
    <xf numFmtId="0" fontId="2" fillId="7" borderId="51" xfId="0" applyFont="1" applyFill="1" applyBorder="1" applyAlignment="1">
      <alignment horizontal="left" vertical="center"/>
    </xf>
    <xf numFmtId="0" fontId="2" fillId="7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30" fillId="26" borderId="34" xfId="0" applyFont="1" applyFill="1" applyBorder="1" applyAlignment="1">
      <alignment horizontal="left" vertical="center"/>
    </xf>
    <xf numFmtId="0" fontId="30" fillId="42" borderId="34" xfId="0" applyFont="1" applyFill="1" applyBorder="1" applyAlignment="1">
      <alignment horizontal="left" vertical="center"/>
    </xf>
    <xf numFmtId="0" fontId="30" fillId="7" borderId="0" xfId="0" applyFont="1" applyFill="1" applyBorder="1" applyAlignment="1">
      <alignment horizontal="left" vertical="center"/>
    </xf>
    <xf numFmtId="0" fontId="30" fillId="0" borderId="0" xfId="0" applyFont="1" applyFill="1" applyBorder="1" applyAlignment="1">
      <alignment horizontal="left" vertical="center"/>
    </xf>
    <xf numFmtId="0" fontId="30" fillId="42" borderId="39" xfId="0" applyFont="1" applyFill="1" applyBorder="1" applyAlignment="1">
      <alignment horizontal="left" vertical="center"/>
    </xf>
    <xf numFmtId="0" fontId="30" fillId="42" borderId="33" xfId="0" applyFont="1" applyFill="1" applyBorder="1" applyAlignment="1">
      <alignment horizontal="left" vertical="center"/>
    </xf>
    <xf numFmtId="0" fontId="30" fillId="7" borderId="4" xfId="0" applyFont="1" applyFill="1" applyBorder="1" applyAlignment="1">
      <alignment horizontal="left" vertical="center"/>
    </xf>
    <xf numFmtId="0" fontId="30" fillId="0" borderId="4" xfId="0" applyFont="1" applyFill="1" applyBorder="1" applyAlignment="1">
      <alignment horizontal="left" vertical="center"/>
    </xf>
    <xf numFmtId="0" fontId="2" fillId="42" borderId="19" xfId="0" applyFont="1" applyFill="1" applyBorder="1" applyAlignment="1">
      <alignment horizontal="left" vertical="center"/>
    </xf>
    <xf numFmtId="0" fontId="2" fillId="42" borderId="94" xfId="0" applyFont="1" applyFill="1" applyBorder="1" applyAlignment="1">
      <alignment horizontal="left" vertical="center"/>
    </xf>
    <xf numFmtId="0" fontId="2" fillId="0" borderId="46" xfId="0" applyFont="1" applyFill="1" applyBorder="1" applyAlignment="1">
      <alignment horizontal="left" vertical="center"/>
    </xf>
    <xf numFmtId="0" fontId="2" fillId="42" borderId="95" xfId="0" applyFont="1" applyFill="1" applyBorder="1" applyAlignment="1">
      <alignment horizontal="left" vertical="center"/>
    </xf>
    <xf numFmtId="0" fontId="2" fillId="0" borderId="52" xfId="0" applyFont="1" applyFill="1" applyBorder="1" applyAlignment="1">
      <alignment horizontal="left" vertical="center"/>
    </xf>
    <xf numFmtId="0" fontId="2" fillId="42" borderId="96" xfId="0" applyFont="1" applyFill="1" applyBorder="1" applyAlignment="1">
      <alignment horizontal="left" vertical="center"/>
    </xf>
    <xf numFmtId="0" fontId="2" fillId="0" borderId="33" xfId="0" applyFont="1" applyFill="1" applyBorder="1" applyAlignment="1">
      <alignment horizontal="left" vertical="center"/>
    </xf>
    <xf numFmtId="0" fontId="2" fillId="42" borderId="22" xfId="0" applyFont="1" applyFill="1" applyBorder="1" applyAlignment="1">
      <alignment horizontal="left" vertical="center"/>
    </xf>
    <xf numFmtId="9" fontId="2" fillId="7" borderId="1" xfId="0" applyNumberFormat="1" applyFont="1" applyFill="1" applyBorder="1" applyAlignment="1">
      <alignment horizontal="left" vertical="center"/>
    </xf>
    <xf numFmtId="9" fontId="2" fillId="0" borderId="3" xfId="0" applyNumberFormat="1" applyFont="1" applyFill="1" applyBorder="1" applyAlignment="1">
      <alignment horizontal="left" vertical="center"/>
    </xf>
    <xf numFmtId="9" fontId="2" fillId="0" borderId="4" xfId="0" applyNumberFormat="1" applyFont="1" applyFill="1" applyBorder="1" applyAlignment="1">
      <alignment horizontal="left" vertical="center"/>
    </xf>
    <xf numFmtId="9" fontId="2" fillId="0" borderId="2" xfId="0" applyNumberFormat="1" applyFont="1" applyFill="1" applyBorder="1" applyAlignment="1">
      <alignment horizontal="left" vertical="center"/>
    </xf>
    <xf numFmtId="9" fontId="2" fillId="0" borderId="1" xfId="0" applyNumberFormat="1" applyFont="1" applyFill="1" applyBorder="1" applyAlignment="1">
      <alignment horizontal="left" vertical="center"/>
    </xf>
    <xf numFmtId="9" fontId="2" fillId="0" borderId="0" xfId="0" applyNumberFormat="1" applyFont="1" applyFill="1" applyBorder="1" applyAlignment="1">
      <alignment horizontal="left" vertical="center"/>
    </xf>
    <xf numFmtId="9" fontId="30" fillId="0" borderId="3" xfId="0" applyNumberFormat="1" applyFont="1" applyFill="1" applyBorder="1" applyAlignment="1">
      <alignment horizontal="left" vertical="center"/>
    </xf>
    <xf numFmtId="9" fontId="2" fillId="0" borderId="46" xfId="0" applyNumberFormat="1" applyFont="1" applyFill="1" applyBorder="1" applyAlignment="1">
      <alignment horizontal="left" vertical="center"/>
    </xf>
    <xf numFmtId="9" fontId="2" fillId="0" borderId="52" xfId="0" applyNumberFormat="1" applyFont="1" applyFill="1" applyBorder="1" applyAlignment="1">
      <alignment horizontal="left" vertical="center"/>
    </xf>
    <xf numFmtId="9" fontId="2" fillId="0" borderId="33" xfId="0" applyNumberFormat="1" applyFont="1" applyFill="1" applyBorder="1" applyAlignment="1">
      <alignment horizontal="left" vertical="center"/>
    </xf>
    <xf numFmtId="0" fontId="30" fillId="11" borderId="1" xfId="0" applyFont="1" applyFill="1" applyBorder="1" applyAlignment="1">
      <alignment horizontal="left" vertical="center"/>
    </xf>
    <xf numFmtId="176" fontId="2" fillId="31" borderId="1" xfId="0" applyNumberFormat="1" applyFont="1" applyFill="1" applyBorder="1" applyAlignment="1">
      <alignment horizontal="left" vertical="center"/>
    </xf>
    <xf numFmtId="0" fontId="2" fillId="26" borderId="42" xfId="0" applyFont="1" applyFill="1" applyBorder="1" applyAlignment="1">
      <alignment horizontal="left" vertical="center"/>
    </xf>
    <xf numFmtId="0" fontId="2" fillId="41" borderId="42" xfId="0" applyFont="1" applyFill="1" applyBorder="1" applyAlignment="1">
      <alignment horizontal="left" vertical="center"/>
    </xf>
    <xf numFmtId="0" fontId="2" fillId="31" borderId="6" xfId="0" applyFont="1" applyFill="1" applyBorder="1" applyAlignment="1">
      <alignment horizontal="left" vertical="center"/>
    </xf>
    <xf numFmtId="9" fontId="2" fillId="26" borderId="6" xfId="0" applyNumberFormat="1" applyFont="1" applyFill="1" applyBorder="1" applyAlignment="1">
      <alignment horizontal="left" vertical="center"/>
    </xf>
    <xf numFmtId="0" fontId="28" fillId="26" borderId="6" xfId="0" applyFont="1" applyFill="1" applyBorder="1" applyAlignment="1">
      <alignment horizontal="left" vertical="center"/>
    </xf>
    <xf numFmtId="0" fontId="2" fillId="26" borderId="6" xfId="0" applyFont="1" applyFill="1" applyBorder="1" applyAlignment="1">
      <alignment horizontal="left" vertical="center"/>
    </xf>
    <xf numFmtId="0" fontId="2" fillId="26" borderId="18" xfId="0" applyFont="1" applyFill="1" applyBorder="1" applyAlignment="1">
      <alignment horizontal="left" vertical="center"/>
    </xf>
    <xf numFmtId="0" fontId="2" fillId="32" borderId="6" xfId="0" applyFont="1" applyFill="1" applyBorder="1" applyAlignment="1">
      <alignment horizontal="left" vertical="center"/>
    </xf>
    <xf numFmtId="0" fontId="30" fillId="42" borderId="5" xfId="0" applyFont="1" applyFill="1" applyBorder="1" applyAlignment="1">
      <alignment horizontal="left" vertical="center"/>
    </xf>
    <xf numFmtId="0" fontId="30" fillId="42" borderId="19" xfId="0" applyFont="1" applyFill="1" applyBorder="1" applyAlignment="1">
      <alignment horizontal="left" vertical="center"/>
    </xf>
    <xf numFmtId="0" fontId="30" fillId="42" borderId="7" xfId="0" applyFont="1" applyFill="1" applyBorder="1" applyAlignment="1">
      <alignment horizontal="left" vertical="center"/>
    </xf>
    <xf numFmtId="0" fontId="30" fillId="7" borderId="1" xfId="0" applyFont="1" applyFill="1" applyBorder="1" applyAlignment="1">
      <alignment horizontal="left" vertical="center"/>
    </xf>
    <xf numFmtId="0" fontId="30" fillId="0" borderId="1" xfId="0" applyFont="1" applyFill="1" applyBorder="1" applyAlignment="1">
      <alignment horizontal="left" vertical="center"/>
    </xf>
    <xf numFmtId="0" fontId="2" fillId="42" borderId="6" xfId="0" applyFont="1" applyFill="1" applyBorder="1" applyAlignment="1">
      <alignment horizontal="left" vertical="center"/>
    </xf>
    <xf numFmtId="0" fontId="2" fillId="42" borderId="18" xfId="0" applyFont="1" applyFill="1" applyBorder="1" applyAlignment="1">
      <alignment horizontal="left" vertical="center"/>
    </xf>
    <xf numFmtId="0" fontId="31" fillId="26" borderId="6" xfId="0" applyFont="1" applyFill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9" fontId="0" fillId="0" borderId="0" xfId="0" applyNumberFormat="1" applyAlignment="1">
      <alignment horizontal="left" vertical="center"/>
    </xf>
    <xf numFmtId="176" fontId="0" fillId="0" borderId="0" xfId="0" applyNumberForma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left" vertical="center"/>
    </xf>
    <xf numFmtId="9" fontId="0" fillId="0" borderId="0" xfId="0" applyNumberFormat="1" applyFont="1" applyAlignment="1">
      <alignment horizontal="left" vertical="center"/>
    </xf>
    <xf numFmtId="176" fontId="0" fillId="0" borderId="0" xfId="0" applyNumberFormat="1" applyFont="1" applyAlignment="1">
      <alignment horizontal="left" vertical="center"/>
    </xf>
    <xf numFmtId="176" fontId="2" fillId="11" borderId="1" xfId="0" applyNumberFormat="1" applyFont="1" applyFill="1" applyBorder="1" applyAlignment="1">
      <alignment horizontal="left" vertical="center"/>
    </xf>
    <xf numFmtId="176" fontId="2" fillId="11" borderId="5" xfId="0" applyNumberFormat="1" applyFont="1" applyFill="1" applyBorder="1" applyAlignment="1">
      <alignment horizontal="left" vertical="center"/>
    </xf>
    <xf numFmtId="0" fontId="30" fillId="11" borderId="2" xfId="0" applyFont="1" applyFill="1" applyBorder="1" applyAlignment="1">
      <alignment horizontal="left" vertical="center"/>
    </xf>
    <xf numFmtId="0" fontId="2" fillId="11" borderId="39" xfId="0" applyFont="1" applyFill="1" applyBorder="1" applyAlignment="1">
      <alignment horizontal="left" vertical="center" wrapText="1"/>
    </xf>
    <xf numFmtId="176" fontId="2" fillId="26" borderId="3" xfId="0" applyNumberFormat="1" applyFont="1" applyFill="1" applyBorder="1" applyAlignment="1">
      <alignment horizontal="left" vertical="center"/>
    </xf>
    <xf numFmtId="0" fontId="2" fillId="43" borderId="3" xfId="0" applyFont="1" applyFill="1" applyBorder="1" applyAlignment="1">
      <alignment horizontal="left" vertical="center" wrapText="1"/>
    </xf>
    <xf numFmtId="0" fontId="2" fillId="11" borderId="66" xfId="0" applyFont="1" applyFill="1" applyBorder="1" applyAlignment="1">
      <alignment horizontal="left" vertical="center"/>
    </xf>
    <xf numFmtId="0" fontId="2" fillId="26" borderId="46" xfId="0" applyFont="1" applyFill="1" applyBorder="1" applyAlignment="1">
      <alignment horizontal="left" vertical="center"/>
    </xf>
    <xf numFmtId="0" fontId="2" fillId="43" borderId="3" xfId="0" applyFont="1" applyFill="1" applyBorder="1" applyAlignment="1">
      <alignment horizontal="left" vertical="center"/>
    </xf>
    <xf numFmtId="0" fontId="2" fillId="43" borderId="4" xfId="0" applyFont="1" applyFill="1" applyBorder="1" applyAlignment="1">
      <alignment horizontal="left" vertical="center"/>
    </xf>
    <xf numFmtId="0" fontId="28" fillId="26" borderId="21" xfId="0" applyFont="1" applyFill="1" applyBorder="1" applyAlignment="1">
      <alignment horizontal="left" vertical="center"/>
    </xf>
    <xf numFmtId="0" fontId="2" fillId="31" borderId="32" xfId="0" applyFont="1" applyFill="1" applyBorder="1" applyAlignment="1">
      <alignment horizontal="left" vertical="center" wrapText="1"/>
    </xf>
    <xf numFmtId="176" fontId="2" fillId="26" borderId="39" xfId="0" applyNumberFormat="1" applyFont="1" applyFill="1" applyBorder="1" applyAlignment="1">
      <alignment horizontal="left" vertical="center"/>
    </xf>
    <xf numFmtId="176" fontId="2" fillId="26" borderId="5" xfId="0" applyNumberFormat="1" applyFont="1" applyFill="1" applyBorder="1" applyAlignment="1">
      <alignment horizontal="left" vertical="center"/>
    </xf>
    <xf numFmtId="176" fontId="2" fillId="26" borderId="35" xfId="0" applyNumberFormat="1" applyFont="1" applyFill="1" applyBorder="1" applyAlignment="1">
      <alignment horizontal="left" vertical="center"/>
    </xf>
    <xf numFmtId="176" fontId="2" fillId="26" borderId="2" xfId="0" applyNumberFormat="1" applyFont="1" applyFill="1" applyBorder="1" applyAlignment="1">
      <alignment horizontal="left" vertical="center"/>
    </xf>
    <xf numFmtId="176" fontId="2" fillId="26" borderId="4" xfId="0" applyNumberFormat="1" applyFont="1" applyFill="1" applyBorder="1" applyAlignment="1">
      <alignment horizontal="left" vertical="center"/>
    </xf>
    <xf numFmtId="176" fontId="2" fillId="26" borderId="1" xfId="0" applyNumberFormat="1" applyFont="1" applyFill="1" applyBorder="1" applyAlignment="1">
      <alignment horizontal="left" vertical="center"/>
    </xf>
    <xf numFmtId="0" fontId="2" fillId="43" borderId="1" xfId="0" applyFont="1" applyFill="1" applyBorder="1" applyAlignment="1">
      <alignment horizontal="left" vertical="center"/>
    </xf>
    <xf numFmtId="0" fontId="2" fillId="7" borderId="19" xfId="0" applyFont="1" applyFill="1" applyBorder="1" applyAlignment="1">
      <alignment horizontal="left" vertical="center"/>
    </xf>
    <xf numFmtId="0" fontId="2" fillId="26" borderId="3" xfId="0" applyFont="1" applyFill="1" applyBorder="1" applyAlignment="1">
      <alignment horizontal="left" vertical="center" wrapText="1"/>
    </xf>
    <xf numFmtId="0" fontId="30" fillId="26" borderId="32" xfId="0" applyFont="1" applyFill="1" applyBorder="1" applyAlignment="1">
      <alignment horizontal="left" vertical="center"/>
    </xf>
    <xf numFmtId="0" fontId="30" fillId="7" borderId="52" xfId="0" applyFont="1" applyFill="1" applyBorder="1" applyAlignment="1">
      <alignment horizontal="left" vertical="center"/>
    </xf>
    <xf numFmtId="176" fontId="2" fillId="7" borderId="3" xfId="0" applyNumberFormat="1" applyFont="1" applyFill="1" applyBorder="1" applyAlignment="1">
      <alignment horizontal="left" vertical="center"/>
    </xf>
    <xf numFmtId="0" fontId="30" fillId="7" borderId="3" xfId="0" applyFont="1" applyFill="1" applyBorder="1" applyAlignment="1">
      <alignment horizontal="left" vertical="center"/>
    </xf>
    <xf numFmtId="0" fontId="2" fillId="37" borderId="32" xfId="0" applyFont="1" applyFill="1" applyBorder="1" applyAlignment="1">
      <alignment horizontal="left" vertical="center"/>
    </xf>
    <xf numFmtId="0" fontId="2" fillId="37" borderId="52" xfId="0" applyFont="1" applyFill="1" applyBorder="1" applyAlignment="1">
      <alignment horizontal="left" vertical="center"/>
    </xf>
    <xf numFmtId="0" fontId="32" fillId="31" borderId="3" xfId="0" applyFont="1" applyFill="1" applyBorder="1" applyAlignment="1">
      <alignment horizontal="left" vertical="center" wrapText="1"/>
    </xf>
    <xf numFmtId="0" fontId="2" fillId="42" borderId="64" xfId="0" applyFont="1" applyFill="1" applyBorder="1" applyAlignment="1">
      <alignment horizontal="left" vertical="center"/>
    </xf>
    <xf numFmtId="0" fontId="2" fillId="42" borderId="20" xfId="0" applyFont="1" applyFill="1" applyBorder="1" applyAlignment="1">
      <alignment horizontal="left" vertical="center"/>
    </xf>
    <xf numFmtId="0" fontId="2" fillId="37" borderId="39" xfId="0" applyFont="1" applyFill="1" applyBorder="1" applyAlignment="1">
      <alignment horizontal="left" vertical="center"/>
    </xf>
    <xf numFmtId="0" fontId="2" fillId="37" borderId="33" xfId="0" applyFont="1" applyFill="1" applyBorder="1" applyAlignment="1">
      <alignment horizontal="left" vertical="center"/>
    </xf>
    <xf numFmtId="0" fontId="30" fillId="26" borderId="51" xfId="0" applyFont="1" applyFill="1" applyBorder="1" applyAlignment="1">
      <alignment horizontal="left" vertical="center"/>
    </xf>
    <xf numFmtId="0" fontId="2" fillId="37" borderId="51" xfId="0" applyFont="1" applyFill="1" applyBorder="1" applyAlignment="1">
      <alignment horizontal="left" vertical="center"/>
    </xf>
    <xf numFmtId="0" fontId="2" fillId="31" borderId="0" xfId="0" applyFont="1" applyFill="1" applyBorder="1" applyAlignment="1">
      <alignment horizontal="left" vertical="center"/>
    </xf>
    <xf numFmtId="0" fontId="30" fillId="26" borderId="0" xfId="0" applyFont="1" applyFill="1" applyBorder="1" applyAlignment="1">
      <alignment horizontal="left" vertical="center"/>
    </xf>
    <xf numFmtId="0" fontId="2" fillId="37" borderId="0" xfId="0" applyFont="1" applyFill="1" applyBorder="1" applyAlignment="1">
      <alignment horizontal="left" vertical="center"/>
    </xf>
    <xf numFmtId="0" fontId="2" fillId="7" borderId="94" xfId="0" applyFont="1" applyFill="1" applyBorder="1" applyAlignment="1">
      <alignment horizontal="left" vertical="center"/>
    </xf>
    <xf numFmtId="0" fontId="2" fillId="37" borderId="95" xfId="0" applyFont="1" applyFill="1" applyBorder="1" applyAlignment="1">
      <alignment horizontal="left" vertical="center"/>
    </xf>
    <xf numFmtId="0" fontId="2" fillId="31" borderId="52" xfId="0" applyFont="1" applyFill="1" applyBorder="1" applyAlignment="1">
      <alignment horizontal="left" vertical="center"/>
    </xf>
    <xf numFmtId="0" fontId="30" fillId="37" borderId="39" xfId="0" applyFont="1" applyFill="1" applyBorder="1" applyAlignment="1">
      <alignment horizontal="left" vertical="center"/>
    </xf>
    <xf numFmtId="0" fontId="30" fillId="37" borderId="96" xfId="0" applyFont="1" applyFill="1" applyBorder="1" applyAlignment="1">
      <alignment horizontal="left" vertical="center"/>
    </xf>
    <xf numFmtId="0" fontId="2" fillId="31" borderId="33" xfId="0" applyFont="1" applyFill="1" applyBorder="1" applyAlignment="1">
      <alignment horizontal="left" vertical="center"/>
    </xf>
    <xf numFmtId="0" fontId="30" fillId="37" borderId="22" xfId="0" applyFont="1" applyFill="1" applyBorder="1" applyAlignment="1">
      <alignment horizontal="left" vertical="center"/>
    </xf>
    <xf numFmtId="0" fontId="31" fillId="26" borderId="2" xfId="0" applyFont="1" applyFill="1" applyBorder="1" applyAlignment="1">
      <alignment horizontal="left" vertical="center"/>
    </xf>
    <xf numFmtId="0" fontId="2" fillId="37" borderId="5" xfId="0" applyFont="1" applyFill="1" applyBorder="1" applyAlignment="1">
      <alignment horizontal="left" vertical="center"/>
    </xf>
    <xf numFmtId="0" fontId="2" fillId="37" borderId="65" xfId="0" applyFont="1" applyFill="1" applyBorder="1" applyAlignment="1">
      <alignment horizontal="left" vertical="center"/>
    </xf>
    <xf numFmtId="0" fontId="2" fillId="37" borderId="35" xfId="0" applyFont="1" applyFill="1" applyBorder="1" applyAlignment="1">
      <alignment horizontal="left" vertical="center"/>
    </xf>
    <xf numFmtId="0" fontId="2" fillId="37" borderId="46" xfId="0" applyFont="1" applyFill="1" applyBorder="1" applyAlignment="1">
      <alignment horizontal="left" vertical="center"/>
    </xf>
    <xf numFmtId="0" fontId="2" fillId="37" borderId="19" xfId="0" applyFont="1" applyFill="1" applyBorder="1" applyAlignment="1">
      <alignment horizontal="left" vertical="center"/>
    </xf>
    <xf numFmtId="0" fontId="30" fillId="42" borderId="35" xfId="0" applyFont="1" applyFill="1" applyBorder="1" applyAlignment="1">
      <alignment horizontal="left" vertical="center"/>
    </xf>
    <xf numFmtId="0" fontId="30" fillId="7" borderId="2" xfId="0" applyFont="1" applyFill="1" applyBorder="1" applyAlignment="1">
      <alignment horizontal="left" vertical="center"/>
    </xf>
    <xf numFmtId="0" fontId="30" fillId="7" borderId="46" xfId="0" applyFont="1" applyFill="1" applyBorder="1" applyAlignment="1">
      <alignment horizontal="left" vertical="center"/>
    </xf>
    <xf numFmtId="0" fontId="30" fillId="7" borderId="33" xfId="0" applyFont="1" applyFill="1" applyBorder="1" applyAlignment="1">
      <alignment horizontal="left" vertical="center"/>
    </xf>
    <xf numFmtId="0" fontId="2" fillId="37" borderId="7" xfId="0" applyFont="1" applyFill="1" applyBorder="1" applyAlignment="1">
      <alignment horizontal="left" vertical="center"/>
    </xf>
    <xf numFmtId="0" fontId="2" fillId="31" borderId="1" xfId="0" applyFont="1" applyFill="1" applyBorder="1" applyAlignment="1">
      <alignment horizontal="left" vertical="center" wrapText="1"/>
    </xf>
    <xf numFmtId="0" fontId="0" fillId="0" borderId="0" xfId="0" applyFont="1"/>
    <xf numFmtId="0" fontId="33" fillId="0" borderId="0" xfId="0" applyFont="1" applyAlignment="1">
      <alignment horizontal="center" vertical="center"/>
    </xf>
    <xf numFmtId="9" fontId="2" fillId="7" borderId="3" xfId="0" applyNumberFormat="1" applyFont="1" applyFill="1" applyBorder="1" applyAlignment="1">
      <alignment horizontal="left" vertical="center"/>
    </xf>
    <xf numFmtId="9" fontId="30" fillId="7" borderId="3" xfId="0" applyNumberFormat="1" applyFont="1" applyFill="1" applyBorder="1" applyAlignment="1">
      <alignment horizontal="left" vertical="center"/>
    </xf>
    <xf numFmtId="9" fontId="2" fillId="7" borderId="4" xfId="0" applyNumberFormat="1" applyFont="1" applyFill="1" applyBorder="1" applyAlignment="1">
      <alignment horizontal="left" vertical="center"/>
    </xf>
    <xf numFmtId="9" fontId="2" fillId="7" borderId="2" xfId="0" applyNumberFormat="1" applyFont="1" applyFill="1" applyBorder="1" applyAlignment="1">
      <alignment horizontal="left" vertical="center"/>
    </xf>
    <xf numFmtId="9" fontId="2" fillId="7" borderId="0" xfId="0" applyNumberFormat="1" applyFont="1" applyFill="1" applyBorder="1" applyAlignment="1">
      <alignment horizontal="left" vertical="center"/>
    </xf>
    <xf numFmtId="0" fontId="0" fillId="0" borderId="0" xfId="0" applyFont="1" applyAlignment="1">
      <alignment vertical="center"/>
    </xf>
    <xf numFmtId="9" fontId="2" fillId="7" borderId="46" xfId="0" applyNumberFormat="1" applyFont="1" applyFill="1" applyBorder="1" applyAlignment="1">
      <alignment horizontal="left" vertical="center"/>
    </xf>
    <xf numFmtId="9" fontId="2" fillId="7" borderId="52" xfId="0" applyNumberFormat="1" applyFont="1" applyFill="1" applyBorder="1" applyAlignment="1">
      <alignment horizontal="left" vertical="center"/>
    </xf>
    <xf numFmtId="9" fontId="2" fillId="7" borderId="33" xfId="0" applyNumberFormat="1" applyFont="1" applyFill="1" applyBorder="1" applyAlignment="1">
      <alignment horizontal="left" vertical="center"/>
    </xf>
    <xf numFmtId="0" fontId="0" fillId="26" borderId="18" xfId="0" applyFill="1" applyBorder="1" applyAlignment="1">
      <alignment horizontal="left" vertical="center"/>
    </xf>
    <xf numFmtId="0" fontId="0" fillId="26" borderId="6" xfId="0" applyFill="1" applyBorder="1" applyAlignment="1">
      <alignment horizontal="left" vertical="center"/>
    </xf>
    <xf numFmtId="176" fontId="32" fillId="37" borderId="7" xfId="0" applyNumberFormat="1" applyFont="1" applyFill="1" applyBorder="1" applyAlignment="1">
      <alignment horizontal="left" vertical="center"/>
    </xf>
    <xf numFmtId="0" fontId="2" fillId="37" borderId="6" xfId="0" applyFont="1" applyFill="1" applyBorder="1" applyAlignment="1">
      <alignment horizontal="left" vertical="center"/>
    </xf>
    <xf numFmtId="0" fontId="0" fillId="42" borderId="6" xfId="0" applyFill="1" applyBorder="1" applyAlignment="1">
      <alignment horizontal="left" vertical="center"/>
    </xf>
    <xf numFmtId="0" fontId="0" fillId="42" borderId="7" xfId="0" applyFill="1" applyBorder="1" applyAlignment="1">
      <alignment horizontal="left" vertical="center"/>
    </xf>
    <xf numFmtId="0" fontId="0" fillId="6" borderId="1" xfId="0" applyFont="1" applyFill="1" applyBorder="1" applyAlignment="1">
      <alignment horizontal="center" vertical="top"/>
    </xf>
    <xf numFmtId="0" fontId="0" fillId="17" borderId="1" xfId="0" applyFill="1" applyBorder="1" applyAlignment="1">
      <alignment horizontal="center" vertical="center"/>
    </xf>
    <xf numFmtId="0" fontId="0" fillId="17" borderId="7" xfId="0" applyFill="1" applyBorder="1" applyAlignment="1">
      <alignment horizontal="center" vertical="center"/>
    </xf>
    <xf numFmtId="0" fontId="0" fillId="17" borderId="46" xfId="0" applyFill="1" applyBorder="1" applyAlignment="1">
      <alignment horizontal="center" vertical="center"/>
    </xf>
    <xf numFmtId="0" fontId="0" fillId="17" borderId="32" xfId="0" applyFill="1" applyBorder="1" applyAlignment="1">
      <alignment horizontal="center" vertical="center"/>
    </xf>
    <xf numFmtId="0" fontId="0" fillId="17" borderId="52" xfId="0" applyFill="1" applyBorder="1" applyAlignment="1">
      <alignment horizontal="center" vertical="center"/>
    </xf>
    <xf numFmtId="0" fontId="0" fillId="17" borderId="51" xfId="0" applyFill="1" applyBorder="1" applyAlignment="1">
      <alignment horizontal="center" vertical="center"/>
    </xf>
    <xf numFmtId="0" fontId="0" fillId="18" borderId="2" xfId="0" applyFill="1" applyBorder="1" applyAlignment="1">
      <alignment horizontal="center" vertical="center"/>
    </xf>
    <xf numFmtId="0" fontId="0" fillId="18" borderId="32" xfId="0" applyFill="1" applyBorder="1" applyAlignment="1">
      <alignment horizontal="center" vertical="top"/>
    </xf>
    <xf numFmtId="0" fontId="0" fillId="18" borderId="0" xfId="0" applyFill="1" applyAlignment="1">
      <alignment horizontal="center" vertical="top"/>
    </xf>
    <xf numFmtId="0" fontId="0" fillId="18" borderId="52" xfId="0" applyFill="1" applyBorder="1" applyAlignment="1">
      <alignment horizontal="center" vertical="top"/>
    </xf>
    <xf numFmtId="0" fontId="0" fillId="18" borderId="4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5" borderId="51" xfId="0" applyFill="1" applyBorder="1" applyAlignment="1">
      <alignment horizontal="center" vertical="center"/>
    </xf>
    <xf numFmtId="0" fontId="0" fillId="5" borderId="46" xfId="0" applyFill="1" applyBorder="1" applyAlignment="1">
      <alignment horizontal="center" vertical="center"/>
    </xf>
    <xf numFmtId="0" fontId="0" fillId="5" borderId="32" xfId="0" applyFill="1" applyBorder="1" applyAlignment="1">
      <alignment horizontal="center" vertical="center"/>
    </xf>
    <xf numFmtId="0" fontId="0" fillId="5" borderId="52" xfId="0" applyFill="1" applyBorder="1" applyAlignment="1">
      <alignment horizontal="center" vertical="center"/>
    </xf>
    <xf numFmtId="0" fontId="0" fillId="5" borderId="32" xfId="0" applyFill="1" applyBorder="1" applyAlignment="1">
      <alignment vertical="center"/>
    </xf>
    <xf numFmtId="0" fontId="0" fillId="5" borderId="52" xfId="0" applyFill="1" applyBorder="1" applyAlignment="1">
      <alignment vertical="center"/>
    </xf>
    <xf numFmtId="0" fontId="0" fillId="5" borderId="33" xfId="0" applyFill="1" applyBorder="1" applyAlignment="1">
      <alignment horizontal="center" vertical="center"/>
    </xf>
    <xf numFmtId="0" fontId="0" fillId="5" borderId="0" xfId="0" applyFill="1" applyAlignment="1">
      <alignment vertical="center"/>
    </xf>
    <xf numFmtId="0" fontId="0" fillId="5" borderId="39" xfId="0" applyFill="1" applyBorder="1" applyAlignment="1">
      <alignment vertical="center"/>
    </xf>
    <xf numFmtId="0" fontId="0" fillId="5" borderId="34" xfId="0" applyFill="1" applyBorder="1" applyAlignment="1">
      <alignment vertical="center"/>
    </xf>
    <xf numFmtId="0" fontId="0" fillId="5" borderId="33" xfId="0" applyFill="1" applyBorder="1" applyAlignment="1">
      <alignment vertical="center"/>
    </xf>
    <xf numFmtId="0" fontId="0" fillId="44" borderId="1" xfId="0" applyFill="1" applyBorder="1" applyAlignment="1">
      <alignment horizontal="center" vertical="center"/>
    </xf>
    <xf numFmtId="0" fontId="0" fillId="44" borderId="4" xfId="0" applyFill="1" applyBorder="1" applyAlignment="1">
      <alignment horizontal="center" vertical="center"/>
    </xf>
    <xf numFmtId="0" fontId="0" fillId="44" borderId="2" xfId="0" applyFill="1" applyBorder="1" applyAlignment="1">
      <alignment horizontal="center" vertical="center"/>
    </xf>
    <xf numFmtId="0" fontId="0" fillId="44" borderId="3" xfId="0" applyFill="1" applyBorder="1" applyAlignment="1">
      <alignment horizontal="center" vertical="center"/>
    </xf>
    <xf numFmtId="0" fontId="0" fillId="44" borderId="5" xfId="0" applyFill="1" applyBorder="1" applyAlignment="1">
      <alignment horizontal="center" vertical="center"/>
    </xf>
    <xf numFmtId="0" fontId="0" fillId="44" borderId="7" xfId="0" applyFill="1" applyBorder="1" applyAlignment="1">
      <alignment horizontal="center" vertical="center"/>
    </xf>
    <xf numFmtId="0" fontId="0" fillId="44" borderId="0" xfId="0" applyFill="1" applyAlignment="1">
      <alignment horizontal="center" vertical="center"/>
    </xf>
    <xf numFmtId="0" fontId="0" fillId="6" borderId="1" xfId="0" applyFill="1" applyBorder="1" applyAlignment="1">
      <alignment horizontal="left" vertical="top" wrapText="1"/>
    </xf>
    <xf numFmtId="49" fontId="0" fillId="6" borderId="1" xfId="0" applyNumberFormat="1" applyFill="1" applyBorder="1" applyAlignment="1">
      <alignment horizontal="center" vertical="center"/>
    </xf>
    <xf numFmtId="49" fontId="0" fillId="17" borderId="1" xfId="0" applyNumberFormat="1" applyFill="1" applyBorder="1" applyAlignment="1">
      <alignment horizontal="center" vertical="center"/>
    </xf>
    <xf numFmtId="49" fontId="0" fillId="17" borderId="35" xfId="0" applyNumberFormat="1" applyFill="1" applyBorder="1" applyAlignment="1">
      <alignment horizontal="center" vertical="center"/>
    </xf>
    <xf numFmtId="49" fontId="0" fillId="17" borderId="51" xfId="0" applyNumberFormat="1" applyFill="1" applyBorder="1" applyAlignment="1">
      <alignment horizontal="center" vertical="center"/>
    </xf>
    <xf numFmtId="49" fontId="0" fillId="17" borderId="46" xfId="0" applyNumberFormat="1" applyFill="1" applyBorder="1" applyAlignment="1">
      <alignment horizontal="center" vertical="center"/>
    </xf>
    <xf numFmtId="0" fontId="0" fillId="18" borderId="4" xfId="0" applyFill="1" applyBorder="1" applyAlignment="1">
      <alignment horizontal="center" vertical="top"/>
    </xf>
    <xf numFmtId="49" fontId="0" fillId="44" borderId="1" xfId="0" applyNumberFormat="1" applyFill="1" applyBorder="1" applyAlignment="1">
      <alignment horizontal="center" vertical="center"/>
    </xf>
    <xf numFmtId="49" fontId="0" fillId="44" borderId="2" xfId="0" applyNumberFormat="1" applyFill="1" applyBorder="1" applyAlignment="1">
      <alignment horizontal="center" vertical="center"/>
    </xf>
    <xf numFmtId="49" fontId="0" fillId="44" borderId="3" xfId="0" applyNumberFormat="1" applyFill="1" applyBorder="1" applyAlignment="1">
      <alignment horizontal="center" vertical="center"/>
    </xf>
    <xf numFmtId="49" fontId="0" fillId="44" borderId="4" xfId="0" applyNumberFormat="1" applyFill="1" applyBorder="1" applyAlignment="1">
      <alignment horizontal="center" vertical="center"/>
    </xf>
    <xf numFmtId="181" fontId="0" fillId="5" borderId="2" xfId="0" applyNumberFormat="1" applyFill="1" applyBorder="1" applyAlignment="1">
      <alignment horizontal="center" vertical="center"/>
    </xf>
    <xf numFmtId="181" fontId="0" fillId="5" borderId="1" xfId="0" applyNumberFormat="1" applyFill="1" applyBorder="1" applyAlignment="1">
      <alignment horizontal="center" vertical="center"/>
    </xf>
    <xf numFmtId="181" fontId="0" fillId="5" borderId="3" xfId="0" applyNumberFormat="1" applyFill="1" applyBorder="1" applyAlignment="1">
      <alignment horizontal="center" vertical="center"/>
    </xf>
    <xf numFmtId="181" fontId="0" fillId="5" borderId="4" xfId="0" applyNumberFormat="1" applyFill="1" applyBorder="1" applyAlignment="1">
      <alignment horizontal="center" vertical="center"/>
    </xf>
    <xf numFmtId="0" fontId="6" fillId="0" borderId="0" xfId="0" applyFont="1" applyAlignment="1">
      <alignment vertical="center"/>
    </xf>
    <xf numFmtId="49" fontId="6" fillId="0" borderId="0" xfId="0" applyNumberFormat="1" applyFont="1" applyFill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6" fillId="31" borderId="0" xfId="0" applyFont="1" applyFill="1" applyAlignment="1">
      <alignment horizontal="center" vertical="center"/>
    </xf>
    <xf numFmtId="0" fontId="6" fillId="31" borderId="0" xfId="0" applyFont="1" applyFill="1" applyAlignment="1">
      <alignment horizontal="left" vertical="center"/>
    </xf>
    <xf numFmtId="0" fontId="6" fillId="0" borderId="0" xfId="0" applyFont="1" applyFill="1" applyAlignment="1">
      <alignment horizontal="left" vertical="center"/>
    </xf>
    <xf numFmtId="0" fontId="6" fillId="0" borderId="0" xfId="0" applyFont="1" applyAlignment="1">
      <alignment horizontal="left"/>
    </xf>
    <xf numFmtId="0" fontId="6" fillId="11" borderId="25" xfId="0" applyFont="1" applyFill="1" applyBorder="1" applyAlignment="1">
      <alignment vertical="center"/>
    </xf>
    <xf numFmtId="49" fontId="6" fillId="0" borderId="25" xfId="0" applyNumberFormat="1" applyFont="1" applyFill="1" applyBorder="1" applyAlignment="1">
      <alignment horizontal="left" vertical="center"/>
    </xf>
    <xf numFmtId="0" fontId="0" fillId="0" borderId="25" xfId="0" applyFill="1" applyBorder="1" applyAlignment="1">
      <alignment horizontal="center" vertical="center"/>
    </xf>
    <xf numFmtId="0" fontId="6" fillId="19" borderId="73" xfId="0" applyFont="1" applyFill="1" applyBorder="1" applyAlignment="1">
      <alignment vertical="center"/>
    </xf>
    <xf numFmtId="49" fontId="6" fillId="0" borderId="73" xfId="0" applyNumberFormat="1" applyFont="1" applyFill="1" applyBorder="1" applyAlignment="1">
      <alignment horizontal="left" vertical="center"/>
    </xf>
    <xf numFmtId="0" fontId="6" fillId="31" borderId="73" xfId="0" applyFont="1" applyFill="1" applyBorder="1" applyAlignment="1">
      <alignment horizontal="left" vertical="center"/>
    </xf>
    <xf numFmtId="0" fontId="6" fillId="13" borderId="26" xfId="0" applyFont="1" applyFill="1" applyBorder="1" applyAlignment="1">
      <alignment vertical="center"/>
    </xf>
    <xf numFmtId="49" fontId="6" fillId="0" borderId="75" xfId="0" applyNumberFormat="1" applyFont="1" applyFill="1" applyBorder="1" applyAlignment="1">
      <alignment horizontal="left" vertical="center"/>
    </xf>
    <xf numFmtId="0" fontId="0" fillId="0" borderId="67" xfId="0" applyFill="1" applyBorder="1" applyAlignment="1">
      <alignment horizontal="left" vertical="center"/>
    </xf>
    <xf numFmtId="0" fontId="6" fillId="13" borderId="1" xfId="0" applyFont="1" applyFill="1" applyBorder="1" applyAlignment="1">
      <alignment vertical="center"/>
    </xf>
    <xf numFmtId="49" fontId="6" fillId="0" borderId="6" xfId="0" applyNumberFormat="1" applyFont="1" applyFill="1" applyBorder="1" applyAlignment="1">
      <alignment horizontal="left" vertical="center"/>
    </xf>
    <xf numFmtId="0" fontId="6" fillId="13" borderId="25" xfId="0" applyFont="1" applyFill="1" applyBorder="1" applyAlignment="1">
      <alignment vertical="center"/>
    </xf>
    <xf numFmtId="49" fontId="6" fillId="0" borderId="76" xfId="0" applyNumberFormat="1" applyFont="1" applyFill="1" applyBorder="1" applyAlignment="1">
      <alignment horizontal="left" vertical="center"/>
    </xf>
    <xf numFmtId="0" fontId="0" fillId="0" borderId="70" xfId="0" applyFill="1" applyBorder="1" applyAlignment="1">
      <alignment horizontal="left" vertical="center"/>
    </xf>
    <xf numFmtId="0" fontId="6" fillId="16" borderId="26" xfId="0" applyFont="1" applyFill="1" applyBorder="1" applyAlignment="1">
      <alignment vertical="center"/>
    </xf>
    <xf numFmtId="49" fontId="6" fillId="0" borderId="34" xfId="0" applyNumberFormat="1" applyFont="1" applyFill="1" applyBorder="1" applyAlignment="1">
      <alignment horizontal="left" vertical="center"/>
    </xf>
    <xf numFmtId="0" fontId="6" fillId="16" borderId="1" xfId="0" applyFont="1" applyFill="1" applyBorder="1" applyAlignment="1">
      <alignment vertical="center"/>
    </xf>
    <xf numFmtId="0" fontId="6" fillId="16" borderId="25" xfId="0" applyFont="1" applyFill="1" applyBorder="1" applyAlignment="1">
      <alignment vertical="center"/>
    </xf>
    <xf numFmtId="0" fontId="6" fillId="12" borderId="26" xfId="0" applyFont="1" applyFill="1" applyBorder="1" applyAlignment="1">
      <alignment vertical="center"/>
    </xf>
    <xf numFmtId="0" fontId="6" fillId="12" borderId="67" xfId="0" applyFont="1" applyFill="1" applyBorder="1" applyAlignment="1">
      <alignment vertical="center"/>
    </xf>
    <xf numFmtId="49" fontId="6" fillId="0" borderId="67" xfId="0" applyNumberFormat="1" applyFont="1" applyFill="1" applyBorder="1" applyAlignment="1">
      <alignment horizontal="left" vertical="center"/>
    </xf>
    <xf numFmtId="0" fontId="6" fillId="12" borderId="25" xfId="0" applyFont="1" applyFill="1" applyBorder="1" applyAlignment="1">
      <alignment vertical="center"/>
    </xf>
    <xf numFmtId="0" fontId="6" fillId="12" borderId="70" xfId="0" applyFont="1" applyFill="1" applyBorder="1" applyAlignment="1">
      <alignment vertical="center"/>
    </xf>
    <xf numFmtId="49" fontId="6" fillId="0" borderId="70" xfId="0" applyNumberFormat="1" applyFont="1" applyFill="1" applyBorder="1" applyAlignment="1">
      <alignment horizontal="left" vertical="center"/>
    </xf>
    <xf numFmtId="0" fontId="6" fillId="45" borderId="26" xfId="0" applyFont="1" applyFill="1" applyBorder="1" applyAlignment="1">
      <alignment vertical="center"/>
    </xf>
    <xf numFmtId="0" fontId="6" fillId="45" borderId="67" xfId="0" applyFont="1" applyFill="1" applyBorder="1" applyAlignment="1">
      <alignment vertical="center" wrapText="1"/>
    </xf>
    <xf numFmtId="0" fontId="6" fillId="45" borderId="1" xfId="0" applyFont="1" applyFill="1" applyBorder="1" applyAlignment="1">
      <alignment vertical="center"/>
    </xf>
    <xf numFmtId="49" fontId="6" fillId="0" borderId="5" xfId="0" applyNumberFormat="1" applyFont="1" applyFill="1" applyBorder="1" applyAlignment="1">
      <alignment horizontal="left" vertical="center"/>
    </xf>
    <xf numFmtId="0" fontId="6" fillId="45" borderId="25" xfId="0" applyFont="1" applyFill="1" applyBorder="1" applyAlignment="1">
      <alignment vertical="center"/>
    </xf>
    <xf numFmtId="0" fontId="6" fillId="46" borderId="26" xfId="0" applyFont="1" applyFill="1" applyBorder="1" applyAlignment="1">
      <alignment vertical="center"/>
    </xf>
    <xf numFmtId="0" fontId="6" fillId="46" borderId="67" xfId="0" applyFont="1" applyFill="1" applyBorder="1" applyAlignment="1">
      <alignment vertical="center"/>
    </xf>
    <xf numFmtId="49" fontId="6" fillId="0" borderId="26" xfId="0" applyNumberFormat="1" applyFont="1" applyFill="1" applyBorder="1" applyAlignment="1">
      <alignment horizontal="left" vertical="center"/>
    </xf>
    <xf numFmtId="0" fontId="6" fillId="46" borderId="1" xfId="0" applyFont="1" applyFill="1" applyBorder="1" applyAlignment="1">
      <alignment vertical="center"/>
    </xf>
    <xf numFmtId="0" fontId="6" fillId="46" borderId="5" xfId="0" applyFont="1" applyFill="1" applyBorder="1" applyAlignment="1">
      <alignment vertical="center"/>
    </xf>
    <xf numFmtId="49" fontId="6" fillId="0" borderId="1" xfId="0" applyNumberFormat="1" applyFont="1" applyFill="1" applyBorder="1" applyAlignment="1">
      <alignment horizontal="left" vertical="center"/>
    </xf>
    <xf numFmtId="0" fontId="6" fillId="46" borderId="25" xfId="0" applyFont="1" applyFill="1" applyBorder="1" applyAlignment="1">
      <alignment vertical="center"/>
    </xf>
    <xf numFmtId="0" fontId="6" fillId="46" borderId="70" xfId="0" applyFont="1" applyFill="1" applyBorder="1" applyAlignment="1">
      <alignment vertical="center"/>
    </xf>
    <xf numFmtId="0" fontId="6" fillId="17" borderId="26" xfId="0" applyFont="1" applyFill="1" applyBorder="1" applyAlignment="1">
      <alignment vertical="center"/>
    </xf>
    <xf numFmtId="0" fontId="6" fillId="17" borderId="67" xfId="0" applyFont="1" applyFill="1" applyBorder="1" applyAlignment="1">
      <alignment vertical="center"/>
    </xf>
    <xf numFmtId="0" fontId="6" fillId="17" borderId="2" xfId="0" applyFont="1" applyFill="1" applyBorder="1" applyAlignment="1">
      <alignment vertical="center"/>
    </xf>
    <xf numFmtId="0" fontId="6" fillId="17" borderId="5" xfId="0" applyFont="1" applyFill="1" applyBorder="1" applyAlignment="1">
      <alignment vertical="center"/>
    </xf>
    <xf numFmtId="49" fontId="6" fillId="0" borderId="2" xfId="0" applyNumberFormat="1" applyFont="1" applyFill="1" applyBorder="1" applyAlignment="1">
      <alignment horizontal="left" vertical="center"/>
    </xf>
    <xf numFmtId="0" fontId="34" fillId="17" borderId="25" xfId="0" applyFont="1" applyFill="1" applyBorder="1" applyAlignment="1">
      <alignment vertical="center" wrapText="1"/>
    </xf>
    <xf numFmtId="0" fontId="6" fillId="17" borderId="70" xfId="0" applyFont="1" applyFill="1" applyBorder="1" applyAlignment="1">
      <alignment vertical="center"/>
    </xf>
    <xf numFmtId="0" fontId="6" fillId="7" borderId="4" xfId="0" applyFont="1" applyFill="1" applyBorder="1" applyAlignment="1">
      <alignment vertical="center"/>
    </xf>
    <xf numFmtId="0" fontId="6" fillId="7" borderId="97" xfId="0" applyFont="1" applyFill="1" applyBorder="1" applyAlignment="1">
      <alignment vertical="center"/>
    </xf>
    <xf numFmtId="49" fontId="6" fillId="0" borderId="15" xfId="0" applyNumberFormat="1" applyFont="1" applyFill="1" applyBorder="1" applyAlignment="1">
      <alignment horizontal="left" vertical="center"/>
    </xf>
    <xf numFmtId="0" fontId="0" fillId="0" borderId="3" xfId="0" applyFont="1" applyFill="1" applyBorder="1" applyAlignment="1">
      <alignment horizontal="left" vertical="center"/>
    </xf>
    <xf numFmtId="0" fontId="6" fillId="7" borderId="2" xfId="0" applyFont="1" applyFill="1" applyBorder="1" applyAlignment="1">
      <alignment vertical="center"/>
    </xf>
    <xf numFmtId="0" fontId="6" fillId="7" borderId="52" xfId="0" applyFont="1" applyFill="1" applyBorder="1" applyAlignment="1">
      <alignment vertical="center"/>
    </xf>
    <xf numFmtId="49" fontId="6" fillId="0" borderId="3" xfId="0" applyNumberFormat="1" applyFont="1" applyFill="1" applyBorder="1" applyAlignment="1">
      <alignment horizontal="left" vertical="center"/>
    </xf>
    <xf numFmtId="0" fontId="6" fillId="47" borderId="26" xfId="0" applyFont="1" applyFill="1" applyBorder="1" applyAlignment="1">
      <alignment vertical="center"/>
    </xf>
    <xf numFmtId="0" fontId="6" fillId="47" borderId="15" xfId="0" applyFont="1" applyFill="1" applyBorder="1" applyAlignment="1">
      <alignment vertical="center"/>
    </xf>
    <xf numFmtId="0" fontId="6" fillId="47" borderId="1" xfId="0" applyFont="1" applyFill="1" applyBorder="1" applyAlignment="1">
      <alignment vertical="center"/>
    </xf>
    <xf numFmtId="0" fontId="6" fillId="47" borderId="3" xfId="0" applyFont="1" applyFill="1" applyBorder="1" applyAlignment="1">
      <alignment vertical="center"/>
    </xf>
    <xf numFmtId="0" fontId="6" fillId="47" borderId="25" xfId="0" applyFont="1" applyFill="1" applyBorder="1" applyAlignment="1">
      <alignment vertical="center"/>
    </xf>
    <xf numFmtId="0" fontId="6" fillId="47" borderId="73" xfId="0" applyFont="1" applyFill="1" applyBorder="1" applyAlignment="1">
      <alignment vertical="center"/>
    </xf>
    <xf numFmtId="0" fontId="6" fillId="48" borderId="26" xfId="0" applyFont="1" applyFill="1" applyBorder="1" applyAlignment="1">
      <alignment vertical="center"/>
    </xf>
    <xf numFmtId="0" fontId="6" fillId="48" borderId="15" xfId="0" applyFont="1" applyFill="1" applyBorder="1" applyAlignment="1">
      <alignment vertical="center"/>
    </xf>
    <xf numFmtId="0" fontId="6" fillId="48" borderId="25" xfId="0" applyFont="1" applyFill="1" applyBorder="1" applyAlignment="1">
      <alignment vertical="center"/>
    </xf>
    <xf numFmtId="0" fontId="6" fillId="48" borderId="73" xfId="0" applyFont="1" applyFill="1" applyBorder="1" applyAlignment="1">
      <alignment vertical="center"/>
    </xf>
    <xf numFmtId="0" fontId="6" fillId="4" borderId="4" xfId="0" applyFont="1" applyFill="1" applyBorder="1" applyAlignment="1">
      <alignment vertical="center"/>
    </xf>
    <xf numFmtId="0" fontId="6" fillId="4" borderId="39" xfId="0" applyFont="1" applyFill="1" applyBorder="1" applyAlignment="1">
      <alignment vertical="center"/>
    </xf>
    <xf numFmtId="49" fontId="6" fillId="0" borderId="4" xfId="0" applyNumberFormat="1" applyFont="1" applyFill="1" applyBorder="1" applyAlignment="1">
      <alignment horizontal="left" vertical="center"/>
    </xf>
    <xf numFmtId="0" fontId="0" fillId="0" borderId="33" xfId="0" applyFill="1" applyBorder="1" applyAlignment="1">
      <alignment horizontal="left" vertical="center"/>
    </xf>
    <xf numFmtId="0" fontId="6" fillId="8" borderId="25" xfId="0" applyFont="1" applyFill="1" applyBorder="1" applyAlignment="1">
      <alignment vertical="center"/>
    </xf>
    <xf numFmtId="0" fontId="6" fillId="8" borderId="70" xfId="0" applyFont="1" applyFill="1" applyBorder="1" applyAlignment="1">
      <alignment vertical="center"/>
    </xf>
    <xf numFmtId="0" fontId="6" fillId="49" borderId="4" xfId="0" applyFont="1" applyFill="1" applyBorder="1" applyAlignment="1">
      <alignment vertical="center"/>
    </xf>
    <xf numFmtId="0" fontId="6" fillId="49" borderId="3" xfId="0" applyFont="1" applyFill="1" applyBorder="1" applyAlignment="1">
      <alignment vertical="center"/>
    </xf>
    <xf numFmtId="0" fontId="6" fillId="49" borderId="1" xfId="0" applyFont="1" applyFill="1" applyBorder="1" applyAlignment="1">
      <alignment vertical="center"/>
    </xf>
    <xf numFmtId="0" fontId="6" fillId="49" borderId="25" xfId="0" applyFont="1" applyFill="1" applyBorder="1" applyAlignment="1">
      <alignment vertical="center"/>
    </xf>
    <xf numFmtId="0" fontId="6" fillId="49" borderId="73" xfId="0" applyFont="1" applyFill="1" applyBorder="1" applyAlignment="1">
      <alignment vertical="center"/>
    </xf>
    <xf numFmtId="0" fontId="6" fillId="26" borderId="4" xfId="0" applyFont="1" applyFill="1" applyBorder="1" applyAlignment="1">
      <alignment vertical="center"/>
    </xf>
    <xf numFmtId="0" fontId="6" fillId="26" borderId="67" xfId="0" applyFont="1" applyFill="1" applyBorder="1" applyAlignment="1">
      <alignment vertical="center"/>
    </xf>
    <xf numFmtId="0" fontId="6" fillId="0" borderId="67" xfId="0" applyFont="1" applyFill="1" applyBorder="1" applyAlignment="1">
      <alignment horizontal="left" vertical="center"/>
    </xf>
    <xf numFmtId="0" fontId="6" fillId="26" borderId="25" xfId="0" applyFont="1" applyFill="1" applyBorder="1" applyAlignment="1">
      <alignment vertical="center"/>
    </xf>
    <xf numFmtId="0" fontId="6" fillId="26" borderId="70" xfId="0" applyFont="1" applyFill="1" applyBorder="1" applyAlignment="1">
      <alignment vertical="center"/>
    </xf>
    <xf numFmtId="0" fontId="6" fillId="0" borderId="70" xfId="0" applyFont="1" applyFill="1" applyBorder="1" applyAlignment="1">
      <alignment horizontal="left" vertical="center"/>
    </xf>
    <xf numFmtId="0" fontId="0" fillId="0" borderId="98" xfId="0" applyFill="1" applyBorder="1" applyAlignment="1">
      <alignment horizontal="left" vertical="center"/>
    </xf>
    <xf numFmtId="0" fontId="6" fillId="24" borderId="4" xfId="0" applyFont="1" applyFill="1" applyBorder="1" applyAlignment="1">
      <alignment vertical="center"/>
    </xf>
    <xf numFmtId="0" fontId="6" fillId="24" borderId="39" xfId="0" applyFont="1" applyFill="1" applyBorder="1" applyAlignment="1">
      <alignment vertical="center"/>
    </xf>
    <xf numFmtId="0" fontId="6" fillId="24" borderId="25" xfId="0" applyFont="1" applyFill="1" applyBorder="1" applyAlignment="1">
      <alignment vertical="center"/>
    </xf>
    <xf numFmtId="0" fontId="6" fillId="0" borderId="87" xfId="0" applyFont="1" applyBorder="1" applyAlignment="1">
      <alignment vertical="center"/>
    </xf>
    <xf numFmtId="0" fontId="6" fillId="0" borderId="78" xfId="0" applyFont="1" applyBorder="1" applyAlignment="1">
      <alignment vertical="center"/>
    </xf>
    <xf numFmtId="0" fontId="6" fillId="0" borderId="78" xfId="0" applyFont="1" applyFill="1" applyBorder="1" applyAlignment="1">
      <alignment horizontal="left" vertical="center"/>
    </xf>
    <xf numFmtId="0" fontId="6" fillId="31" borderId="78" xfId="0" applyFont="1" applyFill="1" applyBorder="1" applyAlignment="1">
      <alignment horizontal="left" vertical="center"/>
    </xf>
    <xf numFmtId="0" fontId="6" fillId="0" borderId="32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6" fillId="0" borderId="0" xfId="0" applyFont="1" applyFill="1" applyBorder="1" applyAlignment="1">
      <alignment horizontal="left" vertical="center"/>
    </xf>
    <xf numFmtId="0" fontId="6" fillId="31" borderId="0" xfId="0" applyFont="1" applyFill="1" applyBorder="1" applyAlignment="1">
      <alignment horizontal="left" vertical="center"/>
    </xf>
    <xf numFmtId="0" fontId="35" fillId="0" borderId="32" xfId="0" applyFont="1" applyBorder="1" applyAlignment="1">
      <alignment vertical="center"/>
    </xf>
    <xf numFmtId="0" fontId="35" fillId="0" borderId="0" xfId="0" applyFont="1" applyBorder="1" applyAlignment="1">
      <alignment vertical="center"/>
    </xf>
    <xf numFmtId="0" fontId="35" fillId="0" borderId="0" xfId="0" applyFont="1" applyFill="1" applyBorder="1" applyAlignment="1">
      <alignment horizontal="left" vertical="center"/>
    </xf>
    <xf numFmtId="0" fontId="35" fillId="31" borderId="0" xfId="0" applyFont="1" applyFill="1" applyBorder="1" applyAlignment="1">
      <alignment horizontal="left" vertical="center"/>
    </xf>
    <xf numFmtId="0" fontId="36" fillId="0" borderId="32" xfId="0" applyFont="1" applyBorder="1" applyAlignment="1">
      <alignment vertical="center"/>
    </xf>
    <xf numFmtId="0" fontId="36" fillId="0" borderId="0" xfId="0" applyFont="1" applyBorder="1" applyAlignment="1">
      <alignment vertical="center"/>
    </xf>
    <xf numFmtId="0" fontId="36" fillId="0" borderId="0" xfId="0" applyFont="1" applyFill="1" applyBorder="1" applyAlignment="1">
      <alignment horizontal="left" vertical="center"/>
    </xf>
    <xf numFmtId="0" fontId="36" fillId="31" borderId="0" xfId="0" applyFont="1" applyFill="1" applyBorder="1" applyAlignment="1">
      <alignment horizontal="left" vertical="center"/>
    </xf>
    <xf numFmtId="0" fontId="36" fillId="0" borderId="39" xfId="0" applyFont="1" applyBorder="1" applyAlignment="1">
      <alignment vertical="center"/>
    </xf>
    <xf numFmtId="0" fontId="36" fillId="0" borderId="34" xfId="0" applyFont="1" applyBorder="1" applyAlignment="1">
      <alignment vertical="center"/>
    </xf>
    <xf numFmtId="0" fontId="36" fillId="0" borderId="34" xfId="0" applyFont="1" applyFill="1" applyBorder="1" applyAlignment="1">
      <alignment horizontal="left" vertical="center"/>
    </xf>
    <xf numFmtId="0" fontId="36" fillId="31" borderId="34" xfId="0" applyFont="1" applyFill="1" applyBorder="1" applyAlignment="1">
      <alignment horizontal="left" vertical="center"/>
    </xf>
    <xf numFmtId="0" fontId="6" fillId="0" borderId="25" xfId="0" applyFont="1" applyFill="1" applyBorder="1" applyAlignment="1">
      <alignment horizontal="left" vertical="center"/>
    </xf>
    <xf numFmtId="0" fontId="6" fillId="31" borderId="99" xfId="0" applyFont="1" applyFill="1" applyBorder="1" applyAlignment="1">
      <alignment horizontal="left" vertical="center"/>
    </xf>
    <xf numFmtId="0" fontId="6" fillId="0" borderId="73" xfId="0" applyFont="1" applyFill="1" applyBorder="1" applyAlignment="1">
      <alignment horizontal="left" vertical="center"/>
    </xf>
    <xf numFmtId="0" fontId="6" fillId="31" borderId="26" xfId="0" applyFont="1" applyFill="1" applyBorder="1" applyAlignment="1">
      <alignment horizontal="left" vertical="center"/>
    </xf>
    <xf numFmtId="0" fontId="6" fillId="0" borderId="26" xfId="0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left" vertical="center"/>
    </xf>
    <xf numFmtId="0" fontId="6" fillId="31" borderId="3" xfId="0" applyFont="1" applyFill="1" applyBorder="1" applyAlignment="1">
      <alignment horizontal="left" vertical="center"/>
    </xf>
    <xf numFmtId="0" fontId="6" fillId="0" borderId="4" xfId="0" applyFont="1" applyFill="1" applyBorder="1" applyAlignment="1">
      <alignment horizontal="left" vertical="center"/>
    </xf>
    <xf numFmtId="0" fontId="6" fillId="31" borderId="15" xfId="0" applyFont="1" applyFill="1" applyBorder="1" applyAlignment="1">
      <alignment horizontal="left" vertical="center"/>
    </xf>
    <xf numFmtId="49" fontId="6" fillId="0" borderId="3" xfId="0" applyNumberFormat="1" applyFont="1" applyFill="1" applyBorder="1" applyAlignment="1">
      <alignment horizontal="left"/>
    </xf>
    <xf numFmtId="0" fontId="6" fillId="0" borderId="3" xfId="0" applyFont="1" applyFill="1" applyBorder="1" applyAlignment="1">
      <alignment horizontal="left"/>
    </xf>
    <xf numFmtId="49" fontId="6" fillId="31" borderId="3" xfId="0" applyNumberFormat="1" applyFont="1" applyFill="1" applyBorder="1" applyAlignment="1">
      <alignment horizontal="left"/>
    </xf>
    <xf numFmtId="49" fontId="6" fillId="31" borderId="52" xfId="0" applyNumberFormat="1" applyFont="1" applyFill="1" applyBorder="1" applyAlignment="1">
      <alignment horizontal="left" vertical="center"/>
    </xf>
    <xf numFmtId="0" fontId="6" fillId="31" borderId="4" xfId="0" applyFont="1" applyFill="1" applyBorder="1" applyAlignment="1">
      <alignment horizontal="left" vertical="center"/>
    </xf>
    <xf numFmtId="0" fontId="6" fillId="0" borderId="15" xfId="0" applyFont="1" applyFill="1" applyBorder="1" applyAlignment="1">
      <alignment horizontal="left" vertical="center"/>
    </xf>
    <xf numFmtId="0" fontId="6" fillId="0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left" vertical="center" wrapText="1"/>
    </xf>
    <xf numFmtId="0" fontId="6" fillId="11" borderId="25" xfId="0" applyFont="1" applyFill="1" applyBorder="1" applyAlignment="1">
      <alignment vertical="center" wrapText="1"/>
    </xf>
    <xf numFmtId="49" fontId="6" fillId="0" borderId="25" xfId="0" applyNumberFormat="1" applyFont="1" applyFill="1" applyBorder="1" applyAlignment="1">
      <alignment horizontal="left" vertical="center" wrapText="1"/>
    </xf>
    <xf numFmtId="0" fontId="0" fillId="0" borderId="25" xfId="0" applyFill="1" applyBorder="1" applyAlignment="1">
      <alignment horizontal="center" vertical="center" wrapText="1"/>
    </xf>
    <xf numFmtId="0" fontId="6" fillId="4" borderId="25" xfId="0" applyFont="1" applyFill="1" applyBorder="1" applyAlignment="1">
      <alignment vertical="center"/>
    </xf>
    <xf numFmtId="0" fontId="0" fillId="32" borderId="100" xfId="0" applyFont="1" applyFill="1" applyBorder="1" applyAlignment="1">
      <alignment horizontal="left" vertical="center"/>
    </xf>
    <xf numFmtId="0" fontId="0" fillId="0" borderId="100" xfId="0" applyFont="1" applyFill="1" applyBorder="1" applyAlignment="1">
      <alignment horizontal="left" vertical="center"/>
    </xf>
    <xf numFmtId="0" fontId="6" fillId="33" borderId="26" xfId="0" applyFont="1" applyFill="1" applyBorder="1" applyAlignment="1">
      <alignment vertical="center"/>
    </xf>
    <xf numFmtId="0" fontId="6" fillId="33" borderId="67" xfId="0" applyFont="1" applyFill="1" applyBorder="1" applyAlignment="1">
      <alignment vertical="center"/>
    </xf>
    <xf numFmtId="0" fontId="0" fillId="0" borderId="17" xfId="0" applyFont="1" applyFill="1" applyBorder="1" applyAlignment="1">
      <alignment horizontal="left" vertical="center"/>
    </xf>
    <xf numFmtId="0" fontId="6" fillId="17" borderId="25" xfId="0" applyFont="1" applyFill="1" applyBorder="1" applyAlignment="1">
      <alignment vertical="center"/>
    </xf>
    <xf numFmtId="0" fontId="34" fillId="17" borderId="1" xfId="0" applyFont="1" applyFill="1" applyBorder="1" applyAlignment="1">
      <alignment vertical="center" wrapText="1"/>
    </xf>
    <xf numFmtId="0" fontId="6" fillId="33" borderId="25" xfId="0" applyFont="1" applyFill="1" applyBorder="1" applyAlignment="1">
      <alignment vertical="center"/>
    </xf>
    <xf numFmtId="0" fontId="0" fillId="0" borderId="24" xfId="0" applyFont="1" applyFill="1" applyBorder="1" applyAlignment="1">
      <alignment horizontal="left" vertical="center"/>
    </xf>
    <xf numFmtId="0" fontId="6" fillId="26" borderId="26" xfId="0" applyFont="1" applyFill="1" applyBorder="1" applyAlignment="1">
      <alignment vertical="center"/>
    </xf>
    <xf numFmtId="0" fontId="6" fillId="47" borderId="5" xfId="0" applyFont="1" applyFill="1" applyBorder="1" applyAlignment="1">
      <alignment vertical="center"/>
    </xf>
    <xf numFmtId="0" fontId="0" fillId="0" borderId="7" xfId="0" applyFont="1" applyFill="1" applyBorder="1" applyAlignment="1">
      <alignment horizontal="left" vertical="center"/>
    </xf>
    <xf numFmtId="0" fontId="6" fillId="13" borderId="5" xfId="0" applyFont="1" applyFill="1" applyBorder="1" applyAlignment="1">
      <alignment vertical="center"/>
    </xf>
    <xf numFmtId="0" fontId="6" fillId="13" borderId="70" xfId="0" applyFont="1" applyFill="1" applyBorder="1" applyAlignment="1">
      <alignment vertical="center"/>
    </xf>
    <xf numFmtId="0" fontId="6" fillId="13" borderId="67" xfId="0" applyFont="1" applyFill="1" applyBorder="1" applyAlignment="1">
      <alignment vertical="center"/>
    </xf>
    <xf numFmtId="0" fontId="6" fillId="13" borderId="2" xfId="0" applyFont="1" applyFill="1" applyBorder="1" applyAlignment="1">
      <alignment vertical="center"/>
    </xf>
    <xf numFmtId="0" fontId="6" fillId="45" borderId="70" xfId="0" applyFont="1" applyFill="1" applyBorder="1" applyAlignment="1">
      <alignment vertical="center" wrapText="1"/>
    </xf>
    <xf numFmtId="0" fontId="6" fillId="45" borderId="4" xfId="0" applyFont="1" applyFill="1" applyBorder="1" applyAlignment="1">
      <alignment vertical="center"/>
    </xf>
    <xf numFmtId="0" fontId="6" fillId="45" borderId="97" xfId="0" applyFont="1" applyFill="1" applyBorder="1" applyAlignment="1">
      <alignment vertical="center" wrapText="1"/>
    </xf>
    <xf numFmtId="0" fontId="6" fillId="49" borderId="2" xfId="0" applyFont="1" applyFill="1" applyBorder="1" applyAlignment="1">
      <alignment vertical="center"/>
    </xf>
    <xf numFmtId="0" fontId="6" fillId="49" borderId="52" xfId="0" applyFont="1" applyFill="1" applyBorder="1" applyAlignment="1">
      <alignment vertical="center"/>
    </xf>
    <xf numFmtId="0" fontId="6" fillId="49" borderId="26" xfId="0" applyFont="1" applyFill="1" applyBorder="1" applyAlignment="1">
      <alignment vertical="center"/>
    </xf>
    <xf numFmtId="0" fontId="6" fillId="49" borderId="15" xfId="0" applyFont="1" applyFill="1" applyBorder="1" applyAlignment="1">
      <alignment vertical="center"/>
    </xf>
    <xf numFmtId="0" fontId="6" fillId="12" borderId="73" xfId="0" applyFont="1" applyFill="1" applyBorder="1" applyAlignment="1">
      <alignment vertical="center"/>
    </xf>
    <xf numFmtId="0" fontId="6" fillId="12" borderId="15" xfId="0" applyFont="1" applyFill="1" applyBorder="1" applyAlignment="1">
      <alignment vertical="center"/>
    </xf>
    <xf numFmtId="0" fontId="6" fillId="45" borderId="73" xfId="0" applyFont="1" applyFill="1" applyBorder="1" applyAlignment="1">
      <alignment vertical="center" wrapText="1"/>
    </xf>
    <xf numFmtId="0" fontId="6" fillId="46" borderId="4" xfId="0" applyFont="1" applyFill="1" applyBorder="1" applyAlignment="1">
      <alignment vertical="center"/>
    </xf>
    <xf numFmtId="0" fontId="6" fillId="46" borderId="39" xfId="0" applyFont="1" applyFill="1" applyBorder="1" applyAlignment="1">
      <alignment vertical="center"/>
    </xf>
    <xf numFmtId="0" fontId="0" fillId="33" borderId="100" xfId="0" applyFont="1" applyFill="1" applyBorder="1" applyAlignment="1">
      <alignment horizontal="left" vertical="center"/>
    </xf>
    <xf numFmtId="0" fontId="6" fillId="46" borderId="3" xfId="0" applyFont="1" applyFill="1" applyBorder="1" applyAlignment="1">
      <alignment vertical="center"/>
    </xf>
    <xf numFmtId="49" fontId="6" fillId="0" borderId="0" xfId="0" applyNumberFormat="1" applyFont="1" applyFill="1" applyBorder="1" applyAlignment="1">
      <alignment horizontal="left" vertical="center"/>
    </xf>
    <xf numFmtId="0" fontId="6" fillId="26" borderId="73" xfId="0" applyFont="1" applyFill="1" applyBorder="1" applyAlignment="1">
      <alignment vertical="center"/>
    </xf>
    <xf numFmtId="0" fontId="6" fillId="7" borderId="67" xfId="0" applyFont="1" applyFill="1" applyBorder="1" applyAlignment="1">
      <alignment vertical="center"/>
    </xf>
    <xf numFmtId="0" fontId="0" fillId="0" borderId="33" xfId="0" applyFont="1" applyFill="1" applyBorder="1" applyAlignment="1">
      <alignment horizontal="left" vertical="center"/>
    </xf>
    <xf numFmtId="0" fontId="6" fillId="7" borderId="25" xfId="0" applyFont="1" applyFill="1" applyBorder="1" applyAlignment="1">
      <alignment vertical="center"/>
    </xf>
    <xf numFmtId="0" fontId="6" fillId="7" borderId="70" xfId="0" applyFont="1" applyFill="1" applyBorder="1" applyAlignment="1">
      <alignment vertical="center"/>
    </xf>
    <xf numFmtId="0" fontId="0" fillId="0" borderId="98" xfId="0" applyFont="1" applyFill="1" applyBorder="1" applyAlignment="1">
      <alignment horizontal="left" vertical="center"/>
    </xf>
    <xf numFmtId="0" fontId="6" fillId="47" borderId="4" xfId="0" applyFont="1" applyFill="1" applyBorder="1" applyAlignment="1">
      <alignment vertical="center"/>
    </xf>
    <xf numFmtId="0" fontId="6" fillId="47" borderId="39" xfId="0" applyFont="1" applyFill="1" applyBorder="1" applyAlignment="1">
      <alignment vertical="center"/>
    </xf>
    <xf numFmtId="0" fontId="0" fillId="0" borderId="73" xfId="0" applyFont="1" applyFill="1" applyBorder="1" applyAlignment="1">
      <alignment horizontal="left" vertical="center"/>
    </xf>
    <xf numFmtId="0" fontId="0" fillId="0" borderId="25" xfId="0" applyFont="1" applyFill="1" applyBorder="1" applyAlignment="1">
      <alignment horizontal="left" vertical="center"/>
    </xf>
    <xf numFmtId="0" fontId="6" fillId="0" borderId="25" xfId="0" applyFont="1" applyFill="1" applyBorder="1" applyAlignment="1">
      <alignment horizontal="left" vertical="center" wrapText="1"/>
    </xf>
    <xf numFmtId="0" fontId="6" fillId="0" borderId="0" xfId="0" applyFont="1" applyAlignment="1">
      <alignment horizontal="left" wrapText="1"/>
    </xf>
    <xf numFmtId="0" fontId="6" fillId="32" borderId="73" xfId="0" applyFont="1" applyFill="1" applyBorder="1" applyAlignment="1">
      <alignment horizontal="left" vertical="center"/>
    </xf>
    <xf numFmtId="49" fontId="6" fillId="31" borderId="26" xfId="0" applyNumberFormat="1" applyFont="1" applyFill="1" applyBorder="1" applyAlignment="1">
      <alignment horizontal="left" vertical="center"/>
    </xf>
    <xf numFmtId="0" fontId="6" fillId="33" borderId="73" xfId="0" applyFont="1" applyFill="1" applyBorder="1" applyAlignment="1">
      <alignment horizontal="left" vertical="center"/>
    </xf>
    <xf numFmtId="49" fontId="6" fillId="31" borderId="26" xfId="0" applyNumberFormat="1" applyFont="1" applyFill="1" applyBorder="1" applyAlignment="1">
      <alignment horizontal="left"/>
    </xf>
    <xf numFmtId="49" fontId="6" fillId="0" borderId="1" xfId="0" applyNumberFormat="1" applyFont="1" applyFill="1" applyBorder="1" applyAlignment="1">
      <alignment horizontal="left"/>
    </xf>
    <xf numFmtId="0" fontId="6" fillId="31" borderId="52" xfId="0" applyFont="1" applyFill="1" applyBorder="1" applyAlignment="1">
      <alignment horizontal="left" vertical="center"/>
    </xf>
    <xf numFmtId="49" fontId="6" fillId="0" borderId="4" xfId="0" applyNumberFormat="1" applyFont="1" applyFill="1" applyBorder="1" applyAlignment="1">
      <alignment horizontal="left"/>
    </xf>
    <xf numFmtId="0" fontId="6" fillId="0" borderId="25" xfId="0" applyFont="1" applyFill="1" applyBorder="1" applyAlignment="1">
      <alignment horizontal="left"/>
    </xf>
    <xf numFmtId="49" fontId="6" fillId="0" borderId="26" xfId="0" applyNumberFormat="1" applyFont="1" applyFill="1" applyBorder="1" applyAlignment="1">
      <alignment horizontal="left"/>
    </xf>
    <xf numFmtId="49" fontId="6" fillId="31" borderId="25" xfId="0" applyNumberFormat="1" applyFont="1" applyFill="1" applyBorder="1" applyAlignment="1">
      <alignment horizontal="left"/>
    </xf>
    <xf numFmtId="49" fontId="6" fillId="0" borderId="25" xfId="0" applyNumberFormat="1" applyFont="1" applyFill="1" applyBorder="1" applyAlignment="1">
      <alignment horizontal="left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9" fontId="2" fillId="11" borderId="1" xfId="0" applyNumberFormat="1" applyFont="1" applyFill="1" applyBorder="1" applyAlignment="1">
      <alignment horizontal="center" vertical="center"/>
    </xf>
    <xf numFmtId="176" fontId="2" fillId="11" borderId="1" xfId="0" applyNumberFormat="1" applyFont="1" applyFill="1" applyBorder="1" applyAlignment="1">
      <alignment horizontal="center" vertical="center"/>
    </xf>
    <xf numFmtId="182" fontId="2" fillId="11" borderId="1" xfId="0" applyNumberFormat="1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 wrapText="1"/>
    </xf>
    <xf numFmtId="49" fontId="6" fillId="0" borderId="70" xfId="0" applyNumberFormat="1" applyFont="1" applyFill="1" applyBorder="1" applyAlignment="1" quotePrefix="1">
      <alignment horizontal="left" vertical="center"/>
    </xf>
    <xf numFmtId="49" fontId="6" fillId="0" borderId="1" xfId="0" applyNumberFormat="1" applyFont="1" applyFill="1" applyBorder="1" applyAlignment="1" quotePrefix="1">
      <alignment horizontal="left" vertical="center"/>
    </xf>
    <xf numFmtId="49" fontId="6" fillId="0" borderId="25" xfId="0" applyNumberFormat="1" applyFont="1" applyFill="1" applyBorder="1" applyAlignment="1" quotePrefix="1">
      <alignment horizontal="left" vertical="center"/>
    </xf>
    <xf numFmtId="49" fontId="6" fillId="0" borderId="26" xfId="0" applyNumberFormat="1" applyFont="1" applyFill="1" applyBorder="1" applyAlignment="1" quotePrefix="1">
      <alignment horizontal="left" vertical="center"/>
    </xf>
    <xf numFmtId="49" fontId="6" fillId="0" borderId="2" xfId="0" applyNumberFormat="1" applyFont="1" applyFill="1" applyBorder="1" applyAlignment="1" quotePrefix="1">
      <alignment horizontal="left" vertical="center"/>
    </xf>
    <xf numFmtId="0" fontId="6" fillId="0" borderId="3" xfId="0" applyFont="1" applyFill="1" applyBorder="1" applyAlignment="1" quotePrefix="1">
      <alignment horizontal="left" vertical="center"/>
    </xf>
    <xf numFmtId="49" fontId="6" fillId="0" borderId="15" xfId="0" applyNumberFormat="1" applyFont="1" applyFill="1" applyBorder="1" applyAlignment="1" quotePrefix="1">
      <alignment horizontal="left" vertical="center"/>
    </xf>
    <xf numFmtId="49" fontId="6" fillId="0" borderId="3" xfId="0" applyNumberFormat="1" applyFont="1" applyFill="1" applyBorder="1" applyAlignment="1" quotePrefix="1">
      <alignment horizontal="left" vertical="center"/>
    </xf>
    <xf numFmtId="49" fontId="6" fillId="0" borderId="4" xfId="0" applyNumberFormat="1" applyFont="1" applyFill="1" applyBorder="1" applyAlignment="1" quotePrefix="1">
      <alignment horizontal="left" vertical="center"/>
    </xf>
    <xf numFmtId="49" fontId="6" fillId="0" borderId="75" xfId="0" applyNumberFormat="1" applyFont="1" applyFill="1" applyBorder="1" applyAlignment="1" quotePrefix="1">
      <alignment horizontal="left" vertical="center"/>
    </xf>
    <xf numFmtId="49" fontId="6" fillId="0" borderId="6" xfId="0" applyNumberFormat="1" applyFont="1" applyFill="1" applyBorder="1" applyAlignment="1" quotePrefix="1">
      <alignment horizontal="left" vertical="center"/>
    </xf>
    <xf numFmtId="49" fontId="6" fillId="0" borderId="76" xfId="0" applyNumberFormat="1" applyFont="1" applyFill="1" applyBorder="1" applyAlignment="1" quotePrefix="1">
      <alignment horizontal="left" vertical="center"/>
    </xf>
    <xf numFmtId="49" fontId="6" fillId="0" borderId="34" xfId="0" applyNumberFormat="1" applyFont="1" applyFill="1" applyBorder="1" applyAlignment="1" quotePrefix="1">
      <alignment horizontal="left" vertical="center"/>
    </xf>
    <xf numFmtId="0" fontId="6" fillId="0" borderId="0" xfId="0" applyFont="1" applyFill="1" applyAlignment="1" quotePrefix="1">
      <alignment horizontal="left" vertical="center"/>
    </xf>
    <xf numFmtId="49" fontId="6" fillId="0" borderId="73" xfId="0" applyNumberFormat="1" applyFont="1" applyFill="1" applyBorder="1" applyAlignment="1" quotePrefix="1">
      <alignment horizontal="left" vertical="center"/>
    </xf>
    <xf numFmtId="0" fontId="0" fillId="5" borderId="1" xfId="0" applyFill="1" applyBorder="1" applyAlignment="1" quotePrefix="1">
      <alignment horizontal="center" vertical="center"/>
    </xf>
    <xf numFmtId="49" fontId="0" fillId="17" borderId="1" xfId="0" applyNumberFormat="1" applyFill="1" applyBorder="1" applyAlignment="1" quotePrefix="1">
      <alignment horizontal="center" vertical="center"/>
    </xf>
    <xf numFmtId="0" fontId="0" fillId="5" borderId="1" xfId="0" applyFill="1" applyBorder="1" applyAlignment="1" quotePrefix="1">
      <alignment horizontal="left" vertical="center"/>
    </xf>
    <xf numFmtId="49" fontId="0" fillId="0" borderId="3" xfId="0" applyNumberFormat="1" applyFill="1" applyBorder="1" applyAlignment="1" quotePrefix="1">
      <alignment horizontal="left" vertical="center"/>
    </xf>
    <xf numFmtId="0" fontId="0" fillId="5" borderId="0" xfId="0" applyFill="1" applyBorder="1" applyAlignment="1" quotePrefix="1">
      <alignment horizontal="left" vertical="center"/>
    </xf>
    <xf numFmtId="0" fontId="15" fillId="8" borderId="1" xfId="0" applyFont="1" applyFill="1" applyBorder="1" applyAlignment="1" quotePrefix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7" Type="http://schemas.openxmlformats.org/officeDocument/2006/relationships/sharedStrings" Target="sharedStrings.xml"/><Relationship Id="rId26" Type="http://schemas.openxmlformats.org/officeDocument/2006/relationships/styles" Target="styles.xml"/><Relationship Id="rId25" Type="http://schemas.openxmlformats.org/officeDocument/2006/relationships/theme" Target="theme/theme1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15</xdr:col>
      <xdr:colOff>45370</xdr:colOff>
      <xdr:row>2</xdr:row>
      <xdr:rowOff>84458</xdr:rowOff>
    </xdr:from>
    <xdr:ext cx="366616" cy="1584727"/>
    <xdr:sp>
      <xdr:nvSpPr>
        <xdr:cNvPr id="2" name="文本框 1"/>
        <xdr:cNvSpPr txBox="1"/>
      </xdr:nvSpPr>
      <xdr:spPr>
        <a:xfrm rot="21051810">
          <a:off x="8501380" y="437515"/>
          <a:ext cx="366395" cy="15843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vert" wrap="square" rtlCol="0" anchor="ctr">
          <a:noAutofit/>
        </a:bodyPr>
        <a:lstStyle/>
        <a:p>
          <a:pPr algn="ctr"/>
          <a:r>
            <a:rPr lang="en-US" altLang="zh-CN" sz="3600" b="0" i="0">
              <a:ln>
                <a:solidFill>
                  <a:schemeClr val="tx1">
                    <a:alpha val="50000"/>
                  </a:schemeClr>
                </a:solidFill>
              </a:ln>
              <a:solidFill>
                <a:srgbClr val="FFFF00"/>
              </a:solidFill>
              <a:effectLst>
                <a:reflection blurRad="6350" stA="11000" endPos="18000" dir="5400000" sy="-100000" algn="bl" rotWithShape="0"/>
              </a:effectLst>
              <a:latin typeface="优设标题黑" panose="00000500000000000000" pitchFamily="2" charset="-122"/>
              <a:ea typeface="优设标题黑" panose="00000500000000000000" pitchFamily="2" charset="-122"/>
            </a:rPr>
            <a:t>EWZP</a:t>
          </a:r>
          <a:endParaRPr lang="zh-CN" altLang="en-US" sz="3600" b="0" i="0">
            <a:ln>
              <a:solidFill>
                <a:schemeClr val="tx1">
                  <a:alpha val="50000"/>
                </a:schemeClr>
              </a:solidFill>
            </a:ln>
            <a:solidFill>
              <a:srgbClr val="FFFF00"/>
            </a:solidFill>
            <a:effectLst>
              <a:reflection blurRad="6350" stA="11000" endPos="18000" dir="5400000" sy="-100000" algn="bl" rotWithShape="0"/>
            </a:effectLst>
            <a:latin typeface="优设标题黑" panose="00000500000000000000" pitchFamily="2" charset="-122"/>
            <a:ea typeface="优设标题黑" panose="00000500000000000000" pitchFamily="2" charset="-122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hyperlink" Target="https://space.bilibili.com/11879353" TargetMode="External"/><Relationship Id="rId1" Type="http://schemas.openxmlformats.org/officeDocument/2006/relationships/hyperlink" Target="mailto:&#20840;&#37096;&#25239;&#21387;&#31995;&#25968;&#25968;&#25454;&#26469;&#33258;@EWZP&#65307;" TargetMode="Externa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G80"/>
  <sheetViews>
    <sheetView workbookViewId="0">
      <selection activeCell="I28" sqref="I28"/>
    </sheetView>
  </sheetViews>
  <sheetFormatPr defaultColWidth="9" defaultRowHeight="14" outlineLevelCol="6"/>
  <cols>
    <col min="1" max="1" width="3.44166666666667" style="1253" customWidth="1"/>
    <col min="2" max="2" width="16.6666666666667" style="3" customWidth="1"/>
    <col min="3" max="3" width="14.775" style="1254" customWidth="1"/>
    <col min="4" max="4" width="8.10833333333333" style="1255" customWidth="1"/>
    <col min="5" max="5" width="9.88333333333333" style="1255" customWidth="1"/>
    <col min="6" max="6" width="13.6666666666667" style="3" customWidth="1"/>
    <col min="7" max="16384" width="8.88333333333333" style="1253"/>
  </cols>
  <sheetData>
    <row r="1" spans="2:6">
      <c r="B1" s="1256" t="s">
        <v>0</v>
      </c>
      <c r="C1" s="1257" t="s">
        <v>1</v>
      </c>
      <c r="D1" s="1258" t="s">
        <v>2</v>
      </c>
      <c r="E1" s="1258" t="s">
        <v>3</v>
      </c>
      <c r="F1" s="1256" t="s">
        <v>4</v>
      </c>
    </row>
    <row r="2" spans="2:7">
      <c r="B2" s="1256" t="s">
        <v>5</v>
      </c>
      <c r="C2" s="1257">
        <v>0.3</v>
      </c>
      <c r="D2" s="1258">
        <v>7.44</v>
      </c>
      <c r="E2" s="1258">
        <v>6</v>
      </c>
      <c r="F2" s="1256">
        <v>26.85</v>
      </c>
      <c r="G2" s="1253">
        <f>E2/5*D2</f>
        <v>8.928</v>
      </c>
    </row>
    <row r="3" spans="2:7">
      <c r="B3" s="1256" t="s">
        <v>6</v>
      </c>
      <c r="C3" s="1257">
        <v>0.3</v>
      </c>
      <c r="D3" s="1258">
        <v>7.44</v>
      </c>
      <c r="E3" s="1258">
        <v>6</v>
      </c>
      <c r="F3" s="1256">
        <v>626.85</v>
      </c>
      <c r="G3" s="1253">
        <f t="shared" ref="G3:G66" si="0">E3/5*D3</f>
        <v>8.928</v>
      </c>
    </row>
    <row r="4" spans="2:7">
      <c r="B4" s="1256" t="s">
        <v>7</v>
      </c>
      <c r="C4" s="1257">
        <v>0.6</v>
      </c>
      <c r="D4" s="1258">
        <v>5.57</v>
      </c>
      <c r="E4" s="1259">
        <v>1e-5</v>
      </c>
      <c r="F4" s="1256">
        <v>3621.85</v>
      </c>
      <c r="G4" s="1253">
        <f t="shared" si="0"/>
        <v>1.114e-5</v>
      </c>
    </row>
    <row r="5" spans="2:7">
      <c r="B5" s="1256" t="s">
        <v>8</v>
      </c>
      <c r="C5" s="1257">
        <v>0.9</v>
      </c>
      <c r="D5" s="1258">
        <v>4</v>
      </c>
      <c r="E5" s="1259">
        <v>1e-5</v>
      </c>
      <c r="F5" s="1256">
        <v>3421.85</v>
      </c>
      <c r="G5" s="1253">
        <f t="shared" si="0"/>
        <v>8e-6</v>
      </c>
    </row>
    <row r="6" spans="2:7">
      <c r="B6" s="1260" t="s">
        <v>9</v>
      </c>
      <c r="C6" s="1257">
        <v>0.25</v>
      </c>
      <c r="D6" s="1258">
        <v>3.47</v>
      </c>
      <c r="E6" s="1258">
        <v>0.6</v>
      </c>
      <c r="F6" s="1256">
        <v>9726.85</v>
      </c>
      <c r="G6" s="1253">
        <f t="shared" si="0"/>
        <v>0.4164</v>
      </c>
    </row>
    <row r="7" spans="2:7">
      <c r="B7" s="1256" t="s">
        <v>10</v>
      </c>
      <c r="C7" s="1257">
        <v>0.8</v>
      </c>
      <c r="D7" s="1258">
        <v>3.4</v>
      </c>
      <c r="E7" s="1258">
        <v>2.18</v>
      </c>
      <c r="F7" s="1256">
        <v>16.5</v>
      </c>
      <c r="G7" s="1253">
        <f t="shared" si="0"/>
        <v>1.4824</v>
      </c>
    </row>
    <row r="8" spans="2:7">
      <c r="B8" s="1256" t="s">
        <v>11</v>
      </c>
      <c r="C8" s="1257">
        <v>0.75</v>
      </c>
      <c r="D8" s="1258">
        <v>3.05</v>
      </c>
      <c r="E8" s="1258">
        <v>1</v>
      </c>
      <c r="F8" s="1256">
        <v>20.64999</v>
      </c>
      <c r="G8" s="1253">
        <f t="shared" si="0"/>
        <v>0.61</v>
      </c>
    </row>
    <row r="9" spans="2:7">
      <c r="B9" s="1256" t="s">
        <v>12</v>
      </c>
      <c r="C9" s="1257">
        <v>0.7</v>
      </c>
      <c r="D9" s="1258">
        <v>2.46</v>
      </c>
      <c r="E9" s="1258">
        <v>20</v>
      </c>
      <c r="F9" s="1256">
        <v>114.05</v>
      </c>
      <c r="G9" s="1253">
        <f t="shared" si="0"/>
        <v>9.84</v>
      </c>
    </row>
    <row r="10" spans="2:7">
      <c r="B10" s="1256" t="s">
        <v>13</v>
      </c>
      <c r="C10" s="1257">
        <v>0.9</v>
      </c>
      <c r="D10" s="1258">
        <v>2.4</v>
      </c>
      <c r="E10" s="1258">
        <v>1</v>
      </c>
      <c r="F10" s="1256">
        <v>259.15</v>
      </c>
      <c r="G10" s="1253">
        <f t="shared" si="0"/>
        <v>0.48</v>
      </c>
    </row>
    <row r="11" spans="2:7">
      <c r="B11" s="1256" t="s">
        <v>14</v>
      </c>
      <c r="C11" s="1257">
        <v>0.6</v>
      </c>
      <c r="D11" s="1258">
        <v>2.191</v>
      </c>
      <c r="E11" s="1258">
        <v>0.2</v>
      </c>
      <c r="F11" s="1256">
        <v>50.14999</v>
      </c>
      <c r="G11" s="1253">
        <f t="shared" si="0"/>
        <v>0.08764</v>
      </c>
    </row>
    <row r="12" spans="2:7">
      <c r="B12" s="1256" t="s">
        <v>15</v>
      </c>
      <c r="C12" s="1257">
        <v>0.75</v>
      </c>
      <c r="D12" s="1258">
        <v>2.191</v>
      </c>
      <c r="E12" s="1258">
        <v>0.03</v>
      </c>
      <c r="F12" s="1256">
        <v>182.6</v>
      </c>
      <c r="G12" s="1253">
        <f t="shared" si="0"/>
        <v>0.013146</v>
      </c>
    </row>
    <row r="13" spans="2:7">
      <c r="B13" s="1256" t="s">
        <v>16</v>
      </c>
      <c r="C13" s="1257">
        <v>0.8</v>
      </c>
      <c r="D13" s="1258">
        <v>2.05</v>
      </c>
      <c r="E13" s="1258">
        <v>2.18</v>
      </c>
      <c r="F13" s="1256">
        <v>0.6499939</v>
      </c>
      <c r="G13" s="1253">
        <f t="shared" si="0"/>
        <v>0.8938</v>
      </c>
    </row>
    <row r="14" spans="2:7">
      <c r="B14" s="1256" t="s">
        <v>17</v>
      </c>
      <c r="C14" s="1257">
        <v>0.7</v>
      </c>
      <c r="D14" s="1258">
        <v>2.05</v>
      </c>
      <c r="E14" s="1258">
        <v>0.545</v>
      </c>
      <c r="F14" s="1256">
        <v>0.6499939</v>
      </c>
      <c r="G14" s="1253">
        <f t="shared" si="0"/>
        <v>0.22345</v>
      </c>
    </row>
    <row r="15" spans="2:7">
      <c r="B15" s="1256" t="s">
        <v>18</v>
      </c>
      <c r="C15" s="1257">
        <v>0.85</v>
      </c>
      <c r="D15" s="1258">
        <v>1.92</v>
      </c>
      <c r="E15" s="1258">
        <v>0.15</v>
      </c>
      <c r="F15" s="1256">
        <v>159.85</v>
      </c>
      <c r="G15" s="1253">
        <f t="shared" si="0"/>
        <v>0.0576</v>
      </c>
    </row>
    <row r="16" spans="2:7">
      <c r="B16" s="1256" t="s">
        <v>19</v>
      </c>
      <c r="C16" s="1257">
        <v>0.8</v>
      </c>
      <c r="D16" s="1258">
        <v>1.76</v>
      </c>
      <c r="E16" s="1258">
        <v>2</v>
      </c>
      <c r="F16" s="1256">
        <v>57.14999</v>
      </c>
      <c r="G16" s="1253">
        <f t="shared" si="0"/>
        <v>0.704</v>
      </c>
    </row>
    <row r="17" spans="2:7">
      <c r="B17" s="1256" t="s">
        <v>20</v>
      </c>
      <c r="C17" s="1257">
        <v>0.8</v>
      </c>
      <c r="D17" s="1258">
        <v>1.69</v>
      </c>
      <c r="E17" s="1258">
        <v>2</v>
      </c>
      <c r="F17" s="1256">
        <v>40.14999</v>
      </c>
      <c r="G17" s="1253">
        <f t="shared" si="0"/>
        <v>0.676</v>
      </c>
    </row>
    <row r="18" spans="2:7">
      <c r="B18" s="1256" t="s">
        <v>21</v>
      </c>
      <c r="C18" s="1257">
        <v>0.6</v>
      </c>
      <c r="D18" s="1258">
        <v>1.55</v>
      </c>
      <c r="E18" s="1258">
        <v>0.45</v>
      </c>
      <c r="F18" s="1256">
        <v>30.64999</v>
      </c>
      <c r="G18" s="1253">
        <f t="shared" si="0"/>
        <v>0.1395</v>
      </c>
    </row>
    <row r="19" spans="2:7">
      <c r="B19" s="1256" t="s">
        <v>22</v>
      </c>
      <c r="C19" s="1257">
        <v>0.75</v>
      </c>
      <c r="D19" s="1258">
        <v>1.48</v>
      </c>
      <c r="E19" s="1258">
        <v>2</v>
      </c>
      <c r="F19" s="1256">
        <v>326.85</v>
      </c>
      <c r="G19" s="1253">
        <f t="shared" si="0"/>
        <v>0.592</v>
      </c>
    </row>
    <row r="20" spans="2:7">
      <c r="B20" s="1256" t="s">
        <v>23</v>
      </c>
      <c r="C20" s="1257">
        <v>0.75</v>
      </c>
      <c r="D20" s="1258">
        <v>1.3</v>
      </c>
      <c r="E20" s="1258">
        <v>0.17</v>
      </c>
      <c r="F20" s="1256">
        <v>200</v>
      </c>
      <c r="G20" s="1253">
        <f t="shared" si="0"/>
        <v>0.0442</v>
      </c>
    </row>
    <row r="21" spans="2:7">
      <c r="B21" s="1256" t="s">
        <v>24</v>
      </c>
      <c r="C21" s="1257">
        <v>0.75</v>
      </c>
      <c r="D21" s="1258">
        <v>1.3</v>
      </c>
      <c r="E21" s="1258">
        <v>0.17</v>
      </c>
      <c r="F21" s="1256">
        <v>20</v>
      </c>
      <c r="G21" s="1253">
        <f t="shared" si="0"/>
        <v>0.0442</v>
      </c>
    </row>
    <row r="22" spans="2:7">
      <c r="B22" s="1256" t="s">
        <v>25</v>
      </c>
      <c r="C22" s="1257">
        <v>0.7</v>
      </c>
      <c r="D22" s="1258">
        <v>1.255</v>
      </c>
      <c r="E22" s="1258">
        <v>0.15</v>
      </c>
      <c r="F22" s="1256">
        <v>185.85</v>
      </c>
      <c r="G22" s="1253">
        <f t="shared" si="0"/>
        <v>0.03765</v>
      </c>
    </row>
    <row r="23" spans="2:7">
      <c r="B23" s="1256" t="s">
        <v>26</v>
      </c>
      <c r="C23" s="1257">
        <v>0.82</v>
      </c>
      <c r="D23" s="1258">
        <v>1.01</v>
      </c>
      <c r="E23" s="1258">
        <v>1</v>
      </c>
      <c r="F23" s="1256">
        <v>218.79</v>
      </c>
      <c r="G23" s="1253">
        <f t="shared" si="0"/>
        <v>0.202</v>
      </c>
    </row>
    <row r="24" spans="2:7">
      <c r="B24" s="1256" t="s">
        <v>27</v>
      </c>
      <c r="C24" s="1257">
        <v>0.75</v>
      </c>
      <c r="D24" s="1258">
        <v>1</v>
      </c>
      <c r="E24" s="1258">
        <v>2</v>
      </c>
      <c r="F24" s="1256">
        <v>1409.85</v>
      </c>
      <c r="G24" s="1253">
        <f t="shared" si="0"/>
        <v>0.4</v>
      </c>
    </row>
    <row r="25" spans="2:7">
      <c r="B25" s="1256" t="s">
        <v>28</v>
      </c>
      <c r="C25" s="1257">
        <v>0.82</v>
      </c>
      <c r="D25" s="1258">
        <v>1</v>
      </c>
      <c r="E25" s="1258">
        <v>4</v>
      </c>
      <c r="F25" s="1256">
        <v>1409.85</v>
      </c>
      <c r="G25" s="1253">
        <f t="shared" si="0"/>
        <v>0.8</v>
      </c>
    </row>
    <row r="26" spans="2:7">
      <c r="B26" s="1256" t="s">
        <v>29</v>
      </c>
      <c r="C26" s="1257">
        <v>0.25</v>
      </c>
      <c r="D26" s="1258">
        <v>1</v>
      </c>
      <c r="E26" s="1258">
        <v>20</v>
      </c>
      <c r="F26" s="1256">
        <v>959.85</v>
      </c>
      <c r="G26" s="1253">
        <f t="shared" si="0"/>
        <v>4</v>
      </c>
    </row>
    <row r="27" spans="2:7">
      <c r="B27" s="1256" t="s">
        <v>30</v>
      </c>
      <c r="C27" s="1257">
        <v>0.3</v>
      </c>
      <c r="D27" s="1258">
        <v>1</v>
      </c>
      <c r="E27" s="1258">
        <v>20</v>
      </c>
      <c r="F27" s="1256">
        <v>132.85</v>
      </c>
      <c r="G27" s="1253">
        <f t="shared" si="0"/>
        <v>4</v>
      </c>
    </row>
    <row r="28" spans="2:7">
      <c r="B28" s="1256" t="s">
        <v>31</v>
      </c>
      <c r="C28" s="1257">
        <v>0.85</v>
      </c>
      <c r="D28" s="1258">
        <v>1</v>
      </c>
      <c r="E28" s="1258">
        <v>20</v>
      </c>
      <c r="F28" s="1256">
        <v>132.85</v>
      </c>
      <c r="G28" s="1253">
        <f t="shared" si="0"/>
        <v>4</v>
      </c>
    </row>
    <row r="29" spans="2:7">
      <c r="B29" s="1256" t="s">
        <v>32</v>
      </c>
      <c r="C29" s="1257">
        <v>0.3</v>
      </c>
      <c r="D29" s="1258">
        <v>1</v>
      </c>
      <c r="E29" s="1258">
        <v>20</v>
      </c>
      <c r="F29" s="1256">
        <v>858.85</v>
      </c>
      <c r="G29" s="1253">
        <f t="shared" si="0"/>
        <v>4</v>
      </c>
    </row>
    <row r="30" spans="2:7">
      <c r="B30" s="1256" t="s">
        <v>33</v>
      </c>
      <c r="C30" s="1257">
        <v>0.6</v>
      </c>
      <c r="D30" s="1258">
        <v>0.95</v>
      </c>
      <c r="E30" s="1258">
        <v>50</v>
      </c>
      <c r="F30" s="1256">
        <v>3926.85</v>
      </c>
      <c r="G30" s="1253">
        <f t="shared" si="0"/>
        <v>9.5</v>
      </c>
    </row>
    <row r="31" spans="2:7">
      <c r="B31" s="1256" t="s">
        <v>34</v>
      </c>
      <c r="C31" s="1257">
        <v>0.65</v>
      </c>
      <c r="D31" s="1258">
        <v>0.92</v>
      </c>
      <c r="E31" s="1258">
        <v>2</v>
      </c>
      <c r="F31" s="1256">
        <v>926.85</v>
      </c>
      <c r="G31" s="1253">
        <f t="shared" si="0"/>
        <v>0.368</v>
      </c>
    </row>
    <row r="32" spans="2:7">
      <c r="B32" s="1256" t="s">
        <v>35</v>
      </c>
      <c r="C32" s="1257">
        <v>0.7</v>
      </c>
      <c r="D32" s="1258">
        <v>0.91</v>
      </c>
      <c r="E32" s="1258">
        <v>2</v>
      </c>
      <c r="F32" s="1256">
        <v>1338.85</v>
      </c>
      <c r="G32" s="1253">
        <f t="shared" si="0"/>
        <v>0.364</v>
      </c>
    </row>
    <row r="33" spans="2:7">
      <c r="B33" s="1256" t="s">
        <v>36</v>
      </c>
      <c r="C33" s="1257">
        <v>0.77</v>
      </c>
      <c r="D33" s="1258">
        <v>0.91</v>
      </c>
      <c r="E33" s="1258">
        <v>205</v>
      </c>
      <c r="F33" s="1256">
        <v>660.3</v>
      </c>
      <c r="G33" s="1253">
        <f t="shared" si="0"/>
        <v>37.31</v>
      </c>
    </row>
    <row r="34" spans="2:7">
      <c r="B34" s="1256" t="s">
        <v>37</v>
      </c>
      <c r="C34" s="1257">
        <v>0.72</v>
      </c>
      <c r="D34" s="1258">
        <v>0.91</v>
      </c>
      <c r="E34" s="1258">
        <v>20.5</v>
      </c>
      <c r="F34" s="1256">
        <v>1083.85</v>
      </c>
      <c r="G34" s="1253">
        <f t="shared" si="0"/>
        <v>3.731</v>
      </c>
    </row>
    <row r="35" spans="2:7">
      <c r="B35" s="1260" t="s">
        <v>38</v>
      </c>
      <c r="C35" s="1257">
        <v>0.8</v>
      </c>
      <c r="D35" s="1258">
        <v>0.846</v>
      </c>
      <c r="E35" s="1258">
        <v>1.46</v>
      </c>
      <c r="F35" s="1256">
        <v>56.54999</v>
      </c>
      <c r="G35" s="1253">
        <f t="shared" si="0"/>
        <v>0.247032</v>
      </c>
    </row>
    <row r="36" spans="2:7">
      <c r="B36" s="1256" t="s">
        <v>39</v>
      </c>
      <c r="C36" s="1257">
        <v>0.65</v>
      </c>
      <c r="D36" s="1258">
        <v>0.84</v>
      </c>
      <c r="E36" s="1258">
        <v>0.62</v>
      </c>
      <c r="F36" s="1256">
        <v>1849.85</v>
      </c>
      <c r="G36" s="1253">
        <f t="shared" si="0"/>
        <v>0.10416</v>
      </c>
    </row>
    <row r="37" spans="2:7">
      <c r="B37" s="1256" t="s">
        <v>40</v>
      </c>
      <c r="C37" s="1257">
        <v>0.65</v>
      </c>
      <c r="D37" s="1258">
        <v>0.84</v>
      </c>
      <c r="E37" s="1258">
        <v>1.11</v>
      </c>
      <c r="F37" s="1256">
        <v>1426.85</v>
      </c>
      <c r="G37" s="1253">
        <f t="shared" si="0"/>
        <v>0.18648</v>
      </c>
    </row>
    <row r="38" spans="2:7">
      <c r="B38" s="1256" t="s">
        <v>41</v>
      </c>
      <c r="C38" s="1257">
        <v>0.75</v>
      </c>
      <c r="D38" s="1258">
        <v>0.834</v>
      </c>
      <c r="E38" s="1258">
        <v>2</v>
      </c>
      <c r="F38" s="1256">
        <v>1056.85</v>
      </c>
      <c r="G38" s="1253">
        <f t="shared" si="0"/>
        <v>0.3336</v>
      </c>
    </row>
    <row r="39" spans="2:7">
      <c r="B39" s="1256" t="s">
        <v>42</v>
      </c>
      <c r="C39" s="1257">
        <v>0.7</v>
      </c>
      <c r="D39" s="1258">
        <v>0.83</v>
      </c>
      <c r="E39" s="1258">
        <v>2</v>
      </c>
      <c r="F39" s="1256">
        <v>1712.85</v>
      </c>
      <c r="G39" s="1253">
        <f t="shared" si="0"/>
        <v>0.332</v>
      </c>
    </row>
    <row r="40" spans="2:7">
      <c r="B40" s="1256" t="s">
        <v>43</v>
      </c>
      <c r="C40" s="1257">
        <v>0.7</v>
      </c>
      <c r="D40" s="1258">
        <v>0.83</v>
      </c>
      <c r="E40" s="1258">
        <v>2</v>
      </c>
      <c r="F40" s="1256">
        <v>1712.85</v>
      </c>
      <c r="G40" s="1253">
        <f t="shared" si="0"/>
        <v>0.332</v>
      </c>
    </row>
    <row r="41" spans="2:7">
      <c r="B41" s="1256" t="s">
        <v>44</v>
      </c>
      <c r="C41" s="1257">
        <v>0.7</v>
      </c>
      <c r="D41" s="1258">
        <v>0.83</v>
      </c>
      <c r="E41" s="1258">
        <v>2</v>
      </c>
      <c r="F41" s="1256">
        <v>125</v>
      </c>
      <c r="G41" s="1253">
        <f t="shared" si="0"/>
        <v>0.332</v>
      </c>
    </row>
    <row r="42" spans="2:7">
      <c r="B42" s="1256" t="s">
        <v>45</v>
      </c>
      <c r="C42" s="1257">
        <v>0.7</v>
      </c>
      <c r="D42" s="1258">
        <v>0.83</v>
      </c>
      <c r="E42" s="1258">
        <v>2</v>
      </c>
      <c r="F42" s="1260">
        <v>99.7</v>
      </c>
      <c r="G42" s="1253">
        <f t="shared" si="0"/>
        <v>0.332</v>
      </c>
    </row>
    <row r="43" spans="2:7">
      <c r="B43" s="1256" t="s">
        <v>46</v>
      </c>
      <c r="C43" s="1257">
        <v>0.7</v>
      </c>
      <c r="D43" s="1258">
        <v>0.83</v>
      </c>
      <c r="E43" s="1258">
        <v>2</v>
      </c>
      <c r="F43" s="1260">
        <v>99.7</v>
      </c>
      <c r="G43" s="1253">
        <f t="shared" si="0"/>
        <v>0.332</v>
      </c>
    </row>
    <row r="44" spans="2:7">
      <c r="B44" s="1256" t="s">
        <v>47</v>
      </c>
      <c r="C44" s="1257">
        <v>0.7</v>
      </c>
      <c r="D44" s="1258">
        <v>0.8</v>
      </c>
      <c r="E44" s="1258">
        <v>2.9</v>
      </c>
      <c r="F44" s="1256">
        <v>926.85</v>
      </c>
      <c r="G44" s="1253">
        <f t="shared" si="0"/>
        <v>0.464</v>
      </c>
    </row>
    <row r="45" spans="2:7">
      <c r="B45" s="1256" t="s">
        <v>48</v>
      </c>
      <c r="C45" s="1257">
        <v>0.7</v>
      </c>
      <c r="D45" s="1258">
        <v>0.79</v>
      </c>
      <c r="E45" s="1258">
        <v>3.39</v>
      </c>
      <c r="F45" s="1256">
        <v>668.85</v>
      </c>
      <c r="G45" s="1253">
        <f t="shared" si="0"/>
        <v>0.53562</v>
      </c>
    </row>
    <row r="46" spans="2:7">
      <c r="B46" s="1256" t="s">
        <v>49</v>
      </c>
      <c r="C46" s="1257">
        <v>0.75</v>
      </c>
      <c r="D46" s="1258">
        <v>0.77</v>
      </c>
      <c r="E46" s="1258">
        <v>0.236</v>
      </c>
      <c r="F46" s="1256">
        <v>44.14999</v>
      </c>
      <c r="G46" s="1253">
        <f t="shared" si="0"/>
        <v>0.036344</v>
      </c>
    </row>
    <row r="47" spans="2:7">
      <c r="B47" s="1256" t="s">
        <v>50</v>
      </c>
      <c r="C47" s="1257">
        <v>0.85</v>
      </c>
      <c r="D47" s="1258">
        <v>0.71</v>
      </c>
      <c r="E47" s="1258">
        <v>8</v>
      </c>
      <c r="F47" s="1256">
        <v>276.85</v>
      </c>
      <c r="G47" s="1253">
        <f t="shared" si="0"/>
        <v>1.136</v>
      </c>
    </row>
    <row r="48" spans="2:7">
      <c r="B48" s="1256" t="s">
        <v>51</v>
      </c>
      <c r="C48" s="1257">
        <v>0.84</v>
      </c>
      <c r="D48" s="1258">
        <v>0.71</v>
      </c>
      <c r="E48" s="1258">
        <v>1</v>
      </c>
      <c r="F48" s="1256">
        <v>276.85</v>
      </c>
      <c r="G48" s="1253">
        <f t="shared" si="0"/>
        <v>0.142</v>
      </c>
    </row>
    <row r="49" spans="2:7">
      <c r="B49" s="1256" t="s">
        <v>52</v>
      </c>
      <c r="C49" s="1257">
        <v>0.84</v>
      </c>
      <c r="D49" s="1258">
        <v>0.71</v>
      </c>
      <c r="E49" s="1258">
        <v>1</v>
      </c>
      <c r="F49" s="1256">
        <v>4326.85</v>
      </c>
      <c r="G49" s="1253">
        <f t="shared" si="0"/>
        <v>0.142</v>
      </c>
    </row>
    <row r="50" spans="2:7">
      <c r="B50" s="1256" t="s">
        <v>53</v>
      </c>
      <c r="C50" s="1257">
        <v>0.75</v>
      </c>
      <c r="D50" s="1258">
        <v>0.7</v>
      </c>
      <c r="E50" s="1258">
        <v>0.444</v>
      </c>
      <c r="F50" s="1256">
        <v>799.85</v>
      </c>
      <c r="G50" s="1253">
        <f t="shared" si="0"/>
        <v>0.06216</v>
      </c>
    </row>
    <row r="51" spans="2:7">
      <c r="B51" s="1256" t="s">
        <v>54</v>
      </c>
      <c r="C51" s="1257">
        <v>0.74</v>
      </c>
      <c r="D51" s="1258">
        <v>0.7</v>
      </c>
      <c r="E51" s="1258">
        <v>0.2</v>
      </c>
      <c r="F51" s="1256">
        <v>115.2</v>
      </c>
      <c r="G51" s="1253">
        <f t="shared" si="0"/>
        <v>0.028</v>
      </c>
    </row>
    <row r="52" spans="2:7">
      <c r="B52" s="1256" t="s">
        <v>55</v>
      </c>
      <c r="C52" s="1257">
        <v>0.6</v>
      </c>
      <c r="D52" s="1258">
        <v>0.622</v>
      </c>
      <c r="E52" s="1258">
        <v>220</v>
      </c>
      <c r="F52" s="1256">
        <v>2676.85</v>
      </c>
      <c r="G52" s="1253">
        <f t="shared" si="0"/>
        <v>27.368</v>
      </c>
    </row>
    <row r="53" spans="2:7">
      <c r="B53" s="1256" t="s">
        <v>56</v>
      </c>
      <c r="C53" s="1257">
        <v>0.8</v>
      </c>
      <c r="D53" s="1258">
        <v>0.516</v>
      </c>
      <c r="E53" s="1258">
        <v>80</v>
      </c>
      <c r="F53" s="1256">
        <v>3926.85</v>
      </c>
      <c r="G53" s="1253">
        <f t="shared" si="0"/>
        <v>8.256</v>
      </c>
    </row>
    <row r="54" spans="2:7">
      <c r="B54" s="1256" t="s">
        <v>57</v>
      </c>
      <c r="C54" s="1257">
        <v>0.73</v>
      </c>
      <c r="D54" s="1258">
        <v>0.5</v>
      </c>
      <c r="E54" s="1258">
        <v>4</v>
      </c>
      <c r="F54" s="1256">
        <v>668.85</v>
      </c>
      <c r="G54" s="1253">
        <f t="shared" si="0"/>
        <v>0.4</v>
      </c>
    </row>
    <row r="55" spans="2:7">
      <c r="B55" s="1256" t="s">
        <v>58</v>
      </c>
      <c r="C55" s="1257">
        <v>0.74</v>
      </c>
      <c r="D55" s="1258">
        <v>0.49</v>
      </c>
      <c r="E55" s="1258">
        <v>54</v>
      </c>
      <c r="F55" s="1256">
        <v>2426.85</v>
      </c>
      <c r="G55" s="1253">
        <f t="shared" si="0"/>
        <v>5.292</v>
      </c>
    </row>
    <row r="56" spans="2:7">
      <c r="B56" s="1256" t="s">
        <v>59</v>
      </c>
      <c r="C56" s="1257">
        <v>0.73</v>
      </c>
      <c r="D56" s="1258">
        <v>0.48</v>
      </c>
      <c r="E56" s="1258">
        <v>0.75</v>
      </c>
      <c r="F56" s="1256">
        <v>100.98</v>
      </c>
      <c r="G56" s="1253">
        <f t="shared" si="0"/>
        <v>0.072</v>
      </c>
    </row>
    <row r="57" spans="2:7">
      <c r="B57" s="1256" t="s">
        <v>60</v>
      </c>
      <c r="C57" s="1257">
        <v>0.66</v>
      </c>
      <c r="D57" s="1258">
        <v>0.449</v>
      </c>
      <c r="E57" s="1258">
        <v>55</v>
      </c>
      <c r="F57" s="1256">
        <v>1534.85</v>
      </c>
      <c r="G57" s="1253">
        <f t="shared" si="0"/>
        <v>4.939</v>
      </c>
    </row>
    <row r="58" spans="2:7">
      <c r="B58" s="1256" t="s">
        <v>61</v>
      </c>
      <c r="C58" s="1257">
        <v>0.61</v>
      </c>
      <c r="D58" s="1258">
        <v>0.449</v>
      </c>
      <c r="E58" s="1258">
        <v>4</v>
      </c>
      <c r="F58" s="1256">
        <v>1534.85</v>
      </c>
      <c r="G58" s="1253">
        <f t="shared" si="0"/>
        <v>0.3592</v>
      </c>
    </row>
    <row r="59" spans="2:7">
      <c r="B59" s="1256" t="s">
        <v>62</v>
      </c>
      <c r="C59" s="1257">
        <v>0.7</v>
      </c>
      <c r="D59" s="1258">
        <v>0.449</v>
      </c>
      <c r="E59" s="1258">
        <v>4</v>
      </c>
      <c r="F59" s="1256">
        <v>1534.85</v>
      </c>
      <c r="G59" s="1253">
        <f t="shared" si="0"/>
        <v>0.3592</v>
      </c>
    </row>
    <row r="60" spans="2:7">
      <c r="B60" s="1256" t="s">
        <v>63</v>
      </c>
      <c r="C60" s="1257">
        <v>0.63</v>
      </c>
      <c r="D60" s="1258">
        <v>0.42</v>
      </c>
      <c r="E60" s="1258">
        <v>100</v>
      </c>
      <c r="F60" s="1256">
        <v>1494.85</v>
      </c>
      <c r="G60" s="1253">
        <f t="shared" si="0"/>
        <v>8.4</v>
      </c>
    </row>
    <row r="61" spans="2:7">
      <c r="B61" s="1256" t="s">
        <v>64</v>
      </c>
      <c r="C61" s="1257">
        <v>0.58</v>
      </c>
      <c r="D61" s="1258">
        <v>0.42</v>
      </c>
      <c r="E61" s="1258">
        <v>4</v>
      </c>
      <c r="F61" s="1256">
        <v>1494.85</v>
      </c>
      <c r="G61" s="1253">
        <f t="shared" si="0"/>
        <v>0.336</v>
      </c>
    </row>
    <row r="62" spans="2:7">
      <c r="B62" s="1256" t="s">
        <v>65</v>
      </c>
      <c r="C62" s="1257">
        <v>0.7</v>
      </c>
      <c r="D62" s="1258">
        <v>0.386</v>
      </c>
      <c r="E62" s="1258">
        <v>4.5</v>
      </c>
      <c r="F62" s="1256">
        <v>1083.85</v>
      </c>
      <c r="G62" s="1253">
        <f t="shared" si="0"/>
        <v>0.3474</v>
      </c>
    </row>
    <row r="63" spans="2:7">
      <c r="B63" s="1256" t="s">
        <v>66</v>
      </c>
      <c r="C63" s="1257">
        <v>0.56</v>
      </c>
      <c r="D63" s="1258">
        <v>0.386</v>
      </c>
      <c r="E63" s="1258">
        <v>4.5</v>
      </c>
      <c r="F63" s="1256">
        <v>1083.85</v>
      </c>
      <c r="G63" s="1253">
        <f t="shared" si="0"/>
        <v>0.3474</v>
      </c>
    </row>
    <row r="64" spans="2:7">
      <c r="B64" s="1256" t="s">
        <v>67</v>
      </c>
      <c r="C64" s="1257">
        <v>0.61</v>
      </c>
      <c r="D64" s="1258">
        <v>0.385</v>
      </c>
      <c r="E64" s="1258">
        <v>60</v>
      </c>
      <c r="F64" s="1256">
        <v>1083.85</v>
      </c>
      <c r="G64" s="1253">
        <f t="shared" si="0"/>
        <v>4.62</v>
      </c>
    </row>
    <row r="65" spans="2:7">
      <c r="B65" s="1256" t="s">
        <v>68</v>
      </c>
      <c r="C65" s="1257">
        <v>0.49</v>
      </c>
      <c r="D65" s="1258">
        <v>0.265</v>
      </c>
      <c r="E65" s="1258">
        <v>54</v>
      </c>
      <c r="F65" s="1256">
        <v>2476.85</v>
      </c>
      <c r="G65" s="1253">
        <f t="shared" si="0"/>
        <v>2.862</v>
      </c>
    </row>
    <row r="66" spans="2:7">
      <c r="B66" s="1256" t="s">
        <v>69</v>
      </c>
      <c r="C66" s="1257">
        <v>0.7</v>
      </c>
      <c r="D66" s="1258">
        <v>0.2</v>
      </c>
      <c r="E66" s="1258">
        <v>2</v>
      </c>
      <c r="F66" s="1256">
        <v>926.85</v>
      </c>
      <c r="G66" s="1253">
        <f t="shared" si="0"/>
        <v>0.08</v>
      </c>
    </row>
    <row r="67" spans="2:7">
      <c r="B67" s="1256" t="s">
        <v>70</v>
      </c>
      <c r="C67" s="1257">
        <v>0.65</v>
      </c>
      <c r="D67" s="1258">
        <v>0.2</v>
      </c>
      <c r="E67" s="1258">
        <v>1</v>
      </c>
      <c r="F67" s="1256">
        <v>1409.85</v>
      </c>
      <c r="G67" s="1253">
        <f t="shared" ref="G67:G79" si="1">E67/5*D67</f>
        <v>0.04</v>
      </c>
    </row>
    <row r="68" spans="2:7">
      <c r="B68" s="1256" t="s">
        <v>71</v>
      </c>
      <c r="C68" s="1257">
        <v>0.75</v>
      </c>
      <c r="D68" s="1258">
        <v>0.2</v>
      </c>
      <c r="E68" s="1258">
        <v>2</v>
      </c>
      <c r="F68" s="1256">
        <v>2726.85</v>
      </c>
      <c r="G68" s="1253">
        <f t="shared" si="1"/>
        <v>0.08</v>
      </c>
    </row>
    <row r="69" spans="2:7">
      <c r="B69" s="1256" t="s">
        <v>72</v>
      </c>
      <c r="C69" s="1257">
        <v>0.6</v>
      </c>
      <c r="D69" s="1258">
        <v>0.2</v>
      </c>
      <c r="E69" s="1258">
        <v>1</v>
      </c>
      <c r="F69" s="1256">
        <v>1409.85</v>
      </c>
      <c r="G69" s="1253">
        <f t="shared" si="1"/>
        <v>0.04</v>
      </c>
    </row>
    <row r="70" spans="2:7">
      <c r="B70" s="1256" t="s">
        <v>73</v>
      </c>
      <c r="C70" s="1257">
        <v>0.65</v>
      </c>
      <c r="D70" s="1258">
        <v>0.2</v>
      </c>
      <c r="E70" s="1258">
        <v>2</v>
      </c>
      <c r="F70" s="1256">
        <v>125</v>
      </c>
      <c r="G70" s="1253">
        <f t="shared" si="1"/>
        <v>0.08</v>
      </c>
    </row>
    <row r="71" spans="2:7">
      <c r="B71" s="1256" t="s">
        <v>74</v>
      </c>
      <c r="C71" s="1257">
        <v>0.65</v>
      </c>
      <c r="D71" s="1258">
        <v>0.2</v>
      </c>
      <c r="E71" s="1258">
        <v>2</v>
      </c>
      <c r="F71" s="1256">
        <v>125</v>
      </c>
      <c r="G71" s="1253">
        <f t="shared" si="1"/>
        <v>0.08</v>
      </c>
    </row>
    <row r="72" spans="2:7">
      <c r="B72" s="1256" t="s">
        <v>75</v>
      </c>
      <c r="C72" s="1257">
        <v>0.3</v>
      </c>
      <c r="D72" s="1258">
        <v>0.15</v>
      </c>
      <c r="E72" s="1258">
        <v>2</v>
      </c>
      <c r="F72" s="1256">
        <v>1063.9</v>
      </c>
      <c r="G72" s="1253">
        <f t="shared" si="1"/>
        <v>0.06</v>
      </c>
    </row>
    <row r="73" spans="2:7">
      <c r="B73" s="1256" t="s">
        <v>76</v>
      </c>
      <c r="C73" s="1257">
        <v>0.35</v>
      </c>
      <c r="D73" s="1258">
        <v>0.15</v>
      </c>
      <c r="E73" s="1258">
        <v>2</v>
      </c>
      <c r="F73" s="1256">
        <v>1063.9</v>
      </c>
      <c r="G73" s="1253">
        <f t="shared" si="1"/>
        <v>0.06</v>
      </c>
    </row>
    <row r="74" spans="2:7">
      <c r="B74" s="1256" t="s">
        <v>77</v>
      </c>
      <c r="C74" s="1257">
        <v>0.75</v>
      </c>
      <c r="D74" s="1258">
        <v>0.15</v>
      </c>
      <c r="E74" s="1258">
        <v>2</v>
      </c>
      <c r="F74" s="1256">
        <v>243.85</v>
      </c>
      <c r="G74" s="1253">
        <f t="shared" si="1"/>
        <v>0.06</v>
      </c>
    </row>
    <row r="75" spans="2:7">
      <c r="B75" s="1256" t="s">
        <v>78</v>
      </c>
      <c r="C75" s="1257">
        <v>0.35</v>
      </c>
      <c r="D75" s="1258">
        <v>0.134</v>
      </c>
      <c r="E75" s="1258">
        <v>60</v>
      </c>
      <c r="F75" s="1256">
        <v>3421.85</v>
      </c>
      <c r="G75" s="1253">
        <f t="shared" si="1"/>
        <v>1.608</v>
      </c>
    </row>
    <row r="76" spans="2:7">
      <c r="B76" s="1256" t="s">
        <v>79</v>
      </c>
      <c r="C76" s="1257">
        <v>0.65</v>
      </c>
      <c r="D76" s="1258">
        <v>0.134</v>
      </c>
      <c r="E76" s="1258">
        <v>15</v>
      </c>
      <c r="F76" s="1256">
        <v>2926.85</v>
      </c>
      <c r="G76" s="1253">
        <f t="shared" si="1"/>
        <v>0.402</v>
      </c>
    </row>
    <row r="77" spans="2:7">
      <c r="B77" s="1256" t="s">
        <v>80</v>
      </c>
      <c r="C77" s="1257">
        <v>0.35</v>
      </c>
      <c r="D77" s="1258">
        <v>0.129</v>
      </c>
      <c r="E77" s="1258">
        <v>60</v>
      </c>
      <c r="F77" s="1256">
        <v>1063.85</v>
      </c>
      <c r="G77" s="1253">
        <f t="shared" si="1"/>
        <v>1.548</v>
      </c>
    </row>
    <row r="78" spans="2:7">
      <c r="B78" s="1256" t="s">
        <v>81</v>
      </c>
      <c r="C78" s="1257">
        <v>0.85</v>
      </c>
      <c r="D78" s="1258">
        <v>0.128</v>
      </c>
      <c r="E78" s="1258">
        <v>35</v>
      </c>
      <c r="F78" s="1256">
        <v>327.5</v>
      </c>
      <c r="G78" s="1253">
        <f t="shared" si="1"/>
        <v>0.896</v>
      </c>
    </row>
    <row r="79" spans="2:7">
      <c r="B79" s="1256" t="s">
        <v>82</v>
      </c>
      <c r="C79" s="1257">
        <v>0.9</v>
      </c>
      <c r="D79" s="1256">
        <v>0</v>
      </c>
      <c r="E79" s="1256">
        <v>0</v>
      </c>
      <c r="F79" s="1260">
        <v>9726.85</v>
      </c>
      <c r="G79" s="1253">
        <f t="shared" si="1"/>
        <v>0</v>
      </c>
    </row>
    <row r="80" spans="2:5">
      <c r="B80" s="1255"/>
      <c r="D80" s="3"/>
      <c r="E80" s="3"/>
    </row>
  </sheetData>
  <sortState ref="B2:F80">
    <sortCondition ref="D2:D80" descending="1"/>
  </sortState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 tint="0.4"/>
  </sheetPr>
  <dimension ref="B2:W51"/>
  <sheetViews>
    <sheetView tabSelected="1" workbookViewId="0">
      <pane ySplit="2" topLeftCell="A3" activePane="bottomLeft" state="frozen"/>
      <selection/>
      <selection pane="bottomLeft" activeCell="L5" sqref="L5"/>
    </sheetView>
  </sheetViews>
  <sheetFormatPr defaultColWidth="9" defaultRowHeight="14"/>
  <cols>
    <col min="1" max="1" width="4.21666666666667" style="324" customWidth="1"/>
    <col min="2" max="2" width="15.5" style="324" customWidth="1"/>
    <col min="3" max="3" width="14.5583333333333" style="324" customWidth="1"/>
    <col min="4" max="7" width="7.25" style="324" customWidth="1"/>
    <col min="8" max="8" width="12.75" style="324" customWidth="1"/>
    <col min="9" max="9" width="7" style="324" customWidth="1"/>
    <col min="10" max="10" width="7.75" style="324" customWidth="1"/>
    <col min="11" max="11" width="9.58333333333333" style="324" customWidth="1"/>
    <col min="12" max="12" width="8.5" style="324" customWidth="1"/>
    <col min="13" max="13" width="8.66666666666667" style="324" customWidth="1"/>
    <col min="14" max="14" width="8.75" style="324" customWidth="1"/>
    <col min="15" max="15" width="17.1666666666667" style="324" customWidth="1"/>
    <col min="16" max="16" width="11.0833333333333" style="324" customWidth="1"/>
    <col min="17" max="17" width="7.775" style="324" customWidth="1"/>
    <col min="18" max="18" width="8.88333333333333" style="324"/>
    <col min="19" max="19" width="9" style="573"/>
    <col min="20" max="20" width="15.1083333333333" style="573" customWidth="1"/>
    <col min="21" max="21" width="13.3333333333333" style="324" customWidth="1"/>
    <col min="22" max="22" width="7.21666666666667" style="573" customWidth="1"/>
    <col min="23" max="23" width="5.55833333333333" style="573" customWidth="1"/>
    <col min="24" max="16384" width="8.88333333333333" style="324"/>
  </cols>
  <sheetData>
    <row r="2" ht="14.75" spans="2:23">
      <c r="B2" s="574" t="s">
        <v>487</v>
      </c>
      <c r="C2" s="575" t="s">
        <v>488</v>
      </c>
      <c r="D2" s="576" t="s">
        <v>573</v>
      </c>
      <c r="E2" s="576" t="s">
        <v>477</v>
      </c>
      <c r="F2" s="576" t="s">
        <v>478</v>
      </c>
      <c r="G2" s="576" t="s">
        <v>479</v>
      </c>
      <c r="H2" s="577" t="s">
        <v>574</v>
      </c>
      <c r="I2" s="577" t="s">
        <v>187</v>
      </c>
      <c r="J2" s="604" t="s">
        <v>187</v>
      </c>
      <c r="K2" s="605" t="s">
        <v>491</v>
      </c>
      <c r="L2" s="574" t="s">
        <v>480</v>
      </c>
      <c r="M2" s="574" t="s">
        <v>490</v>
      </c>
      <c r="N2" s="574"/>
      <c r="O2" s="574"/>
      <c r="P2" s="574"/>
      <c r="Q2" s="574"/>
      <c r="S2" s="575"/>
      <c r="T2" s="626"/>
      <c r="U2" s="604" t="s">
        <v>489</v>
      </c>
      <c r="V2" s="605" t="s">
        <v>491</v>
      </c>
      <c r="W2" s="574" t="s">
        <v>480</v>
      </c>
    </row>
    <row r="3" ht="14.75" spans="2:23">
      <c r="B3" s="578" t="s">
        <v>510</v>
      </c>
      <c r="C3" s="579" t="s">
        <v>517</v>
      </c>
      <c r="D3" s="580"/>
      <c r="E3" s="580"/>
      <c r="F3" s="580"/>
      <c r="G3" s="580"/>
      <c r="H3" s="581">
        <f t="shared" ref="H3:H25" si="0">(J3-M3)/M3</f>
        <v>2799</v>
      </c>
      <c r="I3" s="580">
        <f t="shared" ref="I3:I25" si="1">J3-M3</f>
        <v>2799</v>
      </c>
      <c r="J3" s="581">
        <v>2800</v>
      </c>
      <c r="K3" s="606">
        <v>4</v>
      </c>
      <c r="L3" s="580">
        <v>2</v>
      </c>
      <c r="M3" s="580">
        <v>1</v>
      </c>
      <c r="N3" s="580" t="s">
        <v>564</v>
      </c>
      <c r="O3" s="580"/>
      <c r="P3" s="580"/>
      <c r="Q3" s="580"/>
      <c r="S3" s="627" t="s">
        <v>513</v>
      </c>
      <c r="T3" s="628" t="s">
        <v>519</v>
      </c>
      <c r="U3" s="629">
        <v>1600</v>
      </c>
      <c r="V3" s="628">
        <v>8</v>
      </c>
      <c r="W3" s="629">
        <v>0</v>
      </c>
    </row>
    <row r="4" spans="2:23">
      <c r="B4" s="582" t="s">
        <v>543</v>
      </c>
      <c r="C4" s="583" t="s">
        <v>557</v>
      </c>
      <c r="D4" s="583"/>
      <c r="E4" s="583"/>
      <c r="F4" s="583"/>
      <c r="G4" s="583"/>
      <c r="H4" s="579">
        <f t="shared" si="0"/>
        <v>999</v>
      </c>
      <c r="I4" s="580">
        <f t="shared" si="1"/>
        <v>3996</v>
      </c>
      <c r="J4" s="583">
        <v>4000</v>
      </c>
      <c r="K4" s="592">
        <v>16</v>
      </c>
      <c r="L4" s="583">
        <v>4</v>
      </c>
      <c r="M4" s="583">
        <v>4</v>
      </c>
      <c r="N4" s="583" t="s">
        <v>552</v>
      </c>
      <c r="O4" s="583"/>
      <c r="P4" s="583" t="s">
        <v>559</v>
      </c>
      <c r="Q4" s="583"/>
      <c r="S4" s="630" t="s">
        <v>551</v>
      </c>
      <c r="T4" s="631" t="s">
        <v>560</v>
      </c>
      <c r="U4" s="632" t="s">
        <v>180</v>
      </c>
      <c r="V4" s="631">
        <v>4</v>
      </c>
      <c r="W4" s="633">
        <v>0</v>
      </c>
    </row>
    <row r="5" ht="28" spans="2:23">
      <c r="B5" s="584" t="s">
        <v>492</v>
      </c>
      <c r="C5" s="585" t="s">
        <v>503</v>
      </c>
      <c r="D5" s="583"/>
      <c r="E5" s="583"/>
      <c r="F5" s="583"/>
      <c r="G5" s="583"/>
      <c r="H5" s="579">
        <f t="shared" si="0"/>
        <v>599</v>
      </c>
      <c r="I5" s="580">
        <f t="shared" si="1"/>
        <v>3594</v>
      </c>
      <c r="J5" s="583">
        <v>3600</v>
      </c>
      <c r="K5" s="594">
        <v>4</v>
      </c>
      <c r="L5" s="583">
        <v>2</v>
      </c>
      <c r="M5" s="583">
        <v>6</v>
      </c>
      <c r="N5" s="583" t="s">
        <v>552</v>
      </c>
      <c r="O5" s="583"/>
      <c r="P5" s="607" t="s">
        <v>501</v>
      </c>
      <c r="Q5" s="634"/>
      <c r="S5" s="635" t="s">
        <v>496</v>
      </c>
      <c r="T5" s="631" t="s">
        <v>505</v>
      </c>
      <c r="U5" s="631">
        <v>6400</v>
      </c>
      <c r="V5" s="631" t="s">
        <v>498</v>
      </c>
      <c r="W5" s="633">
        <v>-1</v>
      </c>
    </row>
    <row r="6" ht="28.75" spans="2:23">
      <c r="B6" s="586" t="s">
        <v>492</v>
      </c>
      <c r="C6" s="587" t="s">
        <v>493</v>
      </c>
      <c r="D6" s="588"/>
      <c r="E6" s="588"/>
      <c r="F6" s="588"/>
      <c r="G6" s="588"/>
      <c r="H6" s="579">
        <f t="shared" si="0"/>
        <v>9.66666666666667</v>
      </c>
      <c r="I6" s="580">
        <f t="shared" si="1"/>
        <v>725</v>
      </c>
      <c r="J6" s="588">
        <v>800</v>
      </c>
      <c r="K6" s="608">
        <v>8</v>
      </c>
      <c r="L6" s="588">
        <v>-1</v>
      </c>
      <c r="M6" s="588">
        <v>75</v>
      </c>
      <c r="N6" s="588" t="s">
        <v>22</v>
      </c>
      <c r="O6" s="588"/>
      <c r="P6" s="609" t="s">
        <v>495</v>
      </c>
      <c r="Q6" s="621"/>
      <c r="S6" s="635" t="s">
        <v>496</v>
      </c>
      <c r="T6" s="631" t="s">
        <v>497</v>
      </c>
      <c r="U6" s="631">
        <v>800</v>
      </c>
      <c r="V6" s="631" t="s">
        <v>498</v>
      </c>
      <c r="W6" s="633">
        <v>-1</v>
      </c>
    </row>
    <row r="7" ht="28.75" spans="2:23">
      <c r="B7" s="589" t="s">
        <v>510</v>
      </c>
      <c r="C7" s="590" t="s">
        <v>537</v>
      </c>
      <c r="D7" s="591"/>
      <c r="E7" s="591"/>
      <c r="F7" s="591"/>
      <c r="G7" s="591"/>
      <c r="H7" s="592">
        <f t="shared" si="0"/>
        <v>0.6</v>
      </c>
      <c r="I7" s="580">
        <f t="shared" si="1"/>
        <v>600</v>
      </c>
      <c r="J7" s="610">
        <v>1600</v>
      </c>
      <c r="K7" s="591">
        <v>4</v>
      </c>
      <c r="L7" s="611">
        <v>3</v>
      </c>
      <c r="M7" s="580">
        <v>1000</v>
      </c>
      <c r="N7" s="580" t="s">
        <v>575</v>
      </c>
      <c r="O7" s="580"/>
      <c r="P7" s="580"/>
      <c r="Q7" s="580"/>
      <c r="S7" s="635" t="s">
        <v>535</v>
      </c>
      <c r="T7" s="631" t="s">
        <v>539</v>
      </c>
      <c r="U7" s="631">
        <v>800</v>
      </c>
      <c r="V7" s="636">
        <v>8</v>
      </c>
      <c r="W7" s="632">
        <v>0</v>
      </c>
    </row>
    <row r="8" spans="2:23">
      <c r="B8" s="593" t="s">
        <v>510</v>
      </c>
      <c r="C8" s="585" t="s">
        <v>528</v>
      </c>
      <c r="D8" s="594"/>
      <c r="E8" s="594"/>
      <c r="F8" s="594"/>
      <c r="G8" s="594"/>
      <c r="H8" s="592">
        <f t="shared" si="0"/>
        <v>0.5</v>
      </c>
      <c r="I8" s="580">
        <f t="shared" si="1"/>
        <v>400</v>
      </c>
      <c r="J8" s="612">
        <v>1200</v>
      </c>
      <c r="K8" s="594">
        <v>8</v>
      </c>
      <c r="L8" s="583">
        <v>1</v>
      </c>
      <c r="M8" s="583">
        <v>800</v>
      </c>
      <c r="N8" s="583" t="s">
        <v>539</v>
      </c>
      <c r="O8" s="583"/>
      <c r="P8" s="583"/>
      <c r="Q8" s="583"/>
      <c r="S8" s="630" t="s">
        <v>523</v>
      </c>
      <c r="T8" s="631" t="s">
        <v>529</v>
      </c>
      <c r="U8" s="631">
        <v>1000</v>
      </c>
      <c r="V8" s="633">
        <v>4</v>
      </c>
      <c r="W8" s="636">
        <v>2</v>
      </c>
    </row>
    <row r="9" ht="28" spans="2:23">
      <c r="B9" s="595" t="s">
        <v>492</v>
      </c>
      <c r="C9" s="585" t="s">
        <v>499</v>
      </c>
      <c r="D9" s="596"/>
      <c r="E9" s="596"/>
      <c r="F9" s="596"/>
      <c r="G9" s="596"/>
      <c r="H9" s="592">
        <f t="shared" si="0"/>
        <v>0.416666666666667</v>
      </c>
      <c r="I9" s="580">
        <f t="shared" si="1"/>
        <v>500</v>
      </c>
      <c r="J9" s="613">
        <v>1700</v>
      </c>
      <c r="K9" s="594">
        <v>8</v>
      </c>
      <c r="L9" s="583">
        <v>0</v>
      </c>
      <c r="M9" s="583">
        <v>1200</v>
      </c>
      <c r="N9" s="583" t="s">
        <v>219</v>
      </c>
      <c r="O9" s="583"/>
      <c r="P9" s="607" t="s">
        <v>501</v>
      </c>
      <c r="Q9" s="634"/>
      <c r="S9" s="635" t="s">
        <v>496</v>
      </c>
      <c r="T9" s="631" t="s">
        <v>502</v>
      </c>
      <c r="U9" s="631">
        <v>800</v>
      </c>
      <c r="V9" s="632" t="s">
        <v>498</v>
      </c>
      <c r="W9" s="633">
        <v>-1</v>
      </c>
    </row>
    <row r="10" spans="2:23">
      <c r="B10" s="593" t="s">
        <v>510</v>
      </c>
      <c r="C10" s="585" t="s">
        <v>511</v>
      </c>
      <c r="D10" s="580"/>
      <c r="E10" s="580"/>
      <c r="F10" s="580"/>
      <c r="G10" s="580"/>
      <c r="H10" s="580">
        <f t="shared" si="0"/>
        <v>0.3125</v>
      </c>
      <c r="I10" s="580">
        <f t="shared" si="1"/>
        <v>250</v>
      </c>
      <c r="J10" s="580">
        <v>1050</v>
      </c>
      <c r="K10" s="614">
        <v>8</v>
      </c>
      <c r="L10" s="583">
        <v>0</v>
      </c>
      <c r="M10" s="583">
        <v>800</v>
      </c>
      <c r="N10" s="583" t="s">
        <v>493</v>
      </c>
      <c r="O10" s="583"/>
      <c r="P10" s="583"/>
      <c r="Q10" s="583"/>
      <c r="S10" s="630" t="s">
        <v>513</v>
      </c>
      <c r="T10" s="631" t="s">
        <v>219</v>
      </c>
      <c r="U10" s="631">
        <v>600</v>
      </c>
      <c r="V10" s="631">
        <v>8</v>
      </c>
      <c r="W10" s="632">
        <v>-1</v>
      </c>
    </row>
    <row r="11" spans="2:23">
      <c r="B11" s="593" t="s">
        <v>510</v>
      </c>
      <c r="C11" s="585" t="s">
        <v>522</v>
      </c>
      <c r="D11" s="594"/>
      <c r="E11" s="594"/>
      <c r="F11" s="594"/>
      <c r="G11" s="594"/>
      <c r="H11" s="580">
        <f t="shared" si="0"/>
        <v>0.25</v>
      </c>
      <c r="I11" s="580">
        <f t="shared" si="1"/>
        <v>400</v>
      </c>
      <c r="J11" s="594">
        <v>2000</v>
      </c>
      <c r="K11" s="615">
        <v>8</v>
      </c>
      <c r="L11" s="583">
        <v>1</v>
      </c>
      <c r="M11" s="583">
        <v>1600</v>
      </c>
      <c r="N11" s="583" t="s">
        <v>519</v>
      </c>
      <c r="O11" s="583"/>
      <c r="P11" s="583"/>
      <c r="Q11" s="583"/>
      <c r="S11" s="637" t="s">
        <v>523</v>
      </c>
      <c r="T11" s="631" t="s">
        <v>524</v>
      </c>
      <c r="U11" s="631">
        <v>1600</v>
      </c>
      <c r="V11" s="636">
        <v>8</v>
      </c>
      <c r="W11" s="631">
        <v>-1</v>
      </c>
    </row>
    <row r="12" ht="28" spans="2:23">
      <c r="B12" s="593" t="s">
        <v>510</v>
      </c>
      <c r="C12" s="585" t="s">
        <v>540</v>
      </c>
      <c r="D12" s="594"/>
      <c r="E12" s="594"/>
      <c r="F12" s="594"/>
      <c r="G12" s="594"/>
      <c r="H12" s="580">
        <f t="shared" si="0"/>
        <v>0.25</v>
      </c>
      <c r="I12" s="580">
        <f t="shared" si="1"/>
        <v>800</v>
      </c>
      <c r="J12" s="594">
        <v>4000</v>
      </c>
      <c r="K12" s="616">
        <v>4</v>
      </c>
      <c r="L12" s="583">
        <v>3</v>
      </c>
      <c r="M12" s="583">
        <v>3200</v>
      </c>
      <c r="N12" s="583" t="s">
        <v>524</v>
      </c>
      <c r="O12" s="583"/>
      <c r="P12" s="583"/>
      <c r="Q12" s="583"/>
      <c r="S12" s="638" t="s">
        <v>535</v>
      </c>
      <c r="T12" s="631" t="s">
        <v>542</v>
      </c>
      <c r="U12" s="636">
        <v>250</v>
      </c>
      <c r="V12" s="636">
        <v>4</v>
      </c>
      <c r="W12" s="636">
        <v>1</v>
      </c>
    </row>
    <row r="13" spans="2:23">
      <c r="B13" s="593" t="s">
        <v>510</v>
      </c>
      <c r="C13" s="585" t="s">
        <v>525</v>
      </c>
      <c r="D13" s="594"/>
      <c r="E13" s="594"/>
      <c r="F13" s="594"/>
      <c r="G13" s="594"/>
      <c r="H13" s="580">
        <f t="shared" si="0"/>
        <v>0.217391304347826</v>
      </c>
      <c r="I13" s="580">
        <f t="shared" si="1"/>
        <v>400</v>
      </c>
      <c r="J13" s="594">
        <v>2240</v>
      </c>
      <c r="K13" s="615">
        <v>8</v>
      </c>
      <c r="L13" s="583">
        <v>1</v>
      </c>
      <c r="M13" s="583">
        <v>1840</v>
      </c>
      <c r="N13" s="583" t="s">
        <v>536</v>
      </c>
      <c r="O13" s="583"/>
      <c r="P13" s="583"/>
      <c r="Q13" s="583"/>
      <c r="S13" s="639" t="s">
        <v>523</v>
      </c>
      <c r="T13" s="631" t="s">
        <v>527</v>
      </c>
      <c r="U13" s="632">
        <v>1000</v>
      </c>
      <c r="V13" s="632">
        <v>4</v>
      </c>
      <c r="W13" s="632">
        <v>2</v>
      </c>
    </row>
    <row r="14" ht="28" spans="2:23">
      <c r="B14" s="593" t="s">
        <v>510</v>
      </c>
      <c r="C14" s="585" t="s">
        <v>533</v>
      </c>
      <c r="D14" s="594"/>
      <c r="E14" s="594"/>
      <c r="F14" s="594"/>
      <c r="G14" s="594"/>
      <c r="H14" s="580">
        <f t="shared" si="0"/>
        <v>0.2</v>
      </c>
      <c r="I14" s="580">
        <f t="shared" si="1"/>
        <v>400</v>
      </c>
      <c r="J14" s="594">
        <v>2400</v>
      </c>
      <c r="K14" s="617">
        <v>32</v>
      </c>
      <c r="L14" s="583">
        <v>3</v>
      </c>
      <c r="M14" s="583">
        <v>2000</v>
      </c>
      <c r="N14" s="583" t="s">
        <v>542</v>
      </c>
      <c r="O14" s="583"/>
      <c r="P14" s="583" t="s">
        <v>534</v>
      </c>
      <c r="Q14" s="583"/>
      <c r="S14" s="640" t="s">
        <v>535</v>
      </c>
      <c r="T14" s="631" t="s">
        <v>536</v>
      </c>
      <c r="U14" s="641">
        <v>1840</v>
      </c>
      <c r="V14" s="642">
        <v>4</v>
      </c>
      <c r="W14" s="643">
        <v>0</v>
      </c>
    </row>
    <row r="15" spans="2:23">
      <c r="B15" s="593" t="s">
        <v>510</v>
      </c>
      <c r="C15" s="585" t="s">
        <v>520</v>
      </c>
      <c r="D15" s="583"/>
      <c r="E15" s="583"/>
      <c r="F15" s="583"/>
      <c r="G15" s="583"/>
      <c r="H15" s="580">
        <f t="shared" si="0"/>
        <v>0.166666666666667</v>
      </c>
      <c r="I15" s="580">
        <f t="shared" si="1"/>
        <v>400</v>
      </c>
      <c r="J15" s="583">
        <v>2800</v>
      </c>
      <c r="K15" s="594">
        <v>8</v>
      </c>
      <c r="L15" s="596">
        <v>1</v>
      </c>
      <c r="M15" s="583">
        <v>2400</v>
      </c>
      <c r="N15" s="583" t="s">
        <v>516</v>
      </c>
      <c r="O15" s="583"/>
      <c r="P15" s="583"/>
      <c r="Q15" s="583"/>
      <c r="S15" s="630" t="s">
        <v>513</v>
      </c>
      <c r="T15" s="631" t="s">
        <v>521</v>
      </c>
      <c r="U15" s="631">
        <v>400</v>
      </c>
      <c r="V15" s="631">
        <v>4</v>
      </c>
      <c r="W15" s="636">
        <v>0</v>
      </c>
    </row>
    <row r="16" spans="2:23">
      <c r="B16" s="597" t="s">
        <v>543</v>
      </c>
      <c r="C16" s="596" t="s">
        <v>565</v>
      </c>
      <c r="D16" s="596"/>
      <c r="E16" s="596"/>
      <c r="F16" s="596"/>
      <c r="G16" s="596"/>
      <c r="H16" s="580">
        <f t="shared" si="0"/>
        <v>0.111111111111111</v>
      </c>
      <c r="I16" s="580">
        <f t="shared" si="1"/>
        <v>400</v>
      </c>
      <c r="J16" s="596">
        <v>4000</v>
      </c>
      <c r="K16" s="618">
        <v>4</v>
      </c>
      <c r="L16" s="602">
        <v>5</v>
      </c>
      <c r="M16" s="583">
        <v>3600</v>
      </c>
      <c r="N16" s="583" t="s">
        <v>503</v>
      </c>
      <c r="O16" s="583"/>
      <c r="P16" s="583"/>
      <c r="Q16" s="583"/>
      <c r="S16" s="644"/>
      <c r="T16" s="644"/>
      <c r="U16" s="623"/>
      <c r="V16" s="645"/>
      <c r="W16" s="645"/>
    </row>
    <row r="17" ht="28.75" spans="2:23">
      <c r="B17" s="598" t="s">
        <v>492</v>
      </c>
      <c r="C17" s="599" t="s">
        <v>506</v>
      </c>
      <c r="D17" s="600"/>
      <c r="E17" s="600"/>
      <c r="F17" s="600"/>
      <c r="G17" s="600"/>
      <c r="H17" s="580">
        <f t="shared" si="0"/>
        <v>0.111111111111111</v>
      </c>
      <c r="I17" s="580">
        <f t="shared" si="1"/>
        <v>400</v>
      </c>
      <c r="J17" s="608">
        <v>4000</v>
      </c>
      <c r="K17" s="619" t="s">
        <v>498</v>
      </c>
      <c r="L17" s="620">
        <v>3</v>
      </c>
      <c r="M17" s="588">
        <v>3600</v>
      </c>
      <c r="N17" s="588" t="s">
        <v>556</v>
      </c>
      <c r="O17" s="588"/>
      <c r="P17" s="621" t="s">
        <v>508</v>
      </c>
      <c r="Q17" s="621"/>
      <c r="S17" s="635" t="s">
        <v>496</v>
      </c>
      <c r="T17" s="631" t="s">
        <v>509</v>
      </c>
      <c r="U17" s="631">
        <v>2400</v>
      </c>
      <c r="V17" s="636" t="s">
        <v>498</v>
      </c>
      <c r="W17" s="636">
        <v>-1</v>
      </c>
    </row>
    <row r="18" ht="28.75" spans="2:23">
      <c r="B18" s="601" t="s">
        <v>543</v>
      </c>
      <c r="C18" s="580" t="s">
        <v>544</v>
      </c>
      <c r="D18" s="580"/>
      <c r="E18" s="580"/>
      <c r="F18" s="580"/>
      <c r="G18" s="580"/>
      <c r="H18" s="580">
        <f t="shared" si="0"/>
        <v>0.1</v>
      </c>
      <c r="I18" s="580">
        <f t="shared" si="1"/>
        <v>400</v>
      </c>
      <c r="J18" s="580">
        <v>4400</v>
      </c>
      <c r="K18" s="622">
        <v>4</v>
      </c>
      <c r="L18" s="606">
        <v>4</v>
      </c>
      <c r="M18" s="580">
        <v>4000</v>
      </c>
      <c r="N18" s="580" t="s">
        <v>522</v>
      </c>
      <c r="O18" s="580"/>
      <c r="P18" s="580" t="s">
        <v>546</v>
      </c>
      <c r="Q18" s="580"/>
      <c r="S18" s="635" t="s">
        <v>535</v>
      </c>
      <c r="T18" s="631" t="s">
        <v>547</v>
      </c>
      <c r="U18" s="631">
        <v>1200</v>
      </c>
      <c r="V18" s="632">
        <v>4</v>
      </c>
      <c r="W18" s="632">
        <v>1</v>
      </c>
    </row>
    <row r="19" spans="2:23">
      <c r="B19" s="597" t="s">
        <v>543</v>
      </c>
      <c r="C19" s="583" t="s">
        <v>548</v>
      </c>
      <c r="D19" s="583"/>
      <c r="E19" s="583"/>
      <c r="F19" s="583"/>
      <c r="G19" s="583"/>
      <c r="H19" s="580">
        <f t="shared" si="0"/>
        <v>0.0909090909090909</v>
      </c>
      <c r="I19" s="580">
        <f t="shared" si="1"/>
        <v>400</v>
      </c>
      <c r="J19" s="583">
        <v>4800</v>
      </c>
      <c r="K19" s="602">
        <v>4</v>
      </c>
      <c r="L19" s="602">
        <v>4</v>
      </c>
      <c r="M19" s="583">
        <v>4400</v>
      </c>
      <c r="N19" s="583" t="s">
        <v>520</v>
      </c>
      <c r="O19" s="583"/>
      <c r="P19" s="583" t="s">
        <v>550</v>
      </c>
      <c r="Q19" s="583"/>
      <c r="S19" s="630" t="s">
        <v>551</v>
      </c>
      <c r="T19" s="631" t="s">
        <v>552</v>
      </c>
      <c r="U19" s="636" t="s">
        <v>180</v>
      </c>
      <c r="V19" s="631">
        <v>8</v>
      </c>
      <c r="W19" s="631">
        <v>3</v>
      </c>
    </row>
    <row r="20" spans="2:23">
      <c r="B20" s="597" t="s">
        <v>543</v>
      </c>
      <c r="C20" s="583" t="s">
        <v>570</v>
      </c>
      <c r="D20" s="583"/>
      <c r="E20" s="583"/>
      <c r="F20" s="583"/>
      <c r="G20" s="583"/>
      <c r="H20" s="580">
        <f t="shared" si="0"/>
        <v>0.0714285714285714</v>
      </c>
      <c r="I20" s="580">
        <f t="shared" si="1"/>
        <v>400</v>
      </c>
      <c r="J20" s="583">
        <v>6000</v>
      </c>
      <c r="K20" s="602">
        <v>4</v>
      </c>
      <c r="L20" s="602">
        <v>6</v>
      </c>
      <c r="M20" s="583">
        <v>5600</v>
      </c>
      <c r="N20" s="583" t="s">
        <v>540</v>
      </c>
      <c r="O20" s="623"/>
      <c r="P20" s="583" t="s">
        <v>571</v>
      </c>
      <c r="Q20" s="583" t="s">
        <v>572</v>
      </c>
      <c r="S20" s="644"/>
      <c r="T20" s="644"/>
      <c r="U20" s="646"/>
      <c r="V20" s="644"/>
      <c r="W20" s="647"/>
    </row>
    <row r="21" spans="2:23">
      <c r="B21" s="597" t="s">
        <v>543</v>
      </c>
      <c r="C21" s="596" t="s">
        <v>553</v>
      </c>
      <c r="D21" s="596"/>
      <c r="E21" s="596"/>
      <c r="F21" s="596"/>
      <c r="G21" s="596"/>
      <c r="H21" s="580">
        <f t="shared" si="0"/>
        <v>0.0714285714285714</v>
      </c>
      <c r="I21" s="580">
        <f t="shared" si="1"/>
        <v>400</v>
      </c>
      <c r="J21" s="596">
        <v>6000</v>
      </c>
      <c r="K21" s="583">
        <v>4</v>
      </c>
      <c r="L21" s="580">
        <v>4</v>
      </c>
      <c r="M21" s="624">
        <v>5600</v>
      </c>
      <c r="N21" s="625" t="s">
        <v>540</v>
      </c>
      <c r="O21" s="594"/>
      <c r="P21" s="624" t="s">
        <v>555</v>
      </c>
      <c r="Q21" s="625"/>
      <c r="S21" s="630" t="s">
        <v>551</v>
      </c>
      <c r="T21" s="631" t="s">
        <v>556</v>
      </c>
      <c r="U21" s="633" t="s">
        <v>180</v>
      </c>
      <c r="V21" s="631">
        <v>16</v>
      </c>
      <c r="W21" s="632">
        <v>0</v>
      </c>
    </row>
    <row r="22" spans="2:23">
      <c r="B22" s="597" t="s">
        <v>543</v>
      </c>
      <c r="C22" s="583" t="s">
        <v>567</v>
      </c>
      <c r="D22" s="602"/>
      <c r="E22" s="602"/>
      <c r="F22" s="602"/>
      <c r="G22" s="602"/>
      <c r="H22" s="580">
        <f t="shared" si="0"/>
        <v>0</v>
      </c>
      <c r="I22" s="580">
        <f t="shared" si="1"/>
        <v>0</v>
      </c>
      <c r="J22" s="602">
        <v>4200</v>
      </c>
      <c r="K22" s="583">
        <v>4</v>
      </c>
      <c r="L22" s="596">
        <v>5</v>
      </c>
      <c r="M22" s="583">
        <v>4200</v>
      </c>
      <c r="N22" s="583" t="s">
        <v>542</v>
      </c>
      <c r="O22" s="623"/>
      <c r="P22" s="583" t="s">
        <v>531</v>
      </c>
      <c r="Q22" s="583" t="s">
        <v>569</v>
      </c>
      <c r="S22" s="644"/>
      <c r="T22" s="644"/>
      <c r="U22" s="648"/>
      <c r="V22" s="644"/>
      <c r="W22" s="644"/>
    </row>
    <row r="23" spans="2:23">
      <c r="B23" s="593" t="s">
        <v>510</v>
      </c>
      <c r="C23" s="585" t="s">
        <v>530</v>
      </c>
      <c r="D23" s="580"/>
      <c r="E23" s="580"/>
      <c r="F23" s="580"/>
      <c r="G23" s="580"/>
      <c r="H23" s="580">
        <f t="shared" si="0"/>
        <v>0</v>
      </c>
      <c r="I23" s="580">
        <f t="shared" si="1"/>
        <v>0</v>
      </c>
      <c r="J23" s="580">
        <v>1200</v>
      </c>
      <c r="K23" s="602">
        <v>8</v>
      </c>
      <c r="L23" s="602">
        <v>2</v>
      </c>
      <c r="M23" s="583">
        <v>1200</v>
      </c>
      <c r="N23" s="583" t="s">
        <v>556</v>
      </c>
      <c r="O23" s="583"/>
      <c r="P23" s="583"/>
      <c r="Q23" s="583"/>
      <c r="S23" s="649" t="s">
        <v>523</v>
      </c>
      <c r="T23" s="650" t="s">
        <v>532</v>
      </c>
      <c r="U23" s="650" t="s">
        <v>180</v>
      </c>
      <c r="V23" s="650" t="s">
        <v>180</v>
      </c>
      <c r="W23" s="650" t="s">
        <v>180</v>
      </c>
    </row>
    <row r="24" spans="2:23">
      <c r="B24" s="593" t="s">
        <v>510</v>
      </c>
      <c r="C24" s="585" t="s">
        <v>514</v>
      </c>
      <c r="D24" s="583"/>
      <c r="E24" s="583"/>
      <c r="F24" s="583"/>
      <c r="G24" s="583"/>
      <c r="H24" s="580">
        <f t="shared" si="0"/>
        <v>0</v>
      </c>
      <c r="I24" s="580">
        <f t="shared" si="1"/>
        <v>0</v>
      </c>
      <c r="J24" s="583">
        <v>1800</v>
      </c>
      <c r="K24" s="619">
        <v>32</v>
      </c>
      <c r="L24" s="602">
        <v>-1</v>
      </c>
      <c r="M24" s="583">
        <v>1800</v>
      </c>
      <c r="N24" s="583" t="s">
        <v>219</v>
      </c>
      <c r="O24" s="618"/>
      <c r="P24" s="583"/>
      <c r="Q24" s="583"/>
      <c r="S24" s="649" t="s">
        <v>513</v>
      </c>
      <c r="T24" s="650" t="s">
        <v>516</v>
      </c>
      <c r="U24" s="650">
        <v>2400</v>
      </c>
      <c r="V24" s="650">
        <v>8</v>
      </c>
      <c r="W24" s="650">
        <v>0</v>
      </c>
    </row>
    <row r="25" spans="2:23">
      <c r="B25" s="603" t="s">
        <v>543</v>
      </c>
      <c r="C25" s="583" t="s">
        <v>561</v>
      </c>
      <c r="D25" s="583"/>
      <c r="E25" s="583"/>
      <c r="F25" s="583"/>
      <c r="G25" s="583"/>
      <c r="H25" s="580">
        <f t="shared" si="0"/>
        <v>-0.2</v>
      </c>
      <c r="I25" s="580">
        <f t="shared" si="1"/>
        <v>-1000</v>
      </c>
      <c r="J25" s="583">
        <v>4000</v>
      </c>
      <c r="K25" s="580">
        <v>8</v>
      </c>
      <c r="L25" s="583">
        <v>5</v>
      </c>
      <c r="M25" s="583">
        <v>5000</v>
      </c>
      <c r="N25" s="583" t="s">
        <v>556</v>
      </c>
      <c r="O25" s="618"/>
      <c r="P25" s="583" t="s">
        <v>563</v>
      </c>
      <c r="Q25" s="583"/>
      <c r="S25" s="649" t="s">
        <v>551</v>
      </c>
      <c r="T25" s="650" t="s">
        <v>564</v>
      </c>
      <c r="U25" s="650" t="s">
        <v>180</v>
      </c>
      <c r="V25" s="650">
        <v>8</v>
      </c>
      <c r="W25" s="650">
        <v>-1</v>
      </c>
    </row>
    <row r="26" spans="2:2">
      <c r="B26" s="573"/>
    </row>
    <row r="27" spans="18:23">
      <c r="R27" s="573"/>
      <c r="T27" s="324"/>
      <c r="U27" s="573"/>
      <c r="W27" s="324"/>
    </row>
    <row r="29" spans="18:23">
      <c r="R29" s="573"/>
      <c r="T29" s="324"/>
      <c r="U29" s="573"/>
      <c r="W29" s="324"/>
    </row>
    <row r="32" spans="18:23">
      <c r="R32" s="573"/>
      <c r="S32" s="324"/>
      <c r="T32" s="324"/>
      <c r="V32" s="324"/>
      <c r="W32" s="324"/>
    </row>
    <row r="33" spans="18:23">
      <c r="R33" s="573"/>
      <c r="S33" s="324"/>
      <c r="T33" s="324"/>
      <c r="V33" s="324"/>
      <c r="W33" s="324"/>
    </row>
    <row r="34" spans="18:23">
      <c r="R34" s="573"/>
      <c r="S34" s="324"/>
      <c r="T34" s="324"/>
      <c r="V34" s="324"/>
      <c r="W34" s="324"/>
    </row>
    <row r="35" spans="18:23">
      <c r="R35" s="573"/>
      <c r="S35" s="324"/>
      <c r="T35" s="324"/>
      <c r="V35" s="324"/>
      <c r="W35" s="324"/>
    </row>
    <row r="36" spans="18:23">
      <c r="R36" s="573"/>
      <c r="S36" s="324"/>
      <c r="T36" s="324"/>
      <c r="V36" s="324"/>
      <c r="W36" s="324"/>
    </row>
    <row r="37" spans="18:23">
      <c r="R37" s="573"/>
      <c r="S37" s="324"/>
      <c r="T37" s="324"/>
      <c r="V37" s="324"/>
      <c r="W37" s="324"/>
    </row>
    <row r="38" spans="18:23">
      <c r="R38" s="573"/>
      <c r="S38" s="324"/>
      <c r="T38" s="324"/>
      <c r="V38" s="324"/>
      <c r="W38" s="324"/>
    </row>
    <row r="39" spans="18:23">
      <c r="R39" s="573"/>
      <c r="S39" s="324"/>
      <c r="T39" s="324"/>
      <c r="V39" s="324"/>
      <c r="W39" s="324"/>
    </row>
    <row r="40" spans="18:23">
      <c r="R40" s="573"/>
      <c r="S40" s="324"/>
      <c r="T40" s="324"/>
      <c r="V40" s="324"/>
      <c r="W40" s="324"/>
    </row>
    <row r="41" spans="18:23">
      <c r="R41" s="573"/>
      <c r="S41" s="324"/>
      <c r="T41" s="324"/>
      <c r="V41" s="324"/>
      <c r="W41" s="324"/>
    </row>
    <row r="42" spans="18:23">
      <c r="R42" s="573"/>
      <c r="S42" s="324"/>
      <c r="T42" s="324"/>
      <c r="V42" s="324"/>
      <c r="W42" s="324"/>
    </row>
    <row r="43" spans="18:23">
      <c r="R43" s="573"/>
      <c r="S43" s="324"/>
      <c r="T43" s="324"/>
      <c r="V43" s="324"/>
      <c r="W43" s="324"/>
    </row>
    <row r="44" spans="18:23">
      <c r="R44" s="573"/>
      <c r="S44" s="324"/>
      <c r="T44" s="324"/>
      <c r="V44" s="324"/>
      <c r="W44" s="324"/>
    </row>
    <row r="45" spans="18:23">
      <c r="R45" s="573"/>
      <c r="S45" s="324"/>
      <c r="T45" s="324"/>
      <c r="V45" s="324"/>
      <c r="W45" s="324"/>
    </row>
    <row r="46" spans="18:23">
      <c r="R46" s="573"/>
      <c r="S46" s="324"/>
      <c r="T46" s="324"/>
      <c r="V46" s="324"/>
      <c r="W46" s="324"/>
    </row>
    <row r="47" spans="18:23">
      <c r="R47" s="573"/>
      <c r="S47" s="324"/>
      <c r="T47" s="324"/>
      <c r="V47" s="324"/>
      <c r="W47" s="324"/>
    </row>
    <row r="48" spans="18:23">
      <c r="R48" s="573"/>
      <c r="S48" s="324"/>
      <c r="T48" s="324"/>
      <c r="V48" s="324"/>
      <c r="W48" s="324"/>
    </row>
    <row r="49" spans="18:23">
      <c r="R49" s="573"/>
      <c r="S49" s="324"/>
      <c r="T49" s="324"/>
      <c r="V49" s="324"/>
      <c r="W49" s="324"/>
    </row>
    <row r="50" spans="18:23">
      <c r="R50" s="573"/>
      <c r="S50" s="324"/>
      <c r="T50" s="324"/>
      <c r="V50" s="324"/>
      <c r="W50" s="324"/>
    </row>
    <row r="51" spans="18:23">
      <c r="R51" s="573"/>
      <c r="S51" s="324"/>
      <c r="T51" s="324"/>
      <c r="V51" s="324"/>
      <c r="W51" s="324"/>
    </row>
  </sheetData>
  <autoFilter ref="B2:W51">
    <sortState ref="B2:W51">
      <sortCondition ref="H2" descending="1"/>
    </sortState>
    <extLst/>
  </autoFilter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K29"/>
  <sheetViews>
    <sheetView workbookViewId="0">
      <selection activeCell="J24" sqref="J24:J26"/>
    </sheetView>
  </sheetViews>
  <sheetFormatPr defaultColWidth="9" defaultRowHeight="14"/>
  <cols>
    <col min="1" max="1" width="3.55833333333333" style="3" customWidth="1"/>
    <col min="2" max="2" width="5.55833333333333" style="3" customWidth="1"/>
    <col min="3" max="3" width="12.4416666666667" style="3" customWidth="1"/>
    <col min="4" max="4" width="8.775" style="3" customWidth="1"/>
    <col min="5" max="5" width="8.55833333333333" style="3" customWidth="1"/>
    <col min="6" max="6" width="8.33333333333333" style="3" customWidth="1"/>
    <col min="7" max="7" width="7.55833333333333" style="3" customWidth="1"/>
    <col min="8" max="8" width="12.3333333333333" style="3" customWidth="1"/>
    <col min="9" max="9" width="11.775" style="3" customWidth="1"/>
    <col min="10" max="10" width="12.2166666666667" style="3" customWidth="1"/>
    <col min="11" max="11" width="9.10833333333333" style="511" customWidth="1"/>
    <col min="12" max="14" width="8.88333333333333" style="3"/>
    <col min="15" max="15" width="11.1083333333333" style="3" customWidth="1"/>
    <col min="16" max="16384" width="8.88333333333333" style="3"/>
  </cols>
  <sheetData>
    <row r="2" ht="28.8" customHeight="1" spans="2:10">
      <c r="B2" s="512" t="s">
        <v>576</v>
      </c>
      <c r="C2" s="513"/>
      <c r="D2" s="514" t="s">
        <v>577</v>
      </c>
      <c r="E2" s="515" t="s">
        <v>189</v>
      </c>
      <c r="F2" s="515" t="s">
        <v>578</v>
      </c>
      <c r="G2" s="515" t="s">
        <v>2</v>
      </c>
      <c r="H2" s="516" t="s">
        <v>579</v>
      </c>
      <c r="I2" s="515" t="s">
        <v>580</v>
      </c>
      <c r="J2" s="514" t="s">
        <v>581</v>
      </c>
    </row>
    <row r="3" spans="2:11">
      <c r="B3" s="329" t="s">
        <v>582</v>
      </c>
      <c r="C3" s="329" t="s">
        <v>583</v>
      </c>
      <c r="D3" s="333">
        <v>3</v>
      </c>
      <c r="E3" s="329">
        <v>30</v>
      </c>
      <c r="F3" s="333">
        <v>500</v>
      </c>
      <c r="G3" s="333">
        <v>4.179</v>
      </c>
      <c r="H3" s="517">
        <f>K3*(E3-125)*G3</f>
        <v>-1191.015</v>
      </c>
      <c r="I3" s="333" t="s">
        <v>584</v>
      </c>
      <c r="J3" s="554"/>
      <c r="K3" s="555">
        <v>3</v>
      </c>
    </row>
    <row r="4" spans="2:11">
      <c r="B4" s="329"/>
      <c r="C4" s="329" t="s">
        <v>585</v>
      </c>
      <c r="D4" s="518"/>
      <c r="E4" s="333">
        <v>95</v>
      </c>
      <c r="F4" s="518"/>
      <c r="G4" s="335"/>
      <c r="H4" s="517">
        <f>K4*(E4-125)*G3</f>
        <v>-376.11</v>
      </c>
      <c r="I4" s="518"/>
      <c r="J4" s="556"/>
      <c r="K4" s="555">
        <v>3</v>
      </c>
    </row>
    <row r="5" spans="2:11">
      <c r="B5" s="329"/>
      <c r="C5" s="329" t="s">
        <v>586</v>
      </c>
      <c r="D5" s="335"/>
      <c r="E5" s="335"/>
      <c r="F5" s="518"/>
      <c r="G5" s="329">
        <v>4.1</v>
      </c>
      <c r="H5" s="517">
        <f>K5*(E5-125)*G5</f>
        <v>-1537.5</v>
      </c>
      <c r="I5" s="518"/>
      <c r="J5" s="557" t="s">
        <v>587</v>
      </c>
      <c r="K5" s="555">
        <v>3</v>
      </c>
    </row>
    <row r="6" spans="2:11">
      <c r="B6" s="329"/>
      <c r="C6" s="329" t="s">
        <v>588</v>
      </c>
      <c r="D6" s="519"/>
      <c r="E6" s="333">
        <v>-10</v>
      </c>
      <c r="F6" s="518"/>
      <c r="G6" s="329">
        <v>4.179</v>
      </c>
      <c r="H6" s="517">
        <f>K6*(E6-125)*G6</f>
        <v>-846.2475</v>
      </c>
      <c r="I6" s="518"/>
      <c r="J6" s="557"/>
      <c r="K6" s="555">
        <v>1.5</v>
      </c>
    </row>
    <row r="7" spans="2:11">
      <c r="B7" s="329"/>
      <c r="C7" s="329" t="s">
        <v>589</v>
      </c>
      <c r="D7" s="518">
        <v>1.5</v>
      </c>
      <c r="E7" s="335"/>
      <c r="F7" s="518"/>
      <c r="G7" s="329">
        <v>3.4</v>
      </c>
      <c r="H7" s="517">
        <f>K7*(E6-125)*G7</f>
        <v>-688.5</v>
      </c>
      <c r="I7" s="558"/>
      <c r="J7" s="557"/>
      <c r="K7" s="555">
        <v>1.5</v>
      </c>
    </row>
    <row r="8" spans="2:11">
      <c r="B8" s="329"/>
      <c r="C8" s="329" t="s">
        <v>590</v>
      </c>
      <c r="D8" s="520"/>
      <c r="E8" s="329">
        <v>110</v>
      </c>
      <c r="F8" s="521">
        <v>5</v>
      </c>
      <c r="G8" s="521">
        <v>4.179</v>
      </c>
      <c r="H8" s="517">
        <f>K8*(E8-125)*G8</f>
        <v>-94.0275</v>
      </c>
      <c r="I8" s="521"/>
      <c r="J8" s="524"/>
      <c r="K8" s="555">
        <v>1.5</v>
      </c>
    </row>
    <row r="9" spans="2:11">
      <c r="B9" s="522" t="s">
        <v>591</v>
      </c>
      <c r="C9" s="523" t="s">
        <v>592</v>
      </c>
      <c r="D9" s="523">
        <v>0.75</v>
      </c>
      <c r="E9" s="523">
        <v>500</v>
      </c>
      <c r="F9" s="524"/>
      <c r="G9" s="524"/>
      <c r="H9" s="525">
        <f>K9*(E9-125)*G8</f>
        <v>1175.34375</v>
      </c>
      <c r="I9" s="524"/>
      <c r="J9" s="524"/>
      <c r="K9" s="555">
        <v>0.75</v>
      </c>
    </row>
    <row r="10" spans="2:11">
      <c r="B10" s="526"/>
      <c r="C10" s="523" t="s">
        <v>593</v>
      </c>
      <c r="D10" s="523">
        <v>0.6</v>
      </c>
      <c r="E10" s="527">
        <v>1726.85</v>
      </c>
      <c r="F10" s="528"/>
      <c r="G10" s="529">
        <v>1</v>
      </c>
      <c r="H10" s="525">
        <f>K10*(E10-125)*G10</f>
        <v>961.11</v>
      </c>
      <c r="I10" s="526" t="s">
        <v>594</v>
      </c>
      <c r="J10" s="559" t="s">
        <v>595</v>
      </c>
      <c r="K10" s="555">
        <v>0.6</v>
      </c>
    </row>
    <row r="11" spans="2:11">
      <c r="B11" s="530"/>
      <c r="C11" s="523" t="s">
        <v>596</v>
      </c>
      <c r="D11" s="531">
        <v>1.2</v>
      </c>
      <c r="E11" s="532"/>
      <c r="F11" s="531"/>
      <c r="G11" s="533"/>
      <c r="H11" s="525">
        <f>H10*2</f>
        <v>1922.22</v>
      </c>
      <c r="I11" s="531"/>
      <c r="J11" s="560"/>
      <c r="K11" s="555">
        <v>1.2</v>
      </c>
    </row>
    <row r="12" spans="2:11">
      <c r="B12" s="534" t="s">
        <v>597</v>
      </c>
      <c r="C12" s="535" t="s">
        <v>598</v>
      </c>
      <c r="D12" s="531"/>
      <c r="E12" s="535">
        <v>3226.85</v>
      </c>
      <c r="F12" s="531"/>
      <c r="G12" s="535">
        <v>0.265</v>
      </c>
      <c r="H12" s="535">
        <f>K12*(E12-125)*G12</f>
        <v>986.3883</v>
      </c>
      <c r="I12" s="531"/>
      <c r="J12" s="536"/>
      <c r="K12" s="555">
        <v>1.2</v>
      </c>
    </row>
    <row r="13" ht="13.8" customHeight="1" spans="2:11">
      <c r="B13" s="536"/>
      <c r="C13" s="535" t="s">
        <v>599</v>
      </c>
      <c r="D13" s="537">
        <v>0.3</v>
      </c>
      <c r="E13" s="535">
        <v>2626.85</v>
      </c>
      <c r="F13" s="538"/>
      <c r="G13" s="535">
        <v>0.129</v>
      </c>
      <c r="H13" s="539">
        <f>K13*(E13-125)*G13</f>
        <v>96.821595</v>
      </c>
      <c r="I13" s="537" t="s">
        <v>600</v>
      </c>
      <c r="J13" s="536"/>
      <c r="K13" s="555">
        <f>180/600</f>
        <v>0.3</v>
      </c>
    </row>
    <row r="14" spans="2:11">
      <c r="B14" s="536"/>
      <c r="C14" s="535" t="s">
        <v>601</v>
      </c>
      <c r="D14" s="540"/>
      <c r="E14" s="535">
        <v>2226.85</v>
      </c>
      <c r="F14" s="540">
        <v>150</v>
      </c>
      <c r="G14" s="535">
        <v>0.386</v>
      </c>
      <c r="H14" s="539">
        <f>K14*(E14-125)*G14</f>
        <v>243.39423</v>
      </c>
      <c r="I14" s="540"/>
      <c r="J14" s="536" t="s">
        <v>602</v>
      </c>
      <c r="K14" s="555">
        <f t="shared" ref="K14:K18" si="0">180/600</f>
        <v>0.3</v>
      </c>
    </row>
    <row r="15" spans="2:11">
      <c r="B15" s="536"/>
      <c r="C15" s="535" t="s">
        <v>603</v>
      </c>
      <c r="D15" s="540"/>
      <c r="E15" s="535">
        <v>2526.85</v>
      </c>
      <c r="F15" s="538"/>
      <c r="G15" s="535">
        <v>0.449</v>
      </c>
      <c r="H15" s="539">
        <f>K15*(E15-125)*G15</f>
        <v>323.529195</v>
      </c>
      <c r="I15" s="540"/>
      <c r="J15" s="536"/>
      <c r="K15" s="555">
        <f t="shared" si="0"/>
        <v>0.3</v>
      </c>
    </row>
    <row r="16" spans="2:11">
      <c r="B16" s="536"/>
      <c r="C16" s="535" t="s">
        <v>604</v>
      </c>
      <c r="D16" s="540"/>
      <c r="E16" s="535">
        <v>3726.85</v>
      </c>
      <c r="F16" s="538"/>
      <c r="G16" s="535">
        <v>0.134</v>
      </c>
      <c r="H16" s="539">
        <f>K16*(E16-125)*G16</f>
        <v>144.79437</v>
      </c>
      <c r="I16" s="540"/>
      <c r="J16" s="536"/>
      <c r="K16" s="555">
        <f t="shared" si="0"/>
        <v>0.3</v>
      </c>
    </row>
    <row r="17" spans="2:11">
      <c r="B17" s="536"/>
      <c r="C17" s="535" t="s">
        <v>605</v>
      </c>
      <c r="D17" s="540"/>
      <c r="E17" s="535">
        <v>1726.85</v>
      </c>
      <c r="F17" s="538"/>
      <c r="G17" s="535">
        <v>0.91</v>
      </c>
      <c r="H17" s="539">
        <f t="shared" ref="H17:H18" si="1">K17*(E17-125)*G17</f>
        <v>437.30505</v>
      </c>
      <c r="I17" s="540"/>
      <c r="J17" s="561"/>
      <c r="K17" s="555">
        <f t="shared" si="0"/>
        <v>0.3</v>
      </c>
    </row>
    <row r="18" spans="2:11">
      <c r="B18" s="541"/>
      <c r="C18" s="535" t="s">
        <v>606</v>
      </c>
      <c r="D18" s="542"/>
      <c r="E18" s="535">
        <v>2226.85</v>
      </c>
      <c r="F18" s="538"/>
      <c r="G18" s="535">
        <v>0.42</v>
      </c>
      <c r="H18" s="539">
        <f t="shared" si="1"/>
        <v>264.8331</v>
      </c>
      <c r="I18" s="542"/>
      <c r="J18" s="562"/>
      <c r="K18" s="555">
        <f t="shared" si="0"/>
        <v>0.3</v>
      </c>
    </row>
    <row r="19" spans="2:11">
      <c r="B19" s="543" t="s">
        <v>607</v>
      </c>
      <c r="C19" s="544" t="s">
        <v>608</v>
      </c>
      <c r="D19" s="543">
        <v>3.333</v>
      </c>
      <c r="E19" s="545" t="s">
        <v>609</v>
      </c>
      <c r="F19" s="545" t="s">
        <v>498</v>
      </c>
      <c r="G19" s="543">
        <v>1.69</v>
      </c>
      <c r="H19" s="546">
        <f>K21*(90-125)*G19</f>
        <v>-197.166666666667</v>
      </c>
      <c r="I19" s="543" t="s">
        <v>584</v>
      </c>
      <c r="J19" s="563" t="s">
        <v>180</v>
      </c>
      <c r="K19" s="555">
        <v>1.5</v>
      </c>
    </row>
    <row r="20" spans="2:11">
      <c r="B20" s="547"/>
      <c r="C20" s="548" t="s">
        <v>610</v>
      </c>
      <c r="D20" s="545">
        <v>0.1255</v>
      </c>
      <c r="E20" s="545">
        <v>326.85</v>
      </c>
      <c r="F20" s="545">
        <v>50</v>
      </c>
      <c r="G20" s="547"/>
      <c r="H20" s="546">
        <f>K20*(E20-125)*G19</f>
        <v>42.81137575</v>
      </c>
      <c r="I20" s="548" t="s">
        <v>611</v>
      </c>
      <c r="J20" s="564"/>
      <c r="K20" s="555">
        <f>75.3/600</f>
        <v>0.1255</v>
      </c>
    </row>
    <row r="21" ht="13.8" customHeight="1" spans="2:11">
      <c r="B21" s="549" t="s">
        <v>612</v>
      </c>
      <c r="C21" s="549" t="s">
        <v>613</v>
      </c>
      <c r="D21" s="549">
        <v>1.5</v>
      </c>
      <c r="E21" s="549">
        <v>165.2</v>
      </c>
      <c r="F21" s="549">
        <v>500</v>
      </c>
      <c r="G21" s="549">
        <v>0.7</v>
      </c>
      <c r="H21" s="550">
        <f>K19*(E21-125)*G21</f>
        <v>42.21</v>
      </c>
      <c r="I21" s="549" t="s">
        <v>614</v>
      </c>
      <c r="J21" s="565" t="s">
        <v>615</v>
      </c>
      <c r="K21" s="555">
        <f>2000/600</f>
        <v>3.33333333333333</v>
      </c>
    </row>
    <row r="22" ht="13.8" customHeight="1" spans="2:11">
      <c r="B22" s="43" t="s">
        <v>616</v>
      </c>
      <c r="C22" s="43" t="s">
        <v>617</v>
      </c>
      <c r="D22" s="41">
        <v>0.105</v>
      </c>
      <c r="E22" s="43">
        <v>500</v>
      </c>
      <c r="F22" s="41"/>
      <c r="G22" s="43">
        <v>2.4</v>
      </c>
      <c r="H22" s="551">
        <f>K22*(E22-125)*G22</f>
        <v>94.5</v>
      </c>
      <c r="I22" s="566" t="s">
        <v>618</v>
      </c>
      <c r="J22" s="565"/>
      <c r="K22" s="555">
        <v>0.105</v>
      </c>
    </row>
    <row r="23" spans="2:11">
      <c r="B23" s="43"/>
      <c r="C23" s="43" t="s">
        <v>619</v>
      </c>
      <c r="D23" s="34"/>
      <c r="E23" s="43">
        <v>150</v>
      </c>
      <c r="F23" s="34"/>
      <c r="G23" s="43">
        <v>2.191</v>
      </c>
      <c r="H23" s="551">
        <f>K23*(E23-125)*G23</f>
        <v>5.751375</v>
      </c>
      <c r="I23" s="567" t="s">
        <v>620</v>
      </c>
      <c r="J23" s="568"/>
      <c r="K23" s="555">
        <v>0.105</v>
      </c>
    </row>
    <row r="24" spans="2:11">
      <c r="B24" s="43"/>
      <c r="C24" s="43" t="s">
        <v>621</v>
      </c>
      <c r="D24" s="34"/>
      <c r="E24" s="41">
        <v>60</v>
      </c>
      <c r="F24" s="34">
        <v>5</v>
      </c>
      <c r="G24" s="43">
        <v>0.48</v>
      </c>
      <c r="H24" s="551">
        <f>K24*(E24-125)*G24</f>
        <v>-3.276</v>
      </c>
      <c r="I24" s="569" t="s">
        <v>622</v>
      </c>
      <c r="J24" s="569" t="s">
        <v>623</v>
      </c>
      <c r="K24" s="555">
        <v>0.105</v>
      </c>
    </row>
    <row r="25" spans="2:11">
      <c r="B25" s="43"/>
      <c r="C25" s="43" t="s">
        <v>624</v>
      </c>
      <c r="D25" s="34"/>
      <c r="E25" s="39"/>
      <c r="F25" s="34"/>
      <c r="G25" s="41">
        <v>1.01</v>
      </c>
      <c r="H25" s="551">
        <f>K25*(E24-125)*G25</f>
        <v>-6.89325</v>
      </c>
      <c r="I25" s="570"/>
      <c r="J25" s="571"/>
      <c r="K25" s="555">
        <v>0.105</v>
      </c>
    </row>
    <row r="26" spans="2:11">
      <c r="B26" s="43"/>
      <c r="C26" s="43" t="s">
        <v>625</v>
      </c>
      <c r="D26" s="34"/>
      <c r="E26" s="41">
        <v>500</v>
      </c>
      <c r="F26" s="34"/>
      <c r="G26" s="39"/>
      <c r="H26" s="551">
        <f>K26*(E26-125)*G25</f>
        <v>39.76875</v>
      </c>
      <c r="I26" s="567" t="s">
        <v>626</v>
      </c>
      <c r="J26" s="570"/>
      <c r="K26" s="555">
        <v>0.105</v>
      </c>
    </row>
    <row r="27" spans="2:11">
      <c r="B27" s="43"/>
      <c r="C27" s="43" t="s">
        <v>627</v>
      </c>
      <c r="D27" s="39"/>
      <c r="E27" s="39"/>
      <c r="F27" s="39"/>
      <c r="G27" s="41">
        <v>0.846</v>
      </c>
      <c r="H27" s="551">
        <f>K27*(E26-125)*G27</f>
        <v>33.31125</v>
      </c>
      <c r="I27" s="43" t="s">
        <v>628</v>
      </c>
      <c r="J27" s="569" t="s">
        <v>629</v>
      </c>
      <c r="K27" s="555">
        <v>0.105</v>
      </c>
    </row>
    <row r="28" spans="2:11">
      <c r="B28" s="43"/>
      <c r="C28" s="43" t="s">
        <v>630</v>
      </c>
      <c r="D28" s="39">
        <v>0.15</v>
      </c>
      <c r="E28" s="43">
        <v>-50.15</v>
      </c>
      <c r="F28" s="43">
        <v>50</v>
      </c>
      <c r="G28" s="39"/>
      <c r="H28" s="551">
        <f>K28*(E28-125)*G27</f>
        <v>-22.226535</v>
      </c>
      <c r="I28" s="43" t="s">
        <v>631</v>
      </c>
      <c r="J28" s="570"/>
      <c r="K28" s="555">
        <f>90/600</f>
        <v>0.15</v>
      </c>
    </row>
    <row r="29" ht="57.6" customHeight="1" spans="2:11">
      <c r="B29" s="552" t="s">
        <v>632</v>
      </c>
      <c r="C29" s="553"/>
      <c r="D29" s="553"/>
      <c r="E29" s="553"/>
      <c r="F29" s="553"/>
      <c r="G29" s="553"/>
      <c r="H29" s="553"/>
      <c r="I29" s="553"/>
      <c r="J29" s="572"/>
      <c r="K29" s="555"/>
    </row>
  </sheetData>
  <mergeCells count="41">
    <mergeCell ref="B2:C2"/>
    <mergeCell ref="B29:J29"/>
    <mergeCell ref="B3:B8"/>
    <mergeCell ref="B9:B11"/>
    <mergeCell ref="B12:B18"/>
    <mergeCell ref="B19:B20"/>
    <mergeCell ref="B22:B28"/>
    <mergeCell ref="D3:D5"/>
    <mergeCell ref="D11:D12"/>
    <mergeCell ref="D13:D18"/>
    <mergeCell ref="D22:D27"/>
    <mergeCell ref="E4:E5"/>
    <mergeCell ref="E6:E7"/>
    <mergeCell ref="E10:E11"/>
    <mergeCell ref="E24:E25"/>
    <mergeCell ref="E26:E27"/>
    <mergeCell ref="F3:F7"/>
    <mergeCell ref="F8:F9"/>
    <mergeCell ref="F11:F12"/>
    <mergeCell ref="F22:F23"/>
    <mergeCell ref="F24:F25"/>
    <mergeCell ref="F26:F27"/>
    <mergeCell ref="G3:G4"/>
    <mergeCell ref="G8:G9"/>
    <mergeCell ref="G10:G11"/>
    <mergeCell ref="G19:G20"/>
    <mergeCell ref="G25:G26"/>
    <mergeCell ref="G27:G28"/>
    <mergeCell ref="I3:I7"/>
    <mergeCell ref="I8:I9"/>
    <mergeCell ref="I11:I12"/>
    <mergeCell ref="I13:I18"/>
    <mergeCell ref="I24:I25"/>
    <mergeCell ref="J5:J7"/>
    <mergeCell ref="J8:J9"/>
    <mergeCell ref="J10:J11"/>
    <mergeCell ref="J12:J13"/>
    <mergeCell ref="J14:J16"/>
    <mergeCell ref="J21:J22"/>
    <mergeCell ref="J24:J26"/>
    <mergeCell ref="J27:J28"/>
  </mergeCells>
  <pageMargins left="0.7" right="0.7" top="0.75" bottom="0.75" header="0.3" footer="0.3"/>
  <pageSetup paperSize="9" orientation="portrait"/>
  <headerFooter/>
  <ignoredErrors>
    <ignoredError sqref="H26:H27 H7 H4" formula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Q35"/>
  <sheetViews>
    <sheetView zoomScale="75" zoomScaleNormal="75" workbookViewId="0">
      <selection activeCell="B2" sqref="B2:Q35"/>
    </sheetView>
  </sheetViews>
  <sheetFormatPr defaultColWidth="9" defaultRowHeight="14"/>
  <cols>
    <col min="1" max="1" width="4" style="3" customWidth="1"/>
    <col min="2" max="2" width="5.66666666666667" style="3" customWidth="1"/>
    <col min="3" max="3" width="14.1083333333333" style="3" customWidth="1"/>
    <col min="4" max="4" width="15.3333333333333" style="3" customWidth="1"/>
    <col min="5" max="5" width="11.3333333333333" style="3" customWidth="1"/>
    <col min="6" max="6" width="6.66666666666667" style="3" customWidth="1"/>
    <col min="7" max="7" width="26.6666666666667" style="3" customWidth="1"/>
    <col min="8" max="8" width="21" style="3" customWidth="1"/>
    <col min="9" max="9" width="26" style="3" customWidth="1"/>
    <col min="10" max="10" width="23.8833333333333" style="3" customWidth="1"/>
    <col min="11" max="11" width="23.775" style="3" customWidth="1"/>
    <col min="12" max="12" width="14.1083333333333" style="3" customWidth="1"/>
    <col min="13" max="13" width="13.8833333333333" style="3" customWidth="1"/>
    <col min="14" max="14" width="8.88333333333333" style="4"/>
    <col min="15" max="15" width="7.775" style="3" customWidth="1"/>
    <col min="16" max="16" width="5.55833333333333" style="3" customWidth="1"/>
    <col min="17" max="17" width="39.1083333333333" style="3" customWidth="1"/>
    <col min="18" max="16384" width="8.88333333333333" style="3"/>
  </cols>
  <sheetData>
    <row r="2" ht="18.25" spans="2:17">
      <c r="B2" s="215" t="s">
        <v>633</v>
      </c>
      <c r="C2" s="235" t="s">
        <v>634</v>
      </c>
      <c r="D2" s="342" t="s">
        <v>635</v>
      </c>
      <c r="E2" s="215" t="s">
        <v>636</v>
      </c>
      <c r="F2" s="235" t="s">
        <v>637</v>
      </c>
      <c r="G2" s="343" t="s">
        <v>638</v>
      </c>
      <c r="H2" s="344"/>
      <c r="I2" s="343" t="s">
        <v>639</v>
      </c>
      <c r="J2" s="435"/>
      <c r="K2" s="344"/>
      <c r="L2" s="436" t="s">
        <v>634</v>
      </c>
      <c r="M2" s="342" t="s">
        <v>640</v>
      </c>
      <c r="N2" s="437" t="s">
        <v>641</v>
      </c>
      <c r="O2" s="215" t="s">
        <v>642</v>
      </c>
      <c r="P2" s="235" t="s">
        <v>643</v>
      </c>
      <c r="Q2" s="342" t="s">
        <v>644</v>
      </c>
    </row>
    <row r="3" ht="14.75" spans="2:17">
      <c r="B3" s="56" t="s">
        <v>311</v>
      </c>
      <c r="C3" s="345" t="s">
        <v>645</v>
      </c>
      <c r="D3" s="346" t="s">
        <v>646</v>
      </c>
      <c r="E3" s="56">
        <v>30</v>
      </c>
      <c r="F3" s="345" t="s">
        <v>180</v>
      </c>
      <c r="G3" s="346" t="s">
        <v>647</v>
      </c>
      <c r="H3" s="347" t="s">
        <v>648</v>
      </c>
      <c r="I3" s="346" t="s">
        <v>649</v>
      </c>
      <c r="J3" s="438" t="s">
        <v>650</v>
      </c>
      <c r="K3" s="439" t="s">
        <v>651</v>
      </c>
      <c r="L3" s="440" t="s">
        <v>645</v>
      </c>
      <c r="M3" s="346">
        <v>0</v>
      </c>
      <c r="N3" s="441" t="s">
        <v>207</v>
      </c>
      <c r="O3" s="56">
        <v>75</v>
      </c>
      <c r="P3" s="83" t="s">
        <v>652</v>
      </c>
      <c r="Q3" s="346" t="s">
        <v>653</v>
      </c>
    </row>
    <row r="4" spans="2:17">
      <c r="B4" s="65"/>
      <c r="C4" s="136" t="s">
        <v>654</v>
      </c>
      <c r="D4" s="348" t="s">
        <v>655</v>
      </c>
      <c r="E4" s="65"/>
      <c r="F4" s="349">
        <v>-120</v>
      </c>
      <c r="G4" s="350" t="s">
        <v>656</v>
      </c>
      <c r="H4" s="351"/>
      <c r="I4" s="354" t="s">
        <v>657</v>
      </c>
      <c r="J4" s="136"/>
      <c r="K4" s="442"/>
      <c r="L4" s="443" t="s">
        <v>654</v>
      </c>
      <c r="M4" s="354">
        <v>1.5</v>
      </c>
      <c r="N4" s="444"/>
      <c r="O4" s="65"/>
      <c r="P4" s="353"/>
      <c r="Q4" s="348" t="s">
        <v>658</v>
      </c>
    </row>
    <row r="5" spans="2:17">
      <c r="B5" s="65"/>
      <c r="C5" s="136" t="s">
        <v>659</v>
      </c>
      <c r="D5" s="352"/>
      <c r="E5" s="65"/>
      <c r="F5" s="353"/>
      <c r="G5" s="350" t="s">
        <v>660</v>
      </c>
      <c r="H5" s="351"/>
      <c r="I5" s="354" t="s">
        <v>661</v>
      </c>
      <c r="J5" s="126" t="s">
        <v>662</v>
      </c>
      <c r="K5" s="445"/>
      <c r="L5" s="443" t="s">
        <v>659</v>
      </c>
      <c r="M5" s="354">
        <v>1.25</v>
      </c>
      <c r="N5" s="444"/>
      <c r="O5" s="65"/>
      <c r="P5" s="136" t="s">
        <v>663</v>
      </c>
      <c r="Q5" s="352"/>
    </row>
    <row r="6" spans="2:17">
      <c r="B6" s="65"/>
      <c r="C6" s="136" t="s">
        <v>664</v>
      </c>
      <c r="D6" s="352"/>
      <c r="E6" s="65"/>
      <c r="F6" s="349">
        <v>-60</v>
      </c>
      <c r="G6" s="354" t="s">
        <v>665</v>
      </c>
      <c r="H6" s="355" t="s">
        <v>666</v>
      </c>
      <c r="I6" s="354" t="s">
        <v>667</v>
      </c>
      <c r="J6" s="126" t="s">
        <v>668</v>
      </c>
      <c r="K6" s="136" t="s">
        <v>669</v>
      </c>
      <c r="L6" s="443" t="s">
        <v>664</v>
      </c>
      <c r="M6" s="354">
        <v>1.125</v>
      </c>
      <c r="N6" s="444"/>
      <c r="O6" s="65"/>
      <c r="P6" s="133" t="s">
        <v>670</v>
      </c>
      <c r="Q6" s="356"/>
    </row>
    <row r="7" spans="2:17">
      <c r="B7" s="65"/>
      <c r="C7" s="136" t="s">
        <v>671</v>
      </c>
      <c r="D7" s="356"/>
      <c r="E7" s="65"/>
      <c r="F7" s="353"/>
      <c r="G7" s="350" t="s">
        <v>672</v>
      </c>
      <c r="H7" s="351"/>
      <c r="I7" s="354" t="s">
        <v>673</v>
      </c>
      <c r="J7" s="131"/>
      <c r="K7" s="442"/>
      <c r="L7" s="443" t="s">
        <v>671</v>
      </c>
      <c r="M7" s="354">
        <v>1.5</v>
      </c>
      <c r="N7" s="444"/>
      <c r="O7" s="65"/>
      <c r="P7" s="136" t="s">
        <v>674</v>
      </c>
      <c r="Q7" s="354" t="s">
        <v>675</v>
      </c>
    </row>
    <row r="8" spans="2:17">
      <c r="B8" s="65"/>
      <c r="C8" s="136" t="s">
        <v>676</v>
      </c>
      <c r="D8" s="354" t="s">
        <v>677</v>
      </c>
      <c r="E8" s="65"/>
      <c r="F8" s="131">
        <v>-120</v>
      </c>
      <c r="G8" s="354" t="s">
        <v>660</v>
      </c>
      <c r="H8" s="355" t="s">
        <v>678</v>
      </c>
      <c r="I8" s="354" t="s">
        <v>679</v>
      </c>
      <c r="J8" s="133"/>
      <c r="K8" s="446"/>
      <c r="L8" s="443" t="s">
        <v>676</v>
      </c>
      <c r="M8" s="354">
        <v>1</v>
      </c>
      <c r="N8" s="447"/>
      <c r="O8" s="63"/>
      <c r="P8" s="136" t="s">
        <v>663</v>
      </c>
      <c r="Q8" s="504"/>
    </row>
    <row r="9" ht="14.75" spans="2:17">
      <c r="B9" s="357"/>
      <c r="C9" s="358" t="s">
        <v>680</v>
      </c>
      <c r="D9" s="359" t="s">
        <v>681</v>
      </c>
      <c r="E9" s="357"/>
      <c r="F9" s="358">
        <v>-5</v>
      </c>
      <c r="G9" s="359" t="s">
        <v>682</v>
      </c>
      <c r="H9" s="360" t="s">
        <v>683</v>
      </c>
      <c r="I9" s="359" t="s">
        <v>684</v>
      </c>
      <c r="J9" s="69" t="s">
        <v>685</v>
      </c>
      <c r="K9" s="448"/>
      <c r="L9" s="449" t="s">
        <v>680</v>
      </c>
      <c r="M9" s="359">
        <v>0.625</v>
      </c>
      <c r="N9" s="69">
        <v>0</v>
      </c>
      <c r="O9" s="69" t="s">
        <v>180</v>
      </c>
      <c r="P9" s="358" t="s">
        <v>686</v>
      </c>
      <c r="Q9" s="505"/>
    </row>
    <row r="10" ht="14.75" spans="2:17">
      <c r="B10" s="361" t="s">
        <v>687</v>
      </c>
      <c r="C10" s="362" t="s">
        <v>688</v>
      </c>
      <c r="D10" s="363" t="s">
        <v>689</v>
      </c>
      <c r="E10" s="361">
        <v>120</v>
      </c>
      <c r="F10" s="362">
        <v>600</v>
      </c>
      <c r="G10" s="364" t="s">
        <v>690</v>
      </c>
      <c r="H10" s="365"/>
      <c r="I10" s="450" t="s">
        <v>691</v>
      </c>
      <c r="J10" s="451"/>
      <c r="K10" s="452"/>
      <c r="L10" s="453" t="s">
        <v>688</v>
      </c>
      <c r="M10" s="450">
        <v>9</v>
      </c>
      <c r="N10" s="454" t="s">
        <v>692</v>
      </c>
      <c r="O10" s="361">
        <v>75</v>
      </c>
      <c r="P10" s="455" t="s">
        <v>693</v>
      </c>
      <c r="Q10" s="505"/>
    </row>
    <row r="11" spans="2:17">
      <c r="B11" s="366"/>
      <c r="C11" s="367" t="s">
        <v>694</v>
      </c>
      <c r="D11" s="368"/>
      <c r="E11" s="366"/>
      <c r="F11" s="369">
        <v>800</v>
      </c>
      <c r="G11" s="370" t="s">
        <v>695</v>
      </c>
      <c r="H11" s="371"/>
      <c r="I11" s="370"/>
      <c r="J11" s="456"/>
      <c r="K11" s="457"/>
      <c r="L11" s="458" t="s">
        <v>694</v>
      </c>
      <c r="M11" s="459">
        <v>4</v>
      </c>
      <c r="N11" s="460"/>
      <c r="O11" s="366"/>
      <c r="P11" s="369" t="s">
        <v>696</v>
      </c>
      <c r="Q11" s="368"/>
    </row>
    <row r="12" spans="2:17">
      <c r="B12" s="366"/>
      <c r="C12" s="367" t="s">
        <v>697</v>
      </c>
      <c r="D12" s="368"/>
      <c r="E12" s="366"/>
      <c r="F12" s="372"/>
      <c r="G12" s="370" t="s">
        <v>698</v>
      </c>
      <c r="H12" s="371"/>
      <c r="I12" s="459" t="s">
        <v>699</v>
      </c>
      <c r="J12" s="461" t="s">
        <v>700</v>
      </c>
      <c r="K12" s="457"/>
      <c r="L12" s="458" t="s">
        <v>697</v>
      </c>
      <c r="M12" s="459">
        <v>10</v>
      </c>
      <c r="N12" s="460"/>
      <c r="O12" s="366"/>
      <c r="P12" s="372"/>
      <c r="Q12" s="368"/>
    </row>
    <row r="13" spans="2:17">
      <c r="B13" s="366"/>
      <c r="C13" s="367" t="s">
        <v>701</v>
      </c>
      <c r="D13" s="368"/>
      <c r="E13" s="373"/>
      <c r="F13" s="367">
        <v>300</v>
      </c>
      <c r="G13" s="370" t="s">
        <v>702</v>
      </c>
      <c r="H13" s="371"/>
      <c r="I13" s="459" t="s">
        <v>703</v>
      </c>
      <c r="J13" s="367"/>
      <c r="K13" s="457"/>
      <c r="L13" s="458" t="s">
        <v>701</v>
      </c>
      <c r="M13" s="459">
        <v>9</v>
      </c>
      <c r="N13" s="460"/>
      <c r="O13" s="366"/>
      <c r="P13" s="367" t="s">
        <v>663</v>
      </c>
      <c r="Q13" s="368"/>
    </row>
    <row r="14" ht="14.75" spans="2:17">
      <c r="B14" s="374"/>
      <c r="C14" s="375" t="s">
        <v>704</v>
      </c>
      <c r="D14" s="376"/>
      <c r="E14" s="377">
        <v>480</v>
      </c>
      <c r="F14" s="375">
        <v>2000</v>
      </c>
      <c r="G14" s="378" t="s">
        <v>705</v>
      </c>
      <c r="H14" s="379"/>
      <c r="I14" s="462" t="s">
        <v>706</v>
      </c>
      <c r="J14" s="377" t="s">
        <v>707</v>
      </c>
      <c r="K14" s="463"/>
      <c r="L14" s="464" t="s">
        <v>704</v>
      </c>
      <c r="M14" s="462">
        <v>20</v>
      </c>
      <c r="N14" s="465"/>
      <c r="O14" s="374"/>
      <c r="P14" s="375" t="s">
        <v>708</v>
      </c>
      <c r="Q14" s="506"/>
    </row>
    <row r="15" ht="14.75" spans="2:17">
      <c r="B15" s="380" t="s">
        <v>709</v>
      </c>
      <c r="C15" s="381" t="s">
        <v>710</v>
      </c>
      <c r="D15" s="382" t="s">
        <v>711</v>
      </c>
      <c r="E15" s="383"/>
      <c r="F15" s="384">
        <v>0</v>
      </c>
      <c r="G15" s="385" t="s">
        <v>712</v>
      </c>
      <c r="H15" s="386"/>
      <c r="I15" s="382" t="s">
        <v>713</v>
      </c>
      <c r="J15" s="466" t="s">
        <v>714</v>
      </c>
      <c r="K15" s="381" t="s">
        <v>715</v>
      </c>
      <c r="L15" s="467" t="s">
        <v>710</v>
      </c>
      <c r="M15" s="468">
        <v>0.25</v>
      </c>
      <c r="N15" s="469" t="s">
        <v>716</v>
      </c>
      <c r="O15" s="380"/>
      <c r="P15" s="384" t="s">
        <v>670</v>
      </c>
      <c r="Q15" s="506"/>
    </row>
    <row r="16" spans="2:17">
      <c r="B16" s="387"/>
      <c r="C16" s="388" t="s">
        <v>717</v>
      </c>
      <c r="D16" s="382" t="s">
        <v>718</v>
      </c>
      <c r="E16" s="389"/>
      <c r="F16" s="390"/>
      <c r="G16" s="391" t="s">
        <v>719</v>
      </c>
      <c r="H16" s="392"/>
      <c r="I16" s="470" t="s">
        <v>720</v>
      </c>
      <c r="J16" s="471" t="s">
        <v>721</v>
      </c>
      <c r="K16" s="388" t="s">
        <v>722</v>
      </c>
      <c r="L16" s="472" t="s">
        <v>717</v>
      </c>
      <c r="M16" s="395"/>
      <c r="N16" s="473" t="s">
        <v>207</v>
      </c>
      <c r="O16" s="387"/>
      <c r="P16" s="474"/>
      <c r="Q16" s="395"/>
    </row>
    <row r="17" spans="2:17">
      <c r="B17" s="387"/>
      <c r="C17" s="388" t="s">
        <v>723</v>
      </c>
      <c r="D17" s="382" t="s">
        <v>724</v>
      </c>
      <c r="E17" s="389"/>
      <c r="F17" s="390"/>
      <c r="G17" s="391" t="s">
        <v>725</v>
      </c>
      <c r="H17" s="392"/>
      <c r="I17" s="470" t="s">
        <v>726</v>
      </c>
      <c r="J17" s="471" t="s">
        <v>727</v>
      </c>
      <c r="K17" s="388" t="s">
        <v>728</v>
      </c>
      <c r="L17" s="472" t="s">
        <v>723</v>
      </c>
      <c r="M17" s="395"/>
      <c r="N17" s="469"/>
      <c r="O17" s="387"/>
      <c r="P17" s="388" t="s">
        <v>729</v>
      </c>
      <c r="Q17" s="382"/>
    </row>
    <row r="18" ht="14.75" spans="2:17">
      <c r="B18" s="393"/>
      <c r="C18" s="394" t="s">
        <v>730</v>
      </c>
      <c r="D18" s="395" t="s">
        <v>718</v>
      </c>
      <c r="E18" s="396"/>
      <c r="F18" s="397"/>
      <c r="G18" s="398" t="s">
        <v>731</v>
      </c>
      <c r="H18" s="399"/>
      <c r="I18" s="475" t="s">
        <v>732</v>
      </c>
      <c r="J18" s="476"/>
      <c r="K18" s="477"/>
      <c r="L18" s="478" t="s">
        <v>730</v>
      </c>
      <c r="M18" s="479"/>
      <c r="N18" s="480" t="s">
        <v>733</v>
      </c>
      <c r="O18" s="481" t="s">
        <v>180</v>
      </c>
      <c r="P18" s="394" t="s">
        <v>734</v>
      </c>
      <c r="Q18" s="475" t="s">
        <v>735</v>
      </c>
    </row>
    <row r="19" ht="14.75" spans="2:17">
      <c r="B19" s="400" t="s">
        <v>736</v>
      </c>
      <c r="C19" s="401" t="s">
        <v>737</v>
      </c>
      <c r="D19" s="51" t="s">
        <v>738</v>
      </c>
      <c r="E19" s="396"/>
      <c r="F19" s="401">
        <v>0</v>
      </c>
      <c r="G19" s="402" t="s">
        <v>739</v>
      </c>
      <c r="H19" s="403"/>
      <c r="I19" s="51" t="s">
        <v>740</v>
      </c>
      <c r="J19" s="482"/>
      <c r="K19" s="483"/>
      <c r="L19" s="484" t="s">
        <v>737</v>
      </c>
      <c r="M19" s="51">
        <v>1.125</v>
      </c>
      <c r="N19" s="485" t="s">
        <v>741</v>
      </c>
      <c r="O19" s="481"/>
      <c r="P19" s="401" t="s">
        <v>663</v>
      </c>
      <c r="Q19" s="51" t="s">
        <v>742</v>
      </c>
    </row>
    <row r="20" spans="2:17">
      <c r="B20" s="404"/>
      <c r="C20" s="405" t="s">
        <v>743</v>
      </c>
      <c r="D20" s="406" t="s">
        <v>655</v>
      </c>
      <c r="E20" s="404">
        <v>30</v>
      </c>
      <c r="F20" s="405">
        <v>-120</v>
      </c>
      <c r="G20" s="407" t="s">
        <v>744</v>
      </c>
      <c r="H20" s="408"/>
      <c r="I20" s="58" t="s">
        <v>745</v>
      </c>
      <c r="J20" s="59" t="s">
        <v>746</v>
      </c>
      <c r="K20" s="486"/>
      <c r="L20" s="487" t="s">
        <v>743</v>
      </c>
      <c r="M20" s="58">
        <v>1.5</v>
      </c>
      <c r="N20" s="488" t="s">
        <v>207</v>
      </c>
      <c r="O20" s="404"/>
      <c r="P20" s="405" t="s">
        <v>708</v>
      </c>
      <c r="Q20" s="406"/>
    </row>
    <row r="21" spans="2:17">
      <c r="B21" s="404"/>
      <c r="C21" s="405" t="s">
        <v>747</v>
      </c>
      <c r="D21" s="409"/>
      <c r="E21" s="404"/>
      <c r="F21" s="405">
        <v>-240</v>
      </c>
      <c r="G21" s="407" t="s">
        <v>748</v>
      </c>
      <c r="H21" s="408"/>
      <c r="I21" s="405" t="s">
        <v>749</v>
      </c>
      <c r="J21" s="405" t="s">
        <v>750</v>
      </c>
      <c r="K21" s="60" t="s">
        <v>751</v>
      </c>
      <c r="L21" s="487" t="s">
        <v>747</v>
      </c>
      <c r="M21" s="58">
        <v>4.5</v>
      </c>
      <c r="N21" s="489"/>
      <c r="O21" s="410"/>
      <c r="P21" s="415" t="s">
        <v>696</v>
      </c>
      <c r="Q21" s="411"/>
    </row>
    <row r="22" spans="2:17">
      <c r="B22" s="404"/>
      <c r="C22" s="405" t="s">
        <v>752</v>
      </c>
      <c r="D22" s="409"/>
      <c r="E22" s="404"/>
      <c r="F22" s="405">
        <v>-120</v>
      </c>
      <c r="G22" s="58" t="s">
        <v>753</v>
      </c>
      <c r="H22" s="60" t="s">
        <v>754</v>
      </c>
      <c r="I22" s="58" t="s">
        <v>755</v>
      </c>
      <c r="J22" s="59" t="s">
        <v>756</v>
      </c>
      <c r="K22" s="490"/>
      <c r="L22" s="487" t="s">
        <v>752</v>
      </c>
      <c r="M22" s="58">
        <v>3</v>
      </c>
      <c r="N22" s="491" t="s">
        <v>692</v>
      </c>
      <c r="O22" s="59">
        <v>75</v>
      </c>
      <c r="P22" s="418"/>
      <c r="Q22" s="58" t="s">
        <v>757</v>
      </c>
    </row>
    <row r="23" spans="2:17">
      <c r="B23" s="404"/>
      <c r="C23" s="405" t="s">
        <v>758</v>
      </c>
      <c r="D23" s="409"/>
      <c r="E23" s="404"/>
      <c r="F23" s="405">
        <v>0</v>
      </c>
      <c r="G23" s="58" t="s">
        <v>759</v>
      </c>
      <c r="H23" s="60" t="s">
        <v>760</v>
      </c>
      <c r="I23" s="58" t="s">
        <v>761</v>
      </c>
      <c r="J23" s="405"/>
      <c r="K23" s="492"/>
      <c r="L23" s="487" t="s">
        <v>758</v>
      </c>
      <c r="M23" s="58">
        <v>20</v>
      </c>
      <c r="N23" s="488" t="s">
        <v>207</v>
      </c>
      <c r="O23" s="59" t="s">
        <v>180</v>
      </c>
      <c r="P23" s="405" t="s">
        <v>663</v>
      </c>
      <c r="Q23" s="58" t="s">
        <v>762</v>
      </c>
    </row>
    <row r="24" spans="2:17">
      <c r="B24" s="404"/>
      <c r="C24" s="405" t="s">
        <v>763</v>
      </c>
      <c r="D24" s="409"/>
      <c r="E24" s="404"/>
      <c r="F24" s="405">
        <v>-480</v>
      </c>
      <c r="G24" s="407" t="s">
        <v>764</v>
      </c>
      <c r="H24" s="408"/>
      <c r="I24" s="58" t="s">
        <v>765</v>
      </c>
      <c r="J24" s="59" t="s">
        <v>766</v>
      </c>
      <c r="K24" s="492"/>
      <c r="L24" s="487" t="s">
        <v>763</v>
      </c>
      <c r="M24" s="58">
        <v>10</v>
      </c>
      <c r="N24" s="489"/>
      <c r="O24" s="413">
        <v>75</v>
      </c>
      <c r="P24" s="405" t="s">
        <v>767</v>
      </c>
      <c r="Q24" s="58" t="s">
        <v>768</v>
      </c>
    </row>
    <row r="25" spans="2:17">
      <c r="B25" s="404"/>
      <c r="C25" s="405" t="s">
        <v>769</v>
      </c>
      <c r="D25" s="409"/>
      <c r="E25" s="410"/>
      <c r="F25" s="405">
        <v>-120</v>
      </c>
      <c r="G25" s="58" t="s">
        <v>770</v>
      </c>
      <c r="H25" s="60" t="s">
        <v>720</v>
      </c>
      <c r="I25" s="58" t="s">
        <v>719</v>
      </c>
      <c r="J25" s="59" t="s">
        <v>771</v>
      </c>
      <c r="K25" s="492"/>
      <c r="L25" s="487" t="s">
        <v>769</v>
      </c>
      <c r="M25" s="58">
        <v>4</v>
      </c>
      <c r="N25" s="491" t="s">
        <v>692</v>
      </c>
      <c r="O25" s="404"/>
      <c r="P25" s="415" t="s">
        <v>696</v>
      </c>
      <c r="Q25" s="58" t="s">
        <v>772</v>
      </c>
    </row>
    <row r="26" ht="28" spans="2:17">
      <c r="B26" s="404"/>
      <c r="C26" s="405" t="s">
        <v>773</v>
      </c>
      <c r="D26" s="411"/>
      <c r="E26" s="59">
        <v>10</v>
      </c>
      <c r="F26" s="405">
        <v>-480</v>
      </c>
      <c r="G26" s="407" t="s">
        <v>774</v>
      </c>
      <c r="H26" s="408"/>
      <c r="I26" s="58" t="s">
        <v>775</v>
      </c>
      <c r="J26" s="59" t="s">
        <v>776</v>
      </c>
      <c r="K26" s="492"/>
      <c r="L26" s="487" t="s">
        <v>773</v>
      </c>
      <c r="M26" s="58">
        <v>8</v>
      </c>
      <c r="N26" s="491" t="s">
        <v>263</v>
      </c>
      <c r="O26" s="404"/>
      <c r="P26" s="416"/>
      <c r="Q26" s="419" t="s">
        <v>777</v>
      </c>
    </row>
    <row r="27" spans="2:17">
      <c r="B27" s="404"/>
      <c r="C27" s="412" t="s">
        <v>778</v>
      </c>
      <c r="D27" s="58" t="s">
        <v>711</v>
      </c>
      <c r="E27" s="413">
        <v>30</v>
      </c>
      <c r="F27" s="405">
        <v>-120</v>
      </c>
      <c r="G27" s="407" t="s">
        <v>779</v>
      </c>
      <c r="H27" s="408"/>
      <c r="I27" s="58" t="s">
        <v>780</v>
      </c>
      <c r="J27" s="59" t="s">
        <v>781</v>
      </c>
      <c r="K27" s="493"/>
      <c r="L27" s="494" t="s">
        <v>778</v>
      </c>
      <c r="M27" s="58">
        <v>4</v>
      </c>
      <c r="N27" s="491" t="s">
        <v>207</v>
      </c>
      <c r="O27" s="404"/>
      <c r="P27" s="418"/>
      <c r="Q27" s="58" t="s">
        <v>782</v>
      </c>
    </row>
    <row r="28" ht="16.2" customHeight="1" spans="2:17">
      <c r="B28" s="404"/>
      <c r="C28" s="405" t="s">
        <v>783</v>
      </c>
      <c r="D28" s="58" t="s">
        <v>718</v>
      </c>
      <c r="E28" s="410"/>
      <c r="F28" s="405">
        <v>-240</v>
      </c>
      <c r="G28" s="407" t="s">
        <v>784</v>
      </c>
      <c r="H28" s="408"/>
      <c r="I28" s="58" t="s">
        <v>785</v>
      </c>
      <c r="J28" s="59" t="s">
        <v>786</v>
      </c>
      <c r="K28" s="405" t="s">
        <v>787</v>
      </c>
      <c r="L28" s="487" t="s">
        <v>783</v>
      </c>
      <c r="M28" s="58">
        <v>32.5</v>
      </c>
      <c r="N28" s="59">
        <v>0</v>
      </c>
      <c r="O28" s="410"/>
      <c r="P28" s="405" t="s">
        <v>693</v>
      </c>
      <c r="Q28" s="406" t="s">
        <v>788</v>
      </c>
    </row>
    <row r="29" ht="28" spans="2:17">
      <c r="B29" s="404"/>
      <c r="C29" s="405" t="s">
        <v>789</v>
      </c>
      <c r="D29" s="414" t="s">
        <v>790</v>
      </c>
      <c r="E29" s="59">
        <v>480</v>
      </c>
      <c r="F29" s="415">
        <v>-1200</v>
      </c>
      <c r="G29" s="58" t="s">
        <v>791</v>
      </c>
      <c r="H29" s="60" t="s">
        <v>792</v>
      </c>
      <c r="I29" s="58" t="s">
        <v>793</v>
      </c>
      <c r="J29" s="417"/>
      <c r="K29" s="490"/>
      <c r="L29" s="487" t="s">
        <v>789</v>
      </c>
      <c r="M29" s="58">
        <v>12</v>
      </c>
      <c r="N29" s="491" t="s">
        <v>207</v>
      </c>
      <c r="O29" s="59" t="s">
        <v>180</v>
      </c>
      <c r="P29" s="405" t="s">
        <v>708</v>
      </c>
      <c r="Q29" s="58"/>
    </row>
    <row r="30" spans="2:17">
      <c r="B30" s="404"/>
      <c r="C30" s="405" t="s">
        <v>794</v>
      </c>
      <c r="D30" s="406" t="s">
        <v>738</v>
      </c>
      <c r="E30" s="413">
        <v>60</v>
      </c>
      <c r="F30" s="416"/>
      <c r="G30" s="58" t="s">
        <v>795</v>
      </c>
      <c r="H30" s="60"/>
      <c r="I30" s="58" t="s">
        <v>796</v>
      </c>
      <c r="J30" s="495"/>
      <c r="K30" s="492"/>
      <c r="L30" s="487" t="s">
        <v>794</v>
      </c>
      <c r="M30" s="406">
        <v>16</v>
      </c>
      <c r="N30" s="488" t="s">
        <v>692</v>
      </c>
      <c r="O30" s="413">
        <v>75</v>
      </c>
      <c r="P30" s="405" t="s">
        <v>797</v>
      </c>
      <c r="Q30" s="507" t="s">
        <v>798</v>
      </c>
    </row>
    <row r="31" ht="32.4" customHeight="1" spans="2:17">
      <c r="B31" s="404"/>
      <c r="C31" s="417" t="s">
        <v>799</v>
      </c>
      <c r="D31" s="411"/>
      <c r="E31" s="404"/>
      <c r="F31" s="418"/>
      <c r="G31" s="419" t="s">
        <v>800</v>
      </c>
      <c r="H31" s="60" t="s">
        <v>801</v>
      </c>
      <c r="I31" s="419" t="s">
        <v>802</v>
      </c>
      <c r="J31" s="496" t="s">
        <v>803</v>
      </c>
      <c r="K31" s="493"/>
      <c r="L31" s="497" t="s">
        <v>799</v>
      </c>
      <c r="M31" s="409"/>
      <c r="N31" s="498"/>
      <c r="O31" s="404"/>
      <c r="P31" s="417" t="s">
        <v>708</v>
      </c>
      <c r="Q31" s="414"/>
    </row>
    <row r="32" ht="31.2" customHeight="1" spans="2:17">
      <c r="B32" s="404"/>
      <c r="C32" s="405" t="s">
        <v>804</v>
      </c>
      <c r="D32" s="406" t="s">
        <v>689</v>
      </c>
      <c r="E32" s="410"/>
      <c r="F32" s="405">
        <v>-240</v>
      </c>
      <c r="G32" s="420" t="s">
        <v>805</v>
      </c>
      <c r="H32" s="421"/>
      <c r="I32" s="420" t="s">
        <v>806</v>
      </c>
      <c r="J32" s="499"/>
      <c r="K32" s="421"/>
      <c r="L32" s="487" t="s">
        <v>804</v>
      </c>
      <c r="M32" s="409"/>
      <c r="N32" s="498"/>
      <c r="O32" s="404"/>
      <c r="P32" s="405" t="s">
        <v>767</v>
      </c>
      <c r="Q32" s="414"/>
    </row>
    <row r="33" ht="14.75" spans="2:17">
      <c r="B33" s="422"/>
      <c r="C33" s="423" t="s">
        <v>807</v>
      </c>
      <c r="D33" s="424"/>
      <c r="E33" s="422">
        <v>480</v>
      </c>
      <c r="F33" s="423">
        <v>-1600</v>
      </c>
      <c r="G33" s="425" t="s">
        <v>808</v>
      </c>
      <c r="H33" s="426"/>
      <c r="I33" s="425" t="s">
        <v>809</v>
      </c>
      <c r="J33" s="500"/>
      <c r="K33" s="426"/>
      <c r="L33" s="501" t="s">
        <v>807</v>
      </c>
      <c r="M33" s="424"/>
      <c r="N33" s="502"/>
      <c r="O33" s="422"/>
      <c r="P33" s="423" t="s">
        <v>810</v>
      </c>
      <c r="Q33" s="508"/>
    </row>
    <row r="34" ht="43.5" spans="2:17">
      <c r="B34" s="427" t="s">
        <v>811</v>
      </c>
      <c r="C34" s="428" t="s">
        <v>608</v>
      </c>
      <c r="D34" s="429" t="s">
        <v>812</v>
      </c>
      <c r="E34" s="427">
        <v>120</v>
      </c>
      <c r="F34" s="430">
        <v>-240</v>
      </c>
      <c r="G34" s="431" t="s">
        <v>660</v>
      </c>
      <c r="H34" s="432"/>
      <c r="I34" s="427" t="s">
        <v>813</v>
      </c>
      <c r="J34" s="427" t="s">
        <v>814</v>
      </c>
      <c r="K34" s="428"/>
      <c r="L34" s="503" t="s">
        <v>608</v>
      </c>
      <c r="M34" s="432">
        <v>2</v>
      </c>
      <c r="N34" s="427">
        <v>0</v>
      </c>
      <c r="O34" s="427">
        <v>2000</v>
      </c>
      <c r="P34" s="430" t="s">
        <v>815</v>
      </c>
      <c r="Q34" s="509" t="s">
        <v>816</v>
      </c>
    </row>
    <row r="35" ht="16.25" spans="2:17">
      <c r="B35" s="433" t="s">
        <v>817</v>
      </c>
      <c r="C35" s="434"/>
      <c r="D35" s="434"/>
      <c r="E35" s="434"/>
      <c r="F35" s="434"/>
      <c r="G35" s="434"/>
      <c r="H35" s="434"/>
      <c r="I35" s="434"/>
      <c r="J35" s="434"/>
      <c r="K35" s="434"/>
      <c r="L35" s="434"/>
      <c r="M35" s="434"/>
      <c r="N35" s="434"/>
      <c r="O35" s="434"/>
      <c r="P35" s="434"/>
      <c r="Q35" s="510"/>
    </row>
  </sheetData>
  <mergeCells count="84">
    <mergeCell ref="G2:H2"/>
    <mergeCell ref="I2:K2"/>
    <mergeCell ref="G4:H4"/>
    <mergeCell ref="G5:H5"/>
    <mergeCell ref="G7:H7"/>
    <mergeCell ref="G10:H10"/>
    <mergeCell ref="G11:H11"/>
    <mergeCell ref="G12:H12"/>
    <mergeCell ref="G13:H13"/>
    <mergeCell ref="G14:H14"/>
    <mergeCell ref="G15:H15"/>
    <mergeCell ref="G16:H16"/>
    <mergeCell ref="G17:H17"/>
    <mergeCell ref="G18:H18"/>
    <mergeCell ref="G19:H19"/>
    <mergeCell ref="G20:H20"/>
    <mergeCell ref="G21:H21"/>
    <mergeCell ref="G24:H24"/>
    <mergeCell ref="G26:H26"/>
    <mergeCell ref="G27:H27"/>
    <mergeCell ref="G28:H28"/>
    <mergeCell ref="G32:H32"/>
    <mergeCell ref="I32:K32"/>
    <mergeCell ref="G33:H33"/>
    <mergeCell ref="I33:K33"/>
    <mergeCell ref="G34:H34"/>
    <mergeCell ref="B35:Q35"/>
    <mergeCell ref="B3:B9"/>
    <mergeCell ref="B10:B14"/>
    <mergeCell ref="B15:B18"/>
    <mergeCell ref="B19:B33"/>
    <mergeCell ref="D4:D7"/>
    <mergeCell ref="D10:D14"/>
    <mergeCell ref="D20:D26"/>
    <mergeCell ref="D30:D31"/>
    <mergeCell ref="D32:D33"/>
    <mergeCell ref="E3:E9"/>
    <mergeCell ref="E10:E13"/>
    <mergeCell ref="E18:E19"/>
    <mergeCell ref="E21:E25"/>
    <mergeCell ref="E27:E28"/>
    <mergeCell ref="E30:E32"/>
    <mergeCell ref="F4:F5"/>
    <mergeCell ref="F6:F7"/>
    <mergeCell ref="F11:F12"/>
    <mergeCell ref="F15:F18"/>
    <mergeCell ref="F29:F31"/>
    <mergeCell ref="J7:J8"/>
    <mergeCell ref="J10:J11"/>
    <mergeCell ref="J18:J19"/>
    <mergeCell ref="J29:J30"/>
    <mergeCell ref="K4:K5"/>
    <mergeCell ref="K7:K9"/>
    <mergeCell ref="K10:K14"/>
    <mergeCell ref="K18:K19"/>
    <mergeCell ref="K22:K27"/>
    <mergeCell ref="K29:K31"/>
    <mergeCell ref="M15:M18"/>
    <mergeCell ref="M30:M33"/>
    <mergeCell ref="N3:N8"/>
    <mergeCell ref="N10:N14"/>
    <mergeCell ref="N16:N17"/>
    <mergeCell ref="N20:N21"/>
    <mergeCell ref="N23:N24"/>
    <mergeCell ref="N30:N33"/>
    <mergeCell ref="O3:O8"/>
    <mergeCell ref="O10:O14"/>
    <mergeCell ref="O15:O17"/>
    <mergeCell ref="O18:O19"/>
    <mergeCell ref="O20:O21"/>
    <mergeCell ref="O24:O28"/>
    <mergeCell ref="O30:O33"/>
    <mergeCell ref="P3:P4"/>
    <mergeCell ref="P11:P12"/>
    <mergeCell ref="P15:P16"/>
    <mergeCell ref="P21:P22"/>
    <mergeCell ref="P25:P27"/>
    <mergeCell ref="Q4:Q6"/>
    <mergeCell ref="Q9:Q10"/>
    <mergeCell ref="Q11:Q13"/>
    <mergeCell ref="Q14:Q15"/>
    <mergeCell ref="Q16:Q17"/>
    <mergeCell ref="Q20:Q21"/>
    <mergeCell ref="Q30:Q33"/>
  </mergeCells>
  <pageMargins left="0.7" right="0.7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K15"/>
  <sheetViews>
    <sheetView zoomScale="145" zoomScaleNormal="145" workbookViewId="0">
      <selection activeCell="C3" sqref="C3:C6"/>
    </sheetView>
  </sheetViews>
  <sheetFormatPr defaultColWidth="9" defaultRowHeight="14"/>
  <cols>
    <col min="1" max="1" width="4.10833333333333" customWidth="1"/>
    <col min="2" max="2" width="14.1083333333333" style="3" customWidth="1"/>
    <col min="3" max="3" width="6" style="3" customWidth="1"/>
    <col min="4" max="4" width="18.3333333333333" style="323" customWidth="1"/>
    <col min="5" max="5" width="5.55833333333333" style="324" customWidth="1"/>
    <col min="6" max="6" width="39.8833333333333" style="324" customWidth="1"/>
    <col min="9" max="9" width="15.2166666666667" customWidth="1"/>
    <col min="10" max="10" width="30" customWidth="1"/>
    <col min="11" max="11" width="50.4416666666667" customWidth="1"/>
    <col min="13" max="13" width="15.1083333333333" customWidth="1"/>
  </cols>
  <sheetData>
    <row r="2" spans="2:11">
      <c r="B2" s="325" t="s">
        <v>485</v>
      </c>
      <c r="C2" s="325" t="s">
        <v>480</v>
      </c>
      <c r="D2" s="326" t="s">
        <v>818</v>
      </c>
      <c r="E2" s="327"/>
      <c r="F2" s="328" t="s">
        <v>819</v>
      </c>
      <c r="I2" s="337" t="s">
        <v>485</v>
      </c>
      <c r="J2" s="337" t="s">
        <v>820</v>
      </c>
      <c r="K2" s="338" t="s">
        <v>821</v>
      </c>
    </row>
    <row r="3" spans="2:11">
      <c r="B3" s="329" t="s">
        <v>520</v>
      </c>
      <c r="C3" s="329">
        <v>1</v>
      </c>
      <c r="D3" s="330" t="s">
        <v>822</v>
      </c>
      <c r="E3" s="331" t="s">
        <v>823</v>
      </c>
      <c r="F3" s="332" t="s">
        <v>824</v>
      </c>
      <c r="I3" s="59" t="s">
        <v>520</v>
      </c>
      <c r="J3" s="136" t="s">
        <v>825</v>
      </c>
      <c r="K3" s="339" t="s">
        <v>826</v>
      </c>
    </row>
    <row r="4" spans="2:11">
      <c r="B4" s="329" t="s">
        <v>522</v>
      </c>
      <c r="C4" s="329"/>
      <c r="D4" s="330" t="s">
        <v>827</v>
      </c>
      <c r="E4" s="331" t="s">
        <v>828</v>
      </c>
      <c r="F4" s="332" t="s">
        <v>829</v>
      </c>
      <c r="I4" s="59" t="s">
        <v>522</v>
      </c>
      <c r="J4" s="136" t="s">
        <v>827</v>
      </c>
      <c r="K4" s="339" t="s">
        <v>829</v>
      </c>
    </row>
    <row r="5" spans="2:11">
      <c r="B5" s="329" t="s">
        <v>525</v>
      </c>
      <c r="C5" s="329"/>
      <c r="D5" s="330" t="s">
        <v>830</v>
      </c>
      <c r="E5" s="331" t="s">
        <v>831</v>
      </c>
      <c r="F5" s="332" t="s">
        <v>832</v>
      </c>
      <c r="I5" s="59" t="s">
        <v>525</v>
      </c>
      <c r="J5" s="136" t="s">
        <v>833</v>
      </c>
      <c r="K5" s="339" t="s">
        <v>834</v>
      </c>
    </row>
    <row r="6" spans="2:11">
      <c r="B6" s="329" t="s">
        <v>528</v>
      </c>
      <c r="C6" s="329"/>
      <c r="D6" s="330" t="s">
        <v>835</v>
      </c>
      <c r="E6" s="331" t="s">
        <v>836</v>
      </c>
      <c r="F6" s="332" t="s">
        <v>837</v>
      </c>
      <c r="I6" s="59" t="s">
        <v>528</v>
      </c>
      <c r="J6" s="136" t="s">
        <v>838</v>
      </c>
      <c r="K6" s="43" t="s">
        <v>839</v>
      </c>
    </row>
    <row r="7" spans="2:11">
      <c r="B7" s="329" t="s">
        <v>530</v>
      </c>
      <c r="C7" s="329">
        <v>2</v>
      </c>
      <c r="D7" s="330" t="s">
        <v>840</v>
      </c>
      <c r="E7" s="331" t="s">
        <v>841</v>
      </c>
      <c r="F7" s="332" t="s">
        <v>842</v>
      </c>
      <c r="I7" s="59" t="s">
        <v>530</v>
      </c>
      <c r="J7" s="136" t="s">
        <v>843</v>
      </c>
      <c r="K7" s="339" t="s">
        <v>844</v>
      </c>
    </row>
    <row r="8" spans="2:11">
      <c r="B8" s="329" t="s">
        <v>533</v>
      </c>
      <c r="C8" s="333">
        <v>3</v>
      </c>
      <c r="D8" s="330" t="s">
        <v>845</v>
      </c>
      <c r="E8" s="331" t="s">
        <v>836</v>
      </c>
      <c r="F8" s="332" t="s">
        <v>846</v>
      </c>
      <c r="I8" s="59" t="s">
        <v>533</v>
      </c>
      <c r="J8" s="136" t="s">
        <v>847</v>
      </c>
      <c r="K8" s="43" t="s">
        <v>848</v>
      </c>
    </row>
    <row r="9" spans="2:11">
      <c r="B9" s="334" t="s">
        <v>506</v>
      </c>
      <c r="C9" s="335"/>
      <c r="D9" s="330" t="s">
        <v>849</v>
      </c>
      <c r="E9" s="331" t="s">
        <v>850</v>
      </c>
      <c r="F9" s="332" t="s">
        <v>851</v>
      </c>
      <c r="I9" s="340" t="s">
        <v>506</v>
      </c>
      <c r="J9" s="136" t="s">
        <v>852</v>
      </c>
      <c r="K9" s="339" t="s">
        <v>853</v>
      </c>
    </row>
    <row r="10" spans="2:11">
      <c r="B10" s="329" t="s">
        <v>544</v>
      </c>
      <c r="C10" s="329">
        <v>4</v>
      </c>
      <c r="D10" s="330" t="s">
        <v>854</v>
      </c>
      <c r="E10" s="331" t="s">
        <v>855</v>
      </c>
      <c r="F10" s="332" t="s">
        <v>856</v>
      </c>
      <c r="I10" s="59" t="s">
        <v>544</v>
      </c>
      <c r="J10" s="136" t="s">
        <v>857</v>
      </c>
      <c r="K10" s="339" t="s">
        <v>858</v>
      </c>
    </row>
    <row r="11" spans="2:11">
      <c r="B11" s="329" t="s">
        <v>548</v>
      </c>
      <c r="C11" s="329"/>
      <c r="D11" s="330" t="s">
        <v>859</v>
      </c>
      <c r="E11" s="331" t="s">
        <v>860</v>
      </c>
      <c r="F11" s="332" t="s">
        <v>861</v>
      </c>
      <c r="I11" s="59" t="s">
        <v>548</v>
      </c>
      <c r="J11" s="136" t="s">
        <v>862</v>
      </c>
      <c r="K11" s="339" t="s">
        <v>863</v>
      </c>
    </row>
    <row r="12" spans="2:11">
      <c r="B12" s="329" t="s">
        <v>561</v>
      </c>
      <c r="C12" s="329">
        <v>5</v>
      </c>
      <c r="D12" s="330" t="s">
        <v>864</v>
      </c>
      <c r="E12" s="331" t="s">
        <v>841</v>
      </c>
      <c r="F12" s="332" t="s">
        <v>865</v>
      </c>
      <c r="I12" s="59" t="s">
        <v>561</v>
      </c>
      <c r="J12" s="136" t="s">
        <v>866</v>
      </c>
      <c r="K12" s="339" t="s">
        <v>867</v>
      </c>
    </row>
    <row r="13" spans="2:11">
      <c r="B13" s="329" t="s">
        <v>565</v>
      </c>
      <c r="C13" s="329"/>
      <c r="D13" s="330" t="s">
        <v>868</v>
      </c>
      <c r="E13" s="331" t="s">
        <v>841</v>
      </c>
      <c r="F13" s="332" t="s">
        <v>869</v>
      </c>
      <c r="I13" s="59" t="s">
        <v>565</v>
      </c>
      <c r="J13" s="136" t="s">
        <v>870</v>
      </c>
      <c r="K13" s="339" t="s">
        <v>871</v>
      </c>
    </row>
    <row r="14" spans="2:11">
      <c r="B14" s="329" t="s">
        <v>567</v>
      </c>
      <c r="C14" s="329"/>
      <c r="D14" s="330" t="s">
        <v>872</v>
      </c>
      <c r="E14" s="331" t="s">
        <v>873</v>
      </c>
      <c r="F14" s="332" t="s">
        <v>874</v>
      </c>
      <c r="I14" s="59" t="s">
        <v>567</v>
      </c>
      <c r="J14" s="136" t="s">
        <v>875</v>
      </c>
      <c r="K14" s="339" t="s">
        <v>876</v>
      </c>
    </row>
    <row r="15" spans="2:11">
      <c r="B15" s="329" t="s">
        <v>570</v>
      </c>
      <c r="C15" s="329">
        <v>6</v>
      </c>
      <c r="D15" s="330" t="s">
        <v>877</v>
      </c>
      <c r="E15" s="331" t="s">
        <v>878</v>
      </c>
      <c r="F15" s="336" t="s">
        <v>879</v>
      </c>
      <c r="I15" s="59" t="s">
        <v>570</v>
      </c>
      <c r="J15" s="136" t="s">
        <v>880</v>
      </c>
      <c r="K15" s="341" t="s">
        <v>881</v>
      </c>
    </row>
  </sheetData>
  <mergeCells count="5">
    <mergeCell ref="D2:E2"/>
    <mergeCell ref="C3:C6"/>
    <mergeCell ref="C8:C9"/>
    <mergeCell ref="C10:C11"/>
    <mergeCell ref="C12:C14"/>
  </mergeCells>
  <pageMargins left="0.7" right="0.7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S60"/>
  <sheetViews>
    <sheetView workbookViewId="0">
      <selection activeCell="P23" sqref="P23"/>
    </sheetView>
  </sheetViews>
  <sheetFormatPr defaultColWidth="9" defaultRowHeight="14"/>
  <cols>
    <col min="1" max="1" width="3.21666666666667" style="3" customWidth="1"/>
    <col min="2" max="3" width="3.33333333333333" style="3" customWidth="1"/>
    <col min="4" max="4" width="10.2166666666667" style="3" customWidth="1"/>
    <col min="5" max="5" width="11" style="3" customWidth="1"/>
    <col min="6" max="6" width="7" style="3" customWidth="1"/>
    <col min="7" max="7" width="6.21666666666667" style="3" customWidth="1"/>
    <col min="8" max="8" width="6.33333333333333" style="3" customWidth="1"/>
    <col min="9" max="9" width="7.44166666666667" style="278" customWidth="1"/>
    <col min="10" max="10" width="9" style="3" customWidth="1"/>
    <col min="11" max="11" width="9.88333333333333" style="3" customWidth="1"/>
    <col min="12" max="12" width="7.33333333333333" style="3" customWidth="1"/>
    <col min="13" max="13" width="10" style="3" customWidth="1"/>
    <col min="14" max="15" width="8.33333333333333" style="3" customWidth="1"/>
    <col min="16" max="16" width="6.66666666666667" style="3" customWidth="1"/>
    <col min="17" max="22" width="8.33333333333333" style="3" customWidth="1"/>
    <col min="23" max="23" width="7.775" style="3" customWidth="1"/>
    <col min="24" max="24" width="7.10833333333333" style="3" customWidth="1"/>
    <col min="25" max="16384" width="8.88333333333333" style="3"/>
  </cols>
  <sheetData>
    <row r="2" ht="13.8" customHeight="1" spans="2:16">
      <c r="B2" s="279" t="s">
        <v>882</v>
      </c>
      <c r="C2" s="280" t="s">
        <v>883</v>
      </c>
      <c r="D2" s="281" t="s">
        <v>884</v>
      </c>
      <c r="E2" s="282" t="s">
        <v>885</v>
      </c>
      <c r="F2" s="283" t="s">
        <v>886</v>
      </c>
      <c r="G2" s="281" t="s">
        <v>887</v>
      </c>
      <c r="H2" s="281" t="s">
        <v>888</v>
      </c>
      <c r="I2" s="281"/>
      <c r="J2" s="280" t="s">
        <v>889</v>
      </c>
      <c r="K2" s="280" t="s">
        <v>890</v>
      </c>
      <c r="L2" s="300" t="s">
        <v>891</v>
      </c>
      <c r="M2" s="301"/>
      <c r="N2" s="281" t="s">
        <v>892</v>
      </c>
      <c r="O2" s="281"/>
      <c r="P2" s="283" t="s">
        <v>893</v>
      </c>
    </row>
    <row r="3" ht="12" customHeight="1" spans="2:16">
      <c r="B3" s="279"/>
      <c r="C3" s="280"/>
      <c r="D3" s="281"/>
      <c r="E3" s="284"/>
      <c r="F3" s="285"/>
      <c r="G3" s="281"/>
      <c r="H3" s="281" t="s">
        <v>894</v>
      </c>
      <c r="I3" s="302" t="s">
        <v>895</v>
      </c>
      <c r="J3" s="280"/>
      <c r="K3" s="280"/>
      <c r="L3" s="281" t="s">
        <v>894</v>
      </c>
      <c r="M3" s="281" t="s">
        <v>895</v>
      </c>
      <c r="N3" s="281" t="s">
        <v>894</v>
      </c>
      <c r="O3" s="281" t="s">
        <v>895</v>
      </c>
      <c r="P3" s="285"/>
    </row>
    <row r="4" spans="2:16">
      <c r="B4" s="281">
        <v>1</v>
      </c>
      <c r="C4" s="281">
        <v>4</v>
      </c>
      <c r="D4" s="286" t="s">
        <v>896</v>
      </c>
      <c r="E4" s="286" t="s">
        <v>897</v>
      </c>
      <c r="F4" s="287">
        <v>2</v>
      </c>
      <c r="G4" s="281">
        <v>3</v>
      </c>
      <c r="H4" s="281">
        <v>15</v>
      </c>
      <c r="I4" s="303">
        <f>H4/1.15</f>
        <v>13.0434782608696</v>
      </c>
      <c r="J4" s="281">
        <v>4</v>
      </c>
      <c r="K4" s="281">
        <v>1200</v>
      </c>
      <c r="L4" s="281">
        <f>R6*K4/J$4</f>
        <v>5100</v>
      </c>
      <c r="M4" s="303">
        <f>S6*(K4+8)/J$4</f>
        <v>4469.6</v>
      </c>
      <c r="N4" s="304">
        <f>G4*J4/H4</f>
        <v>0.8</v>
      </c>
      <c r="O4" s="304">
        <f>G4*J4/I4</f>
        <v>0.92</v>
      </c>
      <c r="P4" s="282"/>
    </row>
    <row r="5" spans="2:19">
      <c r="B5" s="281">
        <v>2</v>
      </c>
      <c r="C5" s="281">
        <v>3</v>
      </c>
      <c r="D5" s="288" t="s">
        <v>898</v>
      </c>
      <c r="E5" s="288" t="s">
        <v>899</v>
      </c>
      <c r="F5" s="287">
        <v>7</v>
      </c>
      <c r="G5" s="281">
        <v>8</v>
      </c>
      <c r="H5" s="281">
        <v>150</v>
      </c>
      <c r="I5" s="296" t="s">
        <v>180</v>
      </c>
      <c r="J5" s="281">
        <v>12</v>
      </c>
      <c r="K5" s="281">
        <v>960</v>
      </c>
      <c r="L5" s="281">
        <f>115*K5/J5</f>
        <v>9200</v>
      </c>
      <c r="M5" s="296" t="s">
        <v>180</v>
      </c>
      <c r="N5" s="305">
        <f>G5*J5/H5</f>
        <v>0.64</v>
      </c>
      <c r="O5" s="296" t="s">
        <v>180</v>
      </c>
      <c r="P5" s="290"/>
      <c r="R5" s="3">
        <v>16</v>
      </c>
      <c r="S5" s="3">
        <v>14</v>
      </c>
    </row>
    <row r="6" spans="2:19">
      <c r="B6" s="281">
        <v>3</v>
      </c>
      <c r="C6" s="281">
        <v>4</v>
      </c>
      <c r="D6" s="289" t="s">
        <v>900</v>
      </c>
      <c r="E6" s="289" t="s">
        <v>901</v>
      </c>
      <c r="F6" s="287">
        <v>5</v>
      </c>
      <c r="G6" s="282">
        <v>2</v>
      </c>
      <c r="H6" s="284">
        <v>15</v>
      </c>
      <c r="I6" s="306">
        <v>13</v>
      </c>
      <c r="J6" s="284">
        <v>4</v>
      </c>
      <c r="K6" s="281">
        <v>960</v>
      </c>
      <c r="L6" s="281">
        <f>R5*K6/J$4</f>
        <v>3840</v>
      </c>
      <c r="M6" s="303">
        <f>S5*(K6+8)/J$4</f>
        <v>3388</v>
      </c>
      <c r="N6" s="307">
        <f>G6*J6/H6</f>
        <v>0.533333333333333</v>
      </c>
      <c r="O6" s="307">
        <f>G6*J4/I4</f>
        <v>0.613333333333333</v>
      </c>
      <c r="P6" s="290"/>
      <c r="R6" s="3">
        <v>17</v>
      </c>
      <c r="S6" s="3">
        <v>14.8</v>
      </c>
    </row>
    <row r="7" ht="13.8" customHeight="1" spans="2:19">
      <c r="B7" s="280">
        <v>4</v>
      </c>
      <c r="C7" s="282">
        <v>3</v>
      </c>
      <c r="D7" s="288" t="s">
        <v>902</v>
      </c>
      <c r="E7" s="288" t="s">
        <v>903</v>
      </c>
      <c r="F7" s="287">
        <v>3</v>
      </c>
      <c r="G7" s="282">
        <v>5</v>
      </c>
      <c r="H7" s="282">
        <v>90</v>
      </c>
      <c r="I7" s="308">
        <f>H7/1.15</f>
        <v>78.2608695652174</v>
      </c>
      <c r="J7" s="282">
        <v>8</v>
      </c>
      <c r="K7" s="281">
        <v>1200</v>
      </c>
      <c r="L7" s="281">
        <f>R7*K7/J$7</f>
        <v>13890</v>
      </c>
      <c r="M7" s="303">
        <f>S7*(K7+8)/J$7</f>
        <v>12200.8</v>
      </c>
      <c r="N7" s="309">
        <f>G7*J7/H7</f>
        <v>0.444444444444444</v>
      </c>
      <c r="O7" s="309">
        <f>G7*J7/I7</f>
        <v>0.511111111111111</v>
      </c>
      <c r="P7" s="290"/>
      <c r="R7" s="3">
        <v>92.6</v>
      </c>
      <c r="S7" s="3">
        <v>80.8</v>
      </c>
    </row>
    <row r="8" spans="2:19">
      <c r="B8" s="283" t="s">
        <v>904</v>
      </c>
      <c r="C8" s="290"/>
      <c r="D8" s="287" t="s">
        <v>905</v>
      </c>
      <c r="E8" s="287" t="s">
        <v>906</v>
      </c>
      <c r="F8" s="287">
        <v>4</v>
      </c>
      <c r="G8" s="284"/>
      <c r="H8" s="284"/>
      <c r="I8" s="306"/>
      <c r="J8" s="284"/>
      <c r="K8" s="281">
        <v>240</v>
      </c>
      <c r="L8" s="281">
        <f>R8*K8/J$7</f>
        <v>2808</v>
      </c>
      <c r="M8" s="303">
        <f>S8*(K8+8)/J$7</f>
        <v>2542</v>
      </c>
      <c r="N8" s="310"/>
      <c r="O8" s="310"/>
      <c r="P8" s="290"/>
      <c r="R8" s="3">
        <v>93.6</v>
      </c>
      <c r="S8" s="3">
        <v>82</v>
      </c>
    </row>
    <row r="9" spans="2:19">
      <c r="B9" s="291"/>
      <c r="C9" s="284"/>
      <c r="D9" s="287" t="s">
        <v>907</v>
      </c>
      <c r="E9" s="287" t="s">
        <v>908</v>
      </c>
      <c r="F9" s="292">
        <v>1</v>
      </c>
      <c r="G9" s="281">
        <v>5</v>
      </c>
      <c r="H9" s="281">
        <v>150</v>
      </c>
      <c r="I9" s="296" t="s">
        <v>180</v>
      </c>
      <c r="J9" s="281">
        <v>12</v>
      </c>
      <c r="K9" s="281">
        <v>0</v>
      </c>
      <c r="L9" s="281">
        <f>H9*K9/J9</f>
        <v>0</v>
      </c>
      <c r="M9" s="296" t="s">
        <v>180</v>
      </c>
      <c r="N9" s="305">
        <f t="shared" ref="N9:N13" si="0">G9*J9/H9</f>
        <v>0.4</v>
      </c>
      <c r="O9" s="296" t="s">
        <v>180</v>
      </c>
      <c r="P9" s="290"/>
      <c r="R9" s="3" t="s">
        <v>180</v>
      </c>
      <c r="S9" s="3" t="s">
        <v>180</v>
      </c>
    </row>
    <row r="10" spans="2:19">
      <c r="B10" s="291"/>
      <c r="C10" s="281">
        <v>4</v>
      </c>
      <c r="D10" s="293" t="s">
        <v>909</v>
      </c>
      <c r="E10" s="293" t="s">
        <v>910</v>
      </c>
      <c r="F10" s="294"/>
      <c r="G10" s="282">
        <v>2</v>
      </c>
      <c r="H10" s="282">
        <v>30</v>
      </c>
      <c r="I10" s="308">
        <f>H10/1.15</f>
        <v>26.0869565217391</v>
      </c>
      <c r="J10" s="282">
        <v>4</v>
      </c>
      <c r="K10" s="281">
        <v>60</v>
      </c>
      <c r="L10" s="281">
        <f>(R10*K10+50*240)/J10</f>
        <v>3501</v>
      </c>
      <c r="M10" s="311">
        <f>(S10*(K10+8)+50*240)/J10</f>
        <v>3499.8</v>
      </c>
      <c r="N10" s="309">
        <f t="shared" si="0"/>
        <v>0.266666666666667</v>
      </c>
      <c r="O10" s="309">
        <f>G10*J10/I10</f>
        <v>0.306666666666667</v>
      </c>
      <c r="P10" s="290"/>
      <c r="R10" s="3">
        <v>33.4</v>
      </c>
      <c r="S10" s="3">
        <v>29.4</v>
      </c>
    </row>
    <row r="11" spans="2:19">
      <c r="B11" s="285"/>
      <c r="C11" s="281"/>
      <c r="D11" s="293" t="s">
        <v>911</v>
      </c>
      <c r="E11" s="293" t="s">
        <v>912</v>
      </c>
      <c r="F11" s="294"/>
      <c r="G11" s="284"/>
      <c r="H11" s="284"/>
      <c r="I11" s="306"/>
      <c r="J11" s="284"/>
      <c r="K11" s="281">
        <f>480+50/1000*60</f>
        <v>483</v>
      </c>
      <c r="L11" s="281">
        <f>R11*K11/J10</f>
        <v>3743.25</v>
      </c>
      <c r="M11" s="311">
        <f>S11*(K11+8)/J10</f>
        <v>3314.25</v>
      </c>
      <c r="N11" s="310"/>
      <c r="O11" s="310"/>
      <c r="P11" s="290"/>
      <c r="R11" s="3">
        <v>31</v>
      </c>
      <c r="S11" s="3">
        <v>27</v>
      </c>
    </row>
    <row r="12" spans="2:19">
      <c r="B12" s="280">
        <v>9</v>
      </c>
      <c r="C12" s="281" t="s">
        <v>913</v>
      </c>
      <c r="D12" s="287" t="s">
        <v>914</v>
      </c>
      <c r="E12" s="287" t="s">
        <v>915</v>
      </c>
      <c r="F12" s="294"/>
      <c r="G12" s="281">
        <v>3</v>
      </c>
      <c r="H12" s="281">
        <v>15</v>
      </c>
      <c r="I12" s="303">
        <f>H12/1.15</f>
        <v>13.0434782608696</v>
      </c>
      <c r="J12" s="312">
        <f>5/6</f>
        <v>0.833333333333333</v>
      </c>
      <c r="K12" s="281">
        <v>0</v>
      </c>
      <c r="L12" s="300">
        <f>120*16/5</f>
        <v>384</v>
      </c>
      <c r="M12" s="311">
        <f>L12/1.15+8*I12</f>
        <v>438.260869565217</v>
      </c>
      <c r="N12" s="305">
        <f t="shared" si="0"/>
        <v>0.166666666666667</v>
      </c>
      <c r="O12" s="305">
        <f>G12*J12/I12</f>
        <v>0.191666666666667</v>
      </c>
      <c r="P12" s="1281" t="s">
        <v>916</v>
      </c>
      <c r="R12" s="3" t="s">
        <v>180</v>
      </c>
      <c r="S12" s="3" t="s">
        <v>180</v>
      </c>
    </row>
    <row r="13" spans="2:19">
      <c r="B13" s="281">
        <v>10</v>
      </c>
      <c r="C13" s="281">
        <v>2</v>
      </c>
      <c r="D13" s="281" t="s">
        <v>917</v>
      </c>
      <c r="E13" s="281" t="s">
        <v>918</v>
      </c>
      <c r="F13" s="294"/>
      <c r="G13" s="282">
        <v>4</v>
      </c>
      <c r="H13" s="282">
        <v>30</v>
      </c>
      <c r="I13" s="308">
        <f>H13/1.15</f>
        <v>26.0869565217391</v>
      </c>
      <c r="J13" s="313">
        <v>0.75</v>
      </c>
      <c r="K13" s="282">
        <v>480</v>
      </c>
      <c r="L13" s="282">
        <f>R13*K13+120+480</f>
        <v>15480</v>
      </c>
      <c r="M13" s="314">
        <f>S13*K13+120+480+8*I13</f>
        <v>13768.6956521739</v>
      </c>
      <c r="N13" s="309">
        <f t="shared" si="0"/>
        <v>0.1</v>
      </c>
      <c r="O13" s="309">
        <f>G13*J13/I13</f>
        <v>0.115</v>
      </c>
      <c r="P13" s="1281" t="s">
        <v>919</v>
      </c>
      <c r="R13" s="3">
        <v>31</v>
      </c>
      <c r="S13" s="3">
        <v>27</v>
      </c>
    </row>
    <row r="14" spans="2:19">
      <c r="B14" s="281">
        <v>11</v>
      </c>
      <c r="C14" s="281"/>
      <c r="D14" s="287" t="s">
        <v>920</v>
      </c>
      <c r="E14" s="295" t="s">
        <v>921</v>
      </c>
      <c r="F14" s="294"/>
      <c r="G14" s="290"/>
      <c r="H14" s="290"/>
      <c r="I14" s="315"/>
      <c r="J14" s="316"/>
      <c r="K14" s="284"/>
      <c r="L14" s="282">
        <f>R14*K13+24</f>
        <v>15480</v>
      </c>
      <c r="M14" s="314">
        <f>S14*K13+24+8*I13</f>
        <v>13768.6956521739</v>
      </c>
      <c r="N14" s="317"/>
      <c r="O14" s="317"/>
      <c r="P14" s="1281" t="s">
        <v>922</v>
      </c>
      <c r="R14" s="3">
        <v>32.2</v>
      </c>
      <c r="S14" s="3">
        <v>28.2</v>
      </c>
    </row>
    <row r="15" spans="2:19">
      <c r="B15" s="281">
        <v>12</v>
      </c>
      <c r="C15" s="281"/>
      <c r="D15" s="287" t="s">
        <v>923</v>
      </c>
      <c r="E15" s="287" t="s">
        <v>924</v>
      </c>
      <c r="F15" s="294"/>
      <c r="G15" s="284"/>
      <c r="H15" s="284"/>
      <c r="I15" s="306"/>
      <c r="J15" s="318"/>
      <c r="K15" s="281">
        <v>120</v>
      </c>
      <c r="L15" s="281">
        <f>R15*K15+24</f>
        <v>4104</v>
      </c>
      <c r="M15" s="311">
        <f>S15*K15+24+8*I13</f>
        <v>3832.69565217391</v>
      </c>
      <c r="N15" s="310"/>
      <c r="O15" s="310"/>
      <c r="P15" s="1281" t="s">
        <v>925</v>
      </c>
      <c r="R15" s="3">
        <v>34</v>
      </c>
      <c r="S15" s="3">
        <v>30</v>
      </c>
    </row>
    <row r="16" spans="2:16">
      <c r="B16" s="281">
        <v>13</v>
      </c>
      <c r="C16" s="281">
        <v>0</v>
      </c>
      <c r="D16" s="281" t="s">
        <v>926</v>
      </c>
      <c r="E16" s="281" t="s">
        <v>927</v>
      </c>
      <c r="F16" s="296" t="s">
        <v>180</v>
      </c>
      <c r="G16" s="281">
        <v>8</v>
      </c>
      <c r="H16" s="281">
        <f>3*600</f>
        <v>1800</v>
      </c>
      <c r="I16" s="319">
        <f>H16/1.1</f>
        <v>1636.36363636364</v>
      </c>
      <c r="J16" s="281">
        <v>25</v>
      </c>
      <c r="K16" s="281" t="s">
        <v>928</v>
      </c>
      <c r="L16" s="300">
        <f>240*100/J16</f>
        <v>960</v>
      </c>
      <c r="M16" s="301"/>
      <c r="N16" s="305">
        <f>G16*J16/H16</f>
        <v>0.111111111111111</v>
      </c>
      <c r="O16" s="305">
        <f>G16*J16/I16</f>
        <v>0.122222222222222</v>
      </c>
      <c r="P16" s="1281" t="s">
        <v>929</v>
      </c>
    </row>
    <row r="17" spans="2:16">
      <c r="B17" s="281">
        <v>14</v>
      </c>
      <c r="C17" s="297">
        <v>2</v>
      </c>
      <c r="D17" s="282" t="s">
        <v>930</v>
      </c>
      <c r="E17" s="281" t="s">
        <v>931</v>
      </c>
      <c r="F17" s="282">
        <v>1</v>
      </c>
      <c r="G17" s="281">
        <v>4</v>
      </c>
      <c r="H17" s="282">
        <v>40</v>
      </c>
      <c r="I17" s="308">
        <f>H17/1.15</f>
        <v>34.7826086956522</v>
      </c>
      <c r="J17" s="313">
        <v>0.75</v>
      </c>
      <c r="K17" s="282">
        <v>120</v>
      </c>
      <c r="L17" s="282">
        <f>R18*K17</f>
        <v>5184</v>
      </c>
      <c r="M17" s="282">
        <f>S18*K17+8*I17</f>
        <v>4838.26086956522</v>
      </c>
      <c r="N17" s="305">
        <f>G17*J$17/H$17</f>
        <v>0.075</v>
      </c>
      <c r="O17" s="305">
        <f>G17*J$17/I$17</f>
        <v>0.08625</v>
      </c>
      <c r="P17" s="320" t="s">
        <v>180</v>
      </c>
    </row>
    <row r="18" ht="14.4" customHeight="1" spans="2:19">
      <c r="B18" s="281">
        <v>15</v>
      </c>
      <c r="C18" s="298"/>
      <c r="D18" s="290"/>
      <c r="E18" s="281" t="s">
        <v>932</v>
      </c>
      <c r="F18" s="290"/>
      <c r="G18" s="281">
        <v>2</v>
      </c>
      <c r="H18" s="290"/>
      <c r="I18" s="315"/>
      <c r="J18" s="316"/>
      <c r="K18" s="290"/>
      <c r="L18" s="290"/>
      <c r="M18" s="290"/>
      <c r="N18" s="305">
        <f t="shared" ref="N18:N19" si="1">G18*J$17/H$17</f>
        <v>0.0375</v>
      </c>
      <c r="O18" s="305">
        <f t="shared" ref="O18:O19" si="2">G18*J$17/I$17</f>
        <v>0.043125</v>
      </c>
      <c r="P18" s="321"/>
      <c r="R18" s="3">
        <v>43.2</v>
      </c>
      <c r="S18" s="3">
        <v>38</v>
      </c>
    </row>
    <row r="19" ht="14.4" customHeight="1" spans="2:16">
      <c r="B19" s="281">
        <v>16</v>
      </c>
      <c r="C19" s="299"/>
      <c r="D19" s="284"/>
      <c r="E19" s="281" t="s">
        <v>933</v>
      </c>
      <c r="F19" s="284"/>
      <c r="G19" s="281">
        <v>1</v>
      </c>
      <c r="H19" s="284"/>
      <c r="I19" s="306"/>
      <c r="J19" s="318"/>
      <c r="K19" s="284"/>
      <c r="L19" s="284"/>
      <c r="M19" s="284"/>
      <c r="N19" s="305">
        <f t="shared" si="1"/>
        <v>0.01875</v>
      </c>
      <c r="O19" s="305">
        <f t="shared" si="2"/>
        <v>0.0215625</v>
      </c>
      <c r="P19" s="322"/>
    </row>
    <row r="20" ht="13.8" customHeight="1" spans="2:16">
      <c r="B20" s="281">
        <v>17</v>
      </c>
      <c r="C20" s="281">
        <v>5</v>
      </c>
      <c r="D20" s="287" t="s">
        <v>934</v>
      </c>
      <c r="E20" s="287" t="s">
        <v>935</v>
      </c>
      <c r="F20" s="287">
        <v>2</v>
      </c>
      <c r="G20" s="281">
        <v>1</v>
      </c>
      <c r="H20" s="281">
        <v>10</v>
      </c>
      <c r="I20" s="296" t="s">
        <v>180</v>
      </c>
      <c r="J20" s="281">
        <v>1.1</v>
      </c>
      <c r="K20" s="281">
        <v>0</v>
      </c>
      <c r="L20" s="281" t="s">
        <v>936</v>
      </c>
      <c r="M20" s="296" t="s">
        <v>180</v>
      </c>
      <c r="N20" s="305">
        <f>G20*1/H20</f>
        <v>0.1</v>
      </c>
      <c r="O20" s="296" t="s">
        <v>180</v>
      </c>
      <c r="P20" s="296" t="s">
        <v>180</v>
      </c>
    </row>
    <row r="22" ht="13.8" customHeight="1"/>
    <row r="23" ht="13.8" customHeight="1"/>
    <row r="28" ht="13.8" customHeight="1"/>
    <row r="33" spans="9:9">
      <c r="I33" s="3"/>
    </row>
    <row r="34" spans="9:9">
      <c r="I34" s="3"/>
    </row>
    <row r="35" spans="9:9">
      <c r="I35" s="3"/>
    </row>
    <row r="36" spans="9:9">
      <c r="I36" s="3"/>
    </row>
    <row r="37" spans="9:9">
      <c r="I37" s="3"/>
    </row>
    <row r="38" spans="9:9">
      <c r="I38" s="3"/>
    </row>
    <row r="39" spans="9:9">
      <c r="I39" s="3"/>
    </row>
    <row r="40" spans="9:9">
      <c r="I40" s="3"/>
    </row>
    <row r="41" spans="9:9">
      <c r="I41" s="3"/>
    </row>
    <row r="42" spans="9:9">
      <c r="I42" s="3"/>
    </row>
    <row r="43" spans="9:9">
      <c r="I43" s="3"/>
    </row>
    <row r="44" spans="9:9">
      <c r="I44" s="3"/>
    </row>
    <row r="45" spans="9:9">
      <c r="I45" s="3"/>
    </row>
    <row r="46" spans="9:9">
      <c r="I46" s="3"/>
    </row>
    <row r="47" spans="9:9">
      <c r="I47" s="3"/>
    </row>
    <row r="48" spans="9:9">
      <c r="I48" s="3"/>
    </row>
    <row r="49" spans="9:9">
      <c r="I49" s="3"/>
    </row>
    <row r="50" spans="9:9">
      <c r="I50" s="3"/>
    </row>
    <row r="51" spans="9:9">
      <c r="I51" s="3"/>
    </row>
    <row r="52" spans="9:9">
      <c r="I52" s="3"/>
    </row>
    <row r="53" spans="9:9">
      <c r="I53" s="3"/>
    </row>
    <row r="54" spans="9:9">
      <c r="I54" s="3"/>
    </row>
    <row r="55" spans="9:9">
      <c r="I55" s="3"/>
    </row>
    <row r="56" spans="9:9">
      <c r="I56" s="3"/>
    </row>
    <row r="57" spans="9:9">
      <c r="I57" s="3"/>
    </row>
    <row r="58" spans="9:9">
      <c r="I58" s="3"/>
    </row>
    <row r="59" spans="9:9">
      <c r="I59" s="3"/>
    </row>
    <row r="60" spans="9:9">
      <c r="I60" s="3"/>
    </row>
  </sheetData>
  <mergeCells count="48">
    <mergeCell ref="H2:I2"/>
    <mergeCell ref="L2:M2"/>
    <mergeCell ref="N2:O2"/>
    <mergeCell ref="L16:M16"/>
    <mergeCell ref="B2:B3"/>
    <mergeCell ref="B8:B11"/>
    <mergeCell ref="C2:C3"/>
    <mergeCell ref="C7:C9"/>
    <mergeCell ref="C10:C11"/>
    <mergeCell ref="C13:C15"/>
    <mergeCell ref="C17:C19"/>
    <mergeCell ref="D2:D3"/>
    <mergeCell ref="D17:D19"/>
    <mergeCell ref="E2:E3"/>
    <mergeCell ref="F2:F3"/>
    <mergeCell ref="F9:F15"/>
    <mergeCell ref="F17:F19"/>
    <mergeCell ref="G2:G3"/>
    <mergeCell ref="G7:G8"/>
    <mergeCell ref="G10:G11"/>
    <mergeCell ref="G13:G15"/>
    <mergeCell ref="H7:H8"/>
    <mergeCell ref="H10:H11"/>
    <mergeCell ref="H13:H15"/>
    <mergeCell ref="H17:H19"/>
    <mergeCell ref="I7:I8"/>
    <mergeCell ref="I10:I11"/>
    <mergeCell ref="I13:I15"/>
    <mergeCell ref="I17:I19"/>
    <mergeCell ref="J2:J3"/>
    <mergeCell ref="J7:J8"/>
    <mergeCell ref="J10:J11"/>
    <mergeCell ref="J13:J15"/>
    <mergeCell ref="J17:J19"/>
    <mergeCell ref="K2:K3"/>
    <mergeCell ref="K13:K14"/>
    <mergeCell ref="K17:K19"/>
    <mergeCell ref="L17:L19"/>
    <mergeCell ref="M17:M19"/>
    <mergeCell ref="N7:N8"/>
    <mergeCell ref="N10:N11"/>
    <mergeCell ref="N13:N15"/>
    <mergeCell ref="O7:O8"/>
    <mergeCell ref="O10:O11"/>
    <mergeCell ref="O13:O15"/>
    <mergeCell ref="P2:P3"/>
    <mergeCell ref="P4:P11"/>
    <mergeCell ref="P17:P19"/>
  </mergeCells>
  <pageMargins left="0.7" right="0.7" top="0.75" bottom="0.75" header="0.3" footer="0.3"/>
  <pageSetup paperSize="9" orientation="landscape"/>
  <headerFooter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G24"/>
  <sheetViews>
    <sheetView zoomScale="130" zoomScaleNormal="130" workbookViewId="0">
      <selection activeCell="J5" sqref="J5"/>
    </sheetView>
  </sheetViews>
  <sheetFormatPr defaultColWidth="9" defaultRowHeight="14" outlineLevelCol="6"/>
  <cols>
    <col min="1" max="1" width="4.10833333333333" customWidth="1"/>
    <col min="2" max="2" width="10.8833333333333" customWidth="1"/>
    <col min="3" max="3" width="19" customWidth="1"/>
    <col min="4" max="4" width="13.8833333333333" customWidth="1"/>
    <col min="5" max="5" width="5.55833333333333" customWidth="1"/>
    <col min="6" max="6" width="18.6666666666667" customWidth="1"/>
    <col min="7" max="7" width="11.8833333333333" customWidth="1"/>
  </cols>
  <sheetData>
    <row r="1" ht="14.75"/>
    <row r="2" ht="19" spans="2:7">
      <c r="B2" s="242" t="s">
        <v>937</v>
      </c>
      <c r="C2" s="243" t="s">
        <v>938</v>
      </c>
      <c r="D2" s="244" t="s">
        <v>939</v>
      </c>
      <c r="E2" s="242" t="s">
        <v>937</v>
      </c>
      <c r="F2" s="243" t="s">
        <v>938</v>
      </c>
      <c r="G2" s="244" t="s">
        <v>939</v>
      </c>
    </row>
    <row r="3" ht="14.75" spans="2:7">
      <c r="B3" s="245" t="s">
        <v>940</v>
      </c>
      <c r="C3" s="246" t="s">
        <v>180</v>
      </c>
      <c r="D3" s="247" t="s">
        <v>941</v>
      </c>
      <c r="E3" s="248" t="s">
        <v>736</v>
      </c>
      <c r="F3" s="249" t="s">
        <v>769</v>
      </c>
      <c r="G3" s="250" t="s">
        <v>737</v>
      </c>
    </row>
    <row r="4" spans="2:7">
      <c r="B4" s="251"/>
      <c r="C4" s="252"/>
      <c r="D4" s="253"/>
      <c r="E4" s="254"/>
      <c r="F4" s="5" t="s">
        <v>773</v>
      </c>
      <c r="G4" s="255" t="s">
        <v>804</v>
      </c>
    </row>
    <row r="5" ht="14.75" spans="2:7">
      <c r="B5" s="256"/>
      <c r="C5" s="257"/>
      <c r="D5" s="258"/>
      <c r="E5" s="254"/>
      <c r="F5" s="5" t="s">
        <v>752</v>
      </c>
      <c r="G5" s="255" t="s">
        <v>799</v>
      </c>
    </row>
    <row r="6" ht="14.75" spans="2:7">
      <c r="B6" s="259" t="s">
        <v>311</v>
      </c>
      <c r="C6" s="249" t="s">
        <v>676</v>
      </c>
      <c r="D6" s="250" t="s">
        <v>942</v>
      </c>
      <c r="E6" s="254"/>
      <c r="F6" s="5" t="s">
        <v>743</v>
      </c>
      <c r="G6" s="255" t="s">
        <v>794</v>
      </c>
    </row>
    <row r="7" spans="2:7">
      <c r="B7" s="260"/>
      <c r="C7" s="5" t="s">
        <v>659</v>
      </c>
      <c r="D7" s="255" t="s">
        <v>645</v>
      </c>
      <c r="E7" s="254"/>
      <c r="F7" s="5" t="s">
        <v>747</v>
      </c>
      <c r="G7" s="255" t="s">
        <v>807</v>
      </c>
    </row>
    <row r="8" spans="2:7">
      <c r="B8" s="261"/>
      <c r="C8" s="14" t="s">
        <v>664</v>
      </c>
      <c r="D8" s="262" t="s">
        <v>671</v>
      </c>
      <c r="E8" s="254"/>
      <c r="F8" s="5" t="s">
        <v>758</v>
      </c>
      <c r="G8" s="255" t="s">
        <v>778</v>
      </c>
    </row>
    <row r="9" ht="14.75" spans="2:7">
      <c r="B9" s="263"/>
      <c r="C9" s="264" t="s">
        <v>180</v>
      </c>
      <c r="D9" s="265" t="s">
        <v>680</v>
      </c>
      <c r="E9" s="254"/>
      <c r="F9" s="5" t="s">
        <v>763</v>
      </c>
      <c r="G9" s="255" t="s">
        <v>943</v>
      </c>
    </row>
    <row r="10" ht="14.75" spans="2:7">
      <c r="B10" s="266" t="s">
        <v>687</v>
      </c>
      <c r="C10" s="10" t="s">
        <v>944</v>
      </c>
      <c r="D10" s="267" t="s">
        <v>945</v>
      </c>
      <c r="E10" s="254"/>
      <c r="F10" s="5" t="s">
        <v>783</v>
      </c>
      <c r="G10" s="262" t="s">
        <v>180</v>
      </c>
    </row>
    <row r="11" ht="14.75" spans="2:7">
      <c r="B11" s="266"/>
      <c r="C11" s="10" t="s">
        <v>946</v>
      </c>
      <c r="D11" s="255" t="s">
        <v>947</v>
      </c>
      <c r="E11" s="266"/>
      <c r="F11" s="14" t="s">
        <v>789</v>
      </c>
      <c r="G11" s="268"/>
    </row>
    <row r="12" ht="14.75" spans="2:7">
      <c r="B12" s="260"/>
      <c r="C12" s="5" t="s">
        <v>688</v>
      </c>
      <c r="D12" s="255" t="s">
        <v>948</v>
      </c>
      <c r="E12" s="248" t="s">
        <v>949</v>
      </c>
      <c r="F12" s="269" t="s">
        <v>950</v>
      </c>
      <c r="G12" s="270" t="s">
        <v>199</v>
      </c>
    </row>
    <row r="13" spans="2:7">
      <c r="B13" s="260"/>
      <c r="C13" s="5" t="s">
        <v>694</v>
      </c>
      <c r="D13" s="262" t="s">
        <v>199</v>
      </c>
      <c r="E13" s="254"/>
      <c r="F13" s="11" t="s">
        <v>951</v>
      </c>
      <c r="G13" s="268"/>
    </row>
    <row r="14" spans="2:7">
      <c r="B14" s="260"/>
      <c r="C14" s="5" t="s">
        <v>697</v>
      </c>
      <c r="D14" s="268"/>
      <c r="E14" s="254"/>
      <c r="F14" s="139" t="s">
        <v>952</v>
      </c>
      <c r="G14" s="268"/>
    </row>
    <row r="15" spans="2:7">
      <c r="B15" s="260"/>
      <c r="C15" s="5" t="s">
        <v>704</v>
      </c>
      <c r="D15" s="268"/>
      <c r="E15" s="254"/>
      <c r="F15" s="11" t="s">
        <v>953</v>
      </c>
      <c r="G15" s="268"/>
    </row>
    <row r="16" ht="14.75" spans="2:7">
      <c r="B16" s="260"/>
      <c r="C16" s="5" t="s">
        <v>954</v>
      </c>
      <c r="D16" s="268"/>
      <c r="E16" s="271"/>
      <c r="F16" s="11" t="s">
        <v>955</v>
      </c>
      <c r="G16" s="268"/>
    </row>
    <row r="17" ht="15.5" spans="2:7">
      <c r="B17" s="261"/>
      <c r="C17" s="14" t="s">
        <v>956</v>
      </c>
      <c r="D17" s="272"/>
      <c r="E17" s="20" t="s">
        <v>957</v>
      </c>
      <c r="F17" s="273" t="s">
        <v>958</v>
      </c>
      <c r="G17" s="268"/>
    </row>
    <row r="18" ht="14.4" customHeight="1" spans="2:7">
      <c r="B18" s="245" t="s">
        <v>959</v>
      </c>
      <c r="C18" s="249" t="s">
        <v>960</v>
      </c>
      <c r="D18" s="250" t="s">
        <v>961</v>
      </c>
      <c r="E18" s="248" t="s">
        <v>962</v>
      </c>
      <c r="F18" s="269" t="s">
        <v>962</v>
      </c>
      <c r="G18" s="268"/>
    </row>
    <row r="19" spans="2:7">
      <c r="B19" s="251"/>
      <c r="C19" s="5" t="s">
        <v>963</v>
      </c>
      <c r="D19" s="255" t="s">
        <v>964</v>
      </c>
      <c r="E19" s="142"/>
      <c r="F19" s="135" t="s">
        <v>965</v>
      </c>
      <c r="G19" s="268"/>
    </row>
    <row r="20" ht="14.75" spans="2:7">
      <c r="B20" s="251"/>
      <c r="C20" s="5" t="s">
        <v>966</v>
      </c>
      <c r="D20" s="255" t="s">
        <v>199</v>
      </c>
      <c r="E20" s="140"/>
      <c r="F20" s="11" t="s">
        <v>967</v>
      </c>
      <c r="G20" s="268"/>
    </row>
    <row r="21" ht="14.75" spans="2:7">
      <c r="B21" s="251"/>
      <c r="C21" s="5" t="s">
        <v>968</v>
      </c>
      <c r="D21" s="255"/>
      <c r="E21" s="274" t="s">
        <v>372</v>
      </c>
      <c r="F21" s="269" t="s">
        <v>969</v>
      </c>
      <c r="G21" s="268"/>
    </row>
    <row r="22" ht="14.75" spans="2:7">
      <c r="B22" s="251"/>
      <c r="C22" s="7" t="s">
        <v>970</v>
      </c>
      <c r="D22" s="255"/>
      <c r="E22" s="275"/>
      <c r="F22" s="276" t="s">
        <v>971</v>
      </c>
      <c r="G22" s="268"/>
    </row>
    <row r="23" ht="15.5" spans="2:7">
      <c r="B23" s="256"/>
      <c r="C23" s="277"/>
      <c r="D23" s="265"/>
      <c r="E23" s="24" t="s">
        <v>811</v>
      </c>
      <c r="F23" s="21" t="s">
        <v>972</v>
      </c>
      <c r="G23" s="272"/>
    </row>
    <row r="24" ht="14.75"/>
  </sheetData>
  <mergeCells count="15">
    <mergeCell ref="B3:B5"/>
    <mergeCell ref="B6:B9"/>
    <mergeCell ref="B10:B17"/>
    <mergeCell ref="B18:B23"/>
    <mergeCell ref="C3:C5"/>
    <mergeCell ref="C22:C23"/>
    <mergeCell ref="D3:D5"/>
    <mergeCell ref="D13:D17"/>
    <mergeCell ref="D20:D23"/>
    <mergeCell ref="E3:E11"/>
    <mergeCell ref="E12:E16"/>
    <mergeCell ref="E18:E20"/>
    <mergeCell ref="E21:E22"/>
    <mergeCell ref="G10:G11"/>
    <mergeCell ref="G12:G23"/>
  </mergeCells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8"/>
  <sheetViews>
    <sheetView zoomScale="85" zoomScaleNormal="85" topLeftCell="A20" workbookViewId="0">
      <selection activeCell="N49" sqref="N49"/>
    </sheetView>
  </sheetViews>
  <sheetFormatPr defaultColWidth="9" defaultRowHeight="14"/>
  <cols>
    <col min="1" max="1" width="9.55833333333333" style="3" customWidth="1"/>
    <col min="2" max="2" width="7.775" style="3" customWidth="1"/>
    <col min="3" max="3" width="11.5583333333333" style="3" customWidth="1"/>
    <col min="4" max="4" width="12.2166666666667" style="3" customWidth="1"/>
    <col min="5" max="5" width="12.4416666666667" style="3" customWidth="1"/>
    <col min="6" max="6" width="10.2166666666667" style="3" customWidth="1"/>
    <col min="7" max="7" width="9.33333333333333" style="3" customWidth="1"/>
    <col min="8" max="8" width="9.775" style="3" customWidth="1"/>
    <col min="9" max="9" width="9.33333333333333" style="3" customWidth="1"/>
    <col min="10" max="10" width="10.2166666666667" style="3" customWidth="1"/>
    <col min="11" max="16384" width="8.88333333333333" style="3"/>
  </cols>
  <sheetData>
    <row r="1" spans="1:8">
      <c r="A1" s="167" t="s">
        <v>443</v>
      </c>
      <c r="B1" s="168"/>
      <c r="C1" s="169" t="s">
        <v>973</v>
      </c>
      <c r="D1" s="170"/>
      <c r="E1" s="171">
        <f>VLOOKUP(A1,source!E:F,2,0)</f>
        <v>1000</v>
      </c>
      <c r="F1" s="168" t="s">
        <v>974</v>
      </c>
      <c r="G1" s="168"/>
      <c r="H1" s="172"/>
    </row>
    <row r="2" ht="54" customHeight="1" spans="1:8">
      <c r="A2" s="173" t="s">
        <v>975</v>
      </c>
      <c r="B2" s="174"/>
      <c r="C2" s="175"/>
      <c r="D2" s="175"/>
      <c r="E2" s="175"/>
      <c r="F2" s="174"/>
      <c r="G2" s="174"/>
      <c r="H2" s="176"/>
    </row>
    <row r="3" ht="40.8" customHeight="1" spans="1:9">
      <c r="A3" s="177" t="s">
        <v>976</v>
      </c>
      <c r="B3" s="178" t="s">
        <v>977</v>
      </c>
      <c r="C3" s="178"/>
      <c r="D3" s="179" t="s">
        <v>978</v>
      </c>
      <c r="E3" s="180" t="s">
        <v>979</v>
      </c>
      <c r="F3" s="181" t="s">
        <v>980</v>
      </c>
      <c r="G3" s="182"/>
      <c r="H3" s="183"/>
      <c r="I3" s="241"/>
    </row>
    <row r="4" spans="1:9">
      <c r="A4" s="184"/>
      <c r="B4" s="185" t="s">
        <v>981</v>
      </c>
      <c r="C4" s="185" t="s">
        <v>982</v>
      </c>
      <c r="D4" s="186"/>
      <c r="E4" s="187"/>
      <c r="F4" s="188"/>
      <c r="G4" s="189"/>
      <c r="H4" s="190"/>
      <c r="I4" s="241"/>
    </row>
    <row r="5" spans="1:8">
      <c r="A5" s="185" t="s">
        <v>47</v>
      </c>
      <c r="B5" s="185">
        <v>1840</v>
      </c>
      <c r="C5" s="185">
        <f>1.5*E1</f>
        <v>1500</v>
      </c>
      <c r="D5" s="185">
        <f t="shared" ref="D5:D14" si="0">$E$1+(C5-$E$1)*1.5</f>
        <v>1750</v>
      </c>
      <c r="E5" s="187"/>
      <c r="F5" s="188"/>
      <c r="G5" s="189"/>
      <c r="H5" s="190"/>
    </row>
    <row r="6" spans="1:8">
      <c r="A6" s="185" t="s">
        <v>27</v>
      </c>
      <c r="B6" s="185"/>
      <c r="C6" s="185">
        <f>2*E1</f>
        <v>2000</v>
      </c>
      <c r="D6" s="185">
        <f t="shared" si="0"/>
        <v>2500</v>
      </c>
      <c r="E6" s="187"/>
      <c r="F6" s="188"/>
      <c r="G6" s="189"/>
      <c r="H6" s="190"/>
    </row>
    <row r="7" spans="1:8">
      <c r="A7" s="185" t="s">
        <v>48</v>
      </c>
      <c r="B7" s="185"/>
      <c r="C7" s="185">
        <f>2.5*E1</f>
        <v>2500</v>
      </c>
      <c r="D7" s="185">
        <f t="shared" si="0"/>
        <v>3250</v>
      </c>
      <c r="E7" s="187"/>
      <c r="F7" s="188"/>
      <c r="G7" s="189"/>
      <c r="H7" s="190"/>
    </row>
    <row r="8" spans="1:8">
      <c r="A8" s="185" t="s">
        <v>69</v>
      </c>
      <c r="B8" s="185"/>
      <c r="C8" s="185">
        <f>1.2*E1</f>
        <v>1200</v>
      </c>
      <c r="D8" s="185">
        <f t="shared" si="0"/>
        <v>1300</v>
      </c>
      <c r="E8" s="187"/>
      <c r="F8" s="188"/>
      <c r="G8" s="189"/>
      <c r="H8" s="190"/>
    </row>
    <row r="9" spans="1:8">
      <c r="A9" s="185" t="s">
        <v>71</v>
      </c>
      <c r="B9" s="185"/>
      <c r="C9" s="185">
        <f>2*E1</f>
        <v>2000</v>
      </c>
      <c r="D9" s="185">
        <f t="shared" si="0"/>
        <v>2500</v>
      </c>
      <c r="E9" s="187"/>
      <c r="F9" s="188"/>
      <c r="G9" s="189"/>
      <c r="H9" s="190"/>
    </row>
    <row r="10" ht="13.8" customHeight="1" spans="1:8">
      <c r="A10" s="185" t="s">
        <v>35</v>
      </c>
      <c r="B10" s="185">
        <v>1000</v>
      </c>
      <c r="C10" s="185">
        <f>1.2*E1</f>
        <v>1200</v>
      </c>
      <c r="D10" s="185">
        <f t="shared" si="0"/>
        <v>1300</v>
      </c>
      <c r="E10" s="187"/>
      <c r="F10" s="191"/>
      <c r="G10" s="192"/>
      <c r="H10" s="193"/>
    </row>
    <row r="11" ht="13.8" customHeight="1" spans="1:8">
      <c r="A11" s="185" t="s">
        <v>39</v>
      </c>
      <c r="B11" s="185">
        <v>2000</v>
      </c>
      <c r="C11" s="185">
        <f>2*E1</f>
        <v>2000</v>
      </c>
      <c r="D11" s="185">
        <f t="shared" si="0"/>
        <v>2500</v>
      </c>
      <c r="E11" s="187"/>
      <c r="F11" s="194" t="s">
        <v>983</v>
      </c>
      <c r="G11" s="195"/>
      <c r="H11" s="196"/>
    </row>
    <row r="12" ht="13.8" customHeight="1" spans="1:8">
      <c r="A12" s="185" t="s">
        <v>70</v>
      </c>
      <c r="B12" s="185">
        <v>1840</v>
      </c>
      <c r="C12" s="185">
        <f>2*E1</f>
        <v>2000</v>
      </c>
      <c r="D12" s="185">
        <f t="shared" si="0"/>
        <v>2500</v>
      </c>
      <c r="E12" s="187"/>
      <c r="F12" s="197"/>
      <c r="G12" s="198"/>
      <c r="H12" s="199"/>
    </row>
    <row r="13" ht="13.8" customHeight="1" spans="1:8">
      <c r="A13" s="185" t="s">
        <v>23</v>
      </c>
      <c r="B13" s="185">
        <v>50</v>
      </c>
      <c r="C13" s="185">
        <f>1.4*E1</f>
        <v>1400</v>
      </c>
      <c r="D13" s="185">
        <f t="shared" si="0"/>
        <v>1600</v>
      </c>
      <c r="E13" s="187"/>
      <c r="F13" s="200"/>
      <c r="G13" s="175"/>
      <c r="H13" s="201"/>
    </row>
    <row r="14" spans="1:8">
      <c r="A14" s="185" t="s">
        <v>7</v>
      </c>
      <c r="B14" s="185">
        <v>1800</v>
      </c>
      <c r="C14" s="185">
        <f>3*E1</f>
        <v>3000</v>
      </c>
      <c r="D14" s="185">
        <f t="shared" si="0"/>
        <v>4000</v>
      </c>
      <c r="E14" s="187"/>
      <c r="F14" s="202" t="s">
        <v>984</v>
      </c>
      <c r="G14" s="203" t="s">
        <v>985</v>
      </c>
      <c r="H14" s="203" t="s">
        <v>986</v>
      </c>
    </row>
    <row r="15" spans="1:8">
      <c r="A15" s="185" t="s">
        <v>64</v>
      </c>
      <c r="B15" s="185">
        <v>6300</v>
      </c>
      <c r="C15" s="185">
        <f>1.9*E1</f>
        <v>1900</v>
      </c>
      <c r="D15" s="204"/>
      <c r="E15" s="187"/>
      <c r="F15" s="205"/>
      <c r="G15" s="203"/>
      <c r="H15" s="203"/>
    </row>
    <row r="16" spans="1:8">
      <c r="A16" s="185" t="s">
        <v>66</v>
      </c>
      <c r="B16" s="185">
        <v>1840</v>
      </c>
      <c r="C16" s="185">
        <f>1.7*E1</f>
        <v>1700</v>
      </c>
      <c r="D16" s="206"/>
      <c r="E16" s="187"/>
      <c r="F16" s="207"/>
      <c r="G16" s="208">
        <f>$E$1+(C16-$E$1)*200/B16</f>
        <v>1076.08695652174</v>
      </c>
      <c r="H16" s="208">
        <f>$E$1+(C16-$E$1)*50/B16</f>
        <v>1019.02173913043</v>
      </c>
    </row>
    <row r="17" spans="1:8">
      <c r="A17" s="185" t="s">
        <v>76</v>
      </c>
      <c r="B17" s="185"/>
      <c r="C17" s="185"/>
      <c r="D17" s="206"/>
      <c r="E17" s="187"/>
      <c r="F17" s="209"/>
      <c r="G17" s="208"/>
      <c r="H17" s="208"/>
    </row>
    <row r="18" spans="1:8">
      <c r="A18" s="185" t="s">
        <v>65</v>
      </c>
      <c r="B18" s="185"/>
      <c r="C18" s="185"/>
      <c r="D18" s="206"/>
      <c r="E18" s="187"/>
      <c r="F18" s="209"/>
      <c r="G18" s="208"/>
      <c r="H18" s="208"/>
    </row>
    <row r="19" spans="1:8">
      <c r="A19" s="185" t="s">
        <v>37</v>
      </c>
      <c r="B19" s="185">
        <v>500</v>
      </c>
      <c r="C19" s="185">
        <f>1.7*E1</f>
        <v>1700</v>
      </c>
      <c r="D19" s="206"/>
      <c r="E19" s="187"/>
      <c r="F19" s="209"/>
      <c r="G19" s="208">
        <f>$E$1+(C19-$E$1)*200/B19</f>
        <v>1280</v>
      </c>
      <c r="H19" s="208">
        <f>$E$1+(C19-$E$1)*50/B19</f>
        <v>1070</v>
      </c>
    </row>
    <row r="20" spans="1:8">
      <c r="A20" s="185" t="s">
        <v>61</v>
      </c>
      <c r="B20" s="185">
        <v>1840</v>
      </c>
      <c r="C20" s="185">
        <f>1.9*E1</f>
        <v>1900</v>
      </c>
      <c r="D20" s="206"/>
      <c r="E20" s="187"/>
      <c r="F20" s="209"/>
      <c r="G20" s="208">
        <f>$E$1+(C20-$E$1)*200/B20</f>
        <v>1097.82608695652</v>
      </c>
      <c r="H20" s="208">
        <f>$E$1+(C20-$E$1)*50/B20</f>
        <v>1024.45652173913</v>
      </c>
    </row>
    <row r="21" ht="13.8" customHeight="1" spans="1:8">
      <c r="A21" s="185" t="s">
        <v>75</v>
      </c>
      <c r="B21" s="185"/>
      <c r="C21" s="185">
        <f>1.9*E1</f>
        <v>1900</v>
      </c>
      <c r="D21" s="206"/>
      <c r="E21" s="187"/>
      <c r="F21" s="209"/>
      <c r="G21" s="208">
        <f>$E$1+(C21-$E$1)*200/B20</f>
        <v>1097.82608695652</v>
      </c>
      <c r="H21" s="208">
        <f>$E$1+(C21-$E$1)*50/B20</f>
        <v>1024.45652173913</v>
      </c>
    </row>
    <row r="22" spans="1:8">
      <c r="A22" s="185" t="s">
        <v>987</v>
      </c>
      <c r="B22" s="185"/>
      <c r="C22" s="185"/>
      <c r="D22" s="206"/>
      <c r="E22" s="187"/>
      <c r="F22" s="209"/>
      <c r="G22" s="208"/>
      <c r="H22" s="208"/>
    </row>
    <row r="23" spans="1:8">
      <c r="A23" s="185" t="s">
        <v>30</v>
      </c>
      <c r="B23" s="185">
        <v>200</v>
      </c>
      <c r="C23" s="185">
        <v>2000</v>
      </c>
      <c r="D23" s="206"/>
      <c r="E23" s="187"/>
      <c r="F23" s="210"/>
      <c r="G23" s="211">
        <f>$E$1+(C23-$E$1)*200/B23</f>
        <v>2000</v>
      </c>
      <c r="H23" s="208">
        <f>$E$1+(C23-$E$1)*50/B23</f>
        <v>1250</v>
      </c>
    </row>
    <row r="24" spans="1:8">
      <c r="A24" s="185" t="s">
        <v>63</v>
      </c>
      <c r="B24" s="185">
        <v>8900</v>
      </c>
      <c r="C24" s="185">
        <f>1.9*E1</f>
        <v>1900</v>
      </c>
      <c r="D24" s="206"/>
      <c r="E24" s="187"/>
      <c r="F24" s="208">
        <f>$E$1+(C24-$E$1)*800/B24</f>
        <v>1080.89887640449</v>
      </c>
      <c r="G24" s="211"/>
      <c r="H24" s="212"/>
    </row>
    <row r="25" spans="1:8">
      <c r="A25" s="185" t="s">
        <v>67</v>
      </c>
      <c r="B25" s="185">
        <v>3870</v>
      </c>
      <c r="C25" s="185">
        <f>1.8*E1</f>
        <v>1800</v>
      </c>
      <c r="D25" s="206"/>
      <c r="E25" s="187"/>
      <c r="F25" s="208">
        <f>$E$1+(C25-$E$1)*800/B25</f>
        <v>1165.37467700258</v>
      </c>
      <c r="G25" s="213"/>
      <c r="H25" s="214"/>
    </row>
    <row r="26" spans="1:8">
      <c r="A26" s="185" t="s">
        <v>81</v>
      </c>
      <c r="B26" s="185">
        <v>2000</v>
      </c>
      <c r="C26" s="185"/>
      <c r="D26" s="206"/>
      <c r="E26" s="187"/>
      <c r="F26" s="208">
        <f>$E$1+(C25-$E$1)*800/B26</f>
        <v>1320</v>
      </c>
      <c r="G26" s="213"/>
      <c r="H26" s="214"/>
    </row>
    <row r="27" spans="1:8">
      <c r="A27" s="185" t="s">
        <v>60</v>
      </c>
      <c r="B27" s="185">
        <v>7870</v>
      </c>
      <c r="C27" s="215">
        <f>2*E1</f>
        <v>2000</v>
      </c>
      <c r="D27" s="206"/>
      <c r="E27" s="187"/>
      <c r="F27" s="208">
        <f>$E$1+(C27-$E$1)*800/B27</f>
        <v>1101.65184243964</v>
      </c>
      <c r="G27" s="213"/>
      <c r="H27" s="214"/>
    </row>
    <row r="28" spans="1:8">
      <c r="A28" s="185" t="s">
        <v>36</v>
      </c>
      <c r="B28" s="185">
        <v>1000</v>
      </c>
      <c r="C28" s="216"/>
      <c r="D28" s="206"/>
      <c r="E28" s="187"/>
      <c r="F28" s="208">
        <f>$E$1+(C27-$E$1)*800/B28</f>
        <v>1800</v>
      </c>
      <c r="G28" s="213"/>
      <c r="H28" s="214"/>
    </row>
    <row r="29" spans="1:8">
      <c r="A29" s="185" t="s">
        <v>31</v>
      </c>
      <c r="B29" s="185">
        <v>200</v>
      </c>
      <c r="C29" s="217"/>
      <c r="D29" s="206"/>
      <c r="E29" s="187"/>
      <c r="F29" s="208">
        <f>$E$1+(C27-$E$1)*800/B29</f>
        <v>5000</v>
      </c>
      <c r="G29" s="218"/>
      <c r="H29" s="214"/>
    </row>
    <row r="30" spans="1:8">
      <c r="A30" s="185" t="s">
        <v>80</v>
      </c>
      <c r="B30" s="185">
        <v>9970</v>
      </c>
      <c r="C30" s="185">
        <f>1.7*E1</f>
        <v>1700</v>
      </c>
      <c r="D30" s="219" t="s">
        <v>988</v>
      </c>
      <c r="E30" s="187"/>
      <c r="F30" s="208">
        <f>$E$1+(C30-$E$1)*800/B30</f>
        <v>1056.16850551655</v>
      </c>
      <c r="G30" s="220" t="s">
        <v>989</v>
      </c>
      <c r="H30" s="214"/>
    </row>
    <row r="31" spans="1:8">
      <c r="A31" s="185" t="s">
        <v>78</v>
      </c>
      <c r="B31" s="185">
        <v>1000</v>
      </c>
      <c r="C31" s="185">
        <f>1.9*E1</f>
        <v>1900</v>
      </c>
      <c r="D31" s="185"/>
      <c r="E31" s="187"/>
      <c r="F31" s="208">
        <f>$E$1+(C31-$E$1)*800/B31</f>
        <v>1720</v>
      </c>
      <c r="G31" s="221"/>
      <c r="H31" s="222"/>
    </row>
    <row r="32" spans="1:8">
      <c r="A32" s="185" t="s">
        <v>58</v>
      </c>
      <c r="B32" s="185">
        <v>10000</v>
      </c>
      <c r="C32" s="185">
        <f>3*E1</f>
        <v>3000</v>
      </c>
      <c r="D32" s="185">
        <f>21*E1</f>
        <v>21000</v>
      </c>
      <c r="E32" s="187"/>
      <c r="F32" s="208">
        <f>$E$1+(C32-$E$1)*800/B32</f>
        <v>1160</v>
      </c>
      <c r="G32" s="208">
        <f>$E$1+(C32-$E$1)*200/B32</f>
        <v>1040</v>
      </c>
      <c r="H32" s="208">
        <f>$E$1+(C32-$E$1)*50/B32</f>
        <v>1010</v>
      </c>
    </row>
    <row r="33" spans="1:8">
      <c r="A33" s="185" t="s">
        <v>68</v>
      </c>
      <c r="B33" s="185">
        <v>50</v>
      </c>
      <c r="C33" s="185">
        <f>1.8*E1</f>
        <v>1800</v>
      </c>
      <c r="D33" s="185"/>
      <c r="E33" s="187"/>
      <c r="F33" s="208">
        <f>$E$1+(C33-$E$1)*800/B33</f>
        <v>13800</v>
      </c>
      <c r="G33" s="208">
        <f>$E$1+(C33-$E$1)*200/B33</f>
        <v>4200</v>
      </c>
      <c r="H33" s="208">
        <f>$E$1+(C33-$E$1)*50/B33</f>
        <v>1800</v>
      </c>
    </row>
    <row r="34" spans="1:8">
      <c r="A34" s="185" t="s">
        <v>55</v>
      </c>
      <c r="B34" s="185">
        <v>1800</v>
      </c>
      <c r="C34" s="185"/>
      <c r="D34" s="185"/>
      <c r="E34" s="187"/>
      <c r="F34" s="208">
        <f>$E$1+(C33-$E$1)*800/B34</f>
        <v>1355.55555555556</v>
      </c>
      <c r="G34" s="208">
        <f>$E$1+(C33-$E$1)*200/B34</f>
        <v>1088.88888888889</v>
      </c>
      <c r="H34" s="208">
        <f>$E$1+(C33-$E$1)*50/B34</f>
        <v>1022.22222222222</v>
      </c>
    </row>
    <row r="35" spans="1:8">
      <c r="A35" s="185" t="s">
        <v>56</v>
      </c>
      <c r="B35" s="185">
        <v>1840</v>
      </c>
      <c r="C35" s="185">
        <f>3.5*E1</f>
        <v>3500</v>
      </c>
      <c r="D35" s="185"/>
      <c r="E35" s="187"/>
      <c r="F35" s="211"/>
      <c r="G35" s="223"/>
      <c r="H35" s="212"/>
    </row>
    <row r="36" spans="1:8">
      <c r="A36" s="185" t="s">
        <v>40</v>
      </c>
      <c r="B36" s="185">
        <v>800</v>
      </c>
      <c r="C36" s="185">
        <f>2*E1</f>
        <v>2000</v>
      </c>
      <c r="D36" s="185"/>
      <c r="E36" s="187"/>
      <c r="F36" s="213"/>
      <c r="G36" s="224"/>
      <c r="H36" s="214"/>
    </row>
    <row r="37" spans="1:8">
      <c r="A37" s="185" t="s">
        <v>18</v>
      </c>
      <c r="B37" s="185">
        <v>913</v>
      </c>
      <c r="C37" s="185">
        <f>1.4*E1</f>
        <v>1400</v>
      </c>
      <c r="D37" s="185"/>
      <c r="E37" s="187"/>
      <c r="F37" s="213"/>
      <c r="G37" s="224"/>
      <c r="H37" s="214"/>
    </row>
    <row r="38" spans="1:8">
      <c r="A38" s="185" t="s">
        <v>447</v>
      </c>
      <c r="B38" s="185">
        <v>150</v>
      </c>
      <c r="C38" s="185">
        <f>1.1*E1</f>
        <v>1100</v>
      </c>
      <c r="D38" s="185"/>
      <c r="E38" s="187"/>
      <c r="F38" s="213"/>
      <c r="G38" s="224"/>
      <c r="H38" s="214"/>
    </row>
    <row r="39" spans="1:8">
      <c r="A39" s="185" t="s">
        <v>22</v>
      </c>
      <c r="B39" s="185">
        <v>1840</v>
      </c>
      <c r="C39" s="185">
        <f>1.2*E1</f>
        <v>1200</v>
      </c>
      <c r="D39" s="185"/>
      <c r="E39" s="187"/>
      <c r="F39" s="213"/>
      <c r="G39" s="224"/>
      <c r="H39" s="214"/>
    </row>
    <row r="40" ht="14.75" spans="1:8">
      <c r="A40" s="215" t="s">
        <v>34</v>
      </c>
      <c r="B40" s="215"/>
      <c r="C40" s="215"/>
      <c r="D40" s="215"/>
      <c r="E40" s="225"/>
      <c r="F40" s="226"/>
      <c r="G40" s="227"/>
      <c r="H40" s="228"/>
    </row>
    <row r="41" ht="14.75" spans="1:8">
      <c r="A41" s="229" t="s">
        <v>72</v>
      </c>
      <c r="B41" s="230">
        <v>1000</v>
      </c>
      <c r="C41" s="230">
        <f>1.5*E1</f>
        <v>1500</v>
      </c>
      <c r="D41" s="231"/>
      <c r="E41" s="231" t="s">
        <v>53</v>
      </c>
      <c r="F41" s="229">
        <v>2000</v>
      </c>
      <c r="G41" s="230">
        <f>1.1*E1</f>
        <v>1100</v>
      </c>
      <c r="H41" s="231"/>
    </row>
    <row r="42" ht="13.8" customHeight="1" spans="1:8">
      <c r="A42" s="185" t="s">
        <v>28</v>
      </c>
      <c r="B42" s="185">
        <v>500</v>
      </c>
      <c r="C42" s="217">
        <f>2*E1</f>
        <v>2000</v>
      </c>
      <c r="D42" s="217"/>
      <c r="E42" s="232" t="s">
        <v>62</v>
      </c>
      <c r="F42" s="185">
        <v>1840</v>
      </c>
      <c r="G42" s="233">
        <f>1.9*E1</f>
        <v>1900</v>
      </c>
      <c r="H42" s="232"/>
    </row>
    <row r="43" spans="1:8">
      <c r="A43" s="185" t="s">
        <v>42</v>
      </c>
      <c r="B43" s="215">
        <v>1840</v>
      </c>
      <c r="C43" s="185">
        <f>1.25*E1</f>
        <v>1250</v>
      </c>
      <c r="D43" s="185"/>
      <c r="E43" s="234" t="s">
        <v>38</v>
      </c>
      <c r="F43" s="185">
        <v>2000</v>
      </c>
      <c r="G43" s="233">
        <f>1.6*E1</f>
        <v>1600</v>
      </c>
      <c r="H43" s="232"/>
    </row>
    <row r="44" spans="1:8">
      <c r="A44" s="185" t="s">
        <v>43</v>
      </c>
      <c r="B44" s="217"/>
      <c r="C44" s="185"/>
      <c r="D44" s="185"/>
      <c r="E44" s="232" t="s">
        <v>20</v>
      </c>
      <c r="F44" s="185">
        <v>1840</v>
      </c>
      <c r="G44" s="235">
        <f>1.1*E1</f>
        <v>1100</v>
      </c>
      <c r="H44" s="236"/>
    </row>
    <row r="45" spans="1:8">
      <c r="A45" s="185" t="s">
        <v>8</v>
      </c>
      <c r="B45" s="185">
        <v>3200</v>
      </c>
      <c r="C45" s="185">
        <f>3*E1</f>
        <v>3000</v>
      </c>
      <c r="D45" s="185"/>
      <c r="E45" s="232" t="s">
        <v>19</v>
      </c>
      <c r="F45" s="185"/>
      <c r="G45" s="237"/>
      <c r="H45" s="238"/>
    </row>
    <row r="46" ht="13.8" customHeight="1" spans="1:8">
      <c r="A46" s="185" t="s">
        <v>73</v>
      </c>
      <c r="B46" s="185">
        <v>300</v>
      </c>
      <c r="C46" s="185">
        <f>1.2*E1</f>
        <v>1200</v>
      </c>
      <c r="D46" s="185"/>
      <c r="E46" s="172" t="s">
        <v>14</v>
      </c>
      <c r="F46" s="185"/>
      <c r="G46" s="239"/>
      <c r="H46" s="240"/>
    </row>
    <row r="47" spans="1:8">
      <c r="A47" s="185" t="s">
        <v>74</v>
      </c>
      <c r="B47" s="185">
        <v>300</v>
      </c>
      <c r="C47" s="185"/>
      <c r="D47" s="185"/>
      <c r="E47" s="232" t="s">
        <v>12</v>
      </c>
      <c r="F47" s="185">
        <v>200</v>
      </c>
      <c r="G47" s="233">
        <f>2*E1</f>
        <v>2000</v>
      </c>
      <c r="H47" s="232"/>
    </row>
    <row r="48" spans="1:8">
      <c r="A48" s="185" t="s">
        <v>44</v>
      </c>
      <c r="B48" s="185">
        <v>300</v>
      </c>
      <c r="C48" s="185"/>
      <c r="D48" s="185"/>
      <c r="E48" s="232" t="s">
        <v>13</v>
      </c>
      <c r="F48" s="185">
        <v>1000</v>
      </c>
      <c r="G48" s="233">
        <f>1.25*E1</f>
        <v>1250</v>
      </c>
      <c r="H48" s="232"/>
    </row>
    <row r="49" spans="1:8">
      <c r="A49" s="185" t="s">
        <v>51</v>
      </c>
      <c r="B49" s="185">
        <v>4000</v>
      </c>
      <c r="C49" s="185">
        <f>1.8*E1</f>
        <v>1800</v>
      </c>
      <c r="D49" s="185"/>
      <c r="E49" s="232" t="s">
        <v>26</v>
      </c>
      <c r="F49" s="185">
        <v>1</v>
      </c>
      <c r="G49" s="233">
        <f>1.5*E1</f>
        <v>1500</v>
      </c>
      <c r="H49" s="232"/>
    </row>
    <row r="50" spans="1:8">
      <c r="A50" s="185" t="s">
        <v>52</v>
      </c>
      <c r="B50" s="185"/>
      <c r="C50" s="185"/>
      <c r="D50" s="185"/>
      <c r="E50" s="232" t="s">
        <v>15</v>
      </c>
      <c r="F50" s="185">
        <v>750</v>
      </c>
      <c r="G50" s="233">
        <f>2*E1</f>
        <v>2000</v>
      </c>
      <c r="H50" s="232"/>
    </row>
    <row r="51" spans="1:8">
      <c r="A51" s="185" t="s">
        <v>57</v>
      </c>
      <c r="B51" s="185">
        <v>500</v>
      </c>
      <c r="C51" s="185">
        <f>2*E1</f>
        <v>2000</v>
      </c>
      <c r="D51" s="185"/>
      <c r="E51" s="232" t="s">
        <v>54</v>
      </c>
      <c r="F51" s="185">
        <v>2000</v>
      </c>
      <c r="G51" s="233">
        <f>1.1*E1</f>
        <v>1100</v>
      </c>
      <c r="H51" s="232"/>
    </row>
    <row r="52" spans="1:8">
      <c r="A52" s="185" t="s">
        <v>59</v>
      </c>
      <c r="B52" s="185">
        <v>1000</v>
      </c>
      <c r="C52" s="185">
        <f>1.5*E1</f>
        <v>1500</v>
      </c>
      <c r="D52" s="185"/>
      <c r="E52" s="232" t="s">
        <v>32</v>
      </c>
      <c r="F52" s="215">
        <v>200</v>
      </c>
      <c r="G52" s="235">
        <f>2*E1</f>
        <v>2000</v>
      </c>
      <c r="H52" s="236"/>
    </row>
    <row r="53" spans="1:8">
      <c r="A53" s="185" t="s">
        <v>77</v>
      </c>
      <c r="B53" s="185">
        <v>1840</v>
      </c>
      <c r="C53" s="185">
        <f>1.8*E1</f>
        <v>1800</v>
      </c>
      <c r="D53" s="185"/>
      <c r="E53" s="232" t="s">
        <v>29</v>
      </c>
      <c r="F53" s="217"/>
      <c r="G53" s="239"/>
      <c r="H53" s="240"/>
    </row>
    <row r="54" spans="1:8">
      <c r="A54" s="185" t="s">
        <v>455</v>
      </c>
      <c r="B54" s="185">
        <v>1000</v>
      </c>
      <c r="C54" s="185">
        <f>1.85*E1</f>
        <v>1850</v>
      </c>
      <c r="D54" s="185"/>
      <c r="E54" s="232" t="s">
        <v>25</v>
      </c>
      <c r="F54" s="185">
        <v>2000</v>
      </c>
      <c r="G54" s="233">
        <f>1.1*E1</f>
        <v>1100</v>
      </c>
      <c r="H54" s="232"/>
    </row>
    <row r="55" spans="1:8">
      <c r="A55" s="185" t="s">
        <v>10</v>
      </c>
      <c r="B55" s="185">
        <v>1100</v>
      </c>
      <c r="C55" s="185">
        <f>2*E1</f>
        <v>2000</v>
      </c>
      <c r="D55" s="185"/>
      <c r="E55" s="232" t="s">
        <v>45</v>
      </c>
      <c r="F55" s="215">
        <v>1840</v>
      </c>
      <c r="G55" s="235">
        <f>1.25*E1</f>
        <v>1250</v>
      </c>
      <c r="H55" s="236"/>
    </row>
    <row r="56" spans="1:8">
      <c r="A56" s="185" t="s">
        <v>16</v>
      </c>
      <c r="B56" s="185">
        <v>1100</v>
      </c>
      <c r="C56" s="185"/>
      <c r="D56" s="185"/>
      <c r="E56" s="232" t="s">
        <v>46</v>
      </c>
      <c r="F56" s="217"/>
      <c r="G56" s="239"/>
      <c r="H56" s="240"/>
    </row>
    <row r="57" spans="1:8">
      <c r="A57" s="185" t="s">
        <v>11</v>
      </c>
      <c r="B57" s="185">
        <v>800</v>
      </c>
      <c r="C57" s="185"/>
      <c r="D57" s="185"/>
      <c r="E57" s="232" t="s">
        <v>5</v>
      </c>
      <c r="F57" s="185">
        <v>200</v>
      </c>
      <c r="G57" s="233">
        <f>1.45*E1</f>
        <v>1450</v>
      </c>
      <c r="H57" s="232"/>
    </row>
    <row r="58" spans="1:4">
      <c r="A58" s="185" t="s">
        <v>17</v>
      </c>
      <c r="B58" s="185">
        <v>20</v>
      </c>
      <c r="C58" s="185">
        <f>1.3*E1</f>
        <v>1300</v>
      </c>
      <c r="D58" s="185"/>
    </row>
  </sheetData>
  <mergeCells count="65">
    <mergeCell ref="A1:B1"/>
    <mergeCell ref="C1:D1"/>
    <mergeCell ref="F1:H1"/>
    <mergeCell ref="A2:H2"/>
    <mergeCell ref="B3:C3"/>
    <mergeCell ref="C41:D41"/>
    <mergeCell ref="G41:H41"/>
    <mergeCell ref="C42:D42"/>
    <mergeCell ref="G42:H42"/>
    <mergeCell ref="G43:H43"/>
    <mergeCell ref="C45:D45"/>
    <mergeCell ref="G47:H47"/>
    <mergeCell ref="G48:H48"/>
    <mergeCell ref="G49:H49"/>
    <mergeCell ref="G50:H50"/>
    <mergeCell ref="C51:D51"/>
    <mergeCell ref="G51:H51"/>
    <mergeCell ref="C52:D52"/>
    <mergeCell ref="C53:D53"/>
    <mergeCell ref="C54:D54"/>
    <mergeCell ref="G54:H54"/>
    <mergeCell ref="G57:H57"/>
    <mergeCell ref="C58:D58"/>
    <mergeCell ref="A3:A4"/>
    <mergeCell ref="B5:B9"/>
    <mergeCell ref="B16:B18"/>
    <mergeCell ref="B20:B22"/>
    <mergeCell ref="B39:B40"/>
    <mergeCell ref="B43:B44"/>
    <mergeCell ref="B46:B48"/>
    <mergeCell ref="B49:B50"/>
    <mergeCell ref="C16:C18"/>
    <mergeCell ref="C21:C22"/>
    <mergeCell ref="C25:C26"/>
    <mergeCell ref="C27:C29"/>
    <mergeCell ref="C33:C34"/>
    <mergeCell ref="C39:C40"/>
    <mergeCell ref="D3:D4"/>
    <mergeCell ref="D30:D31"/>
    <mergeCell ref="D33:D40"/>
    <mergeCell ref="E3:E40"/>
    <mergeCell ref="F14:F15"/>
    <mergeCell ref="F16:F23"/>
    <mergeCell ref="F44:F46"/>
    <mergeCell ref="F52:F53"/>
    <mergeCell ref="F55:F56"/>
    <mergeCell ref="G14:G15"/>
    <mergeCell ref="G16:G18"/>
    <mergeCell ref="G21:G22"/>
    <mergeCell ref="G24:G29"/>
    <mergeCell ref="G30:G31"/>
    <mergeCell ref="H14:H15"/>
    <mergeCell ref="H16:H18"/>
    <mergeCell ref="H21:H22"/>
    <mergeCell ref="H24:H31"/>
    <mergeCell ref="G52:H53"/>
    <mergeCell ref="C55:D57"/>
    <mergeCell ref="G55:H56"/>
    <mergeCell ref="C49:D50"/>
    <mergeCell ref="C43:D44"/>
    <mergeCell ref="G44:H46"/>
    <mergeCell ref="C46:D48"/>
    <mergeCell ref="F35:H40"/>
    <mergeCell ref="F3:H10"/>
    <mergeCell ref="F11:H13"/>
  </mergeCells>
  <dataValidations count="1">
    <dataValidation type="list" allowBlank="1" showInputMessage="1" showErrorMessage="1" sqref="A1:B1">
      <formula1>source!$E$2:$E$35</formula1>
    </dataValidation>
  </dataValidations>
  <pageMargins left="0.236220472440945" right="0.236220472440945" top="0.748031496062992" bottom="0.078740157480315" header="0" footer="0"/>
  <pageSetup paperSize="9" orientation="portrait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3"/>
  <sheetViews>
    <sheetView workbookViewId="0">
      <selection activeCell="E6" sqref="E6"/>
    </sheetView>
  </sheetViews>
  <sheetFormatPr defaultColWidth="9" defaultRowHeight="14" outlineLevelCol="6"/>
  <cols>
    <col min="1" max="4" width="14.1083333333333" customWidth="1"/>
    <col min="5" max="5" width="26.5583333333333" customWidth="1"/>
    <col min="6" max="6" width="10.775" customWidth="1"/>
    <col min="13" max="13" width="13.4416666666667" customWidth="1"/>
    <col min="14" max="14" width="13.1083333333333" customWidth="1"/>
  </cols>
  <sheetData>
    <row r="1" ht="20" spans="1:6">
      <c r="A1" s="155"/>
      <c r="B1" s="156" t="s">
        <v>990</v>
      </c>
      <c r="C1" s="156" t="s">
        <v>991</v>
      </c>
      <c r="D1" s="156" t="s">
        <v>992</v>
      </c>
      <c r="E1" s="156" t="s">
        <v>993</v>
      </c>
      <c r="F1" s="156" t="s">
        <v>994</v>
      </c>
    </row>
    <row r="2" ht="20" spans="1:6">
      <c r="A2" s="155" t="s">
        <v>995</v>
      </c>
      <c r="B2" s="157" t="s">
        <v>996</v>
      </c>
      <c r="C2" s="157" t="s">
        <v>27</v>
      </c>
      <c r="D2" s="158" t="s">
        <v>392</v>
      </c>
      <c r="E2" s="157">
        <v>0</v>
      </c>
      <c r="F2" s="157">
        <f>VLOOKUP(B2,source!H:I,2,0)</f>
        <v>2500</v>
      </c>
    </row>
    <row r="3" ht="20" spans="1:6">
      <c r="A3" s="155" t="s">
        <v>997</v>
      </c>
      <c r="B3" s="157" t="s">
        <v>998</v>
      </c>
      <c r="C3" s="157" t="s">
        <v>39</v>
      </c>
      <c r="D3" s="159"/>
      <c r="E3" s="157">
        <v>100</v>
      </c>
      <c r="F3" s="157">
        <f>VLOOKUP(B3,source!H:J,3,0)</f>
        <v>1050</v>
      </c>
    </row>
    <row r="4" ht="20" spans="1:6">
      <c r="A4" s="155" t="s">
        <v>999</v>
      </c>
      <c r="B4" s="160"/>
      <c r="C4" s="161"/>
      <c r="D4" s="161"/>
      <c r="E4" s="162"/>
      <c r="F4" s="157">
        <f>F3+F2-source!M4</f>
        <v>2550</v>
      </c>
    </row>
    <row r="5" ht="20" spans="1:6">
      <c r="A5" s="163"/>
      <c r="B5" s="163"/>
      <c r="C5" s="163"/>
      <c r="D5" s="163"/>
      <c r="E5" s="163"/>
      <c r="F5" s="163"/>
    </row>
    <row r="6" ht="20" spans="1:6">
      <c r="A6" s="163"/>
      <c r="B6" s="163"/>
      <c r="C6" s="163"/>
      <c r="D6" s="163"/>
      <c r="E6" s="163"/>
      <c r="F6" s="163"/>
    </row>
    <row r="7" ht="20" spans="1:6">
      <c r="A7" s="164" t="s">
        <v>1000</v>
      </c>
      <c r="B7" s="163"/>
      <c r="C7" s="163"/>
      <c r="D7" s="163"/>
      <c r="E7" s="163"/>
      <c r="F7" s="163"/>
    </row>
    <row r="8" ht="20" spans="1:6">
      <c r="A8" s="163"/>
      <c r="B8" s="163"/>
      <c r="C8" s="163"/>
      <c r="D8" s="163"/>
      <c r="E8" s="163"/>
      <c r="F8" s="163"/>
    </row>
    <row r="9" ht="20" spans="1:7">
      <c r="A9" s="163" t="s">
        <v>1001</v>
      </c>
      <c r="B9" s="163"/>
      <c r="C9" s="163"/>
      <c r="D9" s="163"/>
      <c r="E9" s="163"/>
      <c r="F9" s="163"/>
      <c r="G9" s="163"/>
    </row>
    <row r="10" ht="20" spans="1:7">
      <c r="A10" s="163" t="s">
        <v>1002</v>
      </c>
      <c r="B10" s="163"/>
      <c r="C10" s="163"/>
      <c r="D10" s="163"/>
      <c r="E10" s="163"/>
      <c r="F10" s="163"/>
      <c r="G10" s="163"/>
    </row>
    <row r="11" ht="20" spans="1:7">
      <c r="A11" s="163" t="s">
        <v>1003</v>
      </c>
      <c r="B11" s="163"/>
      <c r="C11" s="163"/>
      <c r="D11" s="163"/>
      <c r="E11" s="163"/>
      <c r="F11" s="163"/>
      <c r="G11" s="163"/>
    </row>
    <row r="12" ht="22.5" spans="1:7">
      <c r="A12" s="165" t="s">
        <v>1004</v>
      </c>
      <c r="B12" s="165"/>
      <c r="C12" s="165"/>
      <c r="D12" s="165"/>
      <c r="E12" s="165"/>
      <c r="F12" s="166"/>
      <c r="G12" s="166"/>
    </row>
    <row r="13" ht="20" spans="1:5">
      <c r="A13" s="163" t="s">
        <v>1005</v>
      </c>
      <c r="B13" s="163"/>
      <c r="C13" s="163"/>
      <c r="D13" s="163"/>
      <c r="E13" s="163"/>
    </row>
  </sheetData>
  <mergeCells count="7">
    <mergeCell ref="B4:E4"/>
    <mergeCell ref="A9:E9"/>
    <mergeCell ref="A10:E10"/>
    <mergeCell ref="A11:E11"/>
    <mergeCell ref="A12:E12"/>
    <mergeCell ref="A13:E13"/>
    <mergeCell ref="D2:D3"/>
  </mergeCells>
  <dataValidations count="3">
    <dataValidation type="list" allowBlank="1" showInputMessage="1" showErrorMessage="1" sqref="B2 B3">
      <formula1>source!$H$2:$H$8</formula1>
    </dataValidation>
    <dataValidation type="list" allowBlank="1" showInputMessage="1" showErrorMessage="1" sqref="D2:D3">
      <formula1>source!$E$2:$E$35</formula1>
    </dataValidation>
    <dataValidation type="list" allowBlank="1" showInputMessage="1" showErrorMessage="1" sqref="C2 C3">
      <formula1>source!$A$2:$A$77</formula1>
    </dataValidation>
  </dataValidations>
  <hyperlinks>
    <hyperlink ref="A12" r:id="rId1" display="全部抗压系数数据来自EWZP；"/>
    <hyperlink ref="A12:E12" r:id="rId2" display="全部抗压系数数据来自EWZP；"/>
  </hyperlinks>
  <pageMargins left="0.7" right="0.7" top="0.75" bottom="0.75" header="0.3" footer="0.3"/>
  <pageSetup paperSize="9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93"/>
  <sheetViews>
    <sheetView workbookViewId="0">
      <pane ySplit="1" topLeftCell="A2" activePane="bottomLeft" state="frozen"/>
      <selection/>
      <selection pane="bottomLeft" activeCell="H12" sqref="H12"/>
    </sheetView>
  </sheetViews>
  <sheetFormatPr defaultColWidth="9" defaultRowHeight="14" outlineLevelCol="5"/>
  <cols>
    <col min="1" max="2" width="4.21666666666667" style="145" customWidth="1"/>
    <col min="3" max="3" width="19.3333333333333" style="143" customWidth="1"/>
    <col min="4" max="4" width="16" style="143" customWidth="1"/>
    <col min="5" max="5" width="16.5583333333333" style="3" customWidth="1"/>
    <col min="6" max="6" width="37.2166666666667" style="146" customWidth="1"/>
  </cols>
  <sheetData>
    <row r="1" spans="1:6">
      <c r="A1" s="145" t="s">
        <v>83</v>
      </c>
      <c r="B1" s="145" t="s">
        <v>1006</v>
      </c>
      <c r="C1" s="143" t="s">
        <v>1007</v>
      </c>
      <c r="D1" s="143" t="s">
        <v>1008</v>
      </c>
      <c r="E1" s="3" t="s">
        <v>1009</v>
      </c>
      <c r="F1" s="146" t="s">
        <v>1010</v>
      </c>
    </row>
    <row r="2" ht="28" spans="1:6">
      <c r="A2" s="145">
        <v>1</v>
      </c>
      <c r="B2" s="145">
        <v>1</v>
      </c>
      <c r="C2" s="143" t="s">
        <v>1011</v>
      </c>
      <c r="D2" s="143" t="s">
        <v>1012</v>
      </c>
      <c r="E2" s="3" t="s">
        <v>1013</v>
      </c>
      <c r="F2" s="146" t="s">
        <v>1014</v>
      </c>
    </row>
    <row r="3" spans="1:5">
      <c r="A3" s="145">
        <v>2</v>
      </c>
      <c r="B3" s="145">
        <v>1</v>
      </c>
      <c r="C3" s="143" t="s">
        <v>1015</v>
      </c>
      <c r="D3" s="143" t="s">
        <v>1016</v>
      </c>
      <c r="E3" s="3" t="s">
        <v>1017</v>
      </c>
    </row>
    <row r="4" ht="28" spans="1:6">
      <c r="A4" s="145">
        <v>3</v>
      </c>
      <c r="B4" s="145">
        <v>1</v>
      </c>
      <c r="C4" s="147" t="s">
        <v>1018</v>
      </c>
      <c r="D4" s="147" t="s">
        <v>1019</v>
      </c>
      <c r="E4" s="148"/>
      <c r="F4" s="149" t="s">
        <v>1020</v>
      </c>
    </row>
    <row r="5" ht="28" spans="1:6">
      <c r="A5" s="145">
        <v>4</v>
      </c>
      <c r="B5" s="145">
        <v>1</v>
      </c>
      <c r="C5" s="143" t="s">
        <v>1021</v>
      </c>
      <c r="D5" s="143" t="s">
        <v>1022</v>
      </c>
      <c r="E5" s="3" t="s">
        <v>1023</v>
      </c>
      <c r="F5" s="146" t="s">
        <v>1024</v>
      </c>
    </row>
    <row r="6" spans="1:4">
      <c r="A6" s="145">
        <v>5</v>
      </c>
      <c r="B6" s="145">
        <v>1</v>
      </c>
      <c r="C6" s="143" t="s">
        <v>1025</v>
      </c>
      <c r="D6" s="143" t="s">
        <v>1026</v>
      </c>
    </row>
    <row r="7" ht="28" spans="1:6">
      <c r="A7" s="145">
        <v>6</v>
      </c>
      <c r="B7" s="145">
        <v>1</v>
      </c>
      <c r="C7" s="150" t="s">
        <v>1027</v>
      </c>
      <c r="D7" s="150" t="s">
        <v>1028</v>
      </c>
      <c r="E7" s="151"/>
      <c r="F7" s="152" t="s">
        <v>1029</v>
      </c>
    </row>
    <row r="8" ht="28" spans="1:6">
      <c r="A8" s="145">
        <v>7</v>
      </c>
      <c r="B8" s="145">
        <v>1</v>
      </c>
      <c r="C8" s="147" t="s">
        <v>1030</v>
      </c>
      <c r="D8" s="147" t="s">
        <v>1031</v>
      </c>
      <c r="E8" s="148"/>
      <c r="F8" s="149" t="s">
        <v>1032</v>
      </c>
    </row>
    <row r="9" spans="1:6">
      <c r="A9" s="145">
        <v>8</v>
      </c>
      <c r="B9" s="145">
        <v>1</v>
      </c>
      <c r="C9" s="147" t="s">
        <v>1033</v>
      </c>
      <c r="D9" s="147" t="s">
        <v>1034</v>
      </c>
      <c r="E9" s="148"/>
      <c r="F9" s="149" t="s">
        <v>1035</v>
      </c>
    </row>
    <row r="10" ht="28" spans="1:6">
      <c r="A10" s="145">
        <v>9</v>
      </c>
      <c r="B10" s="145">
        <v>1</v>
      </c>
      <c r="C10" s="143" t="s">
        <v>1036</v>
      </c>
      <c r="D10" s="143" t="s">
        <v>1037</v>
      </c>
      <c r="F10" s="146" t="s">
        <v>1038</v>
      </c>
    </row>
    <row r="11" ht="28" spans="1:6">
      <c r="A11" s="145">
        <v>10</v>
      </c>
      <c r="B11" s="145">
        <v>1</v>
      </c>
      <c r="C11" s="153" t="s">
        <v>1039</v>
      </c>
      <c r="D11" s="153" t="s">
        <v>1040</v>
      </c>
      <c r="E11" s="145"/>
      <c r="F11" s="154" t="s">
        <v>1041</v>
      </c>
    </row>
    <row r="12" ht="28" spans="1:6">
      <c r="A12" s="145">
        <v>11</v>
      </c>
      <c r="B12" s="145">
        <v>1</v>
      </c>
      <c r="C12" s="147" t="s">
        <v>1042</v>
      </c>
      <c r="D12" s="147" t="s">
        <v>1043</v>
      </c>
      <c r="E12" s="148"/>
      <c r="F12" s="149" t="s">
        <v>1044</v>
      </c>
    </row>
    <row r="13" ht="42" spans="1:6">
      <c r="A13" s="145">
        <v>12</v>
      </c>
      <c r="B13" s="145">
        <v>1</v>
      </c>
      <c r="C13" s="147" t="s">
        <v>1045</v>
      </c>
      <c r="D13" s="147" t="s">
        <v>1046</v>
      </c>
      <c r="E13" s="148" t="s">
        <v>1047</v>
      </c>
      <c r="F13" s="149" t="s">
        <v>1048</v>
      </c>
    </row>
    <row r="14" spans="1:6">
      <c r="A14" s="145">
        <v>13</v>
      </c>
      <c r="B14" s="145" t="s">
        <v>1049</v>
      </c>
      <c r="C14" s="153" t="s">
        <v>1050</v>
      </c>
      <c r="D14" s="153" t="s">
        <v>1051</v>
      </c>
      <c r="E14" s="145"/>
      <c r="F14" s="154" t="s">
        <v>1052</v>
      </c>
    </row>
    <row r="15" ht="98" spans="1:6">
      <c r="A15" s="145">
        <v>14</v>
      </c>
      <c r="B15" s="145">
        <v>1</v>
      </c>
      <c r="C15" s="147" t="s">
        <v>1053</v>
      </c>
      <c r="D15" s="147" t="s">
        <v>1054</v>
      </c>
      <c r="E15" s="148"/>
      <c r="F15" s="149" t="s">
        <v>1055</v>
      </c>
    </row>
    <row r="16" ht="28" spans="1:6">
      <c r="A16" s="145">
        <v>15</v>
      </c>
      <c r="B16" s="145">
        <v>1</v>
      </c>
      <c r="C16" s="147" t="s">
        <v>1056</v>
      </c>
      <c r="D16" s="147" t="s">
        <v>1057</v>
      </c>
      <c r="E16" s="148"/>
      <c r="F16" s="149" t="s">
        <v>1058</v>
      </c>
    </row>
    <row r="17" spans="1:6">
      <c r="A17" s="145">
        <v>16</v>
      </c>
      <c r="B17" s="145">
        <v>1</v>
      </c>
      <c r="C17" s="147" t="s">
        <v>1059</v>
      </c>
      <c r="D17" s="147" t="s">
        <v>1060</v>
      </c>
      <c r="E17" s="148" t="s">
        <v>1061</v>
      </c>
      <c r="F17" s="149" t="s">
        <v>1062</v>
      </c>
    </row>
    <row r="18" ht="28" spans="1:6">
      <c r="A18" s="145">
        <v>17</v>
      </c>
      <c r="B18" s="145" t="s">
        <v>1049</v>
      </c>
      <c r="C18" s="143" t="s">
        <v>1063</v>
      </c>
      <c r="D18" s="143" t="s">
        <v>1064</v>
      </c>
      <c r="F18" s="146" t="s">
        <v>1065</v>
      </c>
    </row>
    <row r="19" spans="1:6">
      <c r="A19" s="145">
        <v>18</v>
      </c>
      <c r="B19" s="145">
        <v>1</v>
      </c>
      <c r="C19" s="143" t="s">
        <v>1066</v>
      </c>
      <c r="D19" s="143" t="s">
        <v>1067</v>
      </c>
      <c r="F19" s="146" t="s">
        <v>1068</v>
      </c>
    </row>
    <row r="20" spans="1:5">
      <c r="A20" s="145">
        <v>19</v>
      </c>
      <c r="B20" s="145">
        <v>1</v>
      </c>
      <c r="C20" s="143" t="s">
        <v>1069</v>
      </c>
      <c r="D20" s="143" t="s">
        <v>1070</v>
      </c>
      <c r="E20" s="3" t="s">
        <v>1071</v>
      </c>
    </row>
    <row r="21" ht="28" spans="1:6">
      <c r="A21" s="145">
        <v>20</v>
      </c>
      <c r="B21" s="145" t="s">
        <v>1049</v>
      </c>
      <c r="C21" s="143" t="s">
        <v>1072</v>
      </c>
      <c r="D21" s="143" t="s">
        <v>1073</v>
      </c>
      <c r="F21" s="146" t="s">
        <v>1074</v>
      </c>
    </row>
    <row r="22" ht="28" spans="1:6">
      <c r="A22" s="145">
        <v>21</v>
      </c>
      <c r="B22" s="145">
        <v>1</v>
      </c>
      <c r="C22" s="147" t="s">
        <v>1075</v>
      </c>
      <c r="D22" s="147" t="s">
        <v>1076</v>
      </c>
      <c r="E22" s="148"/>
      <c r="F22" s="149" t="s">
        <v>1077</v>
      </c>
    </row>
    <row r="23" ht="28" spans="1:6">
      <c r="A23" s="145">
        <v>22</v>
      </c>
      <c r="B23" s="145">
        <v>1</v>
      </c>
      <c r="C23" s="147" t="s">
        <v>1078</v>
      </c>
      <c r="D23" s="147" t="s">
        <v>1079</v>
      </c>
      <c r="E23" s="148"/>
      <c r="F23" s="149" t="s">
        <v>1080</v>
      </c>
    </row>
    <row r="24" ht="28" spans="1:6">
      <c r="A24" s="145">
        <v>23</v>
      </c>
      <c r="B24" s="145" t="s">
        <v>1049</v>
      </c>
      <c r="C24" s="143" t="s">
        <v>1081</v>
      </c>
      <c r="D24" s="143" t="s">
        <v>1082</v>
      </c>
      <c r="F24" s="146" t="s">
        <v>1083</v>
      </c>
    </row>
    <row r="25" ht="28" spans="1:6">
      <c r="A25" s="145">
        <v>24</v>
      </c>
      <c r="B25" s="145">
        <v>1</v>
      </c>
      <c r="C25" s="143" t="s">
        <v>1084</v>
      </c>
      <c r="D25" s="143" t="s">
        <v>1085</v>
      </c>
      <c r="F25" s="146" t="s">
        <v>1086</v>
      </c>
    </row>
    <row r="26" spans="1:6">
      <c r="A26" s="145">
        <v>25</v>
      </c>
      <c r="B26" s="145">
        <v>1</v>
      </c>
      <c r="C26" s="147" t="s">
        <v>1087</v>
      </c>
      <c r="D26" s="147" t="s">
        <v>1088</v>
      </c>
      <c r="E26" s="148"/>
      <c r="F26" s="149" t="s">
        <v>1089</v>
      </c>
    </row>
    <row r="27" ht="42" spans="1:6">
      <c r="A27" s="145">
        <v>26</v>
      </c>
      <c r="B27" s="145" t="s">
        <v>1049</v>
      </c>
      <c r="C27" s="153" t="s">
        <v>1090</v>
      </c>
      <c r="D27" s="153" t="s">
        <v>1091</v>
      </c>
      <c r="E27" s="145"/>
      <c r="F27" s="154" t="s">
        <v>1092</v>
      </c>
    </row>
    <row r="28" ht="28" spans="1:6">
      <c r="A28" s="145">
        <v>27</v>
      </c>
      <c r="B28" s="145" t="s">
        <v>1049</v>
      </c>
      <c r="C28" s="143" t="s">
        <v>1093</v>
      </c>
      <c r="D28" s="143" t="s">
        <v>1094</v>
      </c>
      <c r="E28" s="3" t="s">
        <v>1095</v>
      </c>
      <c r="F28" s="146" t="s">
        <v>1096</v>
      </c>
    </row>
    <row r="29" ht="28" spans="1:6">
      <c r="A29" s="145">
        <v>28</v>
      </c>
      <c r="B29" s="145" t="s">
        <v>1049</v>
      </c>
      <c r="C29" s="143" t="s">
        <v>1097</v>
      </c>
      <c r="D29" s="143" t="s">
        <v>1098</v>
      </c>
      <c r="F29" s="146" t="s">
        <v>1099</v>
      </c>
    </row>
    <row r="30" ht="28" spans="1:6">
      <c r="A30" s="145">
        <v>29</v>
      </c>
      <c r="B30" s="145">
        <v>1</v>
      </c>
      <c r="C30" s="147" t="s">
        <v>1100</v>
      </c>
      <c r="D30" s="147"/>
      <c r="E30" s="148" t="s">
        <v>1101</v>
      </c>
      <c r="F30" s="149" t="s">
        <v>1102</v>
      </c>
    </row>
    <row r="31" ht="28" spans="1:6">
      <c r="A31" s="145">
        <v>30</v>
      </c>
      <c r="B31" s="145">
        <v>1</v>
      </c>
      <c r="C31" s="153" t="s">
        <v>1103</v>
      </c>
      <c r="D31" s="153" t="s">
        <v>1104</v>
      </c>
      <c r="E31" s="148"/>
      <c r="F31" s="146" t="s">
        <v>1105</v>
      </c>
    </row>
    <row r="32" ht="28" spans="1:6">
      <c r="A32" s="145">
        <v>31</v>
      </c>
      <c r="B32" s="145">
        <v>1</v>
      </c>
      <c r="C32" s="153" t="s">
        <v>1106</v>
      </c>
      <c r="D32" s="153" t="s">
        <v>1107</v>
      </c>
      <c r="E32" s="148"/>
      <c r="F32" s="146" t="s">
        <v>1108</v>
      </c>
    </row>
    <row r="33" ht="28" spans="1:6">
      <c r="A33" s="145">
        <v>32</v>
      </c>
      <c r="B33" s="145">
        <v>1</v>
      </c>
      <c r="C33" s="147" t="s">
        <v>1109</v>
      </c>
      <c r="D33" s="147" t="s">
        <v>1110</v>
      </c>
      <c r="E33" s="148"/>
      <c r="F33" s="149" t="s">
        <v>1111</v>
      </c>
    </row>
    <row r="34" spans="1:6">
      <c r="A34" s="145">
        <v>33</v>
      </c>
      <c r="B34" s="145">
        <v>1</v>
      </c>
      <c r="C34" s="153" t="s">
        <v>1112</v>
      </c>
      <c r="D34" s="153" t="s">
        <v>1113</v>
      </c>
      <c r="E34" s="145"/>
      <c r="F34" s="154" t="s">
        <v>1114</v>
      </c>
    </row>
    <row r="35" ht="42" spans="1:6">
      <c r="A35" s="145">
        <v>34</v>
      </c>
      <c r="B35" s="145" t="s">
        <v>1049</v>
      </c>
      <c r="C35" s="153" t="s">
        <v>1115</v>
      </c>
      <c r="D35" s="153" t="s">
        <v>1116</v>
      </c>
      <c r="E35" s="145"/>
      <c r="F35" s="154" t="s">
        <v>1117</v>
      </c>
    </row>
    <row r="36" ht="28" spans="1:6">
      <c r="A36" s="145">
        <v>35</v>
      </c>
      <c r="B36" s="145">
        <v>1</v>
      </c>
      <c r="C36" s="153" t="s">
        <v>1118</v>
      </c>
      <c r="D36" s="153" t="s">
        <v>1119</v>
      </c>
      <c r="E36" s="145"/>
      <c r="F36" s="154" t="s">
        <v>1120</v>
      </c>
    </row>
    <row r="37" spans="1:6">
      <c r="A37" s="145">
        <v>36</v>
      </c>
      <c r="B37" s="148">
        <v>1</v>
      </c>
      <c r="C37" s="147" t="s">
        <v>1121</v>
      </c>
      <c r="D37" s="147" t="s">
        <v>1122</v>
      </c>
      <c r="E37" s="145"/>
      <c r="F37" s="154"/>
    </row>
    <row r="38" spans="1:6">
      <c r="A38" s="145">
        <v>37</v>
      </c>
      <c r="B38" s="145">
        <v>1</v>
      </c>
      <c r="C38" s="153" t="s">
        <v>1123</v>
      </c>
      <c r="D38" s="153" t="s">
        <v>1124</v>
      </c>
      <c r="E38" s="145"/>
      <c r="F38" s="154"/>
    </row>
    <row r="39" ht="42" spans="1:6">
      <c r="A39" s="145">
        <v>38</v>
      </c>
      <c r="B39" s="145">
        <v>1</v>
      </c>
      <c r="C39" s="153" t="s">
        <v>1125</v>
      </c>
      <c r="D39" s="153" t="s">
        <v>1126</v>
      </c>
      <c r="E39" s="145"/>
      <c r="F39" s="154" t="s">
        <v>1127</v>
      </c>
    </row>
    <row r="40" ht="42" spans="1:6">
      <c r="A40" s="145">
        <v>39</v>
      </c>
      <c r="B40" s="145">
        <v>2</v>
      </c>
      <c r="C40" s="147" t="s">
        <v>1128</v>
      </c>
      <c r="D40" s="147" t="s">
        <v>1129</v>
      </c>
      <c r="E40" s="148" t="s">
        <v>1130</v>
      </c>
      <c r="F40" s="149" t="s">
        <v>1131</v>
      </c>
    </row>
    <row r="41" spans="1:6">
      <c r="A41" s="145">
        <v>40</v>
      </c>
      <c r="B41" s="145" t="s">
        <v>1132</v>
      </c>
      <c r="C41" s="147" t="s">
        <v>1133</v>
      </c>
      <c r="D41" s="147" t="s">
        <v>1134</v>
      </c>
      <c r="E41" s="148" t="s">
        <v>1135</v>
      </c>
      <c r="F41" s="149" t="s">
        <v>1136</v>
      </c>
    </row>
    <row r="42" ht="28" spans="1:6">
      <c r="A42" s="145">
        <v>41</v>
      </c>
      <c r="B42" s="145" t="s">
        <v>1132</v>
      </c>
      <c r="C42" s="147" t="s">
        <v>1137</v>
      </c>
      <c r="D42" s="147" t="s">
        <v>1138</v>
      </c>
      <c r="E42" s="148"/>
      <c r="F42" s="149" t="s">
        <v>1139</v>
      </c>
    </row>
    <row r="43" ht="28" spans="1:6">
      <c r="A43" s="145">
        <v>42</v>
      </c>
      <c r="B43" s="145" t="s">
        <v>1132</v>
      </c>
      <c r="C43" s="143" t="s">
        <v>1140</v>
      </c>
      <c r="D43" s="143" t="s">
        <v>1141</v>
      </c>
      <c r="F43" s="146" t="s">
        <v>1142</v>
      </c>
    </row>
    <row r="44" ht="42" spans="1:6">
      <c r="A44" s="145">
        <v>43</v>
      </c>
      <c r="B44" s="145">
        <v>2</v>
      </c>
      <c r="C44" s="143" t="s">
        <v>1143</v>
      </c>
      <c r="D44" s="143" t="s">
        <v>1144</v>
      </c>
      <c r="F44" s="146" t="s">
        <v>1145</v>
      </c>
    </row>
    <row r="45" ht="28" spans="1:6">
      <c r="A45" s="145">
        <v>44</v>
      </c>
      <c r="B45" s="145" t="s">
        <v>1132</v>
      </c>
      <c r="C45" s="143" t="s">
        <v>1146</v>
      </c>
      <c r="D45" s="143" t="s">
        <v>1147</v>
      </c>
      <c r="E45" s="3" t="s">
        <v>1148</v>
      </c>
      <c r="F45" s="146" t="s">
        <v>1149</v>
      </c>
    </row>
    <row r="46" spans="1:6">
      <c r="A46" s="145">
        <v>45</v>
      </c>
      <c r="B46" s="145" t="s">
        <v>1132</v>
      </c>
      <c r="C46" s="143" t="s">
        <v>1150</v>
      </c>
      <c r="D46" s="143" t="s">
        <v>1151</v>
      </c>
      <c r="F46" s="146" t="s">
        <v>1152</v>
      </c>
    </row>
    <row r="47" spans="1:6">
      <c r="A47" s="145">
        <v>46</v>
      </c>
      <c r="B47" s="145" t="s">
        <v>1132</v>
      </c>
      <c r="C47" s="153" t="s">
        <v>1153</v>
      </c>
      <c r="D47" s="153"/>
      <c r="E47" s="145"/>
      <c r="F47" s="154" t="s">
        <v>1154</v>
      </c>
    </row>
    <row r="48" ht="28" spans="1:6">
      <c r="A48" s="145">
        <v>47</v>
      </c>
      <c r="B48" s="145" t="s">
        <v>1132</v>
      </c>
      <c r="C48" s="153" t="s">
        <v>1155</v>
      </c>
      <c r="D48" s="153" t="s">
        <v>1156</v>
      </c>
      <c r="E48" s="145"/>
      <c r="F48" s="154" t="s">
        <v>1157</v>
      </c>
    </row>
    <row r="49" ht="28" spans="1:6">
      <c r="A49" s="145">
        <v>48</v>
      </c>
      <c r="B49" s="145">
        <v>2</v>
      </c>
      <c r="C49" s="153" t="s">
        <v>1158</v>
      </c>
      <c r="D49" s="153" t="s">
        <v>1156</v>
      </c>
      <c r="E49" s="145"/>
      <c r="F49" s="154" t="s">
        <v>1159</v>
      </c>
    </row>
    <row r="50" ht="28" spans="1:6">
      <c r="A50" s="145">
        <v>49</v>
      </c>
      <c r="B50" s="145">
        <v>2</v>
      </c>
      <c r="C50" s="153" t="s">
        <v>1160</v>
      </c>
      <c r="D50" s="153" t="s">
        <v>1161</v>
      </c>
      <c r="E50" s="145"/>
      <c r="F50" s="154" t="s">
        <v>1162</v>
      </c>
    </row>
    <row r="51" spans="1:6">
      <c r="A51" s="145">
        <v>50</v>
      </c>
      <c r="B51" s="145" t="s">
        <v>1132</v>
      </c>
      <c r="C51" s="153" t="s">
        <v>1163</v>
      </c>
      <c r="D51" s="153" t="s">
        <v>1164</v>
      </c>
      <c r="E51" s="145" t="s">
        <v>1165</v>
      </c>
      <c r="F51" s="154"/>
    </row>
    <row r="52" spans="1:6">
      <c r="A52" s="145">
        <v>51</v>
      </c>
      <c r="B52" s="151" t="s">
        <v>1166</v>
      </c>
      <c r="C52" s="150" t="s">
        <v>1167</v>
      </c>
      <c r="D52" s="150" t="s">
        <v>1168</v>
      </c>
      <c r="E52" s="151"/>
      <c r="F52" s="152"/>
    </row>
    <row r="53" spans="1:6">
      <c r="A53" s="145">
        <v>52</v>
      </c>
      <c r="B53" s="151" t="s">
        <v>1166</v>
      </c>
      <c r="C53" s="150" t="s">
        <v>1169</v>
      </c>
      <c r="D53" s="150" t="s">
        <v>1170</v>
      </c>
      <c r="E53" s="151"/>
      <c r="F53" s="152"/>
    </row>
    <row r="54" ht="27.6" customHeight="1" spans="1:6">
      <c r="A54" s="145">
        <v>53</v>
      </c>
      <c r="B54" s="148">
        <v>3</v>
      </c>
      <c r="C54" s="147" t="s">
        <v>1171</v>
      </c>
      <c r="D54" s="147" t="s">
        <v>1172</v>
      </c>
      <c r="E54" s="148"/>
      <c r="F54" s="149"/>
    </row>
    <row r="55" ht="28" spans="1:6">
      <c r="A55" s="145">
        <v>54</v>
      </c>
      <c r="B55" s="145" t="s">
        <v>1166</v>
      </c>
      <c r="C55" s="143" t="s">
        <v>1173</v>
      </c>
      <c r="D55" s="143" t="s">
        <v>1174</v>
      </c>
      <c r="F55" s="146" t="s">
        <v>1175</v>
      </c>
    </row>
    <row r="56" ht="28" spans="1:6">
      <c r="A56" s="145">
        <v>55</v>
      </c>
      <c r="B56" s="145">
        <v>4</v>
      </c>
      <c r="C56" s="147" t="s">
        <v>1176</v>
      </c>
      <c r="D56" s="147" t="s">
        <v>1177</v>
      </c>
      <c r="E56" s="148"/>
      <c r="F56" s="149" t="s">
        <v>1178</v>
      </c>
    </row>
    <row r="57" ht="28" spans="1:6">
      <c r="A57" s="145">
        <v>56</v>
      </c>
      <c r="B57" s="145">
        <v>4</v>
      </c>
      <c r="C57" s="147" t="s">
        <v>1179</v>
      </c>
      <c r="D57" s="147" t="s">
        <v>1180</v>
      </c>
      <c r="E57" s="148"/>
      <c r="F57" s="149" t="s">
        <v>1181</v>
      </c>
    </row>
    <row r="58" ht="28" spans="1:6">
      <c r="A58" s="145">
        <v>57</v>
      </c>
      <c r="B58" s="145">
        <v>4</v>
      </c>
      <c r="C58" s="153" t="s">
        <v>1182</v>
      </c>
      <c r="D58" s="153" t="s">
        <v>1183</v>
      </c>
      <c r="E58" s="145"/>
      <c r="F58" s="154" t="s">
        <v>1184</v>
      </c>
    </row>
    <row r="59" ht="56" spans="1:6">
      <c r="A59" s="145">
        <v>58</v>
      </c>
      <c r="B59" s="145">
        <v>4</v>
      </c>
      <c r="C59" s="147" t="s">
        <v>1185</v>
      </c>
      <c r="D59" s="147" t="s">
        <v>1186</v>
      </c>
      <c r="E59" s="148"/>
      <c r="F59" s="149" t="s">
        <v>1187</v>
      </c>
    </row>
    <row r="60" ht="42" spans="1:6">
      <c r="A60" s="145">
        <v>59</v>
      </c>
      <c r="B60" s="145" t="s">
        <v>1188</v>
      </c>
      <c r="C60" s="153" t="s">
        <v>1189</v>
      </c>
      <c r="D60" s="153"/>
      <c r="E60" s="145" t="s">
        <v>1190</v>
      </c>
      <c r="F60" s="154" t="s">
        <v>1191</v>
      </c>
    </row>
    <row r="61" ht="28" spans="1:6">
      <c r="A61" s="145">
        <v>60</v>
      </c>
      <c r="B61" s="145" t="s">
        <v>1188</v>
      </c>
      <c r="C61" s="153" t="s">
        <v>1192</v>
      </c>
      <c r="D61" s="153" t="s">
        <v>1193</v>
      </c>
      <c r="E61" s="145"/>
      <c r="F61" s="154" t="s">
        <v>1194</v>
      </c>
    </row>
    <row r="62" spans="2:6">
      <c r="B62" s="143"/>
      <c r="D62" s="3"/>
      <c r="E62" s="146"/>
      <c r="F62"/>
    </row>
    <row r="63" spans="2:6">
      <c r="B63" s="143"/>
      <c r="D63" s="3"/>
      <c r="E63" s="146"/>
      <c r="F63"/>
    </row>
    <row r="64" spans="2:6">
      <c r="B64" s="143"/>
      <c r="D64" s="3"/>
      <c r="E64" s="146"/>
      <c r="F64"/>
    </row>
    <row r="93" ht="56" spans="2:6">
      <c r="B93" s="145">
        <v>1</v>
      </c>
      <c r="C93" s="153" t="s">
        <v>1195</v>
      </c>
      <c r="D93" s="153" t="s">
        <v>1196</v>
      </c>
      <c r="E93" s="148"/>
      <c r="F93" s="146" t="s">
        <v>1197</v>
      </c>
    </row>
  </sheetData>
  <pageMargins left="0.7" right="0.7" top="0.75" bottom="0.75" header="0.3" footer="0.3"/>
  <pageSetup paperSize="9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Q26"/>
  <sheetViews>
    <sheetView workbookViewId="0">
      <selection activeCell="U26" sqref="U26"/>
    </sheetView>
  </sheetViews>
  <sheetFormatPr defaultColWidth="9" defaultRowHeight="14"/>
  <cols>
    <col min="1" max="1" width="3.66666666666667" style="3" customWidth="1"/>
    <col min="2" max="6" width="8.88333333333333" style="3"/>
    <col min="7" max="7" width="9.55833333333333" style="3" customWidth="1"/>
    <col min="8" max="13" width="8.88333333333333" style="3"/>
    <col min="14" max="14" width="10" style="3" customWidth="1"/>
    <col min="15" max="15" width="10.4416666666667" style="3" customWidth="1"/>
    <col min="16" max="16384" width="8.88333333333333" style="3"/>
  </cols>
  <sheetData>
    <row r="2" spans="2:16">
      <c r="B2" s="126" t="s">
        <v>1198</v>
      </c>
      <c r="C2" s="126" t="s">
        <v>1199</v>
      </c>
      <c r="D2" s="126" t="s">
        <v>1200</v>
      </c>
      <c r="E2" s="126" t="s">
        <v>1201</v>
      </c>
      <c r="F2" s="126" t="s">
        <v>1202</v>
      </c>
      <c r="G2" s="126" t="s">
        <v>1203</v>
      </c>
      <c r="H2" s="126" t="s">
        <v>1204</v>
      </c>
      <c r="I2" s="126" t="s">
        <v>1205</v>
      </c>
      <c r="J2" s="126" t="s">
        <v>1206</v>
      </c>
      <c r="K2" s="126" t="s">
        <v>1207</v>
      </c>
      <c r="L2" s="126" t="s">
        <v>1208</v>
      </c>
      <c r="M2" s="126" t="s">
        <v>1209</v>
      </c>
      <c r="N2" s="126" t="s">
        <v>1210</v>
      </c>
      <c r="O2" s="126" t="s">
        <v>1211</v>
      </c>
      <c r="P2" s="126" t="s">
        <v>1212</v>
      </c>
    </row>
    <row r="3" spans="2:16">
      <c r="B3" s="5" t="s">
        <v>1213</v>
      </c>
      <c r="C3" s="5" t="s">
        <v>687</v>
      </c>
      <c r="D3" s="5" t="s">
        <v>1214</v>
      </c>
      <c r="E3" s="5" t="s">
        <v>1215</v>
      </c>
      <c r="F3" s="5" t="s">
        <v>198</v>
      </c>
      <c r="G3" s="5" t="s">
        <v>709</v>
      </c>
      <c r="H3" s="5" t="s">
        <v>1216</v>
      </c>
      <c r="I3" s="5" t="s">
        <v>191</v>
      </c>
      <c r="J3" s="5" t="s">
        <v>1217</v>
      </c>
      <c r="K3" s="5" t="s">
        <v>1218</v>
      </c>
      <c r="L3" s="5" t="s">
        <v>1219</v>
      </c>
      <c r="M3" s="5" t="s">
        <v>1220</v>
      </c>
      <c r="N3" s="5" t="s">
        <v>1221</v>
      </c>
      <c r="O3" s="5" t="s">
        <v>1222</v>
      </c>
      <c r="P3" s="5" t="s">
        <v>372</v>
      </c>
    </row>
    <row r="4" spans="2:16"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</row>
    <row r="5" spans="2:17">
      <c r="B5" s="64" t="s">
        <v>122</v>
      </c>
      <c r="C5" s="126">
        <v>1</v>
      </c>
      <c r="D5" s="126">
        <v>2</v>
      </c>
      <c r="E5" s="126">
        <v>3</v>
      </c>
      <c r="F5" s="126">
        <v>4</v>
      </c>
      <c r="G5" s="126">
        <v>5</v>
      </c>
      <c r="H5" s="126">
        <v>6</v>
      </c>
      <c r="I5" s="126">
        <v>7</v>
      </c>
      <c r="J5" s="126">
        <v>8</v>
      </c>
      <c r="K5" s="126">
        <v>9</v>
      </c>
      <c r="L5" s="126">
        <v>0</v>
      </c>
      <c r="M5" s="126" t="s">
        <v>233</v>
      </c>
      <c r="N5" s="126" t="s">
        <v>1223</v>
      </c>
      <c r="O5" s="126" t="s">
        <v>1224</v>
      </c>
      <c r="P5" s="136" t="s">
        <v>1225</v>
      </c>
      <c r="Q5" s="135"/>
    </row>
    <row r="6" spans="2:17">
      <c r="B6" s="63"/>
      <c r="C6" s="5" t="s">
        <v>1226</v>
      </c>
      <c r="D6" s="5" t="s">
        <v>311</v>
      </c>
      <c r="E6" s="5" t="s">
        <v>687</v>
      </c>
      <c r="F6" s="5" t="s">
        <v>485</v>
      </c>
      <c r="G6" s="5" t="s">
        <v>709</v>
      </c>
      <c r="H6" s="5" t="s">
        <v>1216</v>
      </c>
      <c r="I6" s="5" t="s">
        <v>736</v>
      </c>
      <c r="J6" s="5" t="s">
        <v>1227</v>
      </c>
      <c r="K6" s="5" t="s">
        <v>1228</v>
      </c>
      <c r="L6" s="5" t="s">
        <v>949</v>
      </c>
      <c r="M6" s="5" t="s">
        <v>811</v>
      </c>
      <c r="N6" s="5" t="s">
        <v>957</v>
      </c>
      <c r="O6" s="5" t="s">
        <v>1229</v>
      </c>
      <c r="P6" s="11" t="s">
        <v>1230</v>
      </c>
      <c r="Q6" s="135"/>
    </row>
    <row r="7" spans="2:15"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</row>
    <row r="8" spans="2:16">
      <c r="B8" s="126" t="s">
        <v>1231</v>
      </c>
      <c r="C8" s="127" t="s">
        <v>1232</v>
      </c>
      <c r="D8" s="126" t="s">
        <v>1233</v>
      </c>
      <c r="E8" s="126" t="s">
        <v>1234</v>
      </c>
      <c r="F8" s="126" t="s">
        <v>1235</v>
      </c>
      <c r="G8" s="126" t="s">
        <v>1236</v>
      </c>
      <c r="H8" s="126" t="s">
        <v>1237</v>
      </c>
      <c r="I8" s="126" t="s">
        <v>1238</v>
      </c>
      <c r="J8" s="126" t="s">
        <v>1239</v>
      </c>
      <c r="K8" s="126" t="s">
        <v>1240</v>
      </c>
      <c r="L8" s="126" t="s">
        <v>1241</v>
      </c>
      <c r="M8" s="126" t="s">
        <v>1242</v>
      </c>
      <c r="N8" s="126" t="s">
        <v>1243</v>
      </c>
      <c r="O8" s="136" t="s">
        <v>180</v>
      </c>
      <c r="P8" s="135"/>
    </row>
    <row r="9" spans="2:16">
      <c r="B9" s="5" t="s">
        <v>1244</v>
      </c>
      <c r="C9" s="18"/>
      <c r="D9" s="5" t="s">
        <v>1245</v>
      </c>
      <c r="E9" s="5" t="s">
        <v>1246</v>
      </c>
      <c r="F9" s="5" t="s">
        <v>1247</v>
      </c>
      <c r="G9" s="5" t="s">
        <v>1248</v>
      </c>
      <c r="H9" s="5" t="s">
        <v>1249</v>
      </c>
      <c r="I9" s="5" t="s">
        <v>1250</v>
      </c>
      <c r="J9" s="5" t="s">
        <v>1251</v>
      </c>
      <c r="K9" s="5" t="s">
        <v>1252</v>
      </c>
      <c r="L9" s="5" t="s">
        <v>1253</v>
      </c>
      <c r="M9" s="5" t="s">
        <v>1222</v>
      </c>
      <c r="N9" s="5" t="s">
        <v>962</v>
      </c>
      <c r="O9" s="11" t="s">
        <v>1254</v>
      </c>
      <c r="P9" s="135"/>
    </row>
    <row r="10" spans="2:15">
      <c r="B10" s="12"/>
      <c r="C10" s="128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</row>
    <row r="11" spans="2:16">
      <c r="B11" s="126" t="s">
        <v>1255</v>
      </c>
      <c r="C11" s="126" t="s">
        <v>1256</v>
      </c>
      <c r="D11" s="126" t="s">
        <v>1257</v>
      </c>
      <c r="E11" s="126" t="s">
        <v>1258</v>
      </c>
      <c r="F11" s="126" t="s">
        <v>1259</v>
      </c>
      <c r="G11" s="126" t="s">
        <v>1260</v>
      </c>
      <c r="H11" s="126" t="s">
        <v>1261</v>
      </c>
      <c r="I11" s="126" t="s">
        <v>1262</v>
      </c>
      <c r="J11" s="126" t="s">
        <v>1263</v>
      </c>
      <c r="K11" s="126" t="s">
        <v>1264</v>
      </c>
      <c r="L11" s="5" t="s">
        <v>1265</v>
      </c>
      <c r="M11" s="5" t="s">
        <v>1266</v>
      </c>
      <c r="N11" s="136" t="s">
        <v>1267</v>
      </c>
      <c r="O11" s="62"/>
      <c r="P11" s="135"/>
    </row>
    <row r="12" spans="2:16">
      <c r="B12" s="126"/>
      <c r="C12" s="5" t="s">
        <v>1268</v>
      </c>
      <c r="D12" s="5" t="s">
        <v>1269</v>
      </c>
      <c r="E12" s="5" t="s">
        <v>1270</v>
      </c>
      <c r="F12" s="5" t="s">
        <v>1271</v>
      </c>
      <c r="G12" s="5" t="s">
        <v>1272</v>
      </c>
      <c r="H12" s="129" t="s">
        <v>1273</v>
      </c>
      <c r="I12" s="5" t="s">
        <v>1274</v>
      </c>
      <c r="J12" s="5" t="s">
        <v>1275</v>
      </c>
      <c r="K12" s="5" t="s">
        <v>1276</v>
      </c>
      <c r="L12" s="5"/>
      <c r="M12" s="5"/>
      <c r="N12" s="11" t="s">
        <v>1277</v>
      </c>
      <c r="O12" s="13"/>
      <c r="P12" s="135"/>
    </row>
    <row r="13" spans="2:15">
      <c r="B13" s="12"/>
      <c r="C13" s="12"/>
      <c r="D13" s="12"/>
      <c r="E13" s="12"/>
      <c r="F13" s="12"/>
      <c r="G13" s="12"/>
      <c r="H13" s="130"/>
      <c r="I13" s="12"/>
      <c r="J13" s="12"/>
      <c r="K13" s="12"/>
      <c r="L13" s="12"/>
      <c r="M13" s="12"/>
      <c r="N13" s="12"/>
      <c r="O13" s="12"/>
    </row>
    <row r="14" spans="2:16">
      <c r="B14" s="131" t="s">
        <v>1278</v>
      </c>
      <c r="C14" s="132"/>
      <c r="D14" s="126" t="s">
        <v>1279</v>
      </c>
      <c r="E14" s="126" t="s">
        <v>1280</v>
      </c>
      <c r="F14" s="126" t="s">
        <v>1281</v>
      </c>
      <c r="G14" s="126" t="s">
        <v>1282</v>
      </c>
      <c r="H14" s="126" t="s">
        <v>1283</v>
      </c>
      <c r="I14" s="126" t="s">
        <v>1284</v>
      </c>
      <c r="J14" s="126" t="s">
        <v>1285</v>
      </c>
      <c r="K14" s="127" t="s">
        <v>1286</v>
      </c>
      <c r="L14" s="126" t="s">
        <v>1287</v>
      </c>
      <c r="M14" s="5" t="s">
        <v>1288</v>
      </c>
      <c r="N14" s="137" t="s">
        <v>1278</v>
      </c>
      <c r="O14" s="138"/>
      <c r="P14" s="135"/>
    </row>
    <row r="15" spans="2:16">
      <c r="B15" s="133"/>
      <c r="C15" s="134"/>
      <c r="D15" s="5" t="s">
        <v>1289</v>
      </c>
      <c r="E15" s="5" t="s">
        <v>1290</v>
      </c>
      <c r="F15" s="5" t="s">
        <v>1291</v>
      </c>
      <c r="G15" s="5" t="s">
        <v>1292</v>
      </c>
      <c r="H15" s="5" t="s">
        <v>1293</v>
      </c>
      <c r="I15" s="5" t="s">
        <v>1294</v>
      </c>
      <c r="J15" s="5" t="s">
        <v>1295</v>
      </c>
      <c r="K15" s="14"/>
      <c r="L15" s="14" t="s">
        <v>1296</v>
      </c>
      <c r="M15" s="14"/>
      <c r="N15" s="139"/>
      <c r="O15" s="140"/>
      <c r="P15" s="135"/>
    </row>
    <row r="16" spans="2:16">
      <c r="B16" s="126" t="s">
        <v>1297</v>
      </c>
      <c r="C16" s="126" t="s">
        <v>1298</v>
      </c>
      <c r="D16" s="126" t="s">
        <v>1299</v>
      </c>
      <c r="E16" s="126"/>
      <c r="F16" s="126"/>
      <c r="G16" s="126"/>
      <c r="H16" s="126"/>
      <c r="I16" s="136"/>
      <c r="J16" s="137"/>
      <c r="K16" s="141"/>
      <c r="L16" s="141"/>
      <c r="M16" s="138"/>
      <c r="N16" s="13" t="s">
        <v>1297</v>
      </c>
      <c r="O16" s="11"/>
      <c r="P16" s="135"/>
    </row>
    <row r="17" spans="2:16">
      <c r="B17" s="126"/>
      <c r="C17" s="126"/>
      <c r="D17" s="5" t="s">
        <v>1300</v>
      </c>
      <c r="E17" s="5"/>
      <c r="F17" s="5"/>
      <c r="G17" s="5"/>
      <c r="H17" s="5"/>
      <c r="I17" s="11"/>
      <c r="J17" s="135"/>
      <c r="M17" s="142"/>
      <c r="N17" s="13"/>
      <c r="O17" s="11"/>
      <c r="P17" s="135"/>
    </row>
    <row r="19" spans="2:7">
      <c r="B19" s="126" t="s">
        <v>1301</v>
      </c>
      <c r="C19" s="126"/>
      <c r="D19" s="126" t="s">
        <v>1302</v>
      </c>
      <c r="E19" s="126"/>
      <c r="F19" s="126" t="s">
        <v>1303</v>
      </c>
      <c r="G19" s="126"/>
    </row>
    <row r="20" spans="2:15">
      <c r="B20" s="5" t="s">
        <v>1304</v>
      </c>
      <c r="C20" s="5"/>
      <c r="D20" s="5" t="s">
        <v>1305</v>
      </c>
      <c r="E20" s="5"/>
      <c r="F20" s="5" t="s">
        <v>1306</v>
      </c>
      <c r="G20" s="5"/>
      <c r="K20" s="143" t="s">
        <v>1307</v>
      </c>
      <c r="L20" s="143"/>
      <c r="M20" s="143"/>
      <c r="N20" s="143"/>
      <c r="O20" s="143"/>
    </row>
    <row r="21" spans="11:15">
      <c r="K21" s="143"/>
      <c r="L21" s="143"/>
      <c r="M21" s="143"/>
      <c r="N21" s="143"/>
      <c r="O21" s="143"/>
    </row>
    <row r="22" spans="2:15">
      <c r="B22" s="126" t="s">
        <v>1308</v>
      </c>
      <c r="C22" s="126" t="s">
        <v>1309</v>
      </c>
      <c r="D22" s="126" t="s">
        <v>1310</v>
      </c>
      <c r="E22" s="126"/>
      <c r="F22" s="126" t="s">
        <v>1311</v>
      </c>
      <c r="G22" s="126" t="s">
        <v>1312</v>
      </c>
      <c r="H22" s="126" t="s">
        <v>1313</v>
      </c>
      <c r="K22" s="143"/>
      <c r="L22" s="143"/>
      <c r="M22" s="143"/>
      <c r="N22" s="143"/>
      <c r="O22" s="143"/>
    </row>
    <row r="23" spans="2:15">
      <c r="B23" s="14" t="s">
        <v>1314</v>
      </c>
      <c r="C23" s="14" t="s">
        <v>1315</v>
      </c>
      <c r="D23" s="135" t="s">
        <v>1316</v>
      </c>
      <c r="F23" s="14" t="s">
        <v>1317</v>
      </c>
      <c r="G23" s="14"/>
      <c r="H23" s="14" t="s">
        <v>1318</v>
      </c>
      <c r="K23" s="143"/>
      <c r="L23" s="143"/>
      <c r="M23" s="143"/>
      <c r="N23" s="143"/>
      <c r="O23" s="143"/>
    </row>
    <row r="24" spans="2:15">
      <c r="B24" s="12"/>
      <c r="C24" s="12"/>
      <c r="D24" s="12"/>
      <c r="E24" s="12"/>
      <c r="F24" s="12"/>
      <c r="G24" s="12"/>
      <c r="H24" s="12"/>
      <c r="I24" s="144"/>
      <c r="K24" s="143"/>
      <c r="L24" s="143"/>
      <c r="M24" s="143"/>
      <c r="N24" s="143"/>
      <c r="O24" s="143"/>
    </row>
    <row r="25" spans="2:15">
      <c r="B25" s="126" t="s">
        <v>1319</v>
      </c>
      <c r="C25" s="126" t="s">
        <v>1320</v>
      </c>
      <c r="D25" s="126" t="s">
        <v>1321</v>
      </c>
      <c r="E25" s="126" t="s">
        <v>1322</v>
      </c>
      <c r="F25" s="126" t="s">
        <v>1323</v>
      </c>
      <c r="G25" s="126" t="s">
        <v>1324</v>
      </c>
      <c r="H25" s="126" t="s">
        <v>1325</v>
      </c>
      <c r="I25" s="126" t="s">
        <v>1326</v>
      </c>
      <c r="K25" s="143"/>
      <c r="L25" s="143"/>
      <c r="M25" s="143"/>
      <c r="N25" s="143"/>
      <c r="O25" s="143"/>
    </row>
    <row r="26" spans="2:15">
      <c r="B26" s="5" t="s">
        <v>1327</v>
      </c>
      <c r="C26" s="5" t="s">
        <v>1328</v>
      </c>
      <c r="D26" s="5" t="s">
        <v>1329</v>
      </c>
      <c r="E26" s="5" t="s">
        <v>1330</v>
      </c>
      <c r="F26" s="5" t="s">
        <v>1331</v>
      </c>
      <c r="G26" s="5" t="s">
        <v>1332</v>
      </c>
      <c r="H26" s="5" t="s">
        <v>1333</v>
      </c>
      <c r="I26" s="5" t="s">
        <v>1334</v>
      </c>
      <c r="K26" s="143"/>
      <c r="L26" s="143"/>
      <c r="M26" s="143"/>
      <c r="N26" s="143"/>
      <c r="O26" s="143"/>
    </row>
  </sheetData>
  <mergeCells count="21">
    <mergeCell ref="N11:O11"/>
    <mergeCell ref="N12:O12"/>
    <mergeCell ref="D16:I16"/>
    <mergeCell ref="D17:I17"/>
    <mergeCell ref="B19:C19"/>
    <mergeCell ref="D19:E19"/>
    <mergeCell ref="F19:G19"/>
    <mergeCell ref="B20:C20"/>
    <mergeCell ref="D20:E20"/>
    <mergeCell ref="F20:G20"/>
    <mergeCell ref="D22:E22"/>
    <mergeCell ref="D23:E23"/>
    <mergeCell ref="F23:G23"/>
    <mergeCell ref="B5:B6"/>
    <mergeCell ref="B11:B12"/>
    <mergeCell ref="B16:B17"/>
    <mergeCell ref="C16:C17"/>
    <mergeCell ref="K20:O26"/>
    <mergeCell ref="B14:C15"/>
    <mergeCell ref="N14:O15"/>
    <mergeCell ref="N16:O17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 tint="0.4"/>
  </sheetPr>
  <dimension ref="A1:T43"/>
  <sheetViews>
    <sheetView workbookViewId="0">
      <pane xSplit="3" ySplit="1" topLeftCell="D2" activePane="bottomRight" state="frozen"/>
      <selection/>
      <selection pane="topRight"/>
      <selection pane="bottomLeft"/>
      <selection pane="bottomRight" activeCell="A2" sqref="$A2:$XFD2"/>
    </sheetView>
  </sheetViews>
  <sheetFormatPr defaultColWidth="9" defaultRowHeight="14"/>
  <cols>
    <col min="1" max="1" width="7.725" style="945" customWidth="1"/>
    <col min="2" max="2" width="8.75" style="1069" customWidth="1"/>
    <col min="3" max="3" width="13.8166666666667" style="1069" customWidth="1"/>
    <col min="4" max="4" width="13.75" style="1070" customWidth="1"/>
    <col min="5" max="8" width="6.55833333333333" style="1071" customWidth="1"/>
    <col min="9" max="10" width="6.55833333333333" style="1072" customWidth="1"/>
    <col min="11" max="11" width="8.725" style="1072" customWidth="1"/>
    <col min="12" max="12" width="10.6833333333333" style="1071" customWidth="1"/>
    <col min="13" max="13" width="8.75" style="1073" customWidth="1"/>
    <col min="14" max="14" width="8.75" style="1074" customWidth="1"/>
    <col min="15" max="15" width="9" style="1075"/>
    <col min="16" max="19" width="8.88333333333333" style="945"/>
    <col min="20" max="20" width="9" style="1075"/>
    <col min="21" max="16382" width="8.88333333333333" style="945"/>
    <col min="16383" max="16384" width="9" style="945"/>
  </cols>
  <sheetData>
    <row r="1" s="1194" customFormat="1" ht="31" customHeight="1" spans="1:20">
      <c r="A1" s="1194" t="s">
        <v>83</v>
      </c>
      <c r="B1" s="1195" t="s">
        <v>84</v>
      </c>
      <c r="C1" s="1195"/>
      <c r="D1" s="1196" t="s">
        <v>85</v>
      </c>
      <c r="E1" s="1197" t="s">
        <v>86</v>
      </c>
      <c r="F1" s="1197" t="s">
        <v>87</v>
      </c>
      <c r="G1" s="1197" t="s">
        <v>88</v>
      </c>
      <c r="H1" s="1197" t="s">
        <v>89</v>
      </c>
      <c r="I1" s="1197" t="s">
        <v>90</v>
      </c>
      <c r="J1" s="1197" t="s">
        <v>91</v>
      </c>
      <c r="K1" s="1197" t="s">
        <v>92</v>
      </c>
      <c r="L1" s="1197" t="s">
        <v>93</v>
      </c>
      <c r="M1" s="1240" t="s">
        <v>94</v>
      </c>
      <c r="N1" s="1240" t="s">
        <v>95</v>
      </c>
      <c r="O1" s="1241"/>
      <c r="T1" s="1241"/>
    </row>
    <row r="2" ht="15.5" spans="1:14">
      <c r="A2" s="945">
        <v>31</v>
      </c>
      <c r="B2" s="1198" t="s">
        <v>96</v>
      </c>
      <c r="C2" s="1198"/>
      <c r="D2" s="1088" t="s">
        <v>97</v>
      </c>
      <c r="E2" s="1089">
        <v>75</v>
      </c>
      <c r="F2" s="1199">
        <f t="shared" ref="F2:F30" si="0">G2+H2</f>
        <v>19.5</v>
      </c>
      <c r="G2" s="1200">
        <f t="shared" ref="G2:G30" si="1">J2+K2</f>
        <v>19.5</v>
      </c>
      <c r="H2" s="1200">
        <v>0</v>
      </c>
      <c r="I2" s="1242">
        <f t="shared" ref="I2:I30" si="2">M2/K2</f>
        <v>4444.44444444444</v>
      </c>
      <c r="J2" s="1081">
        <f t="shared" ref="J2:J30" si="3">E2/5</f>
        <v>15</v>
      </c>
      <c r="K2" s="1081">
        <f t="shared" ref="K2:K30" si="4">L2/10</f>
        <v>4.5</v>
      </c>
      <c r="L2" s="620">
        <f t="shared" ref="L2:L7" si="5">E2*3/5</f>
        <v>45</v>
      </c>
      <c r="M2" s="1184">
        <v>20000</v>
      </c>
      <c r="N2" s="1178">
        <v>960</v>
      </c>
    </row>
    <row r="3" ht="15.5" spans="1:14">
      <c r="A3" s="945">
        <v>29</v>
      </c>
      <c r="B3" s="1201" t="s">
        <v>98</v>
      </c>
      <c r="C3" s="1202" t="s">
        <v>99</v>
      </c>
      <c r="D3" s="1096" t="s">
        <v>100</v>
      </c>
      <c r="E3" s="1203">
        <v>100</v>
      </c>
      <c r="F3" s="1199">
        <f t="shared" si="0"/>
        <v>26</v>
      </c>
      <c r="G3" s="1200">
        <f t="shared" si="1"/>
        <v>26</v>
      </c>
      <c r="H3" s="1200">
        <v>0</v>
      </c>
      <c r="I3" s="1242">
        <f t="shared" si="2"/>
        <v>3333.33333333333</v>
      </c>
      <c r="J3" s="1081">
        <f t="shared" si="3"/>
        <v>20</v>
      </c>
      <c r="K3" s="1081">
        <f t="shared" si="4"/>
        <v>6</v>
      </c>
      <c r="L3" s="620">
        <f t="shared" si="5"/>
        <v>60</v>
      </c>
      <c r="M3" s="1243" t="s">
        <v>101</v>
      </c>
      <c r="N3" s="1107">
        <v>43200</v>
      </c>
    </row>
    <row r="4" ht="15.5" spans="1:14">
      <c r="A4" s="945">
        <v>22</v>
      </c>
      <c r="B4" s="1204" t="s">
        <v>102</v>
      </c>
      <c r="C4" s="1119" t="s">
        <v>103</v>
      </c>
      <c r="D4" s="1261" t="s">
        <v>104</v>
      </c>
      <c r="E4" s="608">
        <v>25</v>
      </c>
      <c r="F4" s="1200">
        <f t="shared" si="0"/>
        <v>31.5</v>
      </c>
      <c r="G4" s="1200">
        <f t="shared" si="1"/>
        <v>6.5</v>
      </c>
      <c r="H4" s="1200">
        <v>25</v>
      </c>
      <c r="I4" s="1180">
        <f t="shared" si="2"/>
        <v>1866.66666666667</v>
      </c>
      <c r="J4" s="1081">
        <f t="shared" si="3"/>
        <v>5</v>
      </c>
      <c r="K4" s="1081">
        <f t="shared" si="4"/>
        <v>1.5</v>
      </c>
      <c r="L4" s="620">
        <f t="shared" si="5"/>
        <v>15</v>
      </c>
      <c r="M4" s="1181">
        <v>2800</v>
      </c>
      <c r="N4" s="1178">
        <v>450</v>
      </c>
    </row>
    <row r="5" ht="15.5" spans="1:14">
      <c r="A5" s="945">
        <v>21</v>
      </c>
      <c r="B5" s="1113" t="s">
        <v>105</v>
      </c>
      <c r="C5" s="1114" t="s">
        <v>103</v>
      </c>
      <c r="D5" s="1096" t="s">
        <v>106</v>
      </c>
      <c r="E5" s="591">
        <v>25</v>
      </c>
      <c r="F5" s="1199">
        <f t="shared" si="0"/>
        <v>6.5</v>
      </c>
      <c r="G5" s="1200">
        <f t="shared" si="1"/>
        <v>6.5</v>
      </c>
      <c r="H5" s="1200">
        <v>0</v>
      </c>
      <c r="I5" s="1242">
        <f t="shared" si="2"/>
        <v>1866.66666666667</v>
      </c>
      <c r="J5" s="1081">
        <f t="shared" si="3"/>
        <v>5</v>
      </c>
      <c r="K5" s="1081">
        <f t="shared" si="4"/>
        <v>1.5</v>
      </c>
      <c r="L5" s="620">
        <f t="shared" si="5"/>
        <v>15</v>
      </c>
      <c r="M5" s="1181">
        <v>2800</v>
      </c>
      <c r="N5" s="1182">
        <v>450</v>
      </c>
    </row>
    <row r="6" ht="15.5" spans="1:14">
      <c r="A6" s="945">
        <v>23</v>
      </c>
      <c r="B6" s="1205" t="s">
        <v>107</v>
      </c>
      <c r="C6" s="1114" t="s">
        <v>103</v>
      </c>
      <c r="D6" s="1103" t="s">
        <v>108</v>
      </c>
      <c r="E6" s="594">
        <v>25</v>
      </c>
      <c r="F6" s="1200">
        <f t="shared" si="0"/>
        <v>6.5</v>
      </c>
      <c r="G6" s="1200">
        <f t="shared" si="1"/>
        <v>6.5</v>
      </c>
      <c r="H6" s="1200">
        <v>0</v>
      </c>
      <c r="I6" s="1180">
        <f t="shared" si="2"/>
        <v>1866.66666666667</v>
      </c>
      <c r="J6" s="1081">
        <f t="shared" si="3"/>
        <v>5</v>
      </c>
      <c r="K6" s="1081">
        <f t="shared" si="4"/>
        <v>1.5</v>
      </c>
      <c r="L6" s="620">
        <f t="shared" si="5"/>
        <v>15</v>
      </c>
      <c r="M6" s="1181">
        <v>2800</v>
      </c>
      <c r="N6" s="1183">
        <v>450</v>
      </c>
    </row>
    <row r="7" ht="15.5" spans="1:14">
      <c r="A7" s="945">
        <v>30</v>
      </c>
      <c r="B7" s="1206" t="s">
        <v>109</v>
      </c>
      <c r="C7" s="1202" t="s">
        <v>99</v>
      </c>
      <c r="D7" s="1099" t="s">
        <v>100</v>
      </c>
      <c r="E7" s="1207">
        <v>100</v>
      </c>
      <c r="F7" s="1199">
        <f t="shared" si="0"/>
        <v>26</v>
      </c>
      <c r="G7" s="1200">
        <f t="shared" si="1"/>
        <v>26</v>
      </c>
      <c r="H7" s="1200">
        <v>0</v>
      </c>
      <c r="I7" s="1242">
        <f t="shared" si="2"/>
        <v>1666.66666666667</v>
      </c>
      <c r="J7" s="1081">
        <f t="shared" si="3"/>
        <v>20</v>
      </c>
      <c r="K7" s="1081">
        <f t="shared" si="4"/>
        <v>6</v>
      </c>
      <c r="L7" s="620">
        <f t="shared" si="5"/>
        <v>60</v>
      </c>
      <c r="M7" s="1181">
        <v>10000</v>
      </c>
      <c r="N7" s="1178">
        <v>21600</v>
      </c>
    </row>
    <row r="8" ht="15.5" spans="1:14">
      <c r="A8" s="945">
        <v>37</v>
      </c>
      <c r="B8" s="1208" t="s">
        <v>110</v>
      </c>
      <c r="C8" s="1149" t="s">
        <v>111</v>
      </c>
      <c r="D8" s="1182" t="s">
        <v>112</v>
      </c>
      <c r="E8" s="591">
        <v>150</v>
      </c>
      <c r="F8" s="1200">
        <f t="shared" si="0"/>
        <v>69</v>
      </c>
      <c r="G8" s="1200">
        <f t="shared" si="1"/>
        <v>34.5</v>
      </c>
      <c r="H8" s="1200">
        <v>34.5</v>
      </c>
      <c r="I8" s="1242">
        <f t="shared" si="2"/>
        <v>1333.33333333333</v>
      </c>
      <c r="J8" s="1081">
        <f t="shared" si="3"/>
        <v>30</v>
      </c>
      <c r="K8" s="1081">
        <f t="shared" si="4"/>
        <v>4.5</v>
      </c>
      <c r="L8" s="620">
        <v>45</v>
      </c>
      <c r="M8" s="1181">
        <v>6000</v>
      </c>
      <c r="N8" s="1182">
        <v>6300</v>
      </c>
    </row>
    <row r="9" ht="15.5" spans="1:14">
      <c r="A9" s="945">
        <v>27</v>
      </c>
      <c r="B9" s="1129" t="s">
        <v>113</v>
      </c>
      <c r="C9" s="1209" t="s">
        <v>114</v>
      </c>
      <c r="D9" s="1110" t="s">
        <v>115</v>
      </c>
      <c r="E9" s="1210">
        <v>100</v>
      </c>
      <c r="F9" s="1200">
        <f t="shared" si="0"/>
        <v>26</v>
      </c>
      <c r="G9" s="1200">
        <f t="shared" si="1"/>
        <v>26</v>
      </c>
      <c r="H9" s="1200">
        <v>0</v>
      </c>
      <c r="I9" s="1244">
        <f t="shared" si="2"/>
        <v>933.333333333333</v>
      </c>
      <c r="J9" s="1081">
        <f t="shared" si="3"/>
        <v>20</v>
      </c>
      <c r="K9" s="1081">
        <f t="shared" si="4"/>
        <v>6</v>
      </c>
      <c r="L9" s="620">
        <f t="shared" ref="L9:L30" si="6">E9*3/5</f>
        <v>60</v>
      </c>
      <c r="M9" s="1245" t="s">
        <v>116</v>
      </c>
      <c r="N9" s="1246">
        <v>900</v>
      </c>
    </row>
    <row r="10" ht="15.5" spans="1:14">
      <c r="A10" s="945">
        <v>1</v>
      </c>
      <c r="B10" s="1085" t="s">
        <v>117</v>
      </c>
      <c r="C10" s="1211" t="s">
        <v>118</v>
      </c>
      <c r="D10" s="1262" t="s">
        <v>112</v>
      </c>
      <c r="E10" s="594">
        <v>100</v>
      </c>
      <c r="F10" s="1200">
        <f t="shared" si="0"/>
        <v>26</v>
      </c>
      <c r="G10" s="1200">
        <f t="shared" si="1"/>
        <v>26</v>
      </c>
      <c r="H10" s="1200">
        <v>0</v>
      </c>
      <c r="I10" s="1244">
        <f t="shared" si="2"/>
        <v>666.666666666667</v>
      </c>
      <c r="J10" s="1081">
        <f t="shared" si="3"/>
        <v>20</v>
      </c>
      <c r="K10" s="1081">
        <f t="shared" si="4"/>
        <v>6</v>
      </c>
      <c r="L10" s="620">
        <f t="shared" si="6"/>
        <v>60</v>
      </c>
      <c r="M10" s="1181">
        <v>4000</v>
      </c>
      <c r="N10" s="1183">
        <v>6300</v>
      </c>
    </row>
    <row r="11" ht="15.5" spans="1:14">
      <c r="A11" s="945">
        <v>2</v>
      </c>
      <c r="B11" s="1087" t="s">
        <v>119</v>
      </c>
      <c r="C11" s="1212" t="s">
        <v>118</v>
      </c>
      <c r="D11" s="1263" t="s">
        <v>112</v>
      </c>
      <c r="E11" s="608">
        <v>100</v>
      </c>
      <c r="F11" s="1200">
        <f t="shared" si="0"/>
        <v>26</v>
      </c>
      <c r="G11" s="1200">
        <f t="shared" si="1"/>
        <v>26</v>
      </c>
      <c r="H11" s="1200">
        <v>0</v>
      </c>
      <c r="I11" s="1244">
        <f t="shared" si="2"/>
        <v>666.666666666667</v>
      </c>
      <c r="J11" s="1081">
        <f t="shared" si="3"/>
        <v>20</v>
      </c>
      <c r="K11" s="1081">
        <f t="shared" si="4"/>
        <v>6</v>
      </c>
      <c r="L11" s="620">
        <f t="shared" si="6"/>
        <v>60</v>
      </c>
      <c r="M11" s="1181">
        <v>4000</v>
      </c>
      <c r="N11" s="1178">
        <v>6300</v>
      </c>
    </row>
    <row r="12" ht="15.5" spans="1:14">
      <c r="A12" s="945">
        <v>3</v>
      </c>
      <c r="B12" s="1082" t="s">
        <v>120</v>
      </c>
      <c r="C12" s="1213" t="s">
        <v>118</v>
      </c>
      <c r="D12" s="1264" t="s">
        <v>112</v>
      </c>
      <c r="E12" s="591">
        <v>100</v>
      </c>
      <c r="F12" s="1200">
        <f t="shared" si="0"/>
        <v>26</v>
      </c>
      <c r="G12" s="1200">
        <f t="shared" si="1"/>
        <v>26</v>
      </c>
      <c r="H12" s="1200">
        <v>0</v>
      </c>
      <c r="I12" s="1244">
        <f t="shared" si="2"/>
        <v>666.666666666667</v>
      </c>
      <c r="J12" s="1081">
        <f t="shared" si="3"/>
        <v>20</v>
      </c>
      <c r="K12" s="1081">
        <f t="shared" si="4"/>
        <v>6</v>
      </c>
      <c r="L12" s="620">
        <f t="shared" si="6"/>
        <v>60</v>
      </c>
      <c r="M12" s="1186">
        <v>4000</v>
      </c>
      <c r="N12" s="1182">
        <v>6300</v>
      </c>
    </row>
    <row r="13" ht="15.5" spans="1:14">
      <c r="A13" s="945">
        <v>4</v>
      </c>
      <c r="B13" s="1214" t="s">
        <v>121</v>
      </c>
      <c r="C13" s="1211" t="s">
        <v>118</v>
      </c>
      <c r="D13" s="1265" t="s">
        <v>112</v>
      </c>
      <c r="E13" s="594">
        <v>100</v>
      </c>
      <c r="F13" s="1200">
        <f t="shared" si="0"/>
        <v>26</v>
      </c>
      <c r="G13" s="1200">
        <f t="shared" si="1"/>
        <v>26</v>
      </c>
      <c r="H13" s="1200">
        <v>0</v>
      </c>
      <c r="I13" s="1244">
        <f t="shared" si="2"/>
        <v>666.666666666667</v>
      </c>
      <c r="J13" s="1081">
        <f t="shared" si="3"/>
        <v>20</v>
      </c>
      <c r="K13" s="1081">
        <f t="shared" si="4"/>
        <v>6</v>
      </c>
      <c r="L13" s="620">
        <f t="shared" si="6"/>
        <v>60</v>
      </c>
      <c r="M13" s="1186">
        <v>4000</v>
      </c>
      <c r="N13" s="1183">
        <v>6300</v>
      </c>
    </row>
    <row r="14" ht="15.5" spans="1:14">
      <c r="A14" s="945">
        <v>14</v>
      </c>
      <c r="B14" s="1104" t="s">
        <v>122</v>
      </c>
      <c r="C14" s="1215" t="s">
        <v>123</v>
      </c>
      <c r="D14" s="1077" t="s">
        <v>124</v>
      </c>
      <c r="E14" s="608">
        <v>100</v>
      </c>
      <c r="F14" s="1200">
        <f t="shared" si="0"/>
        <v>26</v>
      </c>
      <c r="G14" s="1200">
        <f t="shared" si="1"/>
        <v>26</v>
      </c>
      <c r="H14" s="1200">
        <v>0</v>
      </c>
      <c r="I14" s="1244">
        <f t="shared" si="2"/>
        <v>666.666666666667</v>
      </c>
      <c r="J14" s="1081">
        <f t="shared" si="3"/>
        <v>20</v>
      </c>
      <c r="K14" s="1081">
        <f t="shared" si="4"/>
        <v>6</v>
      </c>
      <c r="L14" s="620">
        <f t="shared" si="6"/>
        <v>60</v>
      </c>
      <c r="M14" s="1186">
        <v>4000</v>
      </c>
      <c r="N14" s="1178">
        <v>540</v>
      </c>
    </row>
    <row r="15" ht="15.5" spans="1:14">
      <c r="A15" s="945">
        <v>15</v>
      </c>
      <c r="B15" s="1216" t="s">
        <v>125</v>
      </c>
      <c r="C15" s="1217" t="s">
        <v>123</v>
      </c>
      <c r="D15" s="1122" t="s">
        <v>126</v>
      </c>
      <c r="E15" s="602">
        <v>100</v>
      </c>
      <c r="F15" s="1200">
        <f t="shared" si="0"/>
        <v>26</v>
      </c>
      <c r="G15" s="1200">
        <f t="shared" si="1"/>
        <v>26</v>
      </c>
      <c r="H15" s="1200">
        <v>0</v>
      </c>
      <c r="I15" s="1244">
        <f t="shared" si="2"/>
        <v>666.666666666667</v>
      </c>
      <c r="J15" s="1081">
        <f t="shared" si="3"/>
        <v>20</v>
      </c>
      <c r="K15" s="1081">
        <f t="shared" si="4"/>
        <v>6</v>
      </c>
      <c r="L15" s="620">
        <f t="shared" si="6"/>
        <v>60</v>
      </c>
      <c r="M15" s="1181">
        <v>4000</v>
      </c>
      <c r="N15" s="1193">
        <v>540</v>
      </c>
    </row>
    <row r="16" ht="15.5" spans="1:14">
      <c r="A16" s="945">
        <v>33</v>
      </c>
      <c r="B16" s="1218" t="s">
        <v>127</v>
      </c>
      <c r="C16" s="1219" t="s">
        <v>128</v>
      </c>
      <c r="D16" s="1266" t="s">
        <v>112</v>
      </c>
      <c r="E16" s="602">
        <v>100</v>
      </c>
      <c r="F16" s="1200">
        <f t="shared" si="0"/>
        <v>26</v>
      </c>
      <c r="G16" s="1200">
        <f t="shared" si="1"/>
        <v>26</v>
      </c>
      <c r="H16" s="1200">
        <v>0</v>
      </c>
      <c r="I16" s="1244">
        <f t="shared" si="2"/>
        <v>666.666666666667</v>
      </c>
      <c r="J16" s="1081">
        <f t="shared" si="3"/>
        <v>20</v>
      </c>
      <c r="K16" s="1081">
        <f t="shared" si="4"/>
        <v>6</v>
      </c>
      <c r="L16" s="620">
        <f t="shared" si="6"/>
        <v>60</v>
      </c>
      <c r="M16" s="1181">
        <v>4000</v>
      </c>
      <c r="N16" s="1193">
        <v>9000</v>
      </c>
    </row>
    <row r="17" ht="15.5" spans="1:14">
      <c r="A17" s="945">
        <v>34</v>
      </c>
      <c r="B17" s="1220" t="s">
        <v>129</v>
      </c>
      <c r="C17" s="1221" t="s">
        <v>128</v>
      </c>
      <c r="D17" s="1267" t="s">
        <v>130</v>
      </c>
      <c r="E17" s="602">
        <v>100</v>
      </c>
      <c r="F17" s="1200">
        <f t="shared" si="0"/>
        <v>26</v>
      </c>
      <c r="G17" s="1200">
        <f t="shared" si="1"/>
        <v>26</v>
      </c>
      <c r="H17" s="1200">
        <v>0</v>
      </c>
      <c r="I17" s="1244">
        <f t="shared" si="2"/>
        <v>666.666666666667</v>
      </c>
      <c r="J17" s="1081">
        <f t="shared" si="3"/>
        <v>20</v>
      </c>
      <c r="K17" s="1081">
        <f t="shared" si="4"/>
        <v>6</v>
      </c>
      <c r="L17" s="620">
        <f t="shared" si="6"/>
        <v>60</v>
      </c>
      <c r="M17" s="1184">
        <v>4000</v>
      </c>
      <c r="N17" s="1193">
        <v>9000</v>
      </c>
    </row>
    <row r="18" ht="15.5" spans="1:14">
      <c r="A18" s="945">
        <v>35</v>
      </c>
      <c r="B18" s="1145" t="s">
        <v>131</v>
      </c>
      <c r="C18" s="1144" t="s">
        <v>128</v>
      </c>
      <c r="D18" s="1268" t="s">
        <v>130</v>
      </c>
      <c r="E18" s="602">
        <v>100</v>
      </c>
      <c r="F18" s="1200">
        <f t="shared" si="0"/>
        <v>26</v>
      </c>
      <c r="G18" s="1200">
        <f t="shared" si="1"/>
        <v>26</v>
      </c>
      <c r="H18" s="1200">
        <v>0</v>
      </c>
      <c r="I18" s="1244">
        <f t="shared" si="2"/>
        <v>666.666666666667</v>
      </c>
      <c r="J18" s="1081">
        <f t="shared" si="3"/>
        <v>20</v>
      </c>
      <c r="K18" s="1081">
        <f t="shared" si="4"/>
        <v>6</v>
      </c>
      <c r="L18" s="620">
        <f t="shared" si="6"/>
        <v>60</v>
      </c>
      <c r="M18" s="1184">
        <v>4000</v>
      </c>
      <c r="N18" s="1193">
        <v>9000</v>
      </c>
    </row>
    <row r="19" ht="15.5" spans="1:14">
      <c r="A19" s="945">
        <v>12</v>
      </c>
      <c r="B19" s="1097" t="s">
        <v>132</v>
      </c>
      <c r="C19" s="1222" t="s">
        <v>133</v>
      </c>
      <c r="D19" s="1080" t="s">
        <v>134</v>
      </c>
      <c r="E19" s="602">
        <v>150</v>
      </c>
      <c r="F19" s="1200">
        <f t="shared" si="0"/>
        <v>39</v>
      </c>
      <c r="G19" s="1200">
        <f t="shared" si="1"/>
        <v>39</v>
      </c>
      <c r="H19" s="1200">
        <v>0</v>
      </c>
      <c r="I19" s="1081">
        <f t="shared" si="2"/>
        <v>444.444444444444</v>
      </c>
      <c r="J19" s="1081">
        <f t="shared" si="3"/>
        <v>30</v>
      </c>
      <c r="K19" s="1081">
        <f t="shared" si="4"/>
        <v>9</v>
      </c>
      <c r="L19" s="620">
        <f t="shared" si="6"/>
        <v>90</v>
      </c>
      <c r="M19" s="1184">
        <v>4000</v>
      </c>
      <c r="N19" s="1193">
        <v>9000</v>
      </c>
    </row>
    <row r="20" ht="15.5" spans="1:14">
      <c r="A20" s="945">
        <v>13</v>
      </c>
      <c r="B20" s="1094" t="s">
        <v>135</v>
      </c>
      <c r="C20" s="1223" t="s">
        <v>133</v>
      </c>
      <c r="D20" s="1122" t="s">
        <v>136</v>
      </c>
      <c r="E20" s="602">
        <v>150</v>
      </c>
      <c r="F20" s="1200">
        <f t="shared" si="0"/>
        <v>39</v>
      </c>
      <c r="G20" s="1200">
        <f t="shared" si="1"/>
        <v>39</v>
      </c>
      <c r="H20" s="1200">
        <v>0</v>
      </c>
      <c r="I20" s="1081">
        <f t="shared" si="2"/>
        <v>444.444444444444</v>
      </c>
      <c r="J20" s="1081">
        <f t="shared" si="3"/>
        <v>30</v>
      </c>
      <c r="K20" s="1081">
        <f t="shared" si="4"/>
        <v>9</v>
      </c>
      <c r="L20" s="620">
        <f t="shared" si="6"/>
        <v>90</v>
      </c>
      <c r="M20" s="1247">
        <v>4000</v>
      </c>
      <c r="N20" s="1192">
        <v>9000</v>
      </c>
    </row>
    <row r="21" ht="15.5" spans="1:14">
      <c r="A21" s="945">
        <v>16</v>
      </c>
      <c r="B21" s="1104" t="s">
        <v>137</v>
      </c>
      <c r="C21" s="1224" t="s">
        <v>123</v>
      </c>
      <c r="D21" s="1080" t="s">
        <v>138</v>
      </c>
      <c r="E21" s="602">
        <v>150</v>
      </c>
      <c r="F21" s="1200">
        <f t="shared" si="0"/>
        <v>39</v>
      </c>
      <c r="G21" s="1200">
        <f t="shared" si="1"/>
        <v>39</v>
      </c>
      <c r="H21" s="1200">
        <v>0</v>
      </c>
      <c r="I21" s="1081">
        <f t="shared" si="2"/>
        <v>444.444444444444</v>
      </c>
      <c r="J21" s="1081">
        <f t="shared" si="3"/>
        <v>30</v>
      </c>
      <c r="K21" s="1081">
        <f t="shared" si="4"/>
        <v>9</v>
      </c>
      <c r="L21" s="620">
        <f t="shared" si="6"/>
        <v>90</v>
      </c>
      <c r="M21" s="599">
        <v>4000</v>
      </c>
      <c r="N21" s="1178">
        <v>540</v>
      </c>
    </row>
    <row r="22" ht="15.5" spans="1:14">
      <c r="A22" s="945">
        <v>17</v>
      </c>
      <c r="B22" s="1225" t="s">
        <v>139</v>
      </c>
      <c r="C22" s="1226" t="s">
        <v>140</v>
      </c>
      <c r="D22" s="1269" t="s">
        <v>141</v>
      </c>
      <c r="E22" s="1140">
        <v>75</v>
      </c>
      <c r="F22" s="1227">
        <f t="shared" si="0"/>
        <v>19.5</v>
      </c>
      <c r="G22" s="1200">
        <f t="shared" si="1"/>
        <v>19.5</v>
      </c>
      <c r="H22" s="1200">
        <v>0</v>
      </c>
      <c r="I22" s="1081">
        <f t="shared" si="2"/>
        <v>444.444444444444</v>
      </c>
      <c r="J22" s="1081">
        <f t="shared" si="3"/>
        <v>15</v>
      </c>
      <c r="K22" s="1081">
        <f t="shared" si="4"/>
        <v>4.5</v>
      </c>
      <c r="L22" s="620">
        <f t="shared" si="6"/>
        <v>45</v>
      </c>
      <c r="M22" s="1191">
        <v>2000</v>
      </c>
      <c r="N22" s="1185">
        <v>1080</v>
      </c>
    </row>
    <row r="23" ht="15.5" spans="1:14">
      <c r="A23" s="945">
        <v>18</v>
      </c>
      <c r="B23" s="1111" t="s">
        <v>142</v>
      </c>
      <c r="C23" s="1112" t="s">
        <v>140</v>
      </c>
      <c r="D23" s="1263" t="s">
        <v>143</v>
      </c>
      <c r="E23" s="620">
        <v>75</v>
      </c>
      <c r="F23" s="1227">
        <f t="shared" si="0"/>
        <v>19.5</v>
      </c>
      <c r="G23" s="1200">
        <f t="shared" si="1"/>
        <v>19.5</v>
      </c>
      <c r="H23" s="1200">
        <v>0</v>
      </c>
      <c r="I23" s="1081">
        <f t="shared" si="2"/>
        <v>444.444444444444</v>
      </c>
      <c r="J23" s="1081">
        <f t="shared" si="3"/>
        <v>15</v>
      </c>
      <c r="K23" s="1081">
        <f t="shared" si="4"/>
        <v>4.5</v>
      </c>
      <c r="L23" s="620">
        <f t="shared" si="6"/>
        <v>45</v>
      </c>
      <c r="M23" s="599">
        <v>2000</v>
      </c>
      <c r="N23" s="1178">
        <v>1080</v>
      </c>
    </row>
    <row r="24" ht="15.5" spans="1:14">
      <c r="A24" s="945">
        <v>19</v>
      </c>
      <c r="B24" s="1225" t="s">
        <v>144</v>
      </c>
      <c r="C24" s="1228" t="s">
        <v>140</v>
      </c>
      <c r="D24" s="1229" t="s">
        <v>145</v>
      </c>
      <c r="E24" s="606">
        <v>75</v>
      </c>
      <c r="F24" s="1227">
        <f t="shared" si="0"/>
        <v>19.5</v>
      </c>
      <c r="G24" s="1200">
        <f t="shared" si="1"/>
        <v>19.5</v>
      </c>
      <c r="H24" s="1200">
        <v>0</v>
      </c>
      <c r="I24" s="1081">
        <f t="shared" si="2"/>
        <v>444.444444444444</v>
      </c>
      <c r="J24" s="1081">
        <f t="shared" si="3"/>
        <v>15</v>
      </c>
      <c r="K24" s="1081">
        <f t="shared" si="4"/>
        <v>4.5</v>
      </c>
      <c r="L24" s="620">
        <f t="shared" si="6"/>
        <v>45</v>
      </c>
      <c r="M24" s="1181">
        <v>2000</v>
      </c>
      <c r="N24" s="1192">
        <v>1080</v>
      </c>
    </row>
    <row r="25" ht="15.5" spans="1:14">
      <c r="A25" s="945">
        <v>20</v>
      </c>
      <c r="B25" s="1108" t="s">
        <v>146</v>
      </c>
      <c r="C25" s="1228" t="s">
        <v>140</v>
      </c>
      <c r="D25" s="1265" t="s">
        <v>147</v>
      </c>
      <c r="E25" s="602">
        <v>75</v>
      </c>
      <c r="F25" s="1227">
        <f t="shared" si="0"/>
        <v>19.5</v>
      </c>
      <c r="G25" s="1200">
        <f t="shared" si="1"/>
        <v>19.5</v>
      </c>
      <c r="H25" s="1200">
        <v>0</v>
      </c>
      <c r="I25" s="1081">
        <f t="shared" si="2"/>
        <v>444.444444444444</v>
      </c>
      <c r="J25" s="1081">
        <f t="shared" si="3"/>
        <v>15</v>
      </c>
      <c r="K25" s="1081">
        <f t="shared" si="4"/>
        <v>4.5</v>
      </c>
      <c r="L25" s="620">
        <f t="shared" si="6"/>
        <v>45</v>
      </c>
      <c r="M25" s="1181">
        <v>2000</v>
      </c>
      <c r="N25" s="1193">
        <v>1080</v>
      </c>
    </row>
    <row r="26" ht="15.5" spans="1:14">
      <c r="A26" s="945">
        <v>36</v>
      </c>
      <c r="B26" s="1151" t="s">
        <v>148</v>
      </c>
      <c r="C26" s="1230" t="s">
        <v>111</v>
      </c>
      <c r="D26" s="1180" t="s">
        <v>112</v>
      </c>
      <c r="E26" s="620">
        <v>75</v>
      </c>
      <c r="F26" s="1227">
        <f t="shared" si="0"/>
        <v>19.5</v>
      </c>
      <c r="G26" s="1200">
        <f t="shared" si="1"/>
        <v>19.5</v>
      </c>
      <c r="H26" s="1200">
        <v>0</v>
      </c>
      <c r="I26" s="1081">
        <f t="shared" si="2"/>
        <v>444.444444444444</v>
      </c>
      <c r="J26" s="1081">
        <f t="shared" si="3"/>
        <v>15</v>
      </c>
      <c r="K26" s="1081">
        <f t="shared" si="4"/>
        <v>4.5</v>
      </c>
      <c r="L26" s="620">
        <f t="shared" si="6"/>
        <v>45</v>
      </c>
      <c r="M26" s="1181">
        <v>2000</v>
      </c>
      <c r="N26" s="1180">
        <v>6300</v>
      </c>
    </row>
    <row r="27" ht="15.5" spans="1:14">
      <c r="A27" s="945">
        <v>24</v>
      </c>
      <c r="B27" s="1120" t="s">
        <v>122</v>
      </c>
      <c r="C27" s="1231" t="s">
        <v>149</v>
      </c>
      <c r="D27" s="1096" t="s">
        <v>112</v>
      </c>
      <c r="E27" s="1232">
        <v>100</v>
      </c>
      <c r="F27" s="1200">
        <f t="shared" si="0"/>
        <v>26</v>
      </c>
      <c r="G27" s="1200">
        <f t="shared" si="1"/>
        <v>26</v>
      </c>
      <c r="H27" s="1200">
        <v>0</v>
      </c>
      <c r="I27" s="1081">
        <f t="shared" si="2"/>
        <v>333.333333333333</v>
      </c>
      <c r="J27" s="1081">
        <f t="shared" si="3"/>
        <v>20</v>
      </c>
      <c r="K27" s="1081">
        <f t="shared" si="4"/>
        <v>6</v>
      </c>
      <c r="L27" s="620">
        <f t="shared" si="6"/>
        <v>60</v>
      </c>
      <c r="M27" s="1181">
        <v>2000</v>
      </c>
      <c r="N27" s="1248">
        <v>900</v>
      </c>
    </row>
    <row r="28" ht="15.5" spans="1:14">
      <c r="A28" s="945">
        <v>25</v>
      </c>
      <c r="B28" s="1233" t="s">
        <v>150</v>
      </c>
      <c r="C28" s="1234" t="s">
        <v>149</v>
      </c>
      <c r="D28" s="1099" t="s">
        <v>112</v>
      </c>
      <c r="E28" s="1235">
        <v>100</v>
      </c>
      <c r="F28" s="1200">
        <f t="shared" si="0"/>
        <v>26</v>
      </c>
      <c r="G28" s="1200">
        <f t="shared" si="1"/>
        <v>26</v>
      </c>
      <c r="H28" s="1200">
        <v>0</v>
      </c>
      <c r="I28" s="1081">
        <f t="shared" si="2"/>
        <v>333.333333333333</v>
      </c>
      <c r="J28" s="1081">
        <f t="shared" si="3"/>
        <v>20</v>
      </c>
      <c r="K28" s="1081">
        <f t="shared" si="4"/>
        <v>6</v>
      </c>
      <c r="L28" s="620">
        <f t="shared" si="6"/>
        <v>60</v>
      </c>
      <c r="M28" s="599">
        <v>2000</v>
      </c>
      <c r="N28" s="1249">
        <v>900</v>
      </c>
    </row>
    <row r="29" ht="15.5" spans="1:14">
      <c r="A29" s="945">
        <v>26</v>
      </c>
      <c r="B29" s="1236" t="s">
        <v>151</v>
      </c>
      <c r="C29" s="1237" t="s">
        <v>114</v>
      </c>
      <c r="D29" s="1107" t="s">
        <v>115</v>
      </c>
      <c r="E29" s="1238">
        <v>100</v>
      </c>
      <c r="F29" s="1200">
        <f t="shared" si="0"/>
        <v>26</v>
      </c>
      <c r="G29" s="1200">
        <f t="shared" si="1"/>
        <v>26</v>
      </c>
      <c r="H29" s="1200">
        <v>0</v>
      </c>
      <c r="I29" s="1081">
        <f t="shared" si="2"/>
        <v>0</v>
      </c>
      <c r="J29" s="1081">
        <f t="shared" si="3"/>
        <v>20</v>
      </c>
      <c r="K29" s="1081">
        <f t="shared" si="4"/>
        <v>6</v>
      </c>
      <c r="L29" s="620">
        <f t="shared" si="6"/>
        <v>60</v>
      </c>
      <c r="M29" s="1245" t="s">
        <v>152</v>
      </c>
      <c r="N29" s="1250">
        <v>900</v>
      </c>
    </row>
    <row r="30" ht="15.5" spans="1:14">
      <c r="A30" s="945">
        <v>28</v>
      </c>
      <c r="B30" s="1131" t="s">
        <v>153</v>
      </c>
      <c r="C30" s="1131" t="s">
        <v>114</v>
      </c>
      <c r="D30" s="1077" t="s">
        <v>115</v>
      </c>
      <c r="E30" s="1239">
        <v>100</v>
      </c>
      <c r="F30" s="1200">
        <f t="shared" si="0"/>
        <v>26</v>
      </c>
      <c r="G30" s="1200">
        <f t="shared" si="1"/>
        <v>26</v>
      </c>
      <c r="H30" s="1200">
        <v>0</v>
      </c>
      <c r="I30" s="1081">
        <f t="shared" si="2"/>
        <v>0</v>
      </c>
      <c r="J30" s="1081">
        <f t="shared" si="3"/>
        <v>20</v>
      </c>
      <c r="K30" s="1081">
        <f t="shared" si="4"/>
        <v>6</v>
      </c>
      <c r="L30" s="620">
        <f t="shared" si="6"/>
        <v>60</v>
      </c>
      <c r="M30" s="1251" t="s">
        <v>152</v>
      </c>
      <c r="N30" s="1252">
        <v>900</v>
      </c>
    </row>
    <row r="31" ht="14.75" spans="2:14">
      <c r="B31" s="1158" t="s">
        <v>154</v>
      </c>
      <c r="C31" s="1159"/>
      <c r="D31" s="1160"/>
      <c r="E31" s="1160"/>
      <c r="F31" s="1160"/>
      <c r="G31" s="1160"/>
      <c r="H31" s="1160"/>
      <c r="I31" s="1161"/>
      <c r="J31" s="1161"/>
      <c r="K31" s="1161"/>
      <c r="L31" s="1160"/>
      <c r="M31" s="1161"/>
      <c r="N31" s="1160"/>
    </row>
    <row r="32" spans="2:20">
      <c r="B32" s="1162" t="s">
        <v>155</v>
      </c>
      <c r="C32" s="1163"/>
      <c r="D32" s="1164"/>
      <c r="E32" s="1164"/>
      <c r="F32" s="1164"/>
      <c r="G32" s="1164"/>
      <c r="H32" s="1164"/>
      <c r="I32" s="1165"/>
      <c r="J32" s="1165"/>
      <c r="K32" s="1165"/>
      <c r="L32" s="1164"/>
      <c r="M32" s="1165"/>
      <c r="N32" s="1164"/>
      <c r="O32" s="945"/>
      <c r="S32" s="1075"/>
      <c r="T32" s="945"/>
    </row>
    <row r="33" spans="2:20">
      <c r="B33" s="1162" t="s">
        <v>156</v>
      </c>
      <c r="C33" s="1163"/>
      <c r="D33" s="1164"/>
      <c r="E33" s="1164"/>
      <c r="F33" s="1164"/>
      <c r="G33" s="1164"/>
      <c r="H33" s="1164"/>
      <c r="I33" s="1165"/>
      <c r="J33" s="1165"/>
      <c r="K33" s="1165"/>
      <c r="L33" s="1164"/>
      <c r="M33" s="1165"/>
      <c r="N33" s="1164"/>
      <c r="O33" s="945"/>
      <c r="S33" s="1075"/>
      <c r="T33" s="945"/>
    </row>
    <row r="34" spans="2:20">
      <c r="B34" s="1162" t="s">
        <v>157</v>
      </c>
      <c r="C34" s="1163"/>
      <c r="D34" s="1164"/>
      <c r="E34" s="1164"/>
      <c r="F34" s="1164"/>
      <c r="G34" s="1164"/>
      <c r="H34" s="1164"/>
      <c r="I34" s="1165"/>
      <c r="J34" s="1165"/>
      <c r="K34" s="1165"/>
      <c r="L34" s="1164"/>
      <c r="M34" s="1165"/>
      <c r="N34" s="1164"/>
      <c r="O34" s="945"/>
      <c r="S34" s="1075"/>
      <c r="T34" s="945"/>
    </row>
    <row r="35" spans="2:14">
      <c r="B35" s="1162" t="s">
        <v>158</v>
      </c>
      <c r="C35" s="1163"/>
      <c r="D35" s="1164"/>
      <c r="E35" s="1164"/>
      <c r="F35" s="1164"/>
      <c r="G35" s="1164"/>
      <c r="H35" s="1164"/>
      <c r="I35" s="1165"/>
      <c r="J35" s="1165"/>
      <c r="K35" s="1165"/>
      <c r="L35" s="1164"/>
      <c r="M35" s="1165"/>
      <c r="N35" s="1164"/>
    </row>
    <row r="36" spans="2:14">
      <c r="B36" s="1162" t="s">
        <v>159</v>
      </c>
      <c r="C36" s="1163"/>
      <c r="D36" s="1164"/>
      <c r="E36" s="1164"/>
      <c r="F36" s="1164"/>
      <c r="G36" s="1164"/>
      <c r="H36" s="1164"/>
      <c r="I36" s="1165"/>
      <c r="J36" s="1165"/>
      <c r="K36" s="1165"/>
      <c r="L36" s="1164"/>
      <c r="M36" s="1165"/>
      <c r="N36" s="1164"/>
    </row>
    <row r="37" spans="2:14">
      <c r="B37" s="1162" t="s">
        <v>160</v>
      </c>
      <c r="C37" s="1163"/>
      <c r="D37" s="1164"/>
      <c r="E37" s="1164"/>
      <c r="F37" s="1164"/>
      <c r="G37" s="1164"/>
      <c r="H37" s="1164"/>
      <c r="I37" s="1165"/>
      <c r="J37" s="1165"/>
      <c r="K37" s="1165"/>
      <c r="L37" s="1164"/>
      <c r="M37" s="1165"/>
      <c r="N37" s="1164"/>
    </row>
    <row r="38" spans="2:14">
      <c r="B38" s="1166" t="s">
        <v>161</v>
      </c>
      <c r="C38" s="1167"/>
      <c r="D38" s="1168"/>
      <c r="E38" s="1168"/>
      <c r="F38" s="1168"/>
      <c r="G38" s="1168"/>
      <c r="H38" s="1168"/>
      <c r="I38" s="1169"/>
      <c r="J38" s="1169"/>
      <c r="K38" s="1169"/>
      <c r="L38" s="1168"/>
      <c r="M38" s="1169"/>
      <c r="N38" s="1168"/>
    </row>
    <row r="39" spans="2:14">
      <c r="B39" s="1166" t="s">
        <v>162</v>
      </c>
      <c r="C39" s="1167"/>
      <c r="D39" s="1168"/>
      <c r="E39" s="1168"/>
      <c r="F39" s="1168"/>
      <c r="G39" s="1168"/>
      <c r="H39" s="1168"/>
      <c r="I39" s="1169"/>
      <c r="J39" s="1169"/>
      <c r="K39" s="1169"/>
      <c r="L39" s="1168"/>
      <c r="M39" s="1169"/>
      <c r="N39" s="1168"/>
    </row>
    <row r="40" spans="2:14">
      <c r="B40" s="1166" t="s">
        <v>163</v>
      </c>
      <c r="C40" s="1167"/>
      <c r="D40" s="1168"/>
      <c r="E40" s="1168"/>
      <c r="F40" s="1168"/>
      <c r="G40" s="1168"/>
      <c r="H40" s="1168"/>
      <c r="I40" s="1169"/>
      <c r="J40" s="1169"/>
      <c r="K40" s="1169"/>
      <c r="L40" s="1168"/>
      <c r="M40" s="1169"/>
      <c r="N40" s="1168"/>
    </row>
    <row r="41" spans="2:14">
      <c r="B41" s="1170" t="s">
        <v>164</v>
      </c>
      <c r="C41" s="1171"/>
      <c r="D41" s="1172"/>
      <c r="E41" s="1172"/>
      <c r="F41" s="1172"/>
      <c r="G41" s="1172"/>
      <c r="H41" s="1172"/>
      <c r="I41" s="1173"/>
      <c r="J41" s="1173"/>
      <c r="K41" s="1173"/>
      <c r="L41" s="1172"/>
      <c r="M41" s="1173"/>
      <c r="N41" s="1172"/>
    </row>
    <row r="42" spans="2:14">
      <c r="B42" s="1170" t="s">
        <v>165</v>
      </c>
      <c r="C42" s="1171"/>
      <c r="D42" s="1172"/>
      <c r="E42" s="1172"/>
      <c r="F42" s="1172"/>
      <c r="G42" s="1172"/>
      <c r="H42" s="1172"/>
      <c r="I42" s="1173"/>
      <c r="J42" s="1173"/>
      <c r="K42" s="1173"/>
      <c r="L42" s="1172"/>
      <c r="M42" s="1173"/>
      <c r="N42" s="1172"/>
    </row>
    <row r="43" spans="2:14">
      <c r="B43" s="1174" t="s">
        <v>166</v>
      </c>
      <c r="C43" s="1175"/>
      <c r="D43" s="1176"/>
      <c r="E43" s="1176"/>
      <c r="F43" s="1176"/>
      <c r="G43" s="1176"/>
      <c r="H43" s="1176"/>
      <c r="I43" s="1177"/>
      <c r="J43" s="1177"/>
      <c r="K43" s="1177"/>
      <c r="L43" s="1176"/>
      <c r="M43" s="1177"/>
      <c r="N43" s="1176"/>
    </row>
  </sheetData>
  <autoFilter ref="A1:AB43">
    <sortState ref="A1:AB43">
      <sortCondition ref="I1" descending="1"/>
    </sortState>
    <extLst/>
  </autoFilter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Q12"/>
  <sheetViews>
    <sheetView zoomScale="145" zoomScaleNormal="145" workbookViewId="0">
      <selection activeCell="J17" sqref="J17"/>
    </sheetView>
  </sheetViews>
  <sheetFormatPr defaultColWidth="9" defaultRowHeight="14"/>
  <cols>
    <col min="1" max="1" width="2.44166666666667" style="88" customWidth="1"/>
    <col min="2" max="2" width="4.21666666666667" style="88" customWidth="1"/>
    <col min="3" max="3" width="14.2166666666667" style="88" customWidth="1"/>
    <col min="4" max="4" width="7.55833333333333" style="88" customWidth="1"/>
    <col min="5" max="5" width="7.21666666666667" style="88" customWidth="1"/>
    <col min="6" max="6" width="7.66666666666667" style="88" customWidth="1"/>
    <col min="7" max="8" width="8.44166666666667" style="88" customWidth="1"/>
    <col min="9" max="11" width="8.88333333333333" style="88"/>
    <col min="12" max="12" width="7.44166666666667" style="88" customWidth="1"/>
    <col min="13" max="13" width="9.10833333333333" style="88" customWidth="1"/>
    <col min="14" max="14" width="7.21666666666667" style="88" customWidth="1"/>
    <col min="15" max="15" width="8" style="88" customWidth="1"/>
    <col min="16" max="16" width="6" style="88" customWidth="1"/>
    <col min="17" max="17" width="9.33333333333333" style="88" customWidth="1"/>
    <col min="18" max="16384" width="8.88333333333333" style="88"/>
  </cols>
  <sheetData>
    <row r="1" spans="2:14">
      <c r="B1" s="96"/>
      <c r="C1" s="96"/>
      <c r="D1" s="96"/>
      <c r="E1" s="96"/>
      <c r="F1" s="96"/>
      <c r="G1" s="97"/>
      <c r="H1" s="96"/>
      <c r="I1" s="96"/>
      <c r="J1" s="96"/>
      <c r="K1" s="96"/>
      <c r="L1" s="96"/>
      <c r="M1" s="96"/>
      <c r="N1" s="96"/>
    </row>
    <row r="2" ht="13.8" customHeight="1" spans="2:16">
      <c r="B2" s="98" t="s">
        <v>1335</v>
      </c>
      <c r="C2" s="99"/>
      <c r="D2" s="100" t="s">
        <v>1336</v>
      </c>
      <c r="E2" s="101" t="s">
        <v>1337</v>
      </c>
      <c r="F2" s="96"/>
      <c r="G2" s="96"/>
      <c r="H2" s="96"/>
      <c r="I2" s="103"/>
      <c r="J2" s="101" t="s">
        <v>1338</v>
      </c>
      <c r="K2" s="96"/>
      <c r="L2" s="96"/>
      <c r="M2" s="103"/>
      <c r="N2" s="113" t="s">
        <v>1339</v>
      </c>
      <c r="O2" s="114" t="s">
        <v>1340</v>
      </c>
      <c r="P2" s="115" t="s">
        <v>1341</v>
      </c>
    </row>
    <row r="3" ht="13.8" customHeight="1" spans="2:16">
      <c r="B3" s="102"/>
      <c r="C3" s="103"/>
      <c r="D3" s="104" t="s">
        <v>443</v>
      </c>
      <c r="E3" s="105" t="s">
        <v>422</v>
      </c>
      <c r="F3" s="89" t="s">
        <v>423</v>
      </c>
      <c r="G3" s="106" t="s">
        <v>466</v>
      </c>
      <c r="H3" s="89" t="s">
        <v>1342</v>
      </c>
      <c r="I3" s="116" t="s">
        <v>1343</v>
      </c>
      <c r="J3" s="111" t="s">
        <v>1344</v>
      </c>
      <c r="K3" s="117" t="s">
        <v>1345</v>
      </c>
      <c r="L3" s="89" t="s">
        <v>1346</v>
      </c>
      <c r="M3" s="116" t="s">
        <v>1347</v>
      </c>
      <c r="N3" s="118"/>
      <c r="O3" s="114"/>
      <c r="P3" s="115"/>
    </row>
    <row r="4" ht="13.8" customHeight="1" spans="2:16">
      <c r="B4" s="89">
        <v>1</v>
      </c>
      <c r="C4" s="106" t="s">
        <v>1348</v>
      </c>
      <c r="D4" s="107">
        <v>-600</v>
      </c>
      <c r="E4" s="105">
        <f>-D4/3*10</f>
        <v>2000</v>
      </c>
      <c r="F4" s="89">
        <f>E4/10*5</f>
        <v>1000</v>
      </c>
      <c r="G4" s="106">
        <f>E4/10*0.09-D4*1/30</f>
        <v>38</v>
      </c>
      <c r="H4" s="89">
        <f>F4/2*2+G4/0.09*0.8</f>
        <v>1337.77777777778</v>
      </c>
      <c r="I4" s="116">
        <f>(-D4/10*240+E4/10*(240+480+400)+G4/0.5*240)/1000</f>
        <v>256.64</v>
      </c>
      <c r="J4" s="111">
        <f>H4-I4</f>
        <v>1081.13777777778</v>
      </c>
      <c r="K4" s="111">
        <f>1.5*H4-I4</f>
        <v>1750.02666666667</v>
      </c>
      <c r="L4" s="89">
        <f>F4/2*0.5+G4/90*22.5</f>
        <v>259.5</v>
      </c>
      <c r="M4" s="116">
        <f>F4/2000*750+G4/90*67.5</f>
        <v>403.5</v>
      </c>
      <c r="N4" s="119">
        <f>-J4/(D$4+M4)</f>
        <v>5.50197342380549</v>
      </c>
      <c r="O4" s="120">
        <f>-K4/(D$4+M4)</f>
        <v>8.90598812553011</v>
      </c>
      <c r="P4" s="110">
        <f>O4/N4</f>
        <v>1.61868977538067</v>
      </c>
    </row>
    <row r="5" spans="2:17">
      <c r="B5" s="89">
        <v>2</v>
      </c>
      <c r="C5" s="106" t="s">
        <v>1349</v>
      </c>
      <c r="D5" s="108"/>
      <c r="E5" s="105"/>
      <c r="F5" s="89">
        <f>E4</f>
        <v>2000</v>
      </c>
      <c r="G5" s="106">
        <f>-D4*1/30</f>
        <v>20</v>
      </c>
      <c r="H5" s="89">
        <f>F5/2*2+G5/0.09*0.8</f>
        <v>2177.77777777778</v>
      </c>
      <c r="I5" s="116">
        <f>(-D4/10*240+E4/10*240+F5/10*240+G5/0.5*240)/1000</f>
        <v>120</v>
      </c>
      <c r="J5" s="111">
        <f>H5-I5</f>
        <v>2057.77777777778</v>
      </c>
      <c r="K5" s="111">
        <f t="shared" ref="K5:K12" si="0">1.5*H5-I5</f>
        <v>3146.66666666667</v>
      </c>
      <c r="L5" s="89">
        <f>F5/2*0.5</f>
        <v>500</v>
      </c>
      <c r="M5" s="116">
        <f>F5/2000*750</f>
        <v>750</v>
      </c>
      <c r="N5" s="105" t="s">
        <v>498</v>
      </c>
      <c r="O5" s="106" t="s">
        <v>498</v>
      </c>
      <c r="P5" s="89" t="s">
        <v>180</v>
      </c>
      <c r="Q5" s="88">
        <f>M5/D4</f>
        <v>-1.25</v>
      </c>
    </row>
    <row r="6" spans="2:17">
      <c r="B6" s="89">
        <v>3</v>
      </c>
      <c r="C6" s="106" t="s">
        <v>1350</v>
      </c>
      <c r="D6" s="100"/>
      <c r="E6" s="105"/>
      <c r="F6" s="89"/>
      <c r="G6" s="106">
        <f>0.67*F5-D4*1/30</f>
        <v>1360</v>
      </c>
      <c r="H6" s="89">
        <f>G6/0.09*0.8</f>
        <v>12088.8888888889</v>
      </c>
      <c r="I6" s="116">
        <f>(-D4/10*240+E4/10*240+G6/0.5*240)/1000</f>
        <v>715.2</v>
      </c>
      <c r="J6" s="111">
        <f>H6-I6</f>
        <v>11373.6888888889</v>
      </c>
      <c r="K6" s="111">
        <f t="shared" si="0"/>
        <v>17418.1333333333</v>
      </c>
      <c r="L6" s="89">
        <f>G6/90*22.5</f>
        <v>340</v>
      </c>
      <c r="M6" s="116">
        <f>G6/90*67.5</f>
        <v>1020</v>
      </c>
      <c r="N6" s="121" t="s">
        <v>498</v>
      </c>
      <c r="O6" s="98" t="s">
        <v>498</v>
      </c>
      <c r="P6" s="89" t="s">
        <v>180</v>
      </c>
      <c r="Q6" s="91">
        <f>M6/D4</f>
        <v>-1.7</v>
      </c>
    </row>
    <row r="7" spans="2:16">
      <c r="B7" s="106"/>
      <c r="C7" s="109"/>
      <c r="D7" s="104"/>
      <c r="E7" s="89" t="s">
        <v>1346</v>
      </c>
      <c r="F7" s="89" t="s">
        <v>1351</v>
      </c>
      <c r="G7" s="106" t="s">
        <v>460</v>
      </c>
      <c r="H7" s="106"/>
      <c r="I7" s="122"/>
      <c r="J7" s="122"/>
      <c r="K7" s="122"/>
      <c r="L7" s="122"/>
      <c r="M7" s="122"/>
      <c r="N7" s="122"/>
      <c r="O7" s="122"/>
      <c r="P7" s="111"/>
    </row>
    <row r="8" spans="2:16">
      <c r="B8" s="89">
        <v>4</v>
      </c>
      <c r="C8" s="106" t="s">
        <v>1352</v>
      </c>
      <c r="D8" s="104">
        <v>-70</v>
      </c>
      <c r="E8" s="105">
        <f>D8*0.3</f>
        <v>-21</v>
      </c>
      <c r="F8" s="89">
        <f>1500/4.5</f>
        <v>333.333333333333</v>
      </c>
      <c r="G8" s="106" t="s">
        <v>180</v>
      </c>
      <c r="H8" s="110">
        <f>F8/1.2*300/1000</f>
        <v>83.3333333333333</v>
      </c>
      <c r="I8" s="106">
        <f>(-E8/0.3*120-D8/10*240+F8/20*120)/1000</f>
        <v>12.08</v>
      </c>
      <c r="J8" s="123">
        <f>H8-I8</f>
        <v>71.2533333333333</v>
      </c>
      <c r="K8" s="111">
        <f t="shared" si="0"/>
        <v>112.92</v>
      </c>
      <c r="L8" s="110">
        <f>F8/1200*170</f>
        <v>47.2222222222222</v>
      </c>
      <c r="M8" s="116" t="s">
        <v>180</v>
      </c>
      <c r="N8" s="119">
        <f>-J8/$D8</f>
        <v>1.01790476190476</v>
      </c>
      <c r="O8" s="120">
        <f>-K8/$D8</f>
        <v>1.61314285714286</v>
      </c>
      <c r="P8" s="110">
        <f t="shared" ref="P8:P12" si="1">O8/N8</f>
        <v>1.58476796407186</v>
      </c>
    </row>
    <row r="9" spans="2:16">
      <c r="B9" s="89">
        <v>5</v>
      </c>
      <c r="C9" s="106" t="s">
        <v>1353</v>
      </c>
      <c r="D9" s="104"/>
      <c r="E9" s="105">
        <f>(D8+M9)*0.3</f>
        <v>-2.25</v>
      </c>
      <c r="F9" s="89"/>
      <c r="G9" s="106">
        <f>F8/2</f>
        <v>166.666666666667</v>
      </c>
      <c r="H9" s="110">
        <f>G9/2*2</f>
        <v>166.666666666667</v>
      </c>
      <c r="I9" s="106">
        <f>(-E9/0.3*120-D8/10*240+F8/20*120+G9/2*4*240)/1000</f>
        <v>84.58</v>
      </c>
      <c r="J9" s="123">
        <f>H9-I9</f>
        <v>82.0866666666667</v>
      </c>
      <c r="K9" s="111">
        <f t="shared" si="0"/>
        <v>165.42</v>
      </c>
      <c r="L9" s="110">
        <f>G9/2*0.5+F8*0.166666666666666</f>
        <v>97.222222222222</v>
      </c>
      <c r="M9" s="116">
        <f>G9/2*0.75</f>
        <v>62.5</v>
      </c>
      <c r="N9" s="119">
        <f>-J9/($D8+$M9)</f>
        <v>10.9448888888889</v>
      </c>
      <c r="O9" s="120">
        <f>-K9/($D8+$M9)</f>
        <v>22.056</v>
      </c>
      <c r="P9" s="110">
        <f t="shared" si="1"/>
        <v>2.01518720051978</v>
      </c>
    </row>
    <row r="10" spans="2:16">
      <c r="B10" s="106"/>
      <c r="C10" s="109"/>
      <c r="D10" s="104"/>
      <c r="E10" s="105" t="s">
        <v>311</v>
      </c>
      <c r="F10" s="106" t="s">
        <v>464</v>
      </c>
      <c r="G10" s="111"/>
      <c r="H10" s="106"/>
      <c r="I10" s="122"/>
      <c r="J10" s="122"/>
      <c r="K10" s="122"/>
      <c r="L10" s="122"/>
      <c r="M10" s="122"/>
      <c r="N10" s="122"/>
      <c r="O10" s="122"/>
      <c r="P10" s="111"/>
    </row>
    <row r="11" spans="2:16">
      <c r="B11" s="89">
        <v>8</v>
      </c>
      <c r="C11" s="106" t="s">
        <v>1354</v>
      </c>
      <c r="D11" s="104">
        <v>-600</v>
      </c>
      <c r="E11" s="105">
        <f>-0.888*D11</f>
        <v>532.8</v>
      </c>
      <c r="F11" s="98">
        <f>-0.112*D11</f>
        <v>67.2</v>
      </c>
      <c r="G11" s="112"/>
      <c r="H11" s="92">
        <f>F11/0.1*0.8</f>
        <v>537.6</v>
      </c>
      <c r="I11" s="102">
        <f>(F11/0.5*240-D11*120)/1000</f>
        <v>104.256</v>
      </c>
      <c r="J11" s="124">
        <f>H11-I11</f>
        <v>433.344</v>
      </c>
      <c r="K11" s="111">
        <f t="shared" si="0"/>
        <v>702.144</v>
      </c>
      <c r="L11" s="125" t="s">
        <v>180</v>
      </c>
      <c r="M11" s="116" t="s">
        <v>180</v>
      </c>
      <c r="N11" s="119">
        <f>-J11/$D$11</f>
        <v>0.72224</v>
      </c>
      <c r="O11" s="120">
        <f>-K11/$D$11</f>
        <v>1.17024</v>
      </c>
      <c r="P11" s="110">
        <f t="shared" si="1"/>
        <v>1.62029242357111</v>
      </c>
    </row>
    <row r="12" spans="2:16">
      <c r="B12" s="89">
        <v>9</v>
      </c>
      <c r="C12" s="106" t="s">
        <v>1355</v>
      </c>
      <c r="D12" s="104"/>
      <c r="E12" s="105"/>
      <c r="F12" s="102"/>
      <c r="G12" s="92"/>
      <c r="H12" s="111">
        <f>H11+E11/60*0.4*600*18/24</f>
        <v>2136</v>
      </c>
      <c r="I12" s="122">
        <f>I11+(E11/0.5*240+L12/0.3*120)/1000</f>
        <v>364.2624</v>
      </c>
      <c r="J12" s="105">
        <f>H12-I12</f>
        <v>1771.7376</v>
      </c>
      <c r="K12" s="111">
        <f t="shared" si="0"/>
        <v>2839.7376</v>
      </c>
      <c r="L12" s="110">
        <f>E11/100*2</f>
        <v>10.656</v>
      </c>
      <c r="M12" s="116">
        <f>E11/60*6.7</f>
        <v>59.496</v>
      </c>
      <c r="N12" s="119">
        <f>-J12/($D$11+$M12)</f>
        <v>3.27793614848364</v>
      </c>
      <c r="O12" s="120">
        <f>-K12/($D$11+$M12)</f>
        <v>5.25386972159318</v>
      </c>
      <c r="P12" s="110">
        <f t="shared" si="1"/>
        <v>1.60279806671146</v>
      </c>
    </row>
  </sheetData>
  <mergeCells count="19">
    <mergeCell ref="E2:I2"/>
    <mergeCell ref="J2:M2"/>
    <mergeCell ref="B7:C7"/>
    <mergeCell ref="H7:P7"/>
    <mergeCell ref="B10:C10"/>
    <mergeCell ref="F10:G10"/>
    <mergeCell ref="H10:P10"/>
    <mergeCell ref="D4:D6"/>
    <mergeCell ref="D8:D9"/>
    <mergeCell ref="D11:D12"/>
    <mergeCell ref="E4:E6"/>
    <mergeCell ref="E11:E12"/>
    <mergeCell ref="F5:F6"/>
    <mergeCell ref="F8:F9"/>
    <mergeCell ref="N2:N3"/>
    <mergeCell ref="O2:O3"/>
    <mergeCell ref="P2:P3"/>
    <mergeCell ref="F11:G12"/>
    <mergeCell ref="B2:C3"/>
  </mergeCells>
  <pageMargins left="0.7" right="0.7" top="0.75" bottom="0.75" header="0.3" footer="0.3"/>
  <pageSetup paperSize="9" orientation="portrait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Q4"/>
  <sheetViews>
    <sheetView zoomScale="160" zoomScaleNormal="160" workbookViewId="0">
      <selection activeCell="H12" sqref="H12"/>
    </sheetView>
  </sheetViews>
  <sheetFormatPr defaultColWidth="9" defaultRowHeight="14" outlineLevelRow="3"/>
  <cols>
    <col min="1" max="1" width="2.775" style="88" customWidth="1"/>
    <col min="2" max="2" width="16.4416666666667" style="88" customWidth="1"/>
    <col min="3" max="3" width="5.44166666666667" style="88" customWidth="1"/>
    <col min="4" max="4" width="4.10833333333333" style="88" customWidth="1"/>
    <col min="5" max="5" width="7.21666666666667" style="88" customWidth="1"/>
    <col min="6" max="6" width="7.44166666666667" style="88" customWidth="1"/>
    <col min="7" max="8" width="7.21666666666667" style="88" customWidth="1"/>
    <col min="9" max="10" width="7.33333333333333" style="88" customWidth="1"/>
    <col min="11" max="12" width="7.21666666666667" style="88" customWidth="1"/>
    <col min="13" max="13" width="7.33333333333333" style="88" customWidth="1"/>
    <col min="14" max="14" width="2" style="88" customWidth="1"/>
    <col min="15" max="15" width="3.21666666666667" style="88" customWidth="1"/>
    <col min="16" max="16" width="7.44166666666667" style="88" customWidth="1"/>
    <col min="17" max="17" width="9.21666666666667" style="88" customWidth="1"/>
    <col min="18" max="16384" width="8.88333333333333" style="88"/>
  </cols>
  <sheetData>
    <row r="2" ht="13.8" customHeight="1" spans="2:17">
      <c r="B2" s="89" t="s">
        <v>1356</v>
      </c>
      <c r="C2" s="89" t="s">
        <v>1347</v>
      </c>
      <c r="D2" s="89" t="s">
        <v>22</v>
      </c>
      <c r="E2" s="89" t="s">
        <v>1351</v>
      </c>
      <c r="F2" s="89" t="s">
        <v>460</v>
      </c>
      <c r="G2" s="89" t="s">
        <v>1357</v>
      </c>
      <c r="H2" s="89" t="s">
        <v>1343</v>
      </c>
      <c r="I2" s="89" t="s">
        <v>1358</v>
      </c>
      <c r="J2" s="90" t="s">
        <v>1359</v>
      </c>
      <c r="K2" s="89" t="s">
        <v>1360</v>
      </c>
      <c r="L2" s="89" t="s">
        <v>1347</v>
      </c>
      <c r="M2" s="89" t="s">
        <v>1361</v>
      </c>
      <c r="N2" s="91"/>
      <c r="O2" s="92"/>
      <c r="P2" s="89" t="s">
        <v>1347</v>
      </c>
      <c r="Q2" s="89" t="s">
        <v>1362</v>
      </c>
    </row>
    <row r="3" ht="24.6" customHeight="1" spans="2:17">
      <c r="B3" s="89" t="s">
        <v>1363</v>
      </c>
      <c r="C3" s="89">
        <v>-140</v>
      </c>
      <c r="D3" s="89">
        <f>C3/7</f>
        <v>-20</v>
      </c>
      <c r="E3" s="89">
        <f>-C3/70*1500/4.5</f>
        <v>666.666666666667</v>
      </c>
      <c r="F3" s="89">
        <f>E3/2</f>
        <v>333.333333333333</v>
      </c>
      <c r="G3" s="89">
        <f>F3/2*2</f>
        <v>333.333333333333</v>
      </c>
      <c r="H3" s="89">
        <f>(F3/2*4*240+C3/10*240)/1000</f>
        <v>156.64</v>
      </c>
      <c r="I3" s="89">
        <f>G3-H3</f>
        <v>176.693333333333</v>
      </c>
      <c r="J3" s="89">
        <f>1.5*G3-H3</f>
        <v>343.36</v>
      </c>
      <c r="K3" s="89">
        <f>F3/2*0.5+E3*0.166666666666666</f>
        <v>194.444444444444</v>
      </c>
      <c r="L3" s="89">
        <f>F3/2*0.75</f>
        <v>125</v>
      </c>
      <c r="M3" s="89">
        <f>E3/3</f>
        <v>222.222222222222</v>
      </c>
      <c r="N3" s="93"/>
      <c r="O3" s="94" t="s">
        <v>1364</v>
      </c>
      <c r="P3" s="89">
        <f>L3+C3</f>
        <v>-15</v>
      </c>
      <c r="Q3" s="89">
        <f>M3+D3</f>
        <v>202.222222222222</v>
      </c>
    </row>
    <row r="4" ht="22.8" customHeight="1" spans="2:17">
      <c r="B4" s="89" t="s">
        <v>1365</v>
      </c>
      <c r="C4" s="89">
        <v>0</v>
      </c>
      <c r="D4" s="89">
        <v>0</v>
      </c>
      <c r="E4" s="89">
        <f>1500/4.5/4</f>
        <v>83.3333333333333</v>
      </c>
      <c r="F4" s="89">
        <f>E4/2</f>
        <v>41.6666666666667</v>
      </c>
      <c r="G4" s="89">
        <f>F4/2*2</f>
        <v>41.6666666666667</v>
      </c>
      <c r="H4" s="89">
        <f>F4/2*4*240/1000</f>
        <v>20</v>
      </c>
      <c r="I4" s="89">
        <f t="shared" ref="I4" si="0">G4-H4</f>
        <v>21.6666666666667</v>
      </c>
      <c r="J4" s="89">
        <f>1.5*G4-H4</f>
        <v>42.5</v>
      </c>
      <c r="K4" s="89">
        <f>F4/2*0.5+E4*0.166666666666666</f>
        <v>24.3055555555555</v>
      </c>
      <c r="L4" s="89">
        <f>F4/2*0.75</f>
        <v>15.625</v>
      </c>
      <c r="M4" s="89">
        <f>E4/3</f>
        <v>27.7777777777778</v>
      </c>
      <c r="N4" s="93"/>
      <c r="O4" s="95"/>
      <c r="P4" s="89">
        <f>L4+C4</f>
        <v>15.625</v>
      </c>
      <c r="Q4" s="89">
        <f>M4+D4</f>
        <v>27.7777777777778</v>
      </c>
    </row>
  </sheetData>
  <mergeCells count="2">
    <mergeCell ref="P1:Q1"/>
    <mergeCell ref="O3:O4"/>
  </mergeCells>
  <pageMargins left="0.7" right="0.7" top="0.75" bottom="0.75" header="0.3" footer="0.3"/>
  <pageSetup paperSize="9" orientation="portrait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I23"/>
  <sheetViews>
    <sheetView zoomScale="130" zoomScaleNormal="130" workbookViewId="0">
      <selection activeCell="I22" sqref="C2:I22"/>
    </sheetView>
  </sheetViews>
  <sheetFormatPr defaultColWidth="9" defaultRowHeight="14"/>
  <cols>
    <col min="1" max="1" width="3.66666666666667" style="3" customWidth="1"/>
    <col min="2" max="2" width="5.55833333333333" style="4" hidden="1" customWidth="1"/>
    <col min="3" max="3" width="9.775" style="3" customWidth="1"/>
    <col min="4" max="5" width="5.55833333333333" style="3" customWidth="1"/>
    <col min="6" max="6" width="5.55833333333333" style="4" hidden="1" customWidth="1"/>
    <col min="7" max="7" width="7.55833333333333" style="3" customWidth="1"/>
    <col min="8" max="9" width="5.55833333333333" style="3" customWidth="1"/>
    <col min="10" max="16384" width="8.88333333333333" style="3"/>
  </cols>
  <sheetData>
    <row r="1" ht="14.75"/>
    <row r="2" ht="15.5" spans="2:9">
      <c r="B2" s="19" t="s">
        <v>1366</v>
      </c>
      <c r="C2" s="20" t="s">
        <v>1367</v>
      </c>
      <c r="D2" s="21" t="s">
        <v>1368</v>
      </c>
      <c r="E2" s="22" t="s">
        <v>1369</v>
      </c>
      <c r="F2" s="23" t="s">
        <v>1366</v>
      </c>
      <c r="G2" s="24" t="s">
        <v>1367</v>
      </c>
      <c r="H2" s="21" t="s">
        <v>1368</v>
      </c>
      <c r="I2" s="22" t="s">
        <v>1369</v>
      </c>
    </row>
    <row r="3" ht="14.75" spans="2:9">
      <c r="B3" s="25" t="s">
        <v>1370</v>
      </c>
      <c r="C3" s="26" t="s">
        <v>1371</v>
      </c>
      <c r="D3" s="27" t="s">
        <v>1372</v>
      </c>
      <c r="E3" s="28" t="s">
        <v>1373</v>
      </c>
      <c r="F3" s="29" t="s">
        <v>1374</v>
      </c>
      <c r="G3" s="30" t="s">
        <v>1375</v>
      </c>
      <c r="H3" s="31" t="s">
        <v>1376</v>
      </c>
      <c r="I3" s="80" t="s">
        <v>1377</v>
      </c>
    </row>
    <row r="4" spans="2:9">
      <c r="B4" s="32" t="s">
        <v>1378</v>
      </c>
      <c r="C4" s="33" t="s">
        <v>1379</v>
      </c>
      <c r="D4" s="34"/>
      <c r="E4" s="35"/>
      <c r="F4" s="36" t="s">
        <v>1380</v>
      </c>
      <c r="G4" s="37" t="s">
        <v>1381</v>
      </c>
      <c r="H4" s="38"/>
      <c r="I4" s="81"/>
    </row>
    <row r="5" spans="2:9">
      <c r="B5" s="32" t="s">
        <v>1382</v>
      </c>
      <c r="C5" s="33" t="s">
        <v>1383</v>
      </c>
      <c r="D5" s="39"/>
      <c r="E5" s="35"/>
      <c r="F5" s="36" t="s">
        <v>1384</v>
      </c>
      <c r="G5" s="37" t="s">
        <v>1385</v>
      </c>
      <c r="H5" s="40"/>
      <c r="I5" s="81"/>
    </row>
    <row r="6" spans="2:9">
      <c r="B6" s="32" t="s">
        <v>1386</v>
      </c>
      <c r="C6" s="33" t="s">
        <v>1387</v>
      </c>
      <c r="D6" s="41" t="s">
        <v>1388</v>
      </c>
      <c r="E6" s="35"/>
      <c r="F6" s="36" t="s">
        <v>1389</v>
      </c>
      <c r="G6" s="37" t="s">
        <v>1390</v>
      </c>
      <c r="H6" s="42" t="s">
        <v>1391</v>
      </c>
      <c r="I6" s="81"/>
    </row>
    <row r="7" spans="2:9">
      <c r="B7" s="32" t="s">
        <v>1392</v>
      </c>
      <c r="C7" s="33" t="s">
        <v>1393</v>
      </c>
      <c r="D7" s="34"/>
      <c r="E7" s="35"/>
      <c r="F7" s="36" t="s">
        <v>1394</v>
      </c>
      <c r="G7" s="37" t="s">
        <v>1395</v>
      </c>
      <c r="H7" s="38"/>
      <c r="I7" s="81"/>
    </row>
    <row r="8" spans="2:9">
      <c r="B8" s="32" t="s">
        <v>1396</v>
      </c>
      <c r="C8" s="33" t="s">
        <v>1397</v>
      </c>
      <c r="D8" s="34"/>
      <c r="E8" s="35"/>
      <c r="F8" s="36" t="s">
        <v>1398</v>
      </c>
      <c r="G8" s="37" t="s">
        <v>1399</v>
      </c>
      <c r="H8" s="38"/>
      <c r="I8" s="81"/>
    </row>
    <row r="9" spans="2:9">
      <c r="B9" s="32" t="s">
        <v>1400</v>
      </c>
      <c r="C9" s="33" t="s">
        <v>1401</v>
      </c>
      <c r="D9" s="39"/>
      <c r="E9" s="35"/>
      <c r="F9" s="36" t="s">
        <v>1402</v>
      </c>
      <c r="G9" s="37" t="s">
        <v>1403</v>
      </c>
      <c r="H9" s="40"/>
      <c r="I9" s="81"/>
    </row>
    <row r="10" spans="2:9">
      <c r="B10" s="32" t="s">
        <v>1404</v>
      </c>
      <c r="C10" s="33" t="s">
        <v>1405</v>
      </c>
      <c r="D10" s="43" t="s">
        <v>1391</v>
      </c>
      <c r="E10" s="35"/>
      <c r="F10" s="36" t="s">
        <v>1406</v>
      </c>
      <c r="G10" s="37" t="s">
        <v>1407</v>
      </c>
      <c r="H10" s="44" t="s">
        <v>1372</v>
      </c>
      <c r="I10" s="81"/>
    </row>
    <row r="11" ht="14.75" spans="2:9">
      <c r="B11" s="45" t="s">
        <v>1408</v>
      </c>
      <c r="C11" s="46" t="s">
        <v>1409</v>
      </c>
      <c r="D11" s="41" t="s">
        <v>1410</v>
      </c>
      <c r="E11" s="35"/>
      <c r="F11" s="47" t="s">
        <v>1411</v>
      </c>
      <c r="G11" s="48" t="s">
        <v>1412</v>
      </c>
      <c r="H11" s="49" t="s">
        <v>1388</v>
      </c>
      <c r="I11" s="82"/>
    </row>
    <row r="12" ht="14.75" spans="2:9">
      <c r="B12" s="50" t="s">
        <v>1413</v>
      </c>
      <c r="C12" s="51" t="s">
        <v>1414</v>
      </c>
      <c r="D12" s="52" t="s">
        <v>1388</v>
      </c>
      <c r="E12" s="53" t="s">
        <v>1415</v>
      </c>
      <c r="F12" s="54" t="s">
        <v>1416</v>
      </c>
      <c r="G12" s="55" t="s">
        <v>1417</v>
      </c>
      <c r="H12" s="56" t="s">
        <v>1376</v>
      </c>
      <c r="I12" s="83" t="s">
        <v>1418</v>
      </c>
    </row>
    <row r="13" spans="2:9">
      <c r="B13" s="57" t="s">
        <v>1419</v>
      </c>
      <c r="C13" s="58" t="s">
        <v>1420</v>
      </c>
      <c r="D13" s="59"/>
      <c r="E13" s="60"/>
      <c r="F13" s="61" t="s">
        <v>1421</v>
      </c>
      <c r="G13" s="62" t="s">
        <v>1422</v>
      </c>
      <c r="H13" s="63"/>
      <c r="I13" s="84"/>
    </row>
    <row r="14" spans="2:9">
      <c r="B14" s="57" t="s">
        <v>1423</v>
      </c>
      <c r="C14" s="58" t="s">
        <v>1424</v>
      </c>
      <c r="D14" s="59"/>
      <c r="E14" s="60"/>
      <c r="F14" s="61" t="s">
        <v>1425</v>
      </c>
      <c r="G14" s="62" t="s">
        <v>1426</v>
      </c>
      <c r="H14" s="64" t="s">
        <v>1372</v>
      </c>
      <c r="I14" s="84"/>
    </row>
    <row r="15" spans="2:9">
      <c r="B15" s="57" t="s">
        <v>1427</v>
      </c>
      <c r="C15" s="58" t="s">
        <v>1428</v>
      </c>
      <c r="D15" s="59"/>
      <c r="E15" s="60"/>
      <c r="F15" s="61" t="s">
        <v>1429</v>
      </c>
      <c r="G15" s="62" t="s">
        <v>1430</v>
      </c>
      <c r="H15" s="65"/>
      <c r="I15" s="84"/>
    </row>
    <row r="16" spans="2:9">
      <c r="B16" s="57" t="s">
        <v>1431</v>
      </c>
      <c r="C16" s="66" t="s">
        <v>1432</v>
      </c>
      <c r="D16" s="59"/>
      <c r="E16" s="60"/>
      <c r="F16" s="61" t="s">
        <v>1433</v>
      </c>
      <c r="G16" s="62" t="s">
        <v>1434</v>
      </c>
      <c r="H16" s="63"/>
      <c r="I16" s="84"/>
    </row>
    <row r="17" spans="2:9">
      <c r="B17" s="57" t="s">
        <v>1435</v>
      </c>
      <c r="C17" s="58" t="s">
        <v>1436</v>
      </c>
      <c r="D17" s="59" t="s">
        <v>1391</v>
      </c>
      <c r="E17" s="60"/>
      <c r="F17" s="61" t="s">
        <v>1437</v>
      </c>
      <c r="G17" s="62" t="s">
        <v>1438</v>
      </c>
      <c r="H17" s="64" t="s">
        <v>1391</v>
      </c>
      <c r="I17" s="84"/>
    </row>
    <row r="18" spans="2:9">
      <c r="B18" s="57" t="s">
        <v>1439</v>
      </c>
      <c r="C18" s="58" t="s">
        <v>1440</v>
      </c>
      <c r="D18" s="59" t="s">
        <v>1410</v>
      </c>
      <c r="E18" s="60"/>
      <c r="F18" s="61" t="s">
        <v>1441</v>
      </c>
      <c r="G18" s="62" t="s">
        <v>1442</v>
      </c>
      <c r="H18" s="65"/>
      <c r="I18" s="84"/>
    </row>
    <row r="19" spans="2:9">
      <c r="B19" s="57" t="s">
        <v>1443</v>
      </c>
      <c r="C19" s="58" t="s">
        <v>1444</v>
      </c>
      <c r="D19" s="59" t="s">
        <v>1376</v>
      </c>
      <c r="E19" s="60"/>
      <c r="F19" s="61" t="s">
        <v>1445</v>
      </c>
      <c r="G19" s="62" t="s">
        <v>1446</v>
      </c>
      <c r="H19" s="63"/>
      <c r="I19" s="84"/>
    </row>
    <row r="20" ht="14.75" spans="2:9">
      <c r="B20" s="57" t="s">
        <v>1447</v>
      </c>
      <c r="C20" s="58" t="s">
        <v>1448</v>
      </c>
      <c r="D20" s="59"/>
      <c r="E20" s="60"/>
      <c r="F20" s="67" t="s">
        <v>1449</v>
      </c>
      <c r="G20" s="68" t="s">
        <v>1450</v>
      </c>
      <c r="H20" s="69" t="s">
        <v>1388</v>
      </c>
      <c r="I20" s="85"/>
    </row>
    <row r="21" ht="14.75" spans="2:9">
      <c r="B21" s="57" t="s">
        <v>1451</v>
      </c>
      <c r="C21" s="58" t="s">
        <v>1452</v>
      </c>
      <c r="D21" s="59"/>
      <c r="E21" s="60"/>
      <c r="F21" s="70" t="s">
        <v>1453</v>
      </c>
      <c r="G21" s="71" t="s">
        <v>1454</v>
      </c>
      <c r="H21" s="72" t="s">
        <v>1391</v>
      </c>
      <c r="I21" s="86" t="s">
        <v>1455</v>
      </c>
    </row>
    <row r="22" ht="14.75" spans="2:9">
      <c r="B22" s="73" t="s">
        <v>1456</v>
      </c>
      <c r="C22" s="74" t="s">
        <v>1457</v>
      </c>
      <c r="D22" s="75"/>
      <c r="E22" s="76"/>
      <c r="F22" s="77" t="s">
        <v>1458</v>
      </c>
      <c r="G22" s="78" t="s">
        <v>1459</v>
      </c>
      <c r="H22" s="79" t="s">
        <v>1376</v>
      </c>
      <c r="I22" s="87" t="s">
        <v>1455</v>
      </c>
    </row>
    <row r="23" ht="14.75"/>
  </sheetData>
  <mergeCells count="13">
    <mergeCell ref="D3:D5"/>
    <mergeCell ref="D6:D9"/>
    <mergeCell ref="D12:D16"/>
    <mergeCell ref="D19:D22"/>
    <mergeCell ref="E3:E11"/>
    <mergeCell ref="E12:E22"/>
    <mergeCell ref="H3:H5"/>
    <mergeCell ref="H6:H9"/>
    <mergeCell ref="H12:H13"/>
    <mergeCell ref="H14:H16"/>
    <mergeCell ref="H17:H19"/>
    <mergeCell ref="I3:I11"/>
    <mergeCell ref="I12:I20"/>
  </mergeCells>
  <pageMargins left="0.7" right="0.7" top="0.75" bottom="0.75" header="0.3" footer="0.3"/>
  <pageSetup paperSize="9" orientation="portrait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3"/>
  <sheetViews>
    <sheetView workbookViewId="0">
      <selection activeCell="B2" sqref="B2:E9"/>
    </sheetView>
  </sheetViews>
  <sheetFormatPr defaultColWidth="9" defaultRowHeight="14"/>
  <cols>
    <col min="1" max="1" width="5.55833333333333" style="3" customWidth="1"/>
    <col min="2" max="2" width="9.88333333333333" style="3" customWidth="1"/>
    <col min="3" max="4" width="7.88333333333333" style="3" customWidth="1"/>
    <col min="5" max="5" width="14.2166666666667" style="3" customWidth="1"/>
    <col min="6" max="6" width="9.55833333333333" style="3" customWidth="1"/>
    <col min="7" max="7" width="7.55833333333333" style="4" customWidth="1"/>
    <col min="8" max="8" width="8.88333333333333" style="3"/>
    <col min="9" max="10" width="5.55833333333333" style="3" customWidth="1"/>
    <col min="11" max="11" width="9.88333333333333" style="3" customWidth="1"/>
    <col min="12" max="15" width="7.88333333333333" style="3" customWidth="1"/>
    <col min="16" max="16" width="9.55833333333333" style="3" customWidth="1"/>
    <col min="17" max="17" width="7.55833333333333" style="3" customWidth="1"/>
    <col min="18" max="16384" width="8.88333333333333" style="3"/>
  </cols>
  <sheetData>
    <row r="1" spans="1:7">
      <c r="A1" s="5" t="s">
        <v>1460</v>
      </c>
      <c r="B1" s="5" t="s">
        <v>1461</v>
      </c>
      <c r="C1" s="5"/>
      <c r="D1" s="5"/>
      <c r="E1" s="5"/>
      <c r="F1" s="5"/>
      <c r="G1" s="6" t="s">
        <v>1462</v>
      </c>
    </row>
    <row r="2" spans="1:7">
      <c r="A2" s="7" t="s">
        <v>1463</v>
      </c>
      <c r="B2" s="5" t="s">
        <v>1464</v>
      </c>
      <c r="C2" s="5" t="s">
        <v>1465</v>
      </c>
      <c r="D2" s="5" t="s">
        <v>1466</v>
      </c>
      <c r="E2" s="5" t="s">
        <v>1467</v>
      </c>
      <c r="F2" s="5" t="s">
        <v>1468</v>
      </c>
      <c r="G2" s="6" t="s">
        <v>1469</v>
      </c>
    </row>
    <row r="3" spans="1:7">
      <c r="A3" s="5"/>
      <c r="B3" s="5" t="s">
        <v>1464</v>
      </c>
      <c r="C3" s="5" t="s">
        <v>1465</v>
      </c>
      <c r="D3" s="5" t="s">
        <v>1466</v>
      </c>
      <c r="E3" s="5" t="s">
        <v>1467</v>
      </c>
      <c r="F3" s="5" t="s">
        <v>1470</v>
      </c>
      <c r="G3" s="6" t="s">
        <v>1471</v>
      </c>
    </row>
    <row r="4" spans="1:7">
      <c r="A4" s="5"/>
      <c r="B4" s="5" t="s">
        <v>1464</v>
      </c>
      <c r="C4" s="5" t="s">
        <v>1465</v>
      </c>
      <c r="D4" s="5" t="s">
        <v>1466</v>
      </c>
      <c r="E4" s="5" t="s">
        <v>1467</v>
      </c>
      <c r="F4" s="5" t="s">
        <v>1470</v>
      </c>
      <c r="G4" s="6" t="s">
        <v>1471</v>
      </c>
    </row>
    <row r="5" spans="1:7">
      <c r="A5" s="5"/>
      <c r="B5" s="5" t="s">
        <v>1464</v>
      </c>
      <c r="C5" s="5" t="s">
        <v>1465</v>
      </c>
      <c r="D5" s="5" t="s">
        <v>1466</v>
      </c>
      <c r="E5" s="5" t="s">
        <v>1467</v>
      </c>
      <c r="F5" s="5"/>
      <c r="G5" s="6" t="s">
        <v>1469</v>
      </c>
    </row>
    <row r="6" spans="1:7">
      <c r="A6" s="5"/>
      <c r="B6" s="5" t="s">
        <v>1464</v>
      </c>
      <c r="C6" s="5" t="s">
        <v>1465</v>
      </c>
      <c r="D6" s="5" t="s">
        <v>1466</v>
      </c>
      <c r="E6" s="5" t="s">
        <v>1467</v>
      </c>
      <c r="F6" s="5"/>
      <c r="G6" s="6" t="s">
        <v>1469</v>
      </c>
    </row>
    <row r="7" spans="1:7">
      <c r="A7" s="5"/>
      <c r="B7" s="5" t="s">
        <v>1464</v>
      </c>
      <c r="C7" s="5" t="s">
        <v>1465</v>
      </c>
      <c r="D7" s="5" t="s">
        <v>1466</v>
      </c>
      <c r="E7" s="5" t="s">
        <v>1467</v>
      </c>
      <c r="F7" s="5"/>
      <c r="G7" s="6" t="s">
        <v>1469</v>
      </c>
    </row>
    <row r="8" spans="1:7">
      <c r="A8" s="5"/>
      <c r="B8" s="5" t="s">
        <v>1464</v>
      </c>
      <c r="C8" s="5" t="s">
        <v>1465</v>
      </c>
      <c r="D8" s="5" t="s">
        <v>1466</v>
      </c>
      <c r="E8" s="5" t="s">
        <v>1467</v>
      </c>
      <c r="F8" s="5"/>
      <c r="G8" s="6" t="s">
        <v>1469</v>
      </c>
    </row>
    <row r="9" spans="1:7">
      <c r="A9" s="5"/>
      <c r="B9" s="5" t="s">
        <v>1464</v>
      </c>
      <c r="C9" s="5" t="s">
        <v>1465</v>
      </c>
      <c r="D9" s="5" t="s">
        <v>1466</v>
      </c>
      <c r="E9" s="5" t="s">
        <v>1467</v>
      </c>
      <c r="F9" s="5"/>
      <c r="G9" s="6" t="s">
        <v>1469</v>
      </c>
    </row>
    <row r="10" spans="1:7">
      <c r="A10" s="7" t="s">
        <v>1472</v>
      </c>
      <c r="B10" s="5" t="s">
        <v>1473</v>
      </c>
      <c r="C10" s="5" t="s">
        <v>1474</v>
      </c>
      <c r="D10" s="5" t="s">
        <v>1466</v>
      </c>
      <c r="E10" s="5" t="s">
        <v>1467</v>
      </c>
      <c r="F10" s="5" t="s">
        <v>1475</v>
      </c>
      <c r="G10" s="6" t="s">
        <v>1476</v>
      </c>
    </row>
    <row r="11" spans="1:7">
      <c r="A11" s="5"/>
      <c r="B11" s="5" t="s">
        <v>1473</v>
      </c>
      <c r="C11" s="5" t="s">
        <v>1474</v>
      </c>
      <c r="D11" s="5" t="s">
        <v>1466</v>
      </c>
      <c r="E11" s="5" t="s">
        <v>1467</v>
      </c>
      <c r="F11" s="5"/>
      <c r="G11" s="6" t="s">
        <v>1477</v>
      </c>
    </row>
    <row r="12" spans="1:7">
      <c r="A12" s="5"/>
      <c r="B12" s="5" t="s">
        <v>1473</v>
      </c>
      <c r="C12" s="5" t="s">
        <v>1474</v>
      </c>
      <c r="D12" s="5" t="s">
        <v>1466</v>
      </c>
      <c r="E12" s="5" t="s">
        <v>1467</v>
      </c>
      <c r="F12" s="5"/>
      <c r="G12" s="6" t="s">
        <v>1477</v>
      </c>
    </row>
    <row r="13" spans="1:7">
      <c r="A13" s="5" t="s">
        <v>1247</v>
      </c>
      <c r="B13" s="5" t="s">
        <v>1478</v>
      </c>
      <c r="C13" s="5"/>
      <c r="D13" s="5" t="s">
        <v>1466</v>
      </c>
      <c r="E13" s="5" t="s">
        <v>1467</v>
      </c>
      <c r="F13" s="5"/>
      <c r="G13" s="6" t="s">
        <v>1479</v>
      </c>
    </row>
    <row r="15" spans="1:15">
      <c r="A15" s="5" t="s">
        <v>1460</v>
      </c>
      <c r="B15" s="5" t="s">
        <v>1461</v>
      </c>
      <c r="C15" s="5"/>
      <c r="D15" s="5"/>
      <c r="E15" s="5"/>
      <c r="F15" s="5"/>
      <c r="G15" s="6" t="s">
        <v>1462</v>
      </c>
      <c r="I15" s="5" t="s">
        <v>1460</v>
      </c>
      <c r="J15" s="5" t="s">
        <v>1480</v>
      </c>
      <c r="K15" s="11" t="s">
        <v>1481</v>
      </c>
      <c r="L15" s="12"/>
      <c r="M15" s="12"/>
      <c r="N15" s="13"/>
      <c r="O15" s="6" t="s">
        <v>1462</v>
      </c>
    </row>
    <row r="16" spans="1:15">
      <c r="A16" s="8" t="s">
        <v>1482</v>
      </c>
      <c r="B16" s="5" t="s">
        <v>1464</v>
      </c>
      <c r="C16" s="5" t="s">
        <v>1465</v>
      </c>
      <c r="D16" s="5" t="s">
        <v>1466</v>
      </c>
      <c r="E16" s="5" t="s">
        <v>1467</v>
      </c>
      <c r="F16" s="5" t="s">
        <v>1468</v>
      </c>
      <c r="G16" s="6" t="s">
        <v>1469</v>
      </c>
      <c r="I16" s="5" t="s">
        <v>1247</v>
      </c>
      <c r="J16" s="14">
        <v>123</v>
      </c>
      <c r="K16" s="11" t="s">
        <v>1483</v>
      </c>
      <c r="L16" s="13"/>
      <c r="M16" s="8" t="s">
        <v>1484</v>
      </c>
      <c r="N16" s="3" t="s">
        <v>180</v>
      </c>
      <c r="O16" s="6" t="s">
        <v>1485</v>
      </c>
    </row>
    <row r="17" spans="1:15">
      <c r="A17" s="9"/>
      <c r="B17" s="5" t="s">
        <v>1464</v>
      </c>
      <c r="C17" s="5" t="s">
        <v>1465</v>
      </c>
      <c r="D17" s="5" t="s">
        <v>1466</v>
      </c>
      <c r="E17" s="5" t="s">
        <v>1467</v>
      </c>
      <c r="F17" s="5"/>
      <c r="G17" s="6" t="s">
        <v>1469</v>
      </c>
      <c r="I17" s="8" t="s">
        <v>1482</v>
      </c>
      <c r="J17" s="9"/>
      <c r="K17" s="14" t="s">
        <v>1464</v>
      </c>
      <c r="L17" s="14" t="s">
        <v>1465</v>
      </c>
      <c r="M17" s="9"/>
      <c r="N17" s="5" t="s">
        <v>1468</v>
      </c>
      <c r="O17" s="15" t="s">
        <v>1486</v>
      </c>
    </row>
    <row r="18" spans="1:15">
      <c r="A18" s="9"/>
      <c r="B18" s="5" t="s">
        <v>1464</v>
      </c>
      <c r="C18" s="5" t="s">
        <v>1465</v>
      </c>
      <c r="D18" s="5" t="s">
        <v>1466</v>
      </c>
      <c r="E18" s="5" t="s">
        <v>1467</v>
      </c>
      <c r="F18" s="5"/>
      <c r="G18" s="6" t="s">
        <v>1469</v>
      </c>
      <c r="I18" s="9"/>
      <c r="J18" s="10"/>
      <c r="K18" s="9"/>
      <c r="L18" s="9"/>
      <c r="M18" s="9"/>
      <c r="N18" s="14" t="s">
        <v>180</v>
      </c>
      <c r="O18" s="16"/>
    </row>
    <row r="19" spans="1:15">
      <c r="A19" s="9"/>
      <c r="B19" s="5" t="s">
        <v>1464</v>
      </c>
      <c r="C19" s="5" t="s">
        <v>1465</v>
      </c>
      <c r="D19" s="5" t="s">
        <v>1466</v>
      </c>
      <c r="E19" s="5" t="s">
        <v>1467</v>
      </c>
      <c r="F19" s="5"/>
      <c r="G19" s="6" t="s">
        <v>1469</v>
      </c>
      <c r="I19" s="9"/>
      <c r="J19" s="14">
        <v>678</v>
      </c>
      <c r="K19" s="9"/>
      <c r="L19" s="9"/>
      <c r="M19" s="9"/>
      <c r="N19" s="9"/>
      <c r="O19" s="16"/>
    </row>
    <row r="20" spans="1:15">
      <c r="A20" s="10"/>
      <c r="B20" s="5" t="s">
        <v>1487</v>
      </c>
      <c r="C20" s="5" t="s">
        <v>1488</v>
      </c>
      <c r="D20" s="5" t="s">
        <v>1466</v>
      </c>
      <c r="E20" s="5" t="s">
        <v>1467</v>
      </c>
      <c r="F20" s="5"/>
      <c r="G20" s="6" t="s">
        <v>1469</v>
      </c>
      <c r="I20" s="9"/>
      <c r="J20" s="10"/>
      <c r="K20" s="10"/>
      <c r="L20" s="10"/>
      <c r="M20" s="9"/>
      <c r="N20" s="9"/>
      <c r="O20" s="16"/>
    </row>
    <row r="21" spans="1:15">
      <c r="A21" s="8" t="s">
        <v>1489</v>
      </c>
      <c r="B21" s="5" t="s">
        <v>1473</v>
      </c>
      <c r="C21" s="5" t="s">
        <v>1474</v>
      </c>
      <c r="D21" s="5" t="s">
        <v>1466</v>
      </c>
      <c r="E21" s="5" t="s">
        <v>1467</v>
      </c>
      <c r="F21" s="5" t="s">
        <v>1475</v>
      </c>
      <c r="G21" s="6" t="s">
        <v>1476</v>
      </c>
      <c r="I21" s="10"/>
      <c r="J21" s="5">
        <v>5</v>
      </c>
      <c r="K21" s="5" t="s">
        <v>1487</v>
      </c>
      <c r="L21" s="5" t="s">
        <v>1488</v>
      </c>
      <c r="M21" s="9"/>
      <c r="N21" s="10"/>
      <c r="O21" s="17"/>
    </row>
    <row r="22" spans="1:15">
      <c r="A22" s="10"/>
      <c r="B22" s="5" t="s">
        <v>1473</v>
      </c>
      <c r="C22" s="5" t="s">
        <v>1474</v>
      </c>
      <c r="D22" s="5" t="s">
        <v>1466</v>
      </c>
      <c r="E22" s="5" t="s">
        <v>1467</v>
      </c>
      <c r="F22" s="5"/>
      <c r="G22" s="6" t="s">
        <v>1477</v>
      </c>
      <c r="I22" s="8" t="s">
        <v>1489</v>
      </c>
      <c r="J22" s="7">
        <v>4</v>
      </c>
      <c r="K22" s="14" t="s">
        <v>1473</v>
      </c>
      <c r="L22" s="14" t="s">
        <v>1474</v>
      </c>
      <c r="M22" s="9"/>
      <c r="N22" s="5" t="s">
        <v>1475</v>
      </c>
      <c r="O22" s="6" t="s">
        <v>1490</v>
      </c>
    </row>
    <row r="23" spans="1:15">
      <c r="A23" s="5" t="s">
        <v>1247</v>
      </c>
      <c r="B23" s="5" t="s">
        <v>1478</v>
      </c>
      <c r="C23" s="5"/>
      <c r="D23" s="5" t="s">
        <v>1466</v>
      </c>
      <c r="E23" s="5" t="s">
        <v>1467</v>
      </c>
      <c r="F23" s="5"/>
      <c r="G23" s="6" t="s">
        <v>1479</v>
      </c>
      <c r="I23" s="10"/>
      <c r="J23" s="5">
        <v>678</v>
      </c>
      <c r="K23" s="10"/>
      <c r="L23" s="10"/>
      <c r="M23" s="10"/>
      <c r="N23" s="18"/>
      <c r="O23" s="6" t="s">
        <v>1476</v>
      </c>
    </row>
    <row r="25" spans="9:15">
      <c r="I25" s="5" t="s">
        <v>1460</v>
      </c>
      <c r="J25" s="5" t="s">
        <v>1480</v>
      </c>
      <c r="K25" s="11" t="str">
        <f>K15</f>
        <v>技能+士气需求-感兴趣士气</v>
      </c>
      <c r="L25" s="12"/>
      <c r="M25" s="12"/>
      <c r="N25" s="13"/>
      <c r="O25" s="6" t="s">
        <v>1462</v>
      </c>
    </row>
    <row r="26" ht="13.8" customHeight="1" spans="9:15">
      <c r="I26" s="5" t="s">
        <v>1247</v>
      </c>
      <c r="J26" s="14">
        <v>123</v>
      </c>
      <c r="K26" s="11" t="s">
        <v>1483</v>
      </c>
      <c r="L26" s="13"/>
      <c r="M26" s="8" t="s">
        <v>1484</v>
      </c>
      <c r="N26" s="10" t="s">
        <v>180</v>
      </c>
      <c r="O26" s="6" t="s">
        <v>1485</v>
      </c>
    </row>
    <row r="27" spans="9:15">
      <c r="I27" s="7" t="s">
        <v>1491</v>
      </c>
      <c r="J27" s="9"/>
      <c r="K27" s="14" t="s">
        <v>1464</v>
      </c>
      <c r="L27" s="14" t="s">
        <v>1465</v>
      </c>
      <c r="M27" s="9"/>
      <c r="N27" s="5" t="s">
        <v>1468</v>
      </c>
      <c r="O27" s="15" t="s">
        <v>1486</v>
      </c>
    </row>
    <row r="28" spans="9:15">
      <c r="I28" s="7"/>
      <c r="J28" s="10"/>
      <c r="K28" s="9"/>
      <c r="L28" s="9"/>
      <c r="M28" s="9"/>
      <c r="N28" s="14" t="s">
        <v>180</v>
      </c>
      <c r="O28" s="16"/>
    </row>
    <row r="29" spans="9:15">
      <c r="I29" s="7"/>
      <c r="J29" s="14">
        <v>678</v>
      </c>
      <c r="K29" s="9"/>
      <c r="L29" s="9"/>
      <c r="M29" s="9"/>
      <c r="N29" s="9"/>
      <c r="O29" s="16"/>
    </row>
    <row r="30" spans="9:15">
      <c r="I30" s="7"/>
      <c r="J30" s="9"/>
      <c r="K30" s="9"/>
      <c r="L30" s="9"/>
      <c r="M30" s="9"/>
      <c r="N30" s="9"/>
      <c r="O30" s="16"/>
    </row>
    <row r="31" ht="13.8" customHeight="1" spans="9:15">
      <c r="I31" s="7"/>
      <c r="J31" s="10"/>
      <c r="K31" s="10"/>
      <c r="L31" s="10"/>
      <c r="M31" s="9"/>
      <c r="N31" s="9"/>
      <c r="O31" s="16"/>
    </row>
    <row r="32" spans="9:15">
      <c r="I32" s="7"/>
      <c r="J32" s="5">
        <v>5</v>
      </c>
      <c r="K32" s="5" t="s">
        <v>1487</v>
      </c>
      <c r="L32" s="5" t="s">
        <v>1488</v>
      </c>
      <c r="M32" s="9"/>
      <c r="N32" s="10"/>
      <c r="O32" s="17"/>
    </row>
    <row r="33" spans="9:15">
      <c r="I33" s="10" t="s">
        <v>1492</v>
      </c>
      <c r="J33" s="7">
        <v>4</v>
      </c>
      <c r="K33" s="5" t="s">
        <v>1473</v>
      </c>
      <c r="L33" s="5" t="s">
        <v>1474</v>
      </c>
      <c r="M33" s="10"/>
      <c r="N33" s="5" t="s">
        <v>1475</v>
      </c>
      <c r="O33" s="6" t="s">
        <v>1490</v>
      </c>
    </row>
  </sheetData>
  <mergeCells count="29">
    <mergeCell ref="B1:F1"/>
    <mergeCell ref="B15:F15"/>
    <mergeCell ref="K15:N15"/>
    <mergeCell ref="K16:L16"/>
    <mergeCell ref="K25:N25"/>
    <mergeCell ref="K26:L26"/>
    <mergeCell ref="A2:A9"/>
    <mergeCell ref="A10:A12"/>
    <mergeCell ref="A16:A20"/>
    <mergeCell ref="A21:A22"/>
    <mergeCell ref="I17:I21"/>
    <mergeCell ref="I22:I23"/>
    <mergeCell ref="I27:I32"/>
    <mergeCell ref="J16:J18"/>
    <mergeCell ref="J19:J20"/>
    <mergeCell ref="J26:J28"/>
    <mergeCell ref="J29:J31"/>
    <mergeCell ref="K17:K20"/>
    <mergeCell ref="K22:K23"/>
    <mergeCell ref="K27:K31"/>
    <mergeCell ref="L17:L20"/>
    <mergeCell ref="L22:L23"/>
    <mergeCell ref="L27:L31"/>
    <mergeCell ref="M16:M23"/>
    <mergeCell ref="M26:M33"/>
    <mergeCell ref="N18:N21"/>
    <mergeCell ref="N28:N32"/>
    <mergeCell ref="O17:O21"/>
    <mergeCell ref="O27:O32"/>
  </mergeCells>
  <pageMargins left="0.7" right="0.7" top="0.75" bottom="0.75" header="0.3" footer="0.3"/>
  <pageSetup paperSize="9" orientation="portrait"/>
  <headerFooter/>
  <ignoredErrors>
    <ignoredError sqref="G20 G2" twoDigitTextYear="1"/>
  </ignoredErrors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77"/>
  <sheetViews>
    <sheetView workbookViewId="0">
      <selection activeCell="H11" sqref="H11"/>
    </sheetView>
  </sheetViews>
  <sheetFormatPr defaultColWidth="9" defaultRowHeight="14"/>
  <cols>
    <col min="1" max="1" width="17.1083333333333" style="2" customWidth="1"/>
    <col min="5" max="5" width="12.4416666666667" style="2" customWidth="1"/>
    <col min="8" max="8" width="12.5583333333333" customWidth="1"/>
    <col min="9" max="9" width="12.8833333333333" customWidth="1"/>
    <col min="10" max="10" width="10.6666666666667" customWidth="1"/>
    <col min="12" max="12" width="12.6666666666667" style="2" customWidth="1"/>
  </cols>
  <sheetData>
    <row r="1" s="1" customFormat="1" spans="1:14">
      <c r="A1" s="1" t="s">
        <v>1493</v>
      </c>
      <c r="B1" s="1" t="s">
        <v>368</v>
      </c>
      <c r="C1" s="1" t="s">
        <v>1494</v>
      </c>
      <c r="E1" s="1" t="s">
        <v>1495</v>
      </c>
      <c r="F1" s="1" t="s">
        <v>368</v>
      </c>
      <c r="H1" s="1" t="s">
        <v>1496</v>
      </c>
      <c r="I1" s="1" t="s">
        <v>1497</v>
      </c>
      <c r="J1" s="1" t="s">
        <v>1498</v>
      </c>
      <c r="L1" s="1" t="s">
        <v>1499</v>
      </c>
      <c r="M1" s="1" t="s">
        <v>1500</v>
      </c>
      <c r="N1" s="1" t="s">
        <v>1501</v>
      </c>
    </row>
    <row r="2" spans="1:14">
      <c r="A2" s="2" t="s">
        <v>16</v>
      </c>
      <c r="B2">
        <v>1100</v>
      </c>
      <c r="C2">
        <v>1</v>
      </c>
      <c r="E2" s="2" t="s">
        <v>1502</v>
      </c>
      <c r="F2">
        <v>910</v>
      </c>
      <c r="H2" s="2" t="s">
        <v>998</v>
      </c>
      <c r="I2">
        <f>M5*M4*M2/M3+M4</f>
        <v>1000</v>
      </c>
      <c r="J2">
        <f>N5*N4*N2/N3+M4</f>
        <v>1050</v>
      </c>
      <c r="L2" s="2" t="s">
        <v>1494</v>
      </c>
      <c r="M2">
        <f>VLOOKUP(抗压计算器!C2,A:C,3,0)</f>
        <v>1</v>
      </c>
      <c r="N2">
        <f>VLOOKUP(抗压计算器!C3,A:C,3,0)</f>
        <v>1</v>
      </c>
    </row>
    <row r="3" spans="1:14">
      <c r="A3" s="2" t="s">
        <v>40</v>
      </c>
      <c r="B3">
        <v>800</v>
      </c>
      <c r="C3">
        <v>1</v>
      </c>
      <c r="E3" s="2" t="s">
        <v>392</v>
      </c>
      <c r="F3">
        <v>1000</v>
      </c>
      <c r="H3" s="2" t="s">
        <v>996</v>
      </c>
      <c r="I3">
        <f>1.5*M2*M4+M4</f>
        <v>2500</v>
      </c>
      <c r="J3">
        <f>1.5*N2*N4+M4</f>
        <v>2500</v>
      </c>
      <c r="L3" s="2" t="s">
        <v>1503</v>
      </c>
      <c r="M3">
        <f>VLOOKUP(抗压计算器!C2,A:C,2,0)</f>
        <v>1840</v>
      </c>
      <c r="N3">
        <f>VLOOKUP(抗压计算器!C3,A:C,2,0)</f>
        <v>2000</v>
      </c>
    </row>
    <row r="4" spans="1:14">
      <c r="A4" s="2" t="s">
        <v>69</v>
      </c>
      <c r="B4">
        <v>1840</v>
      </c>
      <c r="C4">
        <v>0.2</v>
      </c>
      <c r="E4" s="2" t="s">
        <v>447</v>
      </c>
      <c r="F4">
        <v>100</v>
      </c>
      <c r="H4" s="2" t="s">
        <v>1504</v>
      </c>
      <c r="I4">
        <f>M2*M4+M4</f>
        <v>2000</v>
      </c>
      <c r="J4">
        <f>N2*N4+M4</f>
        <v>2000</v>
      </c>
      <c r="L4" s="2" t="s">
        <v>1505</v>
      </c>
      <c r="M4">
        <f>VLOOKUP(抗压计算器!D2,source!E:F,2,0)</f>
        <v>1000</v>
      </c>
      <c r="N4">
        <f>M4</f>
        <v>1000</v>
      </c>
    </row>
    <row r="5" spans="1:14">
      <c r="A5" s="2" t="s">
        <v>55</v>
      </c>
      <c r="B5">
        <v>1800</v>
      </c>
      <c r="C5">
        <v>0.8</v>
      </c>
      <c r="E5" s="2" t="s">
        <v>441</v>
      </c>
      <c r="F5">
        <v>1200</v>
      </c>
      <c r="H5" s="2" t="s">
        <v>965</v>
      </c>
      <c r="I5">
        <f>800*M2*M4/M3+M4</f>
        <v>1434.78260869565</v>
      </c>
      <c r="J5">
        <f>800*N2*N4/N3+M4</f>
        <v>1400</v>
      </c>
      <c r="L5" s="2" t="s">
        <v>1506</v>
      </c>
      <c r="M5">
        <f>抗压计算器!E2</f>
        <v>0</v>
      </c>
      <c r="N5">
        <f>抗压计算器!$E$3</f>
        <v>100</v>
      </c>
    </row>
    <row r="6" spans="1:10">
      <c r="A6" s="2" t="s">
        <v>44</v>
      </c>
      <c r="B6">
        <v>300</v>
      </c>
      <c r="C6">
        <v>0.2</v>
      </c>
      <c r="E6" s="2" t="s">
        <v>439</v>
      </c>
      <c r="F6">
        <v>1820</v>
      </c>
      <c r="H6" s="2" t="s">
        <v>1507</v>
      </c>
      <c r="I6">
        <f>200*M2*M4/M3+M4</f>
        <v>1108.69565217391</v>
      </c>
      <c r="J6">
        <f>200*N2*N4/N3+M4</f>
        <v>1100</v>
      </c>
    </row>
    <row r="7" spans="1:10">
      <c r="A7" s="2" t="s">
        <v>72</v>
      </c>
      <c r="B7">
        <v>1000</v>
      </c>
      <c r="C7">
        <v>0.5</v>
      </c>
      <c r="E7" s="2" t="s">
        <v>377</v>
      </c>
      <c r="F7">
        <v>3870</v>
      </c>
      <c r="H7" s="2" t="s">
        <v>1508</v>
      </c>
      <c r="I7">
        <f>50*M2*M4/M3+M4</f>
        <v>1027.17391304348</v>
      </c>
      <c r="J7">
        <f>50*N2*N4/N3+M4</f>
        <v>1025</v>
      </c>
    </row>
    <row r="8" spans="1:10">
      <c r="A8" s="2" t="s">
        <v>33</v>
      </c>
      <c r="B8">
        <v>50</v>
      </c>
      <c r="C8" t="s">
        <v>1509</v>
      </c>
      <c r="E8" s="2" t="s">
        <v>399</v>
      </c>
      <c r="F8">
        <v>7870</v>
      </c>
      <c r="H8" s="2" t="s">
        <v>1510</v>
      </c>
      <c r="I8">
        <f>0.04*M4+M4</f>
        <v>1040</v>
      </c>
      <c r="J8">
        <f>0.04*N4+M4</f>
        <v>1040</v>
      </c>
    </row>
    <row r="9" spans="1:6">
      <c r="A9" s="2" t="s">
        <v>58</v>
      </c>
      <c r="B9">
        <v>10000</v>
      </c>
      <c r="C9">
        <v>2</v>
      </c>
      <c r="E9" s="2" t="s">
        <v>390</v>
      </c>
      <c r="F9">
        <v>9970</v>
      </c>
    </row>
    <row r="10" spans="1:6">
      <c r="A10" s="2" t="s">
        <v>7</v>
      </c>
      <c r="B10">
        <v>1800</v>
      </c>
      <c r="C10">
        <v>2</v>
      </c>
      <c r="E10" s="2" t="s">
        <v>382</v>
      </c>
      <c r="F10">
        <v>7870</v>
      </c>
    </row>
    <row r="11" spans="1:6">
      <c r="A11" s="2" t="s">
        <v>63</v>
      </c>
      <c r="B11">
        <v>8900</v>
      </c>
      <c r="C11">
        <v>0.9</v>
      </c>
      <c r="E11" s="2" t="s">
        <v>380</v>
      </c>
      <c r="F11">
        <v>3870</v>
      </c>
    </row>
    <row r="12" spans="1:6">
      <c r="A12" s="2" t="s">
        <v>64</v>
      </c>
      <c r="B12">
        <v>6300</v>
      </c>
      <c r="C12">
        <v>0.9</v>
      </c>
      <c r="E12" s="2" t="s">
        <v>386</v>
      </c>
      <c r="F12">
        <v>9970</v>
      </c>
    </row>
    <row r="13" spans="1:6">
      <c r="A13" s="2" t="s">
        <v>38</v>
      </c>
      <c r="B13">
        <v>2000</v>
      </c>
      <c r="C13" t="s">
        <v>1509</v>
      </c>
      <c r="E13" s="2" t="s">
        <v>417</v>
      </c>
      <c r="F13">
        <v>4000</v>
      </c>
    </row>
    <row r="14" spans="1:6">
      <c r="A14" s="2" t="s">
        <v>5</v>
      </c>
      <c r="B14">
        <v>200</v>
      </c>
      <c r="C14" t="s">
        <v>1509</v>
      </c>
      <c r="E14" s="2" t="s">
        <v>396</v>
      </c>
      <c r="F14">
        <v>7870</v>
      </c>
    </row>
    <row r="15" spans="1:6">
      <c r="A15" s="2" t="s">
        <v>15</v>
      </c>
      <c r="B15">
        <v>750</v>
      </c>
      <c r="C15" t="s">
        <v>1509</v>
      </c>
      <c r="E15" s="2" t="s">
        <v>384</v>
      </c>
      <c r="F15">
        <v>3870</v>
      </c>
    </row>
    <row r="16" spans="1:6">
      <c r="A16" s="2" t="s">
        <v>49</v>
      </c>
      <c r="B16">
        <v>1000</v>
      </c>
      <c r="C16">
        <v>0.85</v>
      </c>
      <c r="E16" s="2" t="s">
        <v>402</v>
      </c>
      <c r="F16">
        <v>3870</v>
      </c>
    </row>
    <row r="17" spans="1:6">
      <c r="A17" s="2" t="s">
        <v>59</v>
      </c>
      <c r="B17">
        <v>1000</v>
      </c>
      <c r="C17">
        <v>0.5</v>
      </c>
      <c r="E17" s="2" t="s">
        <v>450</v>
      </c>
      <c r="F17">
        <v>740</v>
      </c>
    </row>
    <row r="18" spans="1:6">
      <c r="A18" s="2" t="s">
        <v>13</v>
      </c>
      <c r="B18">
        <v>1000</v>
      </c>
      <c r="C18" t="s">
        <v>1509</v>
      </c>
      <c r="E18" s="2" t="s">
        <v>410</v>
      </c>
      <c r="F18">
        <v>9970</v>
      </c>
    </row>
    <row r="19" spans="1:6">
      <c r="A19" s="2" t="s">
        <v>14</v>
      </c>
      <c r="B19">
        <v>1840</v>
      </c>
      <c r="C19" t="s">
        <v>1509</v>
      </c>
      <c r="E19" s="2" t="s">
        <v>462</v>
      </c>
      <c r="F19">
        <v>740</v>
      </c>
    </row>
    <row r="20" spans="1:6">
      <c r="A20" s="2" t="s">
        <v>19</v>
      </c>
      <c r="B20">
        <v>1840</v>
      </c>
      <c r="C20" t="s">
        <v>1509</v>
      </c>
      <c r="E20" s="2" t="s">
        <v>449</v>
      </c>
      <c r="F20">
        <v>740</v>
      </c>
    </row>
    <row r="21" spans="1:6">
      <c r="A21" s="2" t="s">
        <v>24</v>
      </c>
      <c r="B21">
        <v>1850</v>
      </c>
      <c r="C21" t="s">
        <v>1509</v>
      </c>
      <c r="E21" s="2" t="s">
        <v>423</v>
      </c>
      <c r="F21">
        <v>740</v>
      </c>
    </row>
    <row r="22" spans="1:6">
      <c r="A22" s="2" t="s">
        <v>26</v>
      </c>
      <c r="B22">
        <v>1</v>
      </c>
      <c r="C22" t="s">
        <v>1509</v>
      </c>
      <c r="E22" s="2" t="s">
        <v>456</v>
      </c>
      <c r="F22">
        <v>920</v>
      </c>
    </row>
    <row r="23" spans="1:6">
      <c r="A23" s="2" t="s">
        <v>12</v>
      </c>
      <c r="B23">
        <v>200</v>
      </c>
      <c r="C23" t="s">
        <v>1509</v>
      </c>
      <c r="E23" s="2" t="s">
        <v>443</v>
      </c>
      <c r="F23">
        <v>1000</v>
      </c>
    </row>
    <row r="24" spans="1:6">
      <c r="A24" s="2" t="s">
        <v>20</v>
      </c>
      <c r="B24">
        <v>1840</v>
      </c>
      <c r="C24" t="s">
        <v>1509</v>
      </c>
      <c r="E24" s="2" t="s">
        <v>446</v>
      </c>
      <c r="F24">
        <v>1000</v>
      </c>
    </row>
    <row r="25" spans="1:6">
      <c r="A25" s="2" t="s">
        <v>21</v>
      </c>
      <c r="B25">
        <v>150</v>
      </c>
      <c r="C25">
        <v>0.1</v>
      </c>
      <c r="E25" s="2" t="s">
        <v>431</v>
      </c>
      <c r="F25">
        <v>1840</v>
      </c>
    </row>
    <row r="26" spans="1:6">
      <c r="A26" s="2" t="s">
        <v>71</v>
      </c>
      <c r="B26">
        <v>1840</v>
      </c>
      <c r="C26">
        <v>1</v>
      </c>
      <c r="E26" s="2" t="s">
        <v>445</v>
      </c>
      <c r="F26">
        <v>1100</v>
      </c>
    </row>
    <row r="27" spans="1:6">
      <c r="A27" s="2" t="s">
        <v>48</v>
      </c>
      <c r="B27">
        <v>1840</v>
      </c>
      <c r="C27">
        <v>1.5</v>
      </c>
      <c r="E27" s="2" t="s">
        <v>429</v>
      </c>
      <c r="F27">
        <v>2000</v>
      </c>
    </row>
    <row r="28" spans="1:6">
      <c r="A28" s="2" t="s">
        <v>35</v>
      </c>
      <c r="B28">
        <v>1000</v>
      </c>
      <c r="C28">
        <v>0.2</v>
      </c>
      <c r="E28" s="2" t="s">
        <v>465</v>
      </c>
      <c r="F28">
        <v>1000</v>
      </c>
    </row>
    <row r="29" spans="1:6">
      <c r="A29" s="2" t="s">
        <v>65</v>
      </c>
      <c r="B29">
        <v>1840</v>
      </c>
      <c r="C29">
        <v>0.7</v>
      </c>
      <c r="E29" s="2" t="s">
        <v>453</v>
      </c>
      <c r="F29">
        <v>1000</v>
      </c>
    </row>
    <row r="30" spans="1:6">
      <c r="A30" s="2" t="s">
        <v>27</v>
      </c>
      <c r="B30">
        <v>1840</v>
      </c>
      <c r="C30">
        <v>1</v>
      </c>
      <c r="E30" s="2" t="s">
        <v>457</v>
      </c>
      <c r="F30">
        <v>740</v>
      </c>
    </row>
    <row r="31" spans="1:6">
      <c r="A31" s="2" t="s">
        <v>80</v>
      </c>
      <c r="B31">
        <v>9970</v>
      </c>
      <c r="C31">
        <v>0.7</v>
      </c>
      <c r="E31" s="2" t="s">
        <v>486</v>
      </c>
      <c r="F31">
        <v>1000</v>
      </c>
    </row>
    <row r="32" spans="1:6">
      <c r="A32" s="2" t="s">
        <v>1511</v>
      </c>
      <c r="B32">
        <v>1840</v>
      </c>
      <c r="C32">
        <v>0.9</v>
      </c>
      <c r="E32" s="2" t="s">
        <v>463</v>
      </c>
      <c r="F32">
        <v>1000</v>
      </c>
    </row>
    <row r="33" spans="1:6">
      <c r="A33" s="2" t="s">
        <v>1512</v>
      </c>
      <c r="B33">
        <v>1840</v>
      </c>
      <c r="C33">
        <v>0.7</v>
      </c>
      <c r="E33" s="2" t="s">
        <v>426</v>
      </c>
      <c r="F33">
        <v>500</v>
      </c>
    </row>
    <row r="34" spans="1:6">
      <c r="A34" s="2" t="s">
        <v>52</v>
      </c>
      <c r="B34">
        <v>4000</v>
      </c>
      <c r="C34">
        <v>0.8</v>
      </c>
      <c r="E34" s="2" t="s">
        <v>460</v>
      </c>
      <c r="F34">
        <v>1000</v>
      </c>
    </row>
    <row r="35" spans="1:6">
      <c r="A35" s="2" t="s">
        <v>74</v>
      </c>
      <c r="B35">
        <v>300</v>
      </c>
      <c r="C35">
        <v>0.2</v>
      </c>
      <c r="E35" s="2" t="s">
        <v>422</v>
      </c>
      <c r="F35">
        <v>870</v>
      </c>
    </row>
    <row r="36" spans="1:3">
      <c r="A36" s="2" t="s">
        <v>29</v>
      </c>
      <c r="B36">
        <v>200</v>
      </c>
      <c r="C36" t="s">
        <v>1509</v>
      </c>
    </row>
    <row r="37" spans="1:3">
      <c r="A37" s="2" t="s">
        <v>77</v>
      </c>
      <c r="B37">
        <v>1840</v>
      </c>
      <c r="C37">
        <v>0.8</v>
      </c>
    </row>
    <row r="38" spans="1:3">
      <c r="A38" s="2" t="s">
        <v>54</v>
      </c>
      <c r="B38">
        <v>2000</v>
      </c>
      <c r="C38" t="s">
        <v>1509</v>
      </c>
    </row>
    <row r="39" spans="1:3">
      <c r="A39" s="2" t="s">
        <v>36</v>
      </c>
      <c r="B39">
        <v>1000</v>
      </c>
      <c r="C39">
        <v>1</v>
      </c>
    </row>
    <row r="40" spans="1:3">
      <c r="A40" s="2" t="s">
        <v>37</v>
      </c>
      <c r="B40">
        <v>500</v>
      </c>
      <c r="C40">
        <v>0.7</v>
      </c>
    </row>
    <row r="41" spans="1:3">
      <c r="A41" s="2" t="s">
        <v>51</v>
      </c>
      <c r="B41">
        <v>4000</v>
      </c>
      <c r="C41">
        <v>0.8</v>
      </c>
    </row>
    <row r="42" spans="1:3">
      <c r="A42" s="2" t="s">
        <v>70</v>
      </c>
      <c r="B42">
        <v>1840</v>
      </c>
      <c r="C42">
        <v>1</v>
      </c>
    </row>
    <row r="43" spans="1:3">
      <c r="A43" s="2" t="s">
        <v>45</v>
      </c>
      <c r="B43">
        <v>1840</v>
      </c>
      <c r="C43" t="s">
        <v>1509</v>
      </c>
    </row>
    <row r="44" spans="1:3">
      <c r="A44" s="2" t="s">
        <v>22</v>
      </c>
      <c r="B44">
        <v>1840</v>
      </c>
      <c r="C44">
        <v>0.2</v>
      </c>
    </row>
    <row r="45" spans="1:3">
      <c r="A45" s="2" t="s">
        <v>68</v>
      </c>
      <c r="B45">
        <v>50</v>
      </c>
      <c r="C45">
        <v>0.8</v>
      </c>
    </row>
    <row r="46" spans="1:3">
      <c r="A46" s="2" t="s">
        <v>32</v>
      </c>
      <c r="B46">
        <v>200</v>
      </c>
      <c r="C46" t="s">
        <v>1509</v>
      </c>
    </row>
    <row r="47" spans="1:3">
      <c r="A47" s="2" t="s">
        <v>10</v>
      </c>
      <c r="B47">
        <v>1100</v>
      </c>
      <c r="C47">
        <v>1</v>
      </c>
    </row>
    <row r="48" spans="1:3">
      <c r="A48" s="2" t="s">
        <v>57</v>
      </c>
      <c r="B48">
        <v>500</v>
      </c>
      <c r="C48">
        <v>1</v>
      </c>
    </row>
    <row r="49" spans="1:3">
      <c r="A49" s="2" t="s">
        <v>31</v>
      </c>
      <c r="B49">
        <v>200</v>
      </c>
      <c r="C49">
        <v>1</v>
      </c>
    </row>
    <row r="50" spans="1:3">
      <c r="A50" s="2" t="s">
        <v>81</v>
      </c>
      <c r="B50">
        <v>2000</v>
      </c>
      <c r="C50">
        <v>0.8</v>
      </c>
    </row>
    <row r="51" spans="1:3">
      <c r="A51" s="2" t="s">
        <v>42</v>
      </c>
      <c r="B51">
        <v>1840</v>
      </c>
      <c r="C51">
        <v>0.25</v>
      </c>
    </row>
    <row r="52" spans="1:3">
      <c r="A52" s="2" t="s">
        <v>47</v>
      </c>
      <c r="B52">
        <v>1840</v>
      </c>
      <c r="C52">
        <v>0.5</v>
      </c>
    </row>
    <row r="53" spans="1:3">
      <c r="A53" s="2" t="s">
        <v>8</v>
      </c>
      <c r="B53">
        <v>3200</v>
      </c>
      <c r="C53">
        <v>2</v>
      </c>
    </row>
    <row r="54" spans="1:3">
      <c r="A54" s="2" t="s">
        <v>41</v>
      </c>
      <c r="B54">
        <v>1840</v>
      </c>
      <c r="C54" t="s">
        <v>1509</v>
      </c>
    </row>
    <row r="55" spans="1:3">
      <c r="A55" s="2" t="s">
        <v>50</v>
      </c>
      <c r="B55">
        <v>600</v>
      </c>
      <c r="C55" t="s">
        <v>1509</v>
      </c>
    </row>
    <row r="56" spans="1:3">
      <c r="A56" s="2" t="s">
        <v>18</v>
      </c>
      <c r="B56">
        <v>913</v>
      </c>
      <c r="C56">
        <v>0.4</v>
      </c>
    </row>
    <row r="57" spans="1:3">
      <c r="A57" s="2" t="s">
        <v>39</v>
      </c>
      <c r="B57">
        <v>2000</v>
      </c>
      <c r="C57">
        <v>1</v>
      </c>
    </row>
    <row r="58" spans="1:3">
      <c r="A58" s="2" t="s">
        <v>60</v>
      </c>
      <c r="B58">
        <v>7870</v>
      </c>
      <c r="C58">
        <v>1</v>
      </c>
    </row>
    <row r="59" spans="1:3">
      <c r="A59" s="2" t="s">
        <v>61</v>
      </c>
      <c r="B59">
        <v>1840</v>
      </c>
      <c r="C59">
        <v>0.9</v>
      </c>
    </row>
    <row r="60" spans="1:3">
      <c r="A60" s="2" t="s">
        <v>62</v>
      </c>
      <c r="B60">
        <v>1840</v>
      </c>
      <c r="C60" t="s">
        <v>1509</v>
      </c>
    </row>
    <row r="61" spans="1:3">
      <c r="A61" s="2" t="s">
        <v>67</v>
      </c>
      <c r="B61">
        <v>3870</v>
      </c>
      <c r="C61">
        <v>0.8</v>
      </c>
    </row>
    <row r="62" spans="1:3">
      <c r="A62" s="2" t="s">
        <v>66</v>
      </c>
      <c r="B62">
        <v>1840</v>
      </c>
      <c r="C62">
        <v>0.7</v>
      </c>
    </row>
    <row r="63" spans="1:3">
      <c r="A63" s="2" t="s">
        <v>11</v>
      </c>
      <c r="B63">
        <v>800</v>
      </c>
      <c r="C63">
        <v>1</v>
      </c>
    </row>
    <row r="64" spans="1:3">
      <c r="A64" s="2" t="s">
        <v>46</v>
      </c>
      <c r="B64">
        <v>1840</v>
      </c>
      <c r="C64" t="s">
        <v>1509</v>
      </c>
    </row>
    <row r="65" spans="1:3">
      <c r="A65" s="2" t="s">
        <v>43</v>
      </c>
      <c r="B65">
        <v>1840</v>
      </c>
      <c r="C65">
        <v>0.25</v>
      </c>
    </row>
    <row r="66" spans="1:3">
      <c r="A66" s="2" t="s">
        <v>78</v>
      </c>
      <c r="B66">
        <v>1000</v>
      </c>
      <c r="C66">
        <v>0.9</v>
      </c>
    </row>
    <row r="67" spans="1:3">
      <c r="A67" s="2" t="s">
        <v>987</v>
      </c>
      <c r="B67">
        <v>1840</v>
      </c>
      <c r="C67">
        <v>0.9</v>
      </c>
    </row>
    <row r="68" spans="1:3">
      <c r="A68" s="2" t="s">
        <v>17</v>
      </c>
      <c r="B68">
        <v>20</v>
      </c>
      <c r="C68">
        <v>0.3</v>
      </c>
    </row>
    <row r="69" spans="1:3">
      <c r="A69" s="2" t="s">
        <v>53</v>
      </c>
      <c r="B69">
        <v>2000</v>
      </c>
      <c r="C69" t="s">
        <v>1509</v>
      </c>
    </row>
    <row r="70" spans="1:3">
      <c r="A70" s="2" t="s">
        <v>28</v>
      </c>
      <c r="B70">
        <v>500</v>
      </c>
      <c r="C70">
        <v>1</v>
      </c>
    </row>
    <row r="71" spans="1:3">
      <c r="A71" s="2" t="s">
        <v>9</v>
      </c>
      <c r="B71">
        <v>200</v>
      </c>
      <c r="C71" t="s">
        <v>1509</v>
      </c>
    </row>
    <row r="72" spans="1:3">
      <c r="A72" s="2" t="s">
        <v>23</v>
      </c>
      <c r="B72">
        <v>50</v>
      </c>
      <c r="C72" t="s">
        <v>1509</v>
      </c>
    </row>
    <row r="73" spans="1:3">
      <c r="A73" s="2" t="s">
        <v>73</v>
      </c>
      <c r="B73">
        <v>300</v>
      </c>
      <c r="C73">
        <v>0.2</v>
      </c>
    </row>
    <row r="74" spans="1:3">
      <c r="A74" s="2" t="s">
        <v>34</v>
      </c>
      <c r="B74">
        <v>1840</v>
      </c>
      <c r="C74">
        <v>0.2</v>
      </c>
    </row>
    <row r="75" spans="1:3">
      <c r="A75" s="2" t="s">
        <v>25</v>
      </c>
      <c r="B75">
        <v>2000</v>
      </c>
      <c r="C75" t="s">
        <v>1509</v>
      </c>
    </row>
    <row r="76" spans="1:3">
      <c r="A76" s="2" t="s">
        <v>82</v>
      </c>
      <c r="B76">
        <v>20000</v>
      </c>
      <c r="C76" t="s">
        <v>1509</v>
      </c>
    </row>
    <row r="77" spans="1:3">
      <c r="A77" s="2" t="s">
        <v>56</v>
      </c>
      <c r="B77">
        <v>1840</v>
      </c>
      <c r="C77">
        <v>2.5</v>
      </c>
    </row>
  </sheetData>
  <sortState ref="E2:F79">
    <sortCondition ref="E2:E79"/>
  </sortState>
  <pageMargins left="0.7" right="0.7" top="0.75" bottom="0.75" header="0.3" footer="0.3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P55"/>
  <sheetViews>
    <sheetView zoomScale="85" zoomScaleNormal="85" workbookViewId="0">
      <pane xSplit="3" ySplit="3" topLeftCell="D4" activePane="bottomRight" state="frozen"/>
      <selection/>
      <selection pane="topRight"/>
      <selection pane="bottomLeft"/>
      <selection pane="bottomRight" activeCell="M14" sqref="M14"/>
    </sheetView>
  </sheetViews>
  <sheetFormatPr defaultColWidth="9" defaultRowHeight="14"/>
  <cols>
    <col min="1" max="1" width="3.775" style="945" customWidth="1"/>
    <col min="2" max="2" width="8.75" style="1069" customWidth="1"/>
    <col min="3" max="3" width="13.8166666666667" style="1069" customWidth="1"/>
    <col min="4" max="4" width="13.75" style="1070" customWidth="1"/>
    <col min="5" max="5" width="6.55833333333333" style="1071" customWidth="1"/>
    <col min="6" max="6" width="6.55833333333333" style="1072" customWidth="1"/>
    <col min="7" max="7" width="11.175" style="1072" customWidth="1"/>
    <col min="8" max="8" width="10.6833333333333" style="1071" customWidth="1"/>
    <col min="9" max="9" width="8.75" style="1073" customWidth="1"/>
    <col min="10" max="10" width="8.75" style="1074" customWidth="1"/>
    <col min="11" max="11" width="9" style="1075"/>
    <col min="12" max="15" width="8.88333333333333" style="945"/>
    <col min="16" max="16" width="9" style="1075"/>
    <col min="17" max="16378" width="8.88333333333333" style="945"/>
    <col min="16379" max="16384" width="9" style="945"/>
  </cols>
  <sheetData>
    <row r="1" spans="6:9">
      <c r="F1" s="1071"/>
      <c r="G1" s="1071"/>
      <c r="I1" s="1074"/>
    </row>
    <row r="2" ht="14.75" spans="2:10">
      <c r="B2" s="1076" t="s">
        <v>84</v>
      </c>
      <c r="C2" s="1076"/>
      <c r="D2" s="1077" t="s">
        <v>85</v>
      </c>
      <c r="E2" s="1078" t="s">
        <v>86</v>
      </c>
      <c r="F2" s="1078" t="s">
        <v>91</v>
      </c>
      <c r="G2" s="1078" t="s">
        <v>92</v>
      </c>
      <c r="H2" s="1078" t="s">
        <v>93</v>
      </c>
      <c r="I2" s="1178" t="s">
        <v>94</v>
      </c>
      <c r="J2" s="1178" t="s">
        <v>95</v>
      </c>
    </row>
    <row r="3" ht="15.5" spans="2:10">
      <c r="B3" s="1079" t="s">
        <v>167</v>
      </c>
      <c r="C3" s="1079"/>
      <c r="D3" s="1080" t="s">
        <v>168</v>
      </c>
      <c r="E3" s="620">
        <v>10000</v>
      </c>
      <c r="F3" s="1081">
        <f t="shared" ref="F3:F42" si="0">E3/5</f>
        <v>2000</v>
      </c>
      <c r="G3" s="1081">
        <f t="shared" ref="G3:G42" si="1">E3*3/50</f>
        <v>600</v>
      </c>
      <c r="H3" s="620">
        <f t="shared" ref="H3:H42" si="2">E3*3/5</f>
        <v>6000</v>
      </c>
      <c r="I3" s="1179">
        <v>0</v>
      </c>
      <c r="J3" s="1180">
        <v>3500</v>
      </c>
    </row>
    <row r="4" ht="15.5" spans="2:10">
      <c r="B4" s="1082" t="s">
        <v>117</v>
      </c>
      <c r="C4" s="1082" t="s">
        <v>118</v>
      </c>
      <c r="D4" s="1270" t="s">
        <v>112</v>
      </c>
      <c r="E4" s="1084">
        <v>100</v>
      </c>
      <c r="F4" s="1081">
        <f t="shared" si="0"/>
        <v>20</v>
      </c>
      <c r="G4" s="1081">
        <f t="shared" si="1"/>
        <v>6</v>
      </c>
      <c r="H4" s="620">
        <f t="shared" si="2"/>
        <v>60</v>
      </c>
      <c r="I4" s="1181">
        <v>4000</v>
      </c>
      <c r="J4" s="1182">
        <v>6300</v>
      </c>
    </row>
    <row r="5" ht="15.5" spans="2:10">
      <c r="B5" s="1085" t="s">
        <v>119</v>
      </c>
      <c r="C5" s="1085" t="s">
        <v>118</v>
      </c>
      <c r="D5" s="1271" t="s">
        <v>112</v>
      </c>
      <c r="E5" s="624">
        <v>100</v>
      </c>
      <c r="F5" s="1081">
        <f t="shared" si="0"/>
        <v>20</v>
      </c>
      <c r="G5" s="1081">
        <f t="shared" si="1"/>
        <v>6</v>
      </c>
      <c r="H5" s="620">
        <f t="shared" si="2"/>
        <v>60</v>
      </c>
      <c r="I5" s="1181">
        <v>4000</v>
      </c>
      <c r="J5" s="1183">
        <v>6300</v>
      </c>
    </row>
    <row r="6" ht="15.5" spans="2:10">
      <c r="B6" s="1085" t="s">
        <v>120</v>
      </c>
      <c r="C6" s="1085" t="s">
        <v>118</v>
      </c>
      <c r="D6" s="1271" t="s">
        <v>112</v>
      </c>
      <c r="E6" s="624">
        <v>100</v>
      </c>
      <c r="F6" s="1081">
        <f t="shared" si="0"/>
        <v>20</v>
      </c>
      <c r="G6" s="1081">
        <f t="shared" si="1"/>
        <v>6</v>
      </c>
      <c r="H6" s="620">
        <f t="shared" si="2"/>
        <v>60</v>
      </c>
      <c r="I6" s="1181">
        <v>4000</v>
      </c>
      <c r="J6" s="1183">
        <v>6300</v>
      </c>
    </row>
    <row r="7" ht="15.5" spans="2:10">
      <c r="B7" s="1087" t="s">
        <v>121</v>
      </c>
      <c r="C7" s="1087" t="s">
        <v>118</v>
      </c>
      <c r="D7" s="1272" t="s">
        <v>112</v>
      </c>
      <c r="E7" s="1089">
        <v>100</v>
      </c>
      <c r="F7" s="1081">
        <f t="shared" si="0"/>
        <v>20</v>
      </c>
      <c r="G7" s="1081">
        <f t="shared" si="1"/>
        <v>6</v>
      </c>
      <c r="H7" s="620">
        <f t="shared" si="2"/>
        <v>60</v>
      </c>
      <c r="I7" s="1181">
        <v>4000</v>
      </c>
      <c r="J7" s="1178">
        <v>6300</v>
      </c>
    </row>
    <row r="8" ht="15.5" spans="2:10">
      <c r="B8" s="1090" t="s">
        <v>169</v>
      </c>
      <c r="C8" s="1090" t="s">
        <v>170</v>
      </c>
      <c r="D8" s="1273" t="s">
        <v>171</v>
      </c>
      <c r="E8" s="1084">
        <v>25</v>
      </c>
      <c r="F8" s="1081">
        <f t="shared" si="0"/>
        <v>5</v>
      </c>
      <c r="G8" s="1081">
        <f t="shared" si="1"/>
        <v>1.5</v>
      </c>
      <c r="H8" s="620">
        <f t="shared" si="2"/>
        <v>15</v>
      </c>
      <c r="I8" s="1184">
        <v>0</v>
      </c>
      <c r="J8" s="1185">
        <v>288</v>
      </c>
    </row>
    <row r="9" ht="15.5" spans="2:10">
      <c r="B9" s="1092" t="s">
        <v>172</v>
      </c>
      <c r="C9" s="1092" t="s">
        <v>170</v>
      </c>
      <c r="D9" s="1271" t="s">
        <v>171</v>
      </c>
      <c r="E9" s="624">
        <v>25</v>
      </c>
      <c r="F9" s="1081">
        <f t="shared" si="0"/>
        <v>5</v>
      </c>
      <c r="G9" s="1081">
        <f t="shared" si="1"/>
        <v>1.5</v>
      </c>
      <c r="H9" s="620">
        <f t="shared" si="2"/>
        <v>15</v>
      </c>
      <c r="I9" s="1184">
        <v>0</v>
      </c>
      <c r="J9" s="1183">
        <v>288</v>
      </c>
    </row>
    <row r="10" ht="15.5" spans="2:10">
      <c r="B10" s="1092" t="s">
        <v>173</v>
      </c>
      <c r="C10" s="1092" t="s">
        <v>170</v>
      </c>
      <c r="D10" s="1271" t="s">
        <v>171</v>
      </c>
      <c r="E10" s="624">
        <v>25</v>
      </c>
      <c r="F10" s="1081">
        <f t="shared" si="0"/>
        <v>5</v>
      </c>
      <c r="G10" s="1081">
        <f t="shared" si="1"/>
        <v>1.5</v>
      </c>
      <c r="H10" s="620">
        <f t="shared" si="2"/>
        <v>15</v>
      </c>
      <c r="I10" s="1184">
        <v>0</v>
      </c>
      <c r="J10" s="1183">
        <v>288</v>
      </c>
    </row>
    <row r="11" ht="15.5" spans="2:10">
      <c r="B11" s="1092" t="s">
        <v>174</v>
      </c>
      <c r="C11" s="1092" t="s">
        <v>170</v>
      </c>
      <c r="D11" s="1271" t="s">
        <v>171</v>
      </c>
      <c r="E11" s="624">
        <v>25</v>
      </c>
      <c r="F11" s="1081">
        <f t="shared" si="0"/>
        <v>5</v>
      </c>
      <c r="G11" s="1081">
        <f t="shared" si="1"/>
        <v>1.5</v>
      </c>
      <c r="H11" s="620">
        <f t="shared" si="2"/>
        <v>15</v>
      </c>
      <c r="I11" s="1184">
        <v>0</v>
      </c>
      <c r="J11" s="1183">
        <v>288</v>
      </c>
    </row>
    <row r="12" ht="15.5" spans="2:10">
      <c r="B12" s="1092" t="s">
        <v>175</v>
      </c>
      <c r="C12" s="1092" t="s">
        <v>170</v>
      </c>
      <c r="D12" s="1271" t="s">
        <v>171</v>
      </c>
      <c r="E12" s="624">
        <v>25</v>
      </c>
      <c r="F12" s="1081">
        <f t="shared" si="0"/>
        <v>5</v>
      </c>
      <c r="G12" s="1081">
        <f t="shared" si="1"/>
        <v>1.5</v>
      </c>
      <c r="H12" s="620">
        <f t="shared" si="2"/>
        <v>15</v>
      </c>
      <c r="I12" s="1184">
        <v>0</v>
      </c>
      <c r="J12" s="1183">
        <v>288</v>
      </c>
    </row>
    <row r="13" ht="15.5" spans="2:10">
      <c r="B13" s="1092" t="s">
        <v>176</v>
      </c>
      <c r="C13" s="1092" t="s">
        <v>170</v>
      </c>
      <c r="D13" s="1271" t="s">
        <v>171</v>
      </c>
      <c r="E13" s="624">
        <v>75</v>
      </c>
      <c r="F13" s="1081">
        <f t="shared" si="0"/>
        <v>15</v>
      </c>
      <c r="G13" s="1081">
        <f t="shared" si="1"/>
        <v>4.5</v>
      </c>
      <c r="H13" s="620">
        <f t="shared" si="2"/>
        <v>45</v>
      </c>
      <c r="I13" s="1184">
        <v>0</v>
      </c>
      <c r="J13" s="1183">
        <v>288</v>
      </c>
    </row>
    <row r="14" ht="15.5" spans="2:10">
      <c r="B14" s="1093" t="s">
        <v>177</v>
      </c>
      <c r="C14" s="1093" t="s">
        <v>170</v>
      </c>
      <c r="D14" s="1272" t="s">
        <v>171</v>
      </c>
      <c r="E14" s="1089">
        <v>75</v>
      </c>
      <c r="F14" s="1081">
        <f t="shared" si="0"/>
        <v>15</v>
      </c>
      <c r="G14" s="1081">
        <f t="shared" si="1"/>
        <v>4.5</v>
      </c>
      <c r="H14" s="620">
        <f t="shared" si="2"/>
        <v>45</v>
      </c>
      <c r="I14" s="1184">
        <v>0</v>
      </c>
      <c r="J14" s="1178">
        <v>288</v>
      </c>
    </row>
    <row r="15" ht="15.5" spans="2:10">
      <c r="B15" s="1094" t="s">
        <v>132</v>
      </c>
      <c r="C15" s="1095" t="s">
        <v>133</v>
      </c>
      <c r="D15" s="1096" t="s">
        <v>134</v>
      </c>
      <c r="E15" s="591">
        <v>150</v>
      </c>
      <c r="F15" s="1081">
        <f t="shared" si="0"/>
        <v>30</v>
      </c>
      <c r="G15" s="1081">
        <f t="shared" si="1"/>
        <v>9</v>
      </c>
      <c r="H15" s="620">
        <f t="shared" si="2"/>
        <v>90</v>
      </c>
      <c r="I15" s="1181">
        <v>4000</v>
      </c>
      <c r="J15" s="1182">
        <v>9000</v>
      </c>
    </row>
    <row r="16" ht="15.5" spans="2:10">
      <c r="B16" s="1097" t="s">
        <v>135</v>
      </c>
      <c r="C16" s="1098" t="s">
        <v>133</v>
      </c>
      <c r="D16" s="1099" t="s">
        <v>136</v>
      </c>
      <c r="E16" s="608">
        <v>150</v>
      </c>
      <c r="F16" s="1081">
        <f t="shared" si="0"/>
        <v>30</v>
      </c>
      <c r="G16" s="1081">
        <f t="shared" si="1"/>
        <v>9</v>
      </c>
      <c r="H16" s="620">
        <f t="shared" si="2"/>
        <v>90</v>
      </c>
      <c r="I16" s="1181">
        <v>4000</v>
      </c>
      <c r="J16" s="1178">
        <v>9000</v>
      </c>
    </row>
    <row r="17" ht="15.5" spans="2:10">
      <c r="B17" s="1100" t="s">
        <v>122</v>
      </c>
      <c r="C17" s="1101" t="s">
        <v>123</v>
      </c>
      <c r="D17" s="1096" t="s">
        <v>124</v>
      </c>
      <c r="E17" s="591">
        <v>100</v>
      </c>
      <c r="F17" s="1081">
        <f t="shared" si="0"/>
        <v>20</v>
      </c>
      <c r="G17" s="1081">
        <f t="shared" si="1"/>
        <v>6</v>
      </c>
      <c r="H17" s="620">
        <f t="shared" si="2"/>
        <v>60</v>
      </c>
      <c r="I17" s="1181">
        <v>4000</v>
      </c>
      <c r="J17" s="1182">
        <v>540</v>
      </c>
    </row>
    <row r="18" ht="15.5" spans="2:10">
      <c r="B18" s="1102" t="s">
        <v>125</v>
      </c>
      <c r="C18" s="1101" t="s">
        <v>123</v>
      </c>
      <c r="D18" s="1103" t="s">
        <v>126</v>
      </c>
      <c r="E18" s="594">
        <v>100</v>
      </c>
      <c r="F18" s="1081">
        <f t="shared" si="0"/>
        <v>20</v>
      </c>
      <c r="G18" s="1081">
        <f t="shared" si="1"/>
        <v>6</v>
      </c>
      <c r="H18" s="620">
        <f t="shared" si="2"/>
        <v>60</v>
      </c>
      <c r="I18" s="1181">
        <v>4000</v>
      </c>
      <c r="J18" s="1183">
        <v>540</v>
      </c>
    </row>
    <row r="19" ht="15.5" spans="2:10">
      <c r="B19" s="1104" t="s">
        <v>137</v>
      </c>
      <c r="C19" s="1101" t="s">
        <v>123</v>
      </c>
      <c r="D19" s="1099" t="s">
        <v>138</v>
      </c>
      <c r="E19" s="608">
        <v>150</v>
      </c>
      <c r="F19" s="1081">
        <f t="shared" si="0"/>
        <v>30</v>
      </c>
      <c r="G19" s="1081">
        <f t="shared" si="1"/>
        <v>9</v>
      </c>
      <c r="H19" s="620">
        <f t="shared" si="2"/>
        <v>90</v>
      </c>
      <c r="I19" s="1181">
        <v>4000</v>
      </c>
      <c r="J19" s="1178">
        <v>540</v>
      </c>
    </row>
    <row r="20" ht="15.5" spans="2:10">
      <c r="B20" s="1105" t="s">
        <v>139</v>
      </c>
      <c r="C20" s="1106" t="s">
        <v>140</v>
      </c>
      <c r="D20" s="1264" t="s">
        <v>141</v>
      </c>
      <c r="E20" s="591">
        <v>75</v>
      </c>
      <c r="F20" s="1081">
        <f t="shared" si="0"/>
        <v>15</v>
      </c>
      <c r="G20" s="1081">
        <f t="shared" si="1"/>
        <v>4.5</v>
      </c>
      <c r="H20" s="620">
        <f t="shared" si="2"/>
        <v>45</v>
      </c>
      <c r="I20" s="1181">
        <v>2000</v>
      </c>
      <c r="J20" s="1182">
        <v>1080</v>
      </c>
    </row>
    <row r="21" ht="15.5" spans="2:10">
      <c r="B21" s="1108" t="s">
        <v>142</v>
      </c>
      <c r="C21" s="1109" t="s">
        <v>140</v>
      </c>
      <c r="D21" s="1262" t="s">
        <v>143</v>
      </c>
      <c r="E21" s="594">
        <v>75</v>
      </c>
      <c r="F21" s="1081">
        <f t="shared" si="0"/>
        <v>15</v>
      </c>
      <c r="G21" s="1081">
        <f t="shared" si="1"/>
        <v>4.5</v>
      </c>
      <c r="H21" s="620">
        <f t="shared" si="2"/>
        <v>45</v>
      </c>
      <c r="I21" s="1181">
        <v>2000</v>
      </c>
      <c r="J21" s="1183">
        <v>1080</v>
      </c>
    </row>
    <row r="22" ht="15.5" spans="2:10">
      <c r="B22" s="1108" t="s">
        <v>144</v>
      </c>
      <c r="C22" s="1109" t="s">
        <v>140</v>
      </c>
      <c r="D22" s="1110" t="s">
        <v>145</v>
      </c>
      <c r="E22" s="594">
        <v>75</v>
      </c>
      <c r="F22" s="1081">
        <f t="shared" si="0"/>
        <v>15</v>
      </c>
      <c r="G22" s="1081">
        <f t="shared" si="1"/>
        <v>4.5</v>
      </c>
      <c r="H22" s="620">
        <f t="shared" si="2"/>
        <v>45</v>
      </c>
      <c r="I22" s="1181">
        <v>2000</v>
      </c>
      <c r="J22" s="1183">
        <v>1080</v>
      </c>
    </row>
    <row r="23" ht="15.5" spans="2:10">
      <c r="B23" s="1111" t="s">
        <v>146</v>
      </c>
      <c r="C23" s="1112" t="s">
        <v>140</v>
      </c>
      <c r="D23" s="1263" t="s">
        <v>147</v>
      </c>
      <c r="E23" s="608">
        <v>75</v>
      </c>
      <c r="F23" s="1081">
        <f t="shared" si="0"/>
        <v>15</v>
      </c>
      <c r="G23" s="1081">
        <f t="shared" si="1"/>
        <v>4.5</v>
      </c>
      <c r="H23" s="620">
        <f t="shared" si="2"/>
        <v>45</v>
      </c>
      <c r="I23" s="1181">
        <v>2000</v>
      </c>
      <c r="J23" s="1178">
        <v>1080</v>
      </c>
    </row>
    <row r="24" ht="15.5" spans="2:10">
      <c r="B24" s="1113" t="s">
        <v>105</v>
      </c>
      <c r="C24" s="1114" t="s">
        <v>103</v>
      </c>
      <c r="D24" s="1107" t="s">
        <v>106</v>
      </c>
      <c r="E24" s="591">
        <v>25</v>
      </c>
      <c r="F24" s="1081">
        <f t="shared" si="0"/>
        <v>5</v>
      </c>
      <c r="G24" s="1081">
        <f t="shared" si="1"/>
        <v>1.5</v>
      </c>
      <c r="H24" s="620">
        <f t="shared" si="2"/>
        <v>15</v>
      </c>
      <c r="I24" s="1186">
        <v>1600</v>
      </c>
      <c r="J24" s="1182">
        <v>450</v>
      </c>
    </row>
    <row r="25" ht="15.5" spans="2:10">
      <c r="B25" s="1115" t="s">
        <v>102</v>
      </c>
      <c r="C25" s="1116" t="s">
        <v>103</v>
      </c>
      <c r="D25" s="1265" t="s">
        <v>104</v>
      </c>
      <c r="E25" s="594">
        <v>25</v>
      </c>
      <c r="F25" s="1081">
        <f t="shared" si="0"/>
        <v>5</v>
      </c>
      <c r="G25" s="1081">
        <f t="shared" si="1"/>
        <v>1.5</v>
      </c>
      <c r="H25" s="620">
        <f t="shared" si="2"/>
        <v>15</v>
      </c>
      <c r="I25" s="1186">
        <v>1600</v>
      </c>
      <c r="J25" s="1183">
        <v>450</v>
      </c>
    </row>
    <row r="26" ht="15.5" spans="2:10">
      <c r="B26" s="1118" t="s">
        <v>107</v>
      </c>
      <c r="C26" s="1119" t="s">
        <v>103</v>
      </c>
      <c r="D26" s="1077" t="s">
        <v>108</v>
      </c>
      <c r="E26" s="608">
        <v>25</v>
      </c>
      <c r="F26" s="1081">
        <f t="shared" si="0"/>
        <v>5</v>
      </c>
      <c r="G26" s="1081">
        <f t="shared" si="1"/>
        <v>1.5</v>
      </c>
      <c r="H26" s="620">
        <f t="shared" si="2"/>
        <v>15</v>
      </c>
      <c r="I26" s="1186">
        <v>1600</v>
      </c>
      <c r="J26" s="1178">
        <v>450</v>
      </c>
    </row>
    <row r="27" ht="15.5" spans="2:10">
      <c r="B27" s="1120" t="s">
        <v>122</v>
      </c>
      <c r="C27" s="1121" t="s">
        <v>149</v>
      </c>
      <c r="D27" s="1122" t="s">
        <v>112</v>
      </c>
      <c r="E27" s="1123">
        <v>100</v>
      </c>
      <c r="F27" s="1081">
        <f t="shared" si="0"/>
        <v>20</v>
      </c>
      <c r="G27" s="1081">
        <f t="shared" si="1"/>
        <v>6</v>
      </c>
      <c r="H27" s="620">
        <f t="shared" si="2"/>
        <v>60</v>
      </c>
      <c r="I27" s="1181">
        <v>2000</v>
      </c>
      <c r="J27" s="1187">
        <v>900</v>
      </c>
    </row>
    <row r="28" ht="15.5" spans="2:10">
      <c r="B28" s="1124" t="s">
        <v>150</v>
      </c>
      <c r="C28" s="1125" t="s">
        <v>149</v>
      </c>
      <c r="D28" s="1126" t="s">
        <v>112</v>
      </c>
      <c r="E28" s="1123">
        <v>100</v>
      </c>
      <c r="F28" s="1081">
        <f t="shared" si="0"/>
        <v>20</v>
      </c>
      <c r="G28" s="1081">
        <f t="shared" si="1"/>
        <v>6</v>
      </c>
      <c r="H28" s="620">
        <f t="shared" si="2"/>
        <v>60</v>
      </c>
      <c r="I28" s="1181">
        <v>2000</v>
      </c>
      <c r="J28" s="1188">
        <v>900</v>
      </c>
    </row>
    <row r="29" ht="15.5" spans="2:10">
      <c r="B29" s="1127" t="s">
        <v>151</v>
      </c>
      <c r="C29" s="1128" t="s">
        <v>114</v>
      </c>
      <c r="D29" s="1122" t="s">
        <v>115</v>
      </c>
      <c r="E29" s="1123">
        <v>100</v>
      </c>
      <c r="F29" s="1081">
        <f t="shared" si="0"/>
        <v>20</v>
      </c>
      <c r="G29" s="1081">
        <f t="shared" si="1"/>
        <v>6</v>
      </c>
      <c r="H29" s="620">
        <f t="shared" si="2"/>
        <v>60</v>
      </c>
      <c r="I29" s="1189" t="s">
        <v>152</v>
      </c>
      <c r="J29" s="1187">
        <v>900</v>
      </c>
    </row>
    <row r="30" ht="15.5" spans="2:10">
      <c r="B30" s="1129" t="s">
        <v>113</v>
      </c>
      <c r="C30" s="1130" t="s">
        <v>114</v>
      </c>
      <c r="D30" s="1126" t="s">
        <v>115</v>
      </c>
      <c r="E30" s="1123">
        <v>100</v>
      </c>
      <c r="F30" s="1081">
        <f t="shared" si="0"/>
        <v>20</v>
      </c>
      <c r="G30" s="1081">
        <f t="shared" si="1"/>
        <v>6</v>
      </c>
      <c r="H30" s="620">
        <f t="shared" si="2"/>
        <v>60</v>
      </c>
      <c r="I30" s="1189" t="s">
        <v>116</v>
      </c>
      <c r="J30" s="1187">
        <v>900</v>
      </c>
    </row>
    <row r="31" ht="15.5" spans="2:10">
      <c r="B31" s="1131" t="s">
        <v>153</v>
      </c>
      <c r="C31" s="1132" t="s">
        <v>114</v>
      </c>
      <c r="D31" s="1080" t="s">
        <v>115</v>
      </c>
      <c r="E31" s="1123">
        <v>100</v>
      </c>
      <c r="F31" s="1081">
        <f t="shared" si="0"/>
        <v>20</v>
      </c>
      <c r="G31" s="1081">
        <f t="shared" si="1"/>
        <v>6</v>
      </c>
      <c r="H31" s="620">
        <f t="shared" si="2"/>
        <v>60</v>
      </c>
      <c r="I31" s="1189" t="s">
        <v>152</v>
      </c>
      <c r="J31" s="1187">
        <v>900</v>
      </c>
    </row>
    <row r="32" ht="15.5" spans="2:10">
      <c r="B32" s="1133" t="s">
        <v>98</v>
      </c>
      <c r="C32" s="1134" t="s">
        <v>99</v>
      </c>
      <c r="D32" s="1122" t="s">
        <v>100</v>
      </c>
      <c r="E32" s="1123">
        <v>100</v>
      </c>
      <c r="F32" s="1081">
        <f t="shared" si="0"/>
        <v>20</v>
      </c>
      <c r="G32" s="1081">
        <f t="shared" si="1"/>
        <v>6</v>
      </c>
      <c r="H32" s="620">
        <f t="shared" si="2"/>
        <v>60</v>
      </c>
      <c r="I32" s="1190" t="s">
        <v>101</v>
      </c>
      <c r="J32" s="1122">
        <v>43200</v>
      </c>
    </row>
    <row r="33" ht="15.5" spans="2:10">
      <c r="B33" s="1135" t="s">
        <v>109</v>
      </c>
      <c r="C33" s="1136" t="s">
        <v>99</v>
      </c>
      <c r="D33" s="1080" t="s">
        <v>100</v>
      </c>
      <c r="E33" s="1123">
        <v>100</v>
      </c>
      <c r="F33" s="1081">
        <f t="shared" si="0"/>
        <v>20</v>
      </c>
      <c r="G33" s="1081">
        <f t="shared" si="1"/>
        <v>6</v>
      </c>
      <c r="H33" s="620">
        <f t="shared" si="2"/>
        <v>60</v>
      </c>
      <c r="I33" s="599">
        <v>10000</v>
      </c>
      <c r="J33" s="1178">
        <v>21600</v>
      </c>
    </row>
    <row r="34" ht="15.5" spans="2:10">
      <c r="B34" s="1137" t="s">
        <v>96</v>
      </c>
      <c r="C34" s="1138"/>
      <c r="D34" s="1139" t="s">
        <v>97</v>
      </c>
      <c r="E34" s="1140">
        <v>75</v>
      </c>
      <c r="F34" s="1081">
        <f t="shared" si="0"/>
        <v>15</v>
      </c>
      <c r="G34" s="1081">
        <f t="shared" si="1"/>
        <v>4.5</v>
      </c>
      <c r="H34" s="620">
        <f t="shared" si="2"/>
        <v>45</v>
      </c>
      <c r="I34" s="1191">
        <v>20000</v>
      </c>
      <c r="J34" s="1185">
        <v>960</v>
      </c>
    </row>
    <row r="35" ht="15.5" spans="2:10">
      <c r="B35" s="1141" t="s">
        <v>178</v>
      </c>
      <c r="C35" s="1142"/>
      <c r="D35" s="1077" t="s">
        <v>179</v>
      </c>
      <c r="E35" s="620">
        <v>10000</v>
      </c>
      <c r="F35" s="1081">
        <f t="shared" si="0"/>
        <v>2000</v>
      </c>
      <c r="G35" s="1081">
        <f t="shared" si="1"/>
        <v>600</v>
      </c>
      <c r="H35" s="620">
        <f t="shared" si="2"/>
        <v>6000</v>
      </c>
      <c r="I35" s="599">
        <v>0</v>
      </c>
      <c r="J35" s="1178" t="s">
        <v>180</v>
      </c>
    </row>
    <row r="36" ht="15.5" spans="2:10">
      <c r="B36" s="1143" t="s">
        <v>127</v>
      </c>
      <c r="C36" s="1144" t="s">
        <v>128</v>
      </c>
      <c r="D36" s="1274" t="s">
        <v>112</v>
      </c>
      <c r="E36" s="606">
        <v>100</v>
      </c>
      <c r="F36" s="1081">
        <f t="shared" si="0"/>
        <v>20</v>
      </c>
      <c r="G36" s="1081">
        <f t="shared" si="1"/>
        <v>6</v>
      </c>
      <c r="H36" s="620">
        <f t="shared" si="2"/>
        <v>60</v>
      </c>
      <c r="I36" s="1181">
        <v>4000</v>
      </c>
      <c r="J36" s="1192">
        <v>9000</v>
      </c>
    </row>
    <row r="37" ht="15.5" spans="2:10">
      <c r="B37" s="1145" t="s">
        <v>129</v>
      </c>
      <c r="C37" s="1144" t="s">
        <v>128</v>
      </c>
      <c r="D37" s="1265" t="s">
        <v>130</v>
      </c>
      <c r="E37" s="602">
        <v>100</v>
      </c>
      <c r="F37" s="1081">
        <f t="shared" si="0"/>
        <v>20</v>
      </c>
      <c r="G37" s="1081">
        <f t="shared" si="1"/>
        <v>6</v>
      </c>
      <c r="H37" s="620">
        <f t="shared" si="2"/>
        <v>60</v>
      </c>
      <c r="I37" s="1181">
        <v>4000</v>
      </c>
      <c r="J37" s="1193">
        <v>9000</v>
      </c>
    </row>
    <row r="38" ht="15.5" spans="2:10">
      <c r="B38" s="1146" t="s">
        <v>131</v>
      </c>
      <c r="C38" s="1147" t="s">
        <v>128</v>
      </c>
      <c r="D38" s="1275" t="s">
        <v>130</v>
      </c>
      <c r="E38" s="620">
        <v>100</v>
      </c>
      <c r="F38" s="1081">
        <f t="shared" si="0"/>
        <v>20</v>
      </c>
      <c r="G38" s="1081">
        <f t="shared" si="1"/>
        <v>6</v>
      </c>
      <c r="H38" s="620">
        <f t="shared" si="2"/>
        <v>60</v>
      </c>
      <c r="I38" s="1181">
        <v>4000</v>
      </c>
      <c r="J38" s="1180">
        <v>9000</v>
      </c>
    </row>
    <row r="39" ht="15.5" spans="2:10">
      <c r="B39" s="1148" t="s">
        <v>148</v>
      </c>
      <c r="C39" s="1149" t="s">
        <v>111</v>
      </c>
      <c r="D39" s="1150" t="s">
        <v>112</v>
      </c>
      <c r="E39" s="1140">
        <v>75</v>
      </c>
      <c r="F39" s="1081">
        <f t="shared" si="0"/>
        <v>15</v>
      </c>
      <c r="G39" s="1081">
        <f t="shared" si="1"/>
        <v>4.5</v>
      </c>
      <c r="H39" s="620">
        <f t="shared" si="2"/>
        <v>45</v>
      </c>
      <c r="I39" s="1181">
        <v>2000</v>
      </c>
      <c r="J39" s="1185">
        <v>6300</v>
      </c>
    </row>
    <row r="40" ht="15.5" spans="2:10">
      <c r="B40" s="1151" t="s">
        <v>110</v>
      </c>
      <c r="C40" s="1152" t="s">
        <v>111</v>
      </c>
      <c r="D40" s="1153" t="s">
        <v>112</v>
      </c>
      <c r="E40" s="1154">
        <v>150</v>
      </c>
      <c r="F40" s="1081">
        <f t="shared" si="0"/>
        <v>30</v>
      </c>
      <c r="G40" s="1081">
        <f t="shared" si="1"/>
        <v>9</v>
      </c>
      <c r="H40" s="620">
        <f t="shared" si="2"/>
        <v>90</v>
      </c>
      <c r="I40" s="599">
        <v>3000</v>
      </c>
      <c r="J40" s="1178">
        <v>6300</v>
      </c>
    </row>
    <row r="41" ht="15.5" spans="2:10">
      <c r="B41" s="1155" t="s">
        <v>181</v>
      </c>
      <c r="C41" s="1156"/>
      <c r="D41" s="1107" t="s">
        <v>182</v>
      </c>
      <c r="E41" s="620">
        <v>10000</v>
      </c>
      <c r="F41" s="1081">
        <f t="shared" si="0"/>
        <v>2000</v>
      </c>
      <c r="G41" s="1081">
        <f t="shared" si="1"/>
        <v>600</v>
      </c>
      <c r="H41" s="620">
        <f t="shared" si="2"/>
        <v>6000</v>
      </c>
      <c r="I41" s="1181">
        <v>0</v>
      </c>
      <c r="J41" s="1182" t="s">
        <v>180</v>
      </c>
    </row>
    <row r="42" ht="15.5" spans="2:10">
      <c r="B42" s="1157" t="s">
        <v>183</v>
      </c>
      <c r="C42" s="1157"/>
      <c r="D42" s="1077" t="s">
        <v>182</v>
      </c>
      <c r="E42" s="588">
        <v>5</v>
      </c>
      <c r="F42" s="1081">
        <f t="shared" si="0"/>
        <v>1</v>
      </c>
      <c r="G42" s="1081">
        <f t="shared" si="1"/>
        <v>0.3</v>
      </c>
      <c r="H42" s="620">
        <f t="shared" si="2"/>
        <v>3</v>
      </c>
      <c r="I42" s="599">
        <v>0</v>
      </c>
      <c r="J42" s="1178" t="s">
        <v>180</v>
      </c>
    </row>
    <row r="43" ht="14.75" spans="2:10">
      <c r="B43" s="1158" t="s">
        <v>154</v>
      </c>
      <c r="C43" s="1159"/>
      <c r="D43" s="1160"/>
      <c r="E43" s="1160"/>
      <c r="F43" s="1161"/>
      <c r="G43" s="1161"/>
      <c r="H43" s="1160"/>
      <c r="I43" s="1161"/>
      <c r="J43" s="1160"/>
    </row>
    <row r="44" spans="2:16">
      <c r="B44" s="1162" t="s">
        <v>155</v>
      </c>
      <c r="C44" s="1163"/>
      <c r="D44" s="1164"/>
      <c r="E44" s="1164"/>
      <c r="F44" s="1165"/>
      <c r="G44" s="1165"/>
      <c r="H44" s="1164"/>
      <c r="I44" s="1165"/>
      <c r="J44" s="1164"/>
      <c r="K44" s="945"/>
      <c r="O44" s="1075"/>
      <c r="P44" s="945"/>
    </row>
    <row r="45" spans="2:16">
      <c r="B45" s="1162" t="s">
        <v>156</v>
      </c>
      <c r="C45" s="1163"/>
      <c r="D45" s="1164"/>
      <c r="E45" s="1164"/>
      <c r="F45" s="1165"/>
      <c r="G45" s="1165"/>
      <c r="H45" s="1164"/>
      <c r="I45" s="1165"/>
      <c r="J45" s="1164"/>
      <c r="K45" s="945"/>
      <c r="O45" s="1075"/>
      <c r="P45" s="945"/>
    </row>
    <row r="46" spans="2:16">
      <c r="B46" s="1162" t="s">
        <v>157</v>
      </c>
      <c r="C46" s="1163"/>
      <c r="D46" s="1164"/>
      <c r="E46" s="1164"/>
      <c r="F46" s="1165"/>
      <c r="G46" s="1165"/>
      <c r="H46" s="1164"/>
      <c r="I46" s="1165"/>
      <c r="J46" s="1164"/>
      <c r="K46" s="945"/>
      <c r="O46" s="1075"/>
      <c r="P46" s="945"/>
    </row>
    <row r="47" spans="2:10">
      <c r="B47" s="1162" t="s">
        <v>158</v>
      </c>
      <c r="C47" s="1163"/>
      <c r="D47" s="1164"/>
      <c r="E47" s="1164"/>
      <c r="F47" s="1165"/>
      <c r="G47" s="1165"/>
      <c r="H47" s="1164"/>
      <c r="I47" s="1165"/>
      <c r="J47" s="1164"/>
    </row>
    <row r="48" spans="2:10">
      <c r="B48" s="1162" t="s">
        <v>159</v>
      </c>
      <c r="C48" s="1163"/>
      <c r="D48" s="1164"/>
      <c r="E48" s="1164"/>
      <c r="F48" s="1165"/>
      <c r="G48" s="1165"/>
      <c r="H48" s="1164"/>
      <c r="I48" s="1165"/>
      <c r="J48" s="1164"/>
    </row>
    <row r="49" spans="2:10">
      <c r="B49" s="1162" t="s">
        <v>160</v>
      </c>
      <c r="C49" s="1163"/>
      <c r="D49" s="1164"/>
      <c r="E49" s="1164"/>
      <c r="F49" s="1165"/>
      <c r="G49" s="1165"/>
      <c r="H49" s="1164"/>
      <c r="I49" s="1165"/>
      <c r="J49" s="1164"/>
    </row>
    <row r="50" spans="2:10">
      <c r="B50" s="1166" t="s">
        <v>161</v>
      </c>
      <c r="C50" s="1167"/>
      <c r="D50" s="1168"/>
      <c r="E50" s="1168"/>
      <c r="F50" s="1169"/>
      <c r="G50" s="1169"/>
      <c r="H50" s="1168"/>
      <c r="I50" s="1169"/>
      <c r="J50" s="1168"/>
    </row>
    <row r="51" spans="2:10">
      <c r="B51" s="1166" t="s">
        <v>162</v>
      </c>
      <c r="C51" s="1167"/>
      <c r="D51" s="1168"/>
      <c r="E51" s="1168"/>
      <c r="F51" s="1169"/>
      <c r="G51" s="1169"/>
      <c r="H51" s="1168"/>
      <c r="I51" s="1169"/>
      <c r="J51" s="1168"/>
    </row>
    <row r="52" spans="2:10">
      <c r="B52" s="1166" t="s">
        <v>163</v>
      </c>
      <c r="C52" s="1167"/>
      <c r="D52" s="1168"/>
      <c r="E52" s="1168"/>
      <c r="F52" s="1169"/>
      <c r="G52" s="1169"/>
      <c r="H52" s="1168"/>
      <c r="I52" s="1169"/>
      <c r="J52" s="1168"/>
    </row>
    <row r="53" spans="2:10">
      <c r="B53" s="1170" t="s">
        <v>164</v>
      </c>
      <c r="C53" s="1171"/>
      <c r="D53" s="1172"/>
      <c r="E53" s="1172"/>
      <c r="F53" s="1173"/>
      <c r="G53" s="1173"/>
      <c r="H53" s="1172"/>
      <c r="I53" s="1173"/>
      <c r="J53" s="1172"/>
    </row>
    <row r="54" spans="2:10">
      <c r="B54" s="1170" t="s">
        <v>165</v>
      </c>
      <c r="C54" s="1171"/>
      <c r="D54" s="1172"/>
      <c r="E54" s="1172"/>
      <c r="F54" s="1173"/>
      <c r="G54" s="1173"/>
      <c r="H54" s="1172"/>
      <c r="I54" s="1173"/>
      <c r="J54" s="1172"/>
    </row>
    <row r="55" spans="2:10">
      <c r="B55" s="1174" t="s">
        <v>166</v>
      </c>
      <c r="C55" s="1175"/>
      <c r="D55" s="1176"/>
      <c r="E55" s="1176"/>
      <c r="F55" s="1177"/>
      <c r="G55" s="1177"/>
      <c r="H55" s="1176"/>
      <c r="I55" s="1177"/>
      <c r="J55" s="1176"/>
    </row>
  </sheetData>
  <autoFilter ref="B2:P70">
    <extLst/>
  </autoFilter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U35"/>
  <sheetViews>
    <sheetView workbookViewId="0">
      <pane ySplit="2" topLeftCell="A3" activePane="bottomLeft" state="frozen"/>
      <selection/>
      <selection pane="bottomLeft" activeCell="O14" sqref="O14"/>
    </sheetView>
  </sheetViews>
  <sheetFormatPr defaultColWidth="9" defaultRowHeight="14"/>
  <cols>
    <col min="1" max="1" width="5" style="3" customWidth="1"/>
    <col min="2" max="2" width="14.3333333333333" style="3" customWidth="1"/>
    <col min="3" max="3" width="13.8833333333333" style="3" customWidth="1"/>
    <col min="4" max="4" width="5.55833333333333" style="3" customWidth="1"/>
    <col min="5" max="5" width="9" style="3" customWidth="1"/>
    <col min="6" max="6" width="13.4416666666667" style="3" customWidth="1"/>
    <col min="7" max="7" width="12.2166666666667" style="3" customWidth="1"/>
    <col min="8" max="8" width="28.4416666666667" style="3" customWidth="1"/>
    <col min="9" max="9" width="15.5583333333333" style="4" customWidth="1"/>
    <col min="10" max="10" width="11.6666666666667" style="4" customWidth="1"/>
    <col min="11" max="11" width="5.10833333333333" style="3" customWidth="1"/>
    <col min="12" max="12" width="6.66666666666667" style="4" customWidth="1"/>
    <col min="13" max="13" width="9.10833333333333" style="3" customWidth="1"/>
    <col min="14" max="15" width="8.88333333333333" style="3"/>
    <col min="16" max="16" width="10.3333333333333" style="3" customWidth="1"/>
    <col min="17" max="17" width="9.33333333333333" style="3" customWidth="1"/>
    <col min="18" max="18" width="5.88333333333333" style="3" customWidth="1"/>
    <col min="19" max="19" width="6.88333333333333" style="3" customWidth="1"/>
    <col min="20" max="20" width="9.33333333333333" style="3" customWidth="1"/>
    <col min="21" max="21" width="29.6666666666667" style="4" customWidth="1"/>
    <col min="22" max="16384" width="8.88333333333333" style="3"/>
  </cols>
  <sheetData>
    <row r="2" ht="17.5" spans="2:21">
      <c r="B2" s="126" t="s">
        <v>84</v>
      </c>
      <c r="C2" s="126"/>
      <c r="D2" s="126" t="s">
        <v>184</v>
      </c>
      <c r="E2" s="1023" t="s">
        <v>185</v>
      </c>
      <c r="F2" s="136" t="s">
        <v>186</v>
      </c>
      <c r="G2" s="62"/>
      <c r="H2" s="126" t="s">
        <v>187</v>
      </c>
      <c r="I2" s="1055" t="s">
        <v>188</v>
      </c>
      <c r="J2" s="1055" t="s">
        <v>189</v>
      </c>
      <c r="K2" s="126" t="s">
        <v>190</v>
      </c>
      <c r="L2" s="1055" t="s">
        <v>191</v>
      </c>
      <c r="M2" s="1055" t="s">
        <v>192</v>
      </c>
      <c r="O2" s="126" t="s">
        <v>193</v>
      </c>
      <c r="P2" s="126" t="s">
        <v>194</v>
      </c>
      <c r="Q2" s="126" t="s">
        <v>195</v>
      </c>
      <c r="R2" s="126" t="s">
        <v>196</v>
      </c>
      <c r="S2" s="126" t="s">
        <v>197</v>
      </c>
      <c r="T2" s="126" t="s">
        <v>198</v>
      </c>
      <c r="U2" s="1055" t="s">
        <v>199</v>
      </c>
    </row>
    <row r="3" spans="2:21">
      <c r="B3" s="1024" t="s">
        <v>200</v>
      </c>
      <c r="C3" s="1024" t="s">
        <v>201</v>
      </c>
      <c r="D3" s="471">
        <v>2</v>
      </c>
      <c r="E3" s="1024">
        <v>3</v>
      </c>
      <c r="F3" s="388" t="s">
        <v>202</v>
      </c>
      <c r="G3" s="1025"/>
      <c r="H3" s="1024" t="s">
        <v>203</v>
      </c>
      <c r="I3" s="1056" t="s">
        <v>204</v>
      </c>
      <c r="J3" s="1056" t="s">
        <v>205</v>
      </c>
      <c r="K3" s="471" t="s">
        <v>206</v>
      </c>
      <c r="L3" s="1056" t="s">
        <v>207</v>
      </c>
      <c r="M3" s="1056" t="s">
        <v>208</v>
      </c>
      <c r="O3" s="59" t="s">
        <v>209</v>
      </c>
      <c r="P3" s="1276" t="s">
        <v>210</v>
      </c>
      <c r="Q3" s="1065"/>
      <c r="R3" s="1066"/>
      <c r="S3" s="1065"/>
      <c r="T3" s="413"/>
      <c r="U3" s="491" t="s">
        <v>211</v>
      </c>
    </row>
    <row r="4" spans="2:21">
      <c r="B4" s="1024"/>
      <c r="C4" s="1024" t="s">
        <v>212</v>
      </c>
      <c r="D4" s="466"/>
      <c r="E4" s="1024">
        <v>7.5</v>
      </c>
      <c r="F4" s="1024" t="s">
        <v>213</v>
      </c>
      <c r="G4" s="1025" t="s">
        <v>214</v>
      </c>
      <c r="H4" s="1024" t="s">
        <v>215</v>
      </c>
      <c r="I4" s="1056" t="s">
        <v>216</v>
      </c>
      <c r="J4" s="1056" t="s">
        <v>217</v>
      </c>
      <c r="K4" s="387"/>
      <c r="L4" s="473" t="s">
        <v>218</v>
      </c>
      <c r="M4" s="1056" t="s">
        <v>208</v>
      </c>
      <c r="O4" s="59" t="s">
        <v>219</v>
      </c>
      <c r="P4" s="59"/>
      <c r="Q4" s="1067"/>
      <c r="R4" s="1066">
        <v>0.25</v>
      </c>
      <c r="S4" s="1068"/>
      <c r="T4" s="404"/>
      <c r="U4" s="491" t="s">
        <v>220</v>
      </c>
    </row>
    <row r="5" spans="2:21">
      <c r="B5" s="1024"/>
      <c r="C5" s="1024" t="s">
        <v>221</v>
      </c>
      <c r="D5" s="1024">
        <v>1</v>
      </c>
      <c r="E5" s="1024">
        <v>18</v>
      </c>
      <c r="F5" s="1024" t="s">
        <v>222</v>
      </c>
      <c r="G5" s="1024" t="s">
        <v>223</v>
      </c>
      <c r="H5" s="1024" t="s">
        <v>224</v>
      </c>
      <c r="I5" s="1056" t="s">
        <v>204</v>
      </c>
      <c r="J5" s="1056" t="s">
        <v>225</v>
      </c>
      <c r="K5" s="466"/>
      <c r="L5" s="480"/>
      <c r="M5" s="1056" t="s">
        <v>226</v>
      </c>
      <c r="O5" s="59" t="s">
        <v>227</v>
      </c>
      <c r="P5" s="59"/>
      <c r="Q5" s="1067"/>
      <c r="R5" s="1065"/>
      <c r="S5" s="1066">
        <v>0.5</v>
      </c>
      <c r="T5" s="404"/>
      <c r="U5" s="491" t="s">
        <v>228</v>
      </c>
    </row>
    <row r="6" spans="2:21">
      <c r="B6" s="1024"/>
      <c r="C6" s="1024" t="s">
        <v>229</v>
      </c>
      <c r="D6" s="471">
        <v>2</v>
      </c>
      <c r="E6" s="1024">
        <v>21</v>
      </c>
      <c r="F6" s="1024" t="s">
        <v>230</v>
      </c>
      <c r="G6" s="1024"/>
      <c r="H6" s="1024" t="s">
        <v>231</v>
      </c>
      <c r="I6" s="1056" t="s">
        <v>216</v>
      </c>
      <c r="J6" s="1056" t="s">
        <v>232</v>
      </c>
      <c r="K6" s="1024" t="s">
        <v>233</v>
      </c>
      <c r="L6" s="480"/>
      <c r="M6" s="1056" t="s">
        <v>234</v>
      </c>
      <c r="O6" s="59" t="s">
        <v>235</v>
      </c>
      <c r="P6" s="59"/>
      <c r="Q6" s="1067"/>
      <c r="R6" s="1068"/>
      <c r="S6" s="1066">
        <v>1</v>
      </c>
      <c r="T6" s="404"/>
      <c r="U6" s="491" t="s">
        <v>236</v>
      </c>
    </row>
    <row r="7" spans="2:21">
      <c r="B7" s="1024"/>
      <c r="C7" s="1024" t="s">
        <v>237</v>
      </c>
      <c r="D7" s="387"/>
      <c r="E7" s="1024">
        <v>12</v>
      </c>
      <c r="F7" s="1024" t="s">
        <v>238</v>
      </c>
      <c r="G7" s="1024" t="s">
        <v>239</v>
      </c>
      <c r="H7" s="1024" t="s">
        <v>240</v>
      </c>
      <c r="I7" s="1056" t="s">
        <v>241</v>
      </c>
      <c r="J7" s="1056" t="s">
        <v>242</v>
      </c>
      <c r="K7" s="1056" t="s">
        <v>180</v>
      </c>
      <c r="L7" s="1056" t="s">
        <v>243</v>
      </c>
      <c r="M7" s="1056" t="s">
        <v>244</v>
      </c>
      <c r="O7" s="59" t="s">
        <v>245</v>
      </c>
      <c r="P7" s="59"/>
      <c r="Q7" s="1067"/>
      <c r="R7" s="1066">
        <v>0.25</v>
      </c>
      <c r="S7" s="1066"/>
      <c r="T7" s="410"/>
      <c r="U7" s="491" t="s">
        <v>246</v>
      </c>
    </row>
    <row r="8" spans="2:21">
      <c r="B8" s="1024"/>
      <c r="C8" s="1024" t="s">
        <v>247</v>
      </c>
      <c r="D8" s="387"/>
      <c r="E8" s="1024">
        <v>6</v>
      </c>
      <c r="F8" s="1024" t="s">
        <v>222</v>
      </c>
      <c r="G8" s="1024" t="s">
        <v>248</v>
      </c>
      <c r="H8" s="1024" t="s">
        <v>249</v>
      </c>
      <c r="I8" s="473" t="s">
        <v>204</v>
      </c>
      <c r="J8" s="1056" t="s">
        <v>250</v>
      </c>
      <c r="K8" s="471" t="s">
        <v>206</v>
      </c>
      <c r="L8" s="473" t="s">
        <v>218</v>
      </c>
      <c r="M8" s="473" t="s">
        <v>208</v>
      </c>
      <c r="O8" s="59" t="s">
        <v>251</v>
      </c>
      <c r="P8" s="59"/>
      <c r="Q8" s="1067"/>
      <c r="R8" s="1066">
        <v>0.2</v>
      </c>
      <c r="S8" s="1066">
        <v>1</v>
      </c>
      <c r="T8" s="491" t="s">
        <v>252</v>
      </c>
      <c r="U8" s="491" t="s">
        <v>253</v>
      </c>
    </row>
    <row r="9" spans="2:21">
      <c r="B9" s="1024"/>
      <c r="C9" s="1024" t="s">
        <v>254</v>
      </c>
      <c r="D9" s="387"/>
      <c r="E9" s="1024">
        <v>6.6</v>
      </c>
      <c r="F9" s="1024" t="s">
        <v>255</v>
      </c>
      <c r="G9" s="1024"/>
      <c r="H9" s="1024" t="s">
        <v>256</v>
      </c>
      <c r="I9" s="480"/>
      <c r="J9" s="1056" t="s">
        <v>205</v>
      </c>
      <c r="K9" s="387"/>
      <c r="L9" s="1277" t="s">
        <v>207</v>
      </c>
      <c r="M9" s="469"/>
      <c r="O9" s="59" t="s">
        <v>257</v>
      </c>
      <c r="P9" s="59"/>
      <c r="Q9" s="1068"/>
      <c r="R9" s="1066">
        <v>-0.5</v>
      </c>
      <c r="S9" s="1066">
        <v>-0.25</v>
      </c>
      <c r="T9" s="59"/>
      <c r="U9" s="491" t="s">
        <v>258</v>
      </c>
    </row>
    <row r="10" spans="2:21">
      <c r="B10" s="1024"/>
      <c r="C10" s="1024" t="s">
        <v>259</v>
      </c>
      <c r="D10" s="387"/>
      <c r="E10" s="1024">
        <v>4</v>
      </c>
      <c r="F10" s="394" t="s">
        <v>260</v>
      </c>
      <c r="G10" s="1026"/>
      <c r="H10" s="1024" t="s">
        <v>261</v>
      </c>
      <c r="I10" s="480"/>
      <c r="J10" s="473" t="s">
        <v>262</v>
      </c>
      <c r="K10" s="387"/>
      <c r="L10" s="1056" t="s">
        <v>263</v>
      </c>
      <c r="M10" s="473" t="s">
        <v>234</v>
      </c>
      <c r="O10" s="59" t="s">
        <v>264</v>
      </c>
      <c r="P10" s="59"/>
      <c r="Q10" s="1066">
        <v>-0.75</v>
      </c>
      <c r="R10" s="1066">
        <v>0.5</v>
      </c>
      <c r="S10" s="1065"/>
      <c r="T10" s="59" t="s">
        <v>214</v>
      </c>
      <c r="U10" s="491" t="s">
        <v>265</v>
      </c>
    </row>
    <row r="11" spans="2:21">
      <c r="B11" s="1024"/>
      <c r="C11" s="1024" t="s">
        <v>266</v>
      </c>
      <c r="D11" s="466"/>
      <c r="E11" s="471">
        <v>8</v>
      </c>
      <c r="F11" s="1027"/>
      <c r="G11" s="1028"/>
      <c r="H11" s="1024" t="s">
        <v>267</v>
      </c>
      <c r="I11" s="469"/>
      <c r="J11" s="469"/>
      <c r="K11" s="466"/>
      <c r="L11" s="473"/>
      <c r="M11" s="469"/>
      <c r="O11" s="59" t="s">
        <v>268</v>
      </c>
      <c r="P11" s="59"/>
      <c r="Q11" s="1066">
        <v>3.5</v>
      </c>
      <c r="R11" s="1066">
        <v>-0.9</v>
      </c>
      <c r="S11" s="1067"/>
      <c r="T11" s="59"/>
      <c r="U11" s="488"/>
    </row>
    <row r="12" spans="2:21">
      <c r="B12" s="1024"/>
      <c r="C12" s="1024" t="s">
        <v>269</v>
      </c>
      <c r="D12" s="394">
        <v>1</v>
      </c>
      <c r="E12" s="394"/>
      <c r="F12" s="1029"/>
      <c r="G12" s="1026"/>
      <c r="H12" s="1025" t="s">
        <v>270</v>
      </c>
      <c r="I12" s="1057"/>
      <c r="J12" s="1058"/>
      <c r="K12" s="1059"/>
      <c r="L12" s="480"/>
      <c r="M12" s="473"/>
      <c r="O12" s="59" t="s">
        <v>271</v>
      </c>
      <c r="P12" s="59"/>
      <c r="Q12" s="1066">
        <v>-0.5</v>
      </c>
      <c r="R12" s="1066">
        <v>0.25</v>
      </c>
      <c r="S12" s="1068"/>
      <c r="T12" s="491" t="s">
        <v>272</v>
      </c>
      <c r="U12" s="489"/>
    </row>
    <row r="13" spans="2:13">
      <c r="B13" s="1024"/>
      <c r="C13" s="1024" t="s">
        <v>273</v>
      </c>
      <c r="D13" s="1030">
        <v>2</v>
      </c>
      <c r="E13" s="1031" t="s">
        <v>274</v>
      </c>
      <c r="F13" s="1032"/>
      <c r="G13" s="1033"/>
      <c r="H13" s="1025" t="s">
        <v>275</v>
      </c>
      <c r="I13" s="1031" t="s">
        <v>180</v>
      </c>
      <c r="J13" s="1032"/>
      <c r="K13" s="1033"/>
      <c r="L13" s="481" t="s">
        <v>218</v>
      </c>
      <c r="M13" s="481" t="s">
        <v>180</v>
      </c>
    </row>
    <row r="14" spans="2:13">
      <c r="B14" s="59" t="s">
        <v>276</v>
      </c>
      <c r="C14" s="59" t="s">
        <v>277</v>
      </c>
      <c r="D14" s="1034"/>
      <c r="E14" s="1031"/>
      <c r="F14" s="1032"/>
      <c r="G14" s="1033"/>
      <c r="H14" s="1035" t="s">
        <v>278</v>
      </c>
      <c r="I14" s="1031"/>
      <c r="J14" s="1032"/>
      <c r="K14" s="1033"/>
      <c r="L14" s="481"/>
      <c r="M14" s="1060"/>
    </row>
    <row r="15" spans="2:13">
      <c r="B15" s="59"/>
      <c r="C15" s="59" t="s">
        <v>279</v>
      </c>
      <c r="D15" s="417">
        <v>1</v>
      </c>
      <c r="E15" s="417"/>
      <c r="F15" s="1036"/>
      <c r="G15" s="1037"/>
      <c r="H15" s="1035" t="s">
        <v>280</v>
      </c>
      <c r="I15" s="488" t="s">
        <v>204</v>
      </c>
      <c r="J15" s="491" t="s">
        <v>281</v>
      </c>
      <c r="K15" s="413" t="s">
        <v>206</v>
      </c>
      <c r="L15" s="489"/>
      <c r="M15" s="413" t="s">
        <v>282</v>
      </c>
    </row>
    <row r="16" spans="2:13">
      <c r="B16" s="59"/>
      <c r="C16" s="59" t="s">
        <v>283</v>
      </c>
      <c r="D16" s="1038"/>
      <c r="E16" s="1038"/>
      <c r="F16" s="412"/>
      <c r="G16" s="1039"/>
      <c r="H16" s="1037" t="s">
        <v>180</v>
      </c>
      <c r="I16" s="498"/>
      <c r="J16" s="491" t="s">
        <v>284</v>
      </c>
      <c r="K16" s="59" t="s">
        <v>180</v>
      </c>
      <c r="L16" s="488" t="s">
        <v>285</v>
      </c>
      <c r="M16" s="404"/>
    </row>
    <row r="17" spans="2:13">
      <c r="B17" s="59"/>
      <c r="C17" s="59" t="s">
        <v>286</v>
      </c>
      <c r="D17" s="1038"/>
      <c r="E17" s="1040"/>
      <c r="F17" s="412"/>
      <c r="G17" s="1041"/>
      <c r="H17" s="1039"/>
      <c r="I17" s="489"/>
      <c r="J17" s="491" t="s">
        <v>205</v>
      </c>
      <c r="K17" s="404" t="s">
        <v>206</v>
      </c>
      <c r="L17" s="498"/>
      <c r="M17" s="491" t="s">
        <v>287</v>
      </c>
    </row>
    <row r="18" spans="2:13">
      <c r="B18" s="59"/>
      <c r="C18" s="59" t="s">
        <v>288</v>
      </c>
      <c r="D18" s="1038"/>
      <c r="E18" s="1040"/>
      <c r="F18" s="412" t="s">
        <v>289</v>
      </c>
      <c r="G18" s="1041"/>
      <c r="H18" s="1042"/>
      <c r="I18" s="491" t="s">
        <v>290</v>
      </c>
      <c r="J18" s="491" t="s">
        <v>291</v>
      </c>
      <c r="K18" s="404"/>
      <c r="L18" s="489"/>
      <c r="M18" s="410" t="s">
        <v>282</v>
      </c>
    </row>
    <row r="19" spans="2:13">
      <c r="B19" s="59"/>
      <c r="C19" s="59" t="s">
        <v>292</v>
      </c>
      <c r="D19" s="1038"/>
      <c r="E19" s="1040"/>
      <c r="F19" s="412"/>
      <c r="G19" s="1041"/>
      <c r="H19" s="1035" t="s">
        <v>293</v>
      </c>
      <c r="I19" s="491" t="s">
        <v>216</v>
      </c>
      <c r="J19" s="491" t="s">
        <v>294</v>
      </c>
      <c r="K19" s="404"/>
      <c r="L19" s="491" t="s">
        <v>295</v>
      </c>
      <c r="M19" s="491" t="s">
        <v>226</v>
      </c>
    </row>
    <row r="20" spans="2:13">
      <c r="B20" s="59"/>
      <c r="C20" s="59" t="s">
        <v>296</v>
      </c>
      <c r="D20" s="1038"/>
      <c r="E20" s="1040"/>
      <c r="F20" s="1043"/>
      <c r="G20" s="1041"/>
      <c r="H20" s="1035" t="s">
        <v>180</v>
      </c>
      <c r="I20" s="488" t="s">
        <v>204</v>
      </c>
      <c r="J20" s="491" t="s">
        <v>291</v>
      </c>
      <c r="K20" s="404"/>
      <c r="L20" s="488" t="s">
        <v>285</v>
      </c>
      <c r="M20" s="488" t="s">
        <v>282</v>
      </c>
    </row>
    <row r="21" spans="2:13">
      <c r="B21" s="59"/>
      <c r="C21" s="59" t="s">
        <v>297</v>
      </c>
      <c r="D21" s="1038"/>
      <c r="E21" s="1040"/>
      <c r="F21" s="1043"/>
      <c r="G21" s="1041"/>
      <c r="H21" s="1035"/>
      <c r="I21" s="498"/>
      <c r="J21" s="491" t="s">
        <v>298</v>
      </c>
      <c r="K21" s="404"/>
      <c r="L21" s="498"/>
      <c r="M21" s="489"/>
    </row>
    <row r="22" spans="2:13">
      <c r="B22" s="59"/>
      <c r="C22" s="59" t="s">
        <v>299</v>
      </c>
      <c r="D22" s="495"/>
      <c r="E22" s="1044"/>
      <c r="F22" s="1045"/>
      <c r="G22" s="1046"/>
      <c r="H22" s="1035"/>
      <c r="I22" s="489"/>
      <c r="J22" s="491" t="s">
        <v>205</v>
      </c>
      <c r="K22" s="410"/>
      <c r="L22" s="489"/>
      <c r="M22" s="491" t="s">
        <v>287</v>
      </c>
    </row>
    <row r="23" spans="2:13">
      <c r="B23" s="1047" t="s">
        <v>300</v>
      </c>
      <c r="C23" s="1047" t="s">
        <v>301</v>
      </c>
      <c r="D23" s="1047" t="s">
        <v>302</v>
      </c>
      <c r="E23" s="1048">
        <v>4.5</v>
      </c>
      <c r="F23" s="1048" t="s">
        <v>303</v>
      </c>
      <c r="G23" s="1048" t="s">
        <v>202</v>
      </c>
      <c r="H23" s="1047" t="s">
        <v>304</v>
      </c>
      <c r="I23" s="1061" t="s">
        <v>180</v>
      </c>
      <c r="J23" s="1061" t="s">
        <v>305</v>
      </c>
      <c r="K23" s="1047" t="s">
        <v>206</v>
      </c>
      <c r="L23" s="1061" t="s">
        <v>218</v>
      </c>
      <c r="M23" s="1061" t="s">
        <v>234</v>
      </c>
    </row>
    <row r="24" spans="2:13">
      <c r="B24" s="1049" t="s">
        <v>306</v>
      </c>
      <c r="C24" s="1047" t="s">
        <v>307</v>
      </c>
      <c r="D24" s="1049">
        <v>2</v>
      </c>
      <c r="E24" s="1047">
        <v>10</v>
      </c>
      <c r="F24" s="1047" t="s">
        <v>308</v>
      </c>
      <c r="G24" s="1047" t="s">
        <v>309</v>
      </c>
      <c r="H24" s="1047" t="s">
        <v>310</v>
      </c>
      <c r="I24" s="1061" t="s">
        <v>311</v>
      </c>
      <c r="J24" s="1061" t="s">
        <v>312</v>
      </c>
      <c r="K24" s="1049" t="s">
        <v>233</v>
      </c>
      <c r="L24" s="1062" t="s">
        <v>207</v>
      </c>
      <c r="M24" s="1061" t="s">
        <v>282</v>
      </c>
    </row>
    <row r="25" spans="2:13">
      <c r="B25" s="1050"/>
      <c r="C25" s="1049" t="s">
        <v>313</v>
      </c>
      <c r="D25" s="1050"/>
      <c r="E25" s="1049" t="s">
        <v>180</v>
      </c>
      <c r="F25" s="1047" t="s">
        <v>314</v>
      </c>
      <c r="G25" s="1047" t="s">
        <v>315</v>
      </c>
      <c r="H25" s="1049" t="s">
        <v>316</v>
      </c>
      <c r="I25" s="1062" t="s">
        <v>216</v>
      </c>
      <c r="J25" s="1062" t="s">
        <v>317</v>
      </c>
      <c r="K25" s="1050"/>
      <c r="L25" s="1063"/>
      <c r="M25" s="1062" t="s">
        <v>180</v>
      </c>
    </row>
    <row r="26" spans="2:13">
      <c r="B26" s="1048"/>
      <c r="C26" s="1048"/>
      <c r="D26" s="1050"/>
      <c r="E26" s="1048"/>
      <c r="F26" s="1051" t="s">
        <v>318</v>
      </c>
      <c r="G26" s="1052"/>
      <c r="H26" s="1048"/>
      <c r="I26" s="1064"/>
      <c r="J26" s="1064"/>
      <c r="K26" s="1048"/>
      <c r="L26" s="1064"/>
      <c r="M26" s="1064"/>
    </row>
    <row r="27" spans="2:13">
      <c r="B27" s="1047" t="s">
        <v>319</v>
      </c>
      <c r="C27" s="1047" t="s">
        <v>320</v>
      </c>
      <c r="D27" s="1050"/>
      <c r="E27" s="1047">
        <v>30</v>
      </c>
      <c r="F27" s="1047" t="s">
        <v>321</v>
      </c>
      <c r="G27" s="1047" t="s">
        <v>322</v>
      </c>
      <c r="H27" s="1047" t="s">
        <v>323</v>
      </c>
      <c r="I27" s="1061" t="s">
        <v>180</v>
      </c>
      <c r="J27" s="1061" t="s">
        <v>298</v>
      </c>
      <c r="K27" s="1061" t="s">
        <v>180</v>
      </c>
      <c r="L27" s="1061" t="s">
        <v>218</v>
      </c>
      <c r="M27" s="1061" t="s">
        <v>282</v>
      </c>
    </row>
    <row r="28" spans="2:13">
      <c r="B28" s="1047" t="s">
        <v>324</v>
      </c>
      <c r="C28" s="1047" t="s">
        <v>325</v>
      </c>
      <c r="D28" s="1048"/>
      <c r="E28" s="1053">
        <v>6</v>
      </c>
      <c r="F28" s="1047" t="s">
        <v>326</v>
      </c>
      <c r="G28" s="1047" t="s">
        <v>327</v>
      </c>
      <c r="H28" s="1047" t="s">
        <v>328</v>
      </c>
      <c r="I28" s="1061" t="s">
        <v>329</v>
      </c>
      <c r="J28" s="1061" t="s">
        <v>330</v>
      </c>
      <c r="K28" s="1047" t="s">
        <v>233</v>
      </c>
      <c r="L28" s="1061" t="s">
        <v>207</v>
      </c>
      <c r="M28" s="1061" t="s">
        <v>244</v>
      </c>
    </row>
    <row r="29" spans="2:13">
      <c r="B29" s="1047"/>
      <c r="C29" s="1047" t="s">
        <v>331</v>
      </c>
      <c r="D29" s="1047">
        <v>3</v>
      </c>
      <c r="E29" s="1047">
        <v>8</v>
      </c>
      <c r="F29" s="1047" t="s">
        <v>332</v>
      </c>
      <c r="G29" s="1047" t="s">
        <v>333</v>
      </c>
      <c r="H29" s="1047" t="s">
        <v>334</v>
      </c>
      <c r="I29" s="1061" t="s">
        <v>180</v>
      </c>
      <c r="J29" s="1061" t="s">
        <v>335</v>
      </c>
      <c r="K29" s="1049" t="s">
        <v>206</v>
      </c>
      <c r="L29" s="1062" t="s">
        <v>218</v>
      </c>
      <c r="M29" s="1061" t="s">
        <v>234</v>
      </c>
    </row>
    <row r="30" spans="2:13">
      <c r="B30" s="1047" t="s">
        <v>336</v>
      </c>
      <c r="C30" s="1047" t="s">
        <v>337</v>
      </c>
      <c r="D30" s="1047">
        <v>2</v>
      </c>
      <c r="E30" s="1047">
        <v>12</v>
      </c>
      <c r="F30" s="1047" t="s">
        <v>180</v>
      </c>
      <c r="G30" s="1047"/>
      <c r="H30" s="1047" t="s">
        <v>338</v>
      </c>
      <c r="I30" s="1061" t="s">
        <v>329</v>
      </c>
      <c r="J30" s="1061"/>
      <c r="K30" s="1050"/>
      <c r="L30" s="1064"/>
      <c r="M30" s="1061" t="s">
        <v>208</v>
      </c>
    </row>
    <row r="31" spans="2:13">
      <c r="B31" s="1047" t="s">
        <v>339</v>
      </c>
      <c r="C31" s="1047" t="s">
        <v>340</v>
      </c>
      <c r="D31" s="1049">
        <v>3</v>
      </c>
      <c r="E31" s="1047">
        <v>4</v>
      </c>
      <c r="F31" s="1051" t="s">
        <v>341</v>
      </c>
      <c r="G31" s="1052"/>
      <c r="H31" s="1047" t="s">
        <v>342</v>
      </c>
      <c r="I31" s="1061" t="s">
        <v>180</v>
      </c>
      <c r="J31" s="1061" t="s">
        <v>343</v>
      </c>
      <c r="K31" s="1048"/>
      <c r="L31" s="1061" t="s">
        <v>285</v>
      </c>
      <c r="M31" s="1061" t="s">
        <v>226</v>
      </c>
    </row>
    <row r="32" spans="2:13">
      <c r="B32" s="1047" t="s">
        <v>344</v>
      </c>
      <c r="C32" s="1047" t="s">
        <v>345</v>
      </c>
      <c r="D32" s="1048"/>
      <c r="E32" s="1047">
        <v>2</v>
      </c>
      <c r="F32" s="1047" t="s">
        <v>346</v>
      </c>
      <c r="G32" s="1047"/>
      <c r="H32" s="1047" t="s">
        <v>347</v>
      </c>
      <c r="I32" s="1061" t="s">
        <v>348</v>
      </c>
      <c r="J32" s="1061" t="s">
        <v>349</v>
      </c>
      <c r="K32" s="1062" t="s">
        <v>180</v>
      </c>
      <c r="L32" s="1061" t="s">
        <v>243</v>
      </c>
      <c r="M32" s="1061" t="s">
        <v>208</v>
      </c>
    </row>
    <row r="33" spans="2:13">
      <c r="B33" s="1047" t="s">
        <v>350</v>
      </c>
      <c r="C33" s="1047" t="s">
        <v>351</v>
      </c>
      <c r="D33" s="1047">
        <v>2</v>
      </c>
      <c r="E33" s="1047" t="s">
        <v>180</v>
      </c>
      <c r="F33" s="1051" t="s">
        <v>352</v>
      </c>
      <c r="G33" s="1052"/>
      <c r="H33" s="1047" t="s">
        <v>353</v>
      </c>
      <c r="I33" s="1061" t="s">
        <v>354</v>
      </c>
      <c r="J33" s="1061" t="s">
        <v>355</v>
      </c>
      <c r="K33" s="1063"/>
      <c r="L33" s="1061" t="s">
        <v>218</v>
      </c>
      <c r="M33" s="1062" t="s">
        <v>180</v>
      </c>
    </row>
    <row r="34" spans="2:13">
      <c r="B34" s="1047"/>
      <c r="C34" s="1047" t="s">
        <v>356</v>
      </c>
      <c r="D34" s="1047" t="s">
        <v>357</v>
      </c>
      <c r="E34" s="1047"/>
      <c r="F34" s="1051" t="s">
        <v>358</v>
      </c>
      <c r="G34" s="1052"/>
      <c r="H34" s="1051" t="s">
        <v>359</v>
      </c>
      <c r="I34" s="1064" t="s">
        <v>180</v>
      </c>
      <c r="J34" s="1061" t="s">
        <v>360</v>
      </c>
      <c r="K34" s="1064"/>
      <c r="L34" s="1061" t="s">
        <v>361</v>
      </c>
      <c r="M34" s="1064"/>
    </row>
    <row r="35" ht="28.8" customHeight="1" spans="2:13">
      <c r="B35" s="1054" t="s">
        <v>362</v>
      </c>
      <c r="C35" s="1054"/>
      <c r="D35" s="1054"/>
      <c r="E35" s="1054"/>
      <c r="F35" s="1054"/>
      <c r="G35" s="1054"/>
      <c r="H35" s="1054"/>
      <c r="I35" s="1054"/>
      <c r="J35" s="1054"/>
      <c r="K35" s="1054"/>
      <c r="L35" s="1054"/>
      <c r="M35" s="1054"/>
    </row>
  </sheetData>
  <mergeCells count="70">
    <mergeCell ref="B2:C2"/>
    <mergeCell ref="F2:G2"/>
    <mergeCell ref="F3:G3"/>
    <mergeCell ref="F9:G9"/>
    <mergeCell ref="E12:G12"/>
    <mergeCell ref="I12:K12"/>
    <mergeCell ref="F26:G26"/>
    <mergeCell ref="F30:G30"/>
    <mergeCell ref="F31:G31"/>
    <mergeCell ref="F32:G32"/>
    <mergeCell ref="F33:G33"/>
    <mergeCell ref="F34:G34"/>
    <mergeCell ref="B35:M35"/>
    <mergeCell ref="B3:B13"/>
    <mergeCell ref="B14:B22"/>
    <mergeCell ref="B24:B26"/>
    <mergeCell ref="B28:B29"/>
    <mergeCell ref="B33:B34"/>
    <mergeCell ref="C25:C26"/>
    <mergeCell ref="D3:D4"/>
    <mergeCell ref="D6:D11"/>
    <mergeCell ref="D13:D14"/>
    <mergeCell ref="D15:D22"/>
    <mergeCell ref="D24:D28"/>
    <mergeCell ref="D31:D32"/>
    <mergeCell ref="E25:E26"/>
    <mergeCell ref="E33:E34"/>
    <mergeCell ref="F18:F19"/>
    <mergeCell ref="G5:G6"/>
    <mergeCell ref="H16:H18"/>
    <mergeCell ref="H20:H22"/>
    <mergeCell ref="H25:H26"/>
    <mergeCell ref="I8:I11"/>
    <mergeCell ref="I15:I17"/>
    <mergeCell ref="I20:I22"/>
    <mergeCell ref="I25:I26"/>
    <mergeCell ref="J10:J11"/>
    <mergeCell ref="J25:J26"/>
    <mergeCell ref="J29:J30"/>
    <mergeCell ref="K3:K5"/>
    <mergeCell ref="K8:K11"/>
    <mergeCell ref="K17:K22"/>
    <mergeCell ref="K24:K26"/>
    <mergeCell ref="K29:K31"/>
    <mergeCell ref="K32:K34"/>
    <mergeCell ref="L4:L6"/>
    <mergeCell ref="L11:L12"/>
    <mergeCell ref="L13:L14"/>
    <mergeCell ref="L16:L18"/>
    <mergeCell ref="L20:L22"/>
    <mergeCell ref="L24:L26"/>
    <mergeCell ref="L29:L30"/>
    <mergeCell ref="M8:M9"/>
    <mergeCell ref="M10:M11"/>
    <mergeCell ref="M13:M14"/>
    <mergeCell ref="M15:M16"/>
    <mergeCell ref="M20:M21"/>
    <mergeCell ref="M25:M26"/>
    <mergeCell ref="M33:M34"/>
    <mergeCell ref="P3:P12"/>
    <mergeCell ref="Q3:Q9"/>
    <mergeCell ref="R5:R6"/>
    <mergeCell ref="S3:S4"/>
    <mergeCell ref="S10:S12"/>
    <mergeCell ref="T3:T7"/>
    <mergeCell ref="U11:U12"/>
    <mergeCell ref="I13:K14"/>
    <mergeCell ref="E13:G14"/>
    <mergeCell ref="F10:G11"/>
    <mergeCell ref="E15:G16"/>
  </mergeCells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8" tint="0.8"/>
    <pageSetUpPr fitToPage="1"/>
  </sheetPr>
  <dimension ref="A1:AC77"/>
  <sheetViews>
    <sheetView topLeftCell="G1" workbookViewId="0">
      <pane ySplit="2" topLeftCell="A3" activePane="bottomLeft" state="frozen"/>
      <selection/>
      <selection pane="bottomLeft" activeCell="J29" sqref="J29"/>
    </sheetView>
  </sheetViews>
  <sheetFormatPr defaultColWidth="9" defaultRowHeight="13.8" customHeight="1"/>
  <cols>
    <col min="1" max="1" width="2.775" style="3" customWidth="1"/>
    <col min="2" max="2" width="2.775" style="941" customWidth="1"/>
    <col min="3" max="3" width="12.775" style="324" customWidth="1"/>
    <col min="4" max="4" width="8.10833333333333" style="942" customWidth="1"/>
    <col min="5" max="5" width="8.10833333333333" style="324" customWidth="1"/>
    <col min="6" max="6" width="14.775" style="943" customWidth="1"/>
    <col min="7" max="7" width="8.10833333333333" style="944" customWidth="1"/>
    <col min="8" max="8" width="9.88333333333333" style="944" customWidth="1"/>
    <col min="9" max="10" width="13.6666666666667" style="324" customWidth="1"/>
    <col min="11" max="11" width="8.10833333333333" style="944" customWidth="1"/>
    <col min="12" max="12" width="8.775" style="944" customWidth="1"/>
    <col min="13" max="13" width="6" style="943" customWidth="1"/>
    <col min="14" max="14" width="14.775" style="324" customWidth="1"/>
    <col min="15" max="15" width="8.10833333333333" style="942" customWidth="1"/>
    <col min="16" max="16" width="8.10833333333333" style="324" customWidth="1"/>
    <col min="17" max="17" width="10.2166666666667" style="324" customWidth="1"/>
    <col min="18" max="18" width="6.88333333333333" style="945" customWidth="1"/>
    <col min="19" max="20" width="7.66666666666667" style="324" customWidth="1"/>
    <col min="21" max="22" width="10.2166666666667" style="324" customWidth="1"/>
    <col min="23" max="23" width="15.2166666666667" style="324" customWidth="1"/>
    <col min="24" max="24" width="10.6666666666667" style="324" customWidth="1"/>
    <col min="25" max="25" width="8.10833333333333" style="942" customWidth="1"/>
    <col min="26" max="26" width="6" style="943" customWidth="1"/>
    <col min="27" max="27" width="7.55833333333333" style="3" customWidth="1"/>
    <col min="28" max="28" width="7.55833333333333" customWidth="1"/>
    <col min="29" max="29" width="7.66666666666667" style="3" customWidth="1"/>
    <col min="30" max="16384" width="8.88333333333333" style="3"/>
  </cols>
  <sheetData>
    <row r="1" customHeight="1" spans="1:29">
      <c r="A1" s="946"/>
      <c r="C1" s="947" t="s">
        <v>363</v>
      </c>
      <c r="D1" s="947" t="s">
        <v>363</v>
      </c>
      <c r="E1" s="947"/>
      <c r="F1" s="948"/>
      <c r="G1" s="949"/>
      <c r="H1" s="949"/>
      <c r="I1" s="947"/>
      <c r="J1" s="947"/>
      <c r="K1" s="949"/>
      <c r="L1" s="949"/>
      <c r="M1" s="948"/>
      <c r="N1" s="947"/>
      <c r="P1" s="947"/>
      <c r="Q1" s="947"/>
      <c r="S1" s="947"/>
      <c r="T1" s="947"/>
      <c r="U1" s="947"/>
      <c r="V1" s="947"/>
      <c r="W1" s="947"/>
      <c r="X1" s="947"/>
      <c r="Z1" s="948"/>
      <c r="AA1" s="946"/>
      <c r="AB1" s="1006"/>
      <c r="AC1" s="1007"/>
    </row>
    <row r="2" customHeight="1" spans="1:28">
      <c r="A2" s="946"/>
      <c r="B2" s="751" t="s">
        <v>364</v>
      </c>
      <c r="C2" s="751" t="s">
        <v>364</v>
      </c>
      <c r="D2" s="752">
        <v>1000</v>
      </c>
      <c r="E2" s="753">
        <v>1840</v>
      </c>
      <c r="F2" s="754">
        <v>0.7</v>
      </c>
      <c r="G2" s="753">
        <v>0.83</v>
      </c>
      <c r="H2" s="781">
        <v>2</v>
      </c>
      <c r="I2" s="953">
        <v>99.7</v>
      </c>
      <c r="J2" s="782" t="s">
        <v>180</v>
      </c>
      <c r="K2" s="787" t="s">
        <v>365</v>
      </c>
      <c r="L2" s="787" t="s">
        <v>365</v>
      </c>
      <c r="M2" s="787" t="s">
        <v>365</v>
      </c>
      <c r="N2" s="787" t="s">
        <v>365</v>
      </c>
      <c r="O2" s="787" t="s">
        <v>365</v>
      </c>
      <c r="P2" s="787" t="s">
        <v>365</v>
      </c>
      <c r="Q2" s="787" t="s">
        <v>365</v>
      </c>
      <c r="R2" s="787" t="s">
        <v>365</v>
      </c>
      <c r="S2" s="851" t="s">
        <v>365</v>
      </c>
      <c r="T2" s="820" t="s">
        <v>365</v>
      </c>
      <c r="U2" s="930" t="s">
        <v>365</v>
      </c>
      <c r="V2" s="969" t="s">
        <v>180</v>
      </c>
      <c r="W2" s="854" t="s">
        <v>180</v>
      </c>
      <c r="X2" s="854" t="s">
        <v>180</v>
      </c>
      <c r="Y2" s="854" t="s">
        <v>180</v>
      </c>
      <c r="Z2" s="854" t="s">
        <v>180</v>
      </c>
      <c r="AA2" s="946"/>
      <c r="AB2" s="1006"/>
    </row>
    <row r="3" customHeight="1" spans="1:28">
      <c r="A3" s="946"/>
      <c r="B3" s="751" t="s">
        <v>45</v>
      </c>
      <c r="C3" s="751" t="s">
        <v>45</v>
      </c>
      <c r="D3" s="757">
        <v>1000</v>
      </c>
      <c r="E3" s="751">
        <v>1840</v>
      </c>
      <c r="F3" s="758">
        <v>0.7</v>
      </c>
      <c r="G3" s="751">
        <v>0.83</v>
      </c>
      <c r="H3" s="762">
        <v>2</v>
      </c>
      <c r="I3" s="764">
        <v>99.7</v>
      </c>
      <c r="J3" s="820" t="s">
        <v>180</v>
      </c>
      <c r="K3" s="802" t="s">
        <v>366</v>
      </c>
      <c r="L3" s="802" t="s">
        <v>366</v>
      </c>
      <c r="M3" s="802" t="s">
        <v>366</v>
      </c>
      <c r="N3" s="802" t="s">
        <v>366</v>
      </c>
      <c r="O3" s="802" t="s">
        <v>366</v>
      </c>
      <c r="P3" s="802" t="s">
        <v>366</v>
      </c>
      <c r="Q3" s="802" t="s">
        <v>366</v>
      </c>
      <c r="R3" s="802" t="s">
        <v>366</v>
      </c>
      <c r="S3" s="802" t="s">
        <v>366</v>
      </c>
      <c r="T3" s="802" t="s">
        <v>366</v>
      </c>
      <c r="U3" s="823" t="s">
        <v>366</v>
      </c>
      <c r="V3" s="885" t="s">
        <v>180</v>
      </c>
      <c r="W3" s="873" t="s">
        <v>180</v>
      </c>
      <c r="X3" s="873" t="s">
        <v>180</v>
      </c>
      <c r="Y3" s="873" t="s">
        <v>180</v>
      </c>
      <c r="Z3" s="873" t="s">
        <v>180</v>
      </c>
      <c r="AA3" s="946"/>
      <c r="AB3" s="946"/>
    </row>
    <row r="4" customHeight="1" spans="1:28">
      <c r="A4" s="946"/>
      <c r="B4" s="751" t="s">
        <v>0</v>
      </c>
      <c r="C4" s="751" t="s">
        <v>0</v>
      </c>
      <c r="D4" s="757" t="s">
        <v>367</v>
      </c>
      <c r="E4" s="751" t="s">
        <v>368</v>
      </c>
      <c r="F4" s="773" t="s">
        <v>1</v>
      </c>
      <c r="G4" s="950" t="s">
        <v>369</v>
      </c>
      <c r="H4" s="951" t="s">
        <v>370</v>
      </c>
      <c r="I4" s="762" t="s">
        <v>4</v>
      </c>
      <c r="J4" s="833" t="s">
        <v>371</v>
      </c>
      <c r="K4" s="954" t="s">
        <v>2</v>
      </c>
      <c r="L4" s="954" t="s">
        <v>3</v>
      </c>
      <c r="M4" s="791" t="s">
        <v>372</v>
      </c>
      <c r="N4" s="793" t="s">
        <v>0</v>
      </c>
      <c r="O4" s="792" t="s">
        <v>367</v>
      </c>
      <c r="P4" s="793" t="s">
        <v>368</v>
      </c>
      <c r="Q4" s="856" t="s">
        <v>373</v>
      </c>
      <c r="R4" s="970" t="s">
        <v>374</v>
      </c>
      <c r="S4" s="793" t="s">
        <v>375</v>
      </c>
      <c r="T4" s="793" t="s">
        <v>375</v>
      </c>
      <c r="U4" s="971" t="s">
        <v>4</v>
      </c>
      <c r="V4" s="972" t="s">
        <v>371</v>
      </c>
      <c r="W4" s="858" t="s">
        <v>0</v>
      </c>
      <c r="X4" s="973" t="s">
        <v>2</v>
      </c>
      <c r="Y4" s="973" t="s">
        <v>3</v>
      </c>
      <c r="Z4" s="1008" t="s">
        <v>372</v>
      </c>
      <c r="AA4" s="946"/>
      <c r="AB4" s="946"/>
    </row>
    <row r="5" customHeight="1" spans="1:28">
      <c r="A5" s="946"/>
      <c r="B5" s="751" t="s">
        <v>376</v>
      </c>
      <c r="C5" s="751" t="s">
        <v>376</v>
      </c>
      <c r="D5" s="757">
        <v>400</v>
      </c>
      <c r="E5" s="751">
        <v>10000</v>
      </c>
      <c r="F5" s="754">
        <v>0.74</v>
      </c>
      <c r="G5" s="751">
        <v>0.49</v>
      </c>
      <c r="H5" s="762">
        <v>54</v>
      </c>
      <c r="I5" s="762">
        <v>2426.85</v>
      </c>
      <c r="J5" s="796">
        <v>1083.85</v>
      </c>
      <c r="K5" s="793">
        <v>0.386</v>
      </c>
      <c r="L5" s="793">
        <v>80</v>
      </c>
      <c r="M5" s="791">
        <v>0.74</v>
      </c>
      <c r="N5" s="793" t="s">
        <v>377</v>
      </c>
      <c r="O5" s="792">
        <v>900</v>
      </c>
      <c r="P5" s="793">
        <v>3870</v>
      </c>
      <c r="Q5" s="856">
        <v>320</v>
      </c>
      <c r="R5" s="793">
        <v>80</v>
      </c>
      <c r="S5" s="793">
        <v>315</v>
      </c>
      <c r="T5" s="793">
        <v>855</v>
      </c>
      <c r="U5" s="861">
        <v>3826.85</v>
      </c>
      <c r="V5" s="862">
        <v>3826.85</v>
      </c>
      <c r="W5" s="858" t="s">
        <v>378</v>
      </c>
      <c r="X5" s="858">
        <v>0.49</v>
      </c>
      <c r="Y5" s="858">
        <v>1</v>
      </c>
      <c r="Z5" s="1008">
        <v>0.07</v>
      </c>
      <c r="AA5" s="946"/>
      <c r="AB5" s="946"/>
    </row>
    <row r="6" customHeight="1" spans="1:28">
      <c r="A6" s="946"/>
      <c r="B6" s="751" t="s">
        <v>379</v>
      </c>
      <c r="C6" s="751" t="s">
        <v>379</v>
      </c>
      <c r="D6" s="757">
        <v>900</v>
      </c>
      <c r="E6" s="751">
        <v>1800</v>
      </c>
      <c r="F6" s="758">
        <v>0.6</v>
      </c>
      <c r="G6" s="751">
        <v>0.622</v>
      </c>
      <c r="H6" s="762">
        <v>220</v>
      </c>
      <c r="I6" s="762">
        <v>2676.85</v>
      </c>
      <c r="J6" s="796" t="s">
        <v>180</v>
      </c>
      <c r="K6" s="793">
        <v>0.265</v>
      </c>
      <c r="L6" s="793">
        <v>54</v>
      </c>
      <c r="M6" s="791">
        <v>0.49</v>
      </c>
      <c r="N6" s="793" t="s">
        <v>380</v>
      </c>
      <c r="O6" s="792">
        <v>900</v>
      </c>
      <c r="P6" s="793">
        <v>3870</v>
      </c>
      <c r="Q6" s="856">
        <v>24</v>
      </c>
      <c r="R6" s="793">
        <v>80</v>
      </c>
      <c r="S6" s="856">
        <v>315</v>
      </c>
      <c r="T6" s="856">
        <v>855</v>
      </c>
      <c r="U6" s="875">
        <v>4743.85</v>
      </c>
      <c r="V6" s="876">
        <v>4743.85</v>
      </c>
      <c r="W6" s="974" t="s">
        <v>381</v>
      </c>
      <c r="X6" s="974">
        <v>0.265</v>
      </c>
      <c r="Y6" s="858">
        <v>1</v>
      </c>
      <c r="Z6" s="1009">
        <v>0.05</v>
      </c>
      <c r="AA6" s="946"/>
      <c r="AB6" s="946"/>
    </row>
    <row r="7" customHeight="1" spans="1:28">
      <c r="A7" s="946"/>
      <c r="B7" s="751" t="s">
        <v>36</v>
      </c>
      <c r="C7" s="751" t="s">
        <v>37</v>
      </c>
      <c r="D7" s="757">
        <v>500</v>
      </c>
      <c r="E7" s="751">
        <v>500</v>
      </c>
      <c r="F7" s="758">
        <v>0.72</v>
      </c>
      <c r="G7" s="751">
        <v>0.91</v>
      </c>
      <c r="H7" s="762">
        <v>20.5</v>
      </c>
      <c r="I7" s="762">
        <v>1083.85</v>
      </c>
      <c r="J7" s="796" t="s">
        <v>180</v>
      </c>
      <c r="K7" s="793">
        <v>0.91</v>
      </c>
      <c r="L7" s="793">
        <v>20.5</v>
      </c>
      <c r="M7" s="791">
        <v>0.77</v>
      </c>
      <c r="N7" s="793" t="s">
        <v>382</v>
      </c>
      <c r="O7" s="792">
        <v>1000</v>
      </c>
      <c r="P7" s="793">
        <v>7870</v>
      </c>
      <c r="Q7" s="793">
        <v>160</v>
      </c>
      <c r="R7" s="793">
        <v>120</v>
      </c>
      <c r="S7" s="793">
        <v>350</v>
      </c>
      <c r="T7" s="793">
        <v>950</v>
      </c>
      <c r="U7" s="861">
        <v>2470</v>
      </c>
      <c r="V7" s="862">
        <v>2470</v>
      </c>
      <c r="W7" s="858" t="s">
        <v>383</v>
      </c>
      <c r="X7" s="858">
        <v>0.91</v>
      </c>
      <c r="Y7" s="858">
        <v>2.5</v>
      </c>
      <c r="Z7" s="1008">
        <v>0.07</v>
      </c>
      <c r="AA7" s="946"/>
      <c r="AB7" s="946"/>
    </row>
    <row r="8" customHeight="1" spans="1:28">
      <c r="A8" s="946"/>
      <c r="B8" s="751" t="s">
        <v>67</v>
      </c>
      <c r="C8" s="751" t="s">
        <v>67</v>
      </c>
      <c r="D8" s="757">
        <v>900</v>
      </c>
      <c r="E8" s="768">
        <v>3870</v>
      </c>
      <c r="F8" s="758">
        <v>0.61</v>
      </c>
      <c r="G8" s="751">
        <v>0.385</v>
      </c>
      <c r="H8" s="762">
        <v>60</v>
      </c>
      <c r="I8" s="762">
        <v>1083.85</v>
      </c>
      <c r="J8" s="796">
        <v>1083.85</v>
      </c>
      <c r="K8" s="793">
        <v>0.386</v>
      </c>
      <c r="L8" s="793">
        <v>12</v>
      </c>
      <c r="M8" s="791">
        <v>0.61</v>
      </c>
      <c r="N8" s="793" t="s">
        <v>384</v>
      </c>
      <c r="O8" s="792">
        <v>900</v>
      </c>
      <c r="P8" s="793">
        <v>3870</v>
      </c>
      <c r="Q8" s="793">
        <v>720</v>
      </c>
      <c r="R8" s="793">
        <v>80</v>
      </c>
      <c r="S8" s="793">
        <v>315</v>
      </c>
      <c r="T8" s="793">
        <v>855</v>
      </c>
      <c r="U8" s="861">
        <v>2560.85</v>
      </c>
      <c r="V8" s="862">
        <v>2560.85</v>
      </c>
      <c r="W8" s="858" t="s">
        <v>385</v>
      </c>
      <c r="X8" s="858">
        <v>0.386</v>
      </c>
      <c r="Y8" s="858">
        <v>1</v>
      </c>
      <c r="Z8" s="1008">
        <v>0.06</v>
      </c>
      <c r="AA8" s="946"/>
      <c r="AB8" s="946"/>
    </row>
    <row r="9" customHeight="1" spans="1:28">
      <c r="A9" s="946"/>
      <c r="B9" s="762" t="s">
        <v>81</v>
      </c>
      <c r="C9" s="763" t="s">
        <v>81</v>
      </c>
      <c r="D9" s="757">
        <v>2000</v>
      </c>
      <c r="E9" s="751">
        <v>2000</v>
      </c>
      <c r="F9" s="758">
        <v>0.85</v>
      </c>
      <c r="G9" s="751">
        <v>0.128</v>
      </c>
      <c r="H9" s="762">
        <v>35</v>
      </c>
      <c r="I9" s="788">
        <v>327.5</v>
      </c>
      <c r="J9" s="789">
        <v>327.5</v>
      </c>
      <c r="K9" s="793">
        <v>0.128</v>
      </c>
      <c r="L9" s="793">
        <v>11</v>
      </c>
      <c r="M9" s="791">
        <v>0.85</v>
      </c>
      <c r="N9" s="793" t="s">
        <v>386</v>
      </c>
      <c r="O9" s="792">
        <v>3000</v>
      </c>
      <c r="P9" s="793">
        <v>9970</v>
      </c>
      <c r="Q9" s="856">
        <v>1600</v>
      </c>
      <c r="R9" s="793">
        <v>100</v>
      </c>
      <c r="S9" s="793">
        <v>1050</v>
      </c>
      <c r="T9" s="793">
        <v>2850</v>
      </c>
      <c r="U9" s="861">
        <v>1749</v>
      </c>
      <c r="V9" s="862">
        <v>1749</v>
      </c>
      <c r="W9" s="858" t="s">
        <v>387</v>
      </c>
      <c r="X9" s="858">
        <v>0.128</v>
      </c>
      <c r="Y9" s="858">
        <v>3.5</v>
      </c>
      <c r="Z9" s="1008">
        <v>0.08</v>
      </c>
      <c r="AA9" s="946"/>
      <c r="AB9" s="946"/>
    </row>
    <row r="10" customHeight="1" spans="1:28">
      <c r="A10" s="946"/>
      <c r="B10" s="764" t="s">
        <v>9</v>
      </c>
      <c r="C10" s="765" t="s">
        <v>9</v>
      </c>
      <c r="D10" s="757">
        <v>40</v>
      </c>
      <c r="E10" s="766">
        <v>200</v>
      </c>
      <c r="F10" s="758">
        <v>0.25</v>
      </c>
      <c r="G10" s="751">
        <v>3.47</v>
      </c>
      <c r="H10" s="762">
        <v>0.6</v>
      </c>
      <c r="I10" s="764">
        <v>9726.85</v>
      </c>
      <c r="J10" s="796">
        <v>-271.15</v>
      </c>
      <c r="K10" s="790">
        <v>8.44</v>
      </c>
      <c r="L10" s="790">
        <v>9.46</v>
      </c>
      <c r="M10" s="791">
        <v>0.6</v>
      </c>
      <c r="N10" s="955" t="s">
        <v>388</v>
      </c>
      <c r="O10" s="792">
        <v>800</v>
      </c>
      <c r="P10" s="793">
        <v>910</v>
      </c>
      <c r="Q10" s="863" t="s">
        <v>180</v>
      </c>
      <c r="R10" s="793">
        <v>0.04</v>
      </c>
      <c r="S10" s="793">
        <v>280</v>
      </c>
      <c r="T10" s="793">
        <v>760</v>
      </c>
      <c r="U10" s="975">
        <v>436.85</v>
      </c>
      <c r="V10" s="976">
        <v>436.85</v>
      </c>
      <c r="W10" s="977" t="s">
        <v>389</v>
      </c>
      <c r="X10" s="858">
        <v>8.44</v>
      </c>
      <c r="Y10" s="858">
        <v>1.2</v>
      </c>
      <c r="Z10" s="1008">
        <v>0.06</v>
      </c>
      <c r="AA10" s="946"/>
      <c r="AB10" s="946"/>
    </row>
    <row r="11" customHeight="1" spans="1:28">
      <c r="A11" s="946"/>
      <c r="B11" s="762" t="s">
        <v>80</v>
      </c>
      <c r="C11" s="763" t="s">
        <v>76</v>
      </c>
      <c r="D11" s="774">
        <v>800</v>
      </c>
      <c r="E11" s="952">
        <v>1840</v>
      </c>
      <c r="F11" s="773">
        <v>0.35</v>
      </c>
      <c r="G11" s="768">
        <v>0.15</v>
      </c>
      <c r="H11" s="768">
        <v>2</v>
      </c>
      <c r="I11" s="816">
        <v>1063.85</v>
      </c>
      <c r="J11" s="782" t="s">
        <v>180</v>
      </c>
      <c r="K11" s="787">
        <v>0.1291</v>
      </c>
      <c r="L11" s="793">
        <v>6</v>
      </c>
      <c r="M11" s="791">
        <v>0.35</v>
      </c>
      <c r="N11" s="793" t="s">
        <v>390</v>
      </c>
      <c r="O11" s="792">
        <v>870</v>
      </c>
      <c r="P11" s="793">
        <v>9970</v>
      </c>
      <c r="Q11" s="793">
        <v>696</v>
      </c>
      <c r="R11" s="793">
        <v>100</v>
      </c>
      <c r="S11" s="793">
        <v>304.5</v>
      </c>
      <c r="T11" s="793">
        <v>826.5</v>
      </c>
      <c r="U11" s="861">
        <v>2855.85</v>
      </c>
      <c r="V11" s="878">
        <v>2855.85</v>
      </c>
      <c r="W11" s="858" t="s">
        <v>391</v>
      </c>
      <c r="X11" s="858">
        <v>0.1291</v>
      </c>
      <c r="Y11" s="858">
        <v>1</v>
      </c>
      <c r="Z11" s="1008">
        <v>0.03</v>
      </c>
      <c r="AA11" s="946"/>
      <c r="AB11" s="946"/>
    </row>
    <row r="12" customHeight="1" spans="1:28">
      <c r="A12" s="946"/>
      <c r="B12" s="762" t="s">
        <v>5</v>
      </c>
      <c r="C12" s="763" t="s">
        <v>5</v>
      </c>
      <c r="D12" s="752">
        <v>1840</v>
      </c>
      <c r="E12" s="753">
        <v>1840</v>
      </c>
      <c r="F12" s="754">
        <v>0.3</v>
      </c>
      <c r="G12" s="753">
        <v>7.44</v>
      </c>
      <c r="H12" s="753">
        <v>6</v>
      </c>
      <c r="I12" s="803">
        <v>26.85</v>
      </c>
      <c r="J12" s="804">
        <v>26.85</v>
      </c>
      <c r="K12" s="787">
        <v>7.44</v>
      </c>
      <c r="L12" s="809">
        <v>6</v>
      </c>
      <c r="M12" s="807">
        <v>0.3</v>
      </c>
      <c r="N12" s="809" t="s">
        <v>392</v>
      </c>
      <c r="O12" s="808">
        <v>500</v>
      </c>
      <c r="P12" s="809">
        <v>1000</v>
      </c>
      <c r="Q12" s="868">
        <v>1472</v>
      </c>
      <c r="R12" s="809">
        <v>100</v>
      </c>
      <c r="S12" s="809">
        <f>0.35*O12</f>
        <v>175</v>
      </c>
      <c r="T12" s="809">
        <f>0.95*O12</f>
        <v>475</v>
      </c>
      <c r="U12" s="831">
        <v>526.85</v>
      </c>
      <c r="V12" s="867">
        <v>66.85</v>
      </c>
      <c r="W12" s="858" t="s">
        <v>393</v>
      </c>
      <c r="X12" s="858">
        <v>0.265</v>
      </c>
      <c r="Y12" s="858">
        <v>1</v>
      </c>
      <c r="Z12" s="1008">
        <v>0.03</v>
      </c>
      <c r="AA12" s="946"/>
      <c r="AB12" s="946"/>
    </row>
    <row r="13" customHeight="1" spans="1:28">
      <c r="A13" s="946" t="s">
        <v>394</v>
      </c>
      <c r="B13" s="751" t="s">
        <v>60</v>
      </c>
      <c r="C13" s="751" t="s">
        <v>395</v>
      </c>
      <c r="D13" s="767">
        <v>1000</v>
      </c>
      <c r="E13" s="768">
        <v>7870</v>
      </c>
      <c r="F13" s="758">
        <v>0.66</v>
      </c>
      <c r="G13" s="768">
        <v>0.449</v>
      </c>
      <c r="H13" s="768">
        <v>55</v>
      </c>
      <c r="I13" s="798">
        <v>1534.85</v>
      </c>
      <c r="J13" s="782">
        <v>1534.85</v>
      </c>
      <c r="K13" s="802">
        <v>0.449</v>
      </c>
      <c r="L13" s="802">
        <v>4</v>
      </c>
      <c r="M13" s="800">
        <v>0.66</v>
      </c>
      <c r="N13" s="802" t="s">
        <v>396</v>
      </c>
      <c r="O13" s="801">
        <v>1000</v>
      </c>
      <c r="P13" s="802">
        <v>7870</v>
      </c>
      <c r="Q13" s="802">
        <v>800</v>
      </c>
      <c r="R13" s="802">
        <v>120</v>
      </c>
      <c r="S13" s="802">
        <v>350</v>
      </c>
      <c r="T13" s="802">
        <v>950</v>
      </c>
      <c r="U13" s="978">
        <v>2749.85</v>
      </c>
      <c r="V13" s="878">
        <v>2749.85</v>
      </c>
      <c r="W13" s="858" t="s">
        <v>397</v>
      </c>
      <c r="X13" s="858">
        <v>0.449</v>
      </c>
      <c r="Y13" s="858">
        <v>1</v>
      </c>
      <c r="Z13" s="1008">
        <v>0.06</v>
      </c>
      <c r="AA13" s="946"/>
      <c r="AB13" s="946"/>
    </row>
    <row r="14" customHeight="1" spans="1:28">
      <c r="A14" s="946" t="s">
        <v>394</v>
      </c>
      <c r="B14" s="751" t="s">
        <v>60</v>
      </c>
      <c r="C14" s="751" t="s">
        <v>61</v>
      </c>
      <c r="D14" s="774">
        <v>800</v>
      </c>
      <c r="E14" s="775">
        <v>1840</v>
      </c>
      <c r="F14" s="758">
        <v>0.61</v>
      </c>
      <c r="G14" s="775">
        <v>0.449</v>
      </c>
      <c r="H14" s="775">
        <v>4</v>
      </c>
      <c r="I14" s="956">
        <v>1534.85</v>
      </c>
      <c r="J14" s="782" t="s">
        <v>180</v>
      </c>
      <c r="K14" s="793">
        <v>0.449</v>
      </c>
      <c r="L14" s="793">
        <v>4</v>
      </c>
      <c r="M14" s="791">
        <v>0.66</v>
      </c>
      <c r="N14" s="793" t="s">
        <v>396</v>
      </c>
      <c r="O14" s="792">
        <v>1000</v>
      </c>
      <c r="P14" s="793">
        <v>7870</v>
      </c>
      <c r="Q14" s="793">
        <v>800</v>
      </c>
      <c r="R14" s="793">
        <v>120</v>
      </c>
      <c r="S14" s="793">
        <v>350</v>
      </c>
      <c r="T14" s="793">
        <v>950</v>
      </c>
      <c r="U14" s="979">
        <v>2749.85</v>
      </c>
      <c r="V14" s="878">
        <v>2749.85</v>
      </c>
      <c r="W14" s="858" t="s">
        <v>397</v>
      </c>
      <c r="X14" s="858">
        <v>0.449</v>
      </c>
      <c r="Y14" s="858">
        <v>1</v>
      </c>
      <c r="Z14" s="1008">
        <v>0.06</v>
      </c>
      <c r="AA14" s="946"/>
      <c r="AB14" s="946"/>
    </row>
    <row r="15" customHeight="1" spans="1:28">
      <c r="A15" s="946" t="s">
        <v>394</v>
      </c>
      <c r="B15" s="751" t="s">
        <v>60</v>
      </c>
      <c r="C15" s="751" t="s">
        <v>62</v>
      </c>
      <c r="D15" s="752">
        <v>800</v>
      </c>
      <c r="E15" s="753">
        <v>1840</v>
      </c>
      <c r="F15" s="758">
        <v>0.7</v>
      </c>
      <c r="G15" s="753">
        <v>0.449</v>
      </c>
      <c r="H15" s="753">
        <v>4</v>
      </c>
      <c r="I15" s="816">
        <v>1534.85</v>
      </c>
      <c r="J15" s="782" t="s">
        <v>180</v>
      </c>
      <c r="K15" s="809">
        <v>0.449</v>
      </c>
      <c r="L15" s="809">
        <v>4</v>
      </c>
      <c r="M15" s="807">
        <v>0.66</v>
      </c>
      <c r="N15" s="809" t="s">
        <v>396</v>
      </c>
      <c r="O15" s="808">
        <v>1000</v>
      </c>
      <c r="P15" s="793">
        <v>7870</v>
      </c>
      <c r="Q15" s="809">
        <v>800</v>
      </c>
      <c r="R15" s="793">
        <v>120</v>
      </c>
      <c r="S15" s="809">
        <v>350</v>
      </c>
      <c r="T15" s="809">
        <v>950</v>
      </c>
      <c r="U15" s="881">
        <v>2749.85</v>
      </c>
      <c r="V15" s="882">
        <v>2749.85</v>
      </c>
      <c r="W15" s="870" t="s">
        <v>397</v>
      </c>
      <c r="X15" s="870">
        <v>0.449</v>
      </c>
      <c r="Y15" s="870">
        <v>1</v>
      </c>
      <c r="Z15" s="1010">
        <v>0.06</v>
      </c>
      <c r="AA15" s="946"/>
      <c r="AB15" s="946"/>
    </row>
    <row r="16" customHeight="1" spans="1:28">
      <c r="A16" s="946"/>
      <c r="B16" s="762" t="s">
        <v>60</v>
      </c>
      <c r="C16" s="763" t="s">
        <v>65</v>
      </c>
      <c r="D16" s="757">
        <v>800</v>
      </c>
      <c r="E16" s="751">
        <v>1840</v>
      </c>
      <c r="F16" s="758">
        <v>0.7</v>
      </c>
      <c r="G16" s="751">
        <v>0.386</v>
      </c>
      <c r="H16" s="762">
        <v>4.5</v>
      </c>
      <c r="I16" s="762">
        <v>1083.85</v>
      </c>
      <c r="J16" s="820" t="s">
        <v>180</v>
      </c>
      <c r="K16" s="787">
        <v>0.449</v>
      </c>
      <c r="L16" s="787">
        <v>4</v>
      </c>
      <c r="M16" s="785">
        <v>0.66</v>
      </c>
      <c r="N16" s="787" t="s">
        <v>396</v>
      </c>
      <c r="O16" s="786">
        <v>1000</v>
      </c>
      <c r="P16" s="793">
        <v>7870</v>
      </c>
      <c r="Q16" s="787">
        <v>800</v>
      </c>
      <c r="R16" s="793">
        <v>120</v>
      </c>
      <c r="S16" s="787">
        <v>350</v>
      </c>
      <c r="T16" s="787">
        <v>950</v>
      </c>
      <c r="U16" s="892">
        <v>2749.85</v>
      </c>
      <c r="V16" s="893">
        <v>2749.85</v>
      </c>
      <c r="W16" s="854" t="s">
        <v>397</v>
      </c>
      <c r="X16" s="854">
        <v>0.449</v>
      </c>
      <c r="Y16" s="854">
        <v>1</v>
      </c>
      <c r="Z16" s="913">
        <v>0.06</v>
      </c>
      <c r="AA16" s="946"/>
      <c r="AB16" s="946"/>
    </row>
    <row r="17" customHeight="1" spans="1:28">
      <c r="A17" s="946"/>
      <c r="B17" s="751" t="s">
        <v>63</v>
      </c>
      <c r="C17" s="751" t="s">
        <v>398</v>
      </c>
      <c r="D17" s="757">
        <v>800</v>
      </c>
      <c r="E17" s="751">
        <v>8900</v>
      </c>
      <c r="F17" s="758">
        <v>0.63</v>
      </c>
      <c r="G17" s="751">
        <v>0.42</v>
      </c>
      <c r="H17" s="762">
        <v>100</v>
      </c>
      <c r="I17" s="821">
        <v>1494.85</v>
      </c>
      <c r="J17" s="804">
        <v>1494.85</v>
      </c>
      <c r="K17" s="787">
        <v>0.42</v>
      </c>
      <c r="L17" s="802">
        <v>4</v>
      </c>
      <c r="M17" s="800">
        <v>0.63</v>
      </c>
      <c r="N17" s="802" t="s">
        <v>399</v>
      </c>
      <c r="O17" s="801">
        <v>1000</v>
      </c>
      <c r="P17" s="793">
        <v>7870</v>
      </c>
      <c r="Q17" s="802">
        <v>640</v>
      </c>
      <c r="R17" s="793">
        <v>120</v>
      </c>
      <c r="S17" s="802">
        <v>350</v>
      </c>
      <c r="T17" s="802">
        <v>950</v>
      </c>
      <c r="U17" s="871">
        <v>2926.85</v>
      </c>
      <c r="V17" s="872">
        <v>2926.85</v>
      </c>
      <c r="W17" s="873" t="s">
        <v>400</v>
      </c>
      <c r="X17" s="873">
        <v>0.42</v>
      </c>
      <c r="Y17" s="873">
        <v>1</v>
      </c>
      <c r="Z17" s="1011">
        <v>0.06</v>
      </c>
      <c r="AA17" s="946"/>
      <c r="AB17" s="946"/>
    </row>
    <row r="18" customHeight="1" spans="1:28">
      <c r="A18" s="946"/>
      <c r="B18" s="751" t="s">
        <v>63</v>
      </c>
      <c r="C18" s="751" t="s">
        <v>64</v>
      </c>
      <c r="D18" s="757">
        <v>1250</v>
      </c>
      <c r="E18" s="751">
        <v>6300</v>
      </c>
      <c r="F18" s="758">
        <v>0.58</v>
      </c>
      <c r="G18" s="768">
        <v>0.42</v>
      </c>
      <c r="H18" s="816">
        <v>4</v>
      </c>
      <c r="I18" s="822">
        <v>1494.85</v>
      </c>
      <c r="J18" s="804">
        <v>1494.85</v>
      </c>
      <c r="K18" s="787">
        <v>0.42</v>
      </c>
      <c r="L18" s="793">
        <v>4</v>
      </c>
      <c r="M18" s="791">
        <v>0.63</v>
      </c>
      <c r="N18" s="793" t="s">
        <v>399</v>
      </c>
      <c r="O18" s="792">
        <v>1000</v>
      </c>
      <c r="P18" s="793">
        <v>7870</v>
      </c>
      <c r="Q18" s="793">
        <v>640</v>
      </c>
      <c r="R18" s="793">
        <v>120</v>
      </c>
      <c r="S18" s="793">
        <v>350</v>
      </c>
      <c r="T18" s="793">
        <v>950</v>
      </c>
      <c r="U18" s="861">
        <v>2926.85</v>
      </c>
      <c r="V18" s="862">
        <v>2926.85</v>
      </c>
      <c r="W18" s="858" t="s">
        <v>400</v>
      </c>
      <c r="X18" s="858">
        <v>0.42</v>
      </c>
      <c r="Y18" s="858">
        <v>1</v>
      </c>
      <c r="Z18" s="1008">
        <v>0.06</v>
      </c>
      <c r="AA18" s="946"/>
      <c r="AB18" s="946"/>
    </row>
    <row r="19" customHeight="1" spans="1:28">
      <c r="A19" s="946"/>
      <c r="B19" s="751" t="s">
        <v>78</v>
      </c>
      <c r="C19" s="751" t="s">
        <v>401</v>
      </c>
      <c r="D19" s="757">
        <v>200</v>
      </c>
      <c r="E19" s="751">
        <v>1000</v>
      </c>
      <c r="F19" s="754">
        <v>0.35</v>
      </c>
      <c r="G19" s="753">
        <v>0.134</v>
      </c>
      <c r="H19" s="781">
        <v>60</v>
      </c>
      <c r="I19" s="803">
        <v>3421.85</v>
      </c>
      <c r="J19" s="804">
        <v>3421.85</v>
      </c>
      <c r="K19" s="787">
        <v>0.134</v>
      </c>
      <c r="L19" s="809">
        <v>4</v>
      </c>
      <c r="M19" s="807">
        <v>0.35</v>
      </c>
      <c r="N19" s="809" t="s">
        <v>402</v>
      </c>
      <c r="O19" s="808">
        <v>200</v>
      </c>
      <c r="P19" s="809">
        <v>3870</v>
      </c>
      <c r="Q19" s="809">
        <v>160</v>
      </c>
      <c r="R19" s="809">
        <v>80</v>
      </c>
      <c r="S19" s="809">
        <v>70</v>
      </c>
      <c r="T19" s="809">
        <v>190</v>
      </c>
      <c r="U19" s="891">
        <v>5929.85</v>
      </c>
      <c r="V19" s="890">
        <v>5929.85</v>
      </c>
      <c r="W19" s="870" t="s">
        <v>403</v>
      </c>
      <c r="X19" s="870">
        <v>0.134</v>
      </c>
      <c r="Y19" s="870">
        <v>1</v>
      </c>
      <c r="Z19" s="1010">
        <v>0.03</v>
      </c>
      <c r="AA19" s="946"/>
      <c r="AB19" s="946"/>
    </row>
    <row r="20" customHeight="1" spans="1:28">
      <c r="A20" s="946"/>
      <c r="B20" s="751" t="s">
        <v>78</v>
      </c>
      <c r="C20" s="751" t="s">
        <v>404</v>
      </c>
      <c r="D20" s="757">
        <v>600</v>
      </c>
      <c r="E20" s="751">
        <v>1840</v>
      </c>
      <c r="F20" s="773">
        <v>0.65</v>
      </c>
      <c r="G20" s="768">
        <v>0.134</v>
      </c>
      <c r="H20" s="762">
        <v>15</v>
      </c>
      <c r="I20" s="762">
        <v>2926.85</v>
      </c>
      <c r="J20" s="820" t="s">
        <v>180</v>
      </c>
      <c r="K20" s="787">
        <v>0.134</v>
      </c>
      <c r="L20" s="802">
        <v>4</v>
      </c>
      <c r="M20" s="800">
        <v>0.35</v>
      </c>
      <c r="N20" s="802" t="s">
        <v>402</v>
      </c>
      <c r="O20" s="801">
        <v>200</v>
      </c>
      <c r="P20" s="823">
        <v>3870</v>
      </c>
      <c r="Q20" s="802">
        <v>160</v>
      </c>
      <c r="R20" s="802">
        <v>80</v>
      </c>
      <c r="S20" s="802">
        <v>70</v>
      </c>
      <c r="T20" s="802">
        <v>190</v>
      </c>
      <c r="U20" s="887">
        <v>5929.85</v>
      </c>
      <c r="V20" s="872">
        <v>5929.85</v>
      </c>
      <c r="W20" s="873" t="s">
        <v>403</v>
      </c>
      <c r="X20" s="873">
        <v>0.134</v>
      </c>
      <c r="Y20" s="873">
        <v>1</v>
      </c>
      <c r="Z20" s="1011">
        <v>0.03</v>
      </c>
      <c r="AA20" s="946"/>
      <c r="AB20" s="946"/>
    </row>
    <row r="21" customHeight="1" spans="1:28">
      <c r="A21" s="946"/>
      <c r="B21" s="751" t="s">
        <v>78</v>
      </c>
      <c r="C21" s="751" t="s">
        <v>405</v>
      </c>
      <c r="D21" s="757">
        <v>500</v>
      </c>
      <c r="E21" s="751">
        <v>3200</v>
      </c>
      <c r="F21" s="758">
        <v>0.9</v>
      </c>
      <c r="G21" s="753">
        <v>4</v>
      </c>
      <c r="H21" s="762">
        <v>1e-5</v>
      </c>
      <c r="I21" s="762">
        <v>3421.85</v>
      </c>
      <c r="J21" s="782" t="s">
        <v>180</v>
      </c>
      <c r="K21" s="787">
        <v>0.134</v>
      </c>
      <c r="L21" s="809">
        <v>4</v>
      </c>
      <c r="M21" s="807">
        <v>0.35</v>
      </c>
      <c r="N21" s="809" t="s">
        <v>402</v>
      </c>
      <c r="O21" s="792">
        <v>200</v>
      </c>
      <c r="P21" s="824">
        <v>3870</v>
      </c>
      <c r="Q21" s="809">
        <v>160</v>
      </c>
      <c r="R21" s="793">
        <v>80</v>
      </c>
      <c r="S21" s="793">
        <v>70</v>
      </c>
      <c r="T21" s="793">
        <v>190</v>
      </c>
      <c r="U21" s="889">
        <v>5929.85</v>
      </c>
      <c r="V21" s="890">
        <v>5929.85</v>
      </c>
      <c r="W21" s="870" t="s">
        <v>403</v>
      </c>
      <c r="X21" s="870">
        <v>0.134</v>
      </c>
      <c r="Y21" s="870">
        <v>1</v>
      </c>
      <c r="Z21" s="1010">
        <v>0.03</v>
      </c>
      <c r="AA21" s="946"/>
      <c r="AB21" s="946"/>
    </row>
    <row r="22" customHeight="1" spans="1:28">
      <c r="A22" s="946"/>
      <c r="B22" s="751" t="s">
        <v>78</v>
      </c>
      <c r="C22" s="751" t="s">
        <v>406</v>
      </c>
      <c r="D22" s="757">
        <v>900</v>
      </c>
      <c r="E22" s="766">
        <v>1800</v>
      </c>
      <c r="F22" s="758">
        <v>0.6</v>
      </c>
      <c r="G22" s="816">
        <v>5.57</v>
      </c>
      <c r="H22" s="762">
        <v>1e-5</v>
      </c>
      <c r="I22" s="816">
        <v>3621.85</v>
      </c>
      <c r="J22" s="782" t="s">
        <v>180</v>
      </c>
      <c r="K22" s="787">
        <v>0.134</v>
      </c>
      <c r="L22" s="802">
        <v>4</v>
      </c>
      <c r="M22" s="800">
        <v>0.35</v>
      </c>
      <c r="N22" s="802" t="s">
        <v>402</v>
      </c>
      <c r="O22" s="792">
        <v>200</v>
      </c>
      <c r="P22" s="824">
        <v>3870</v>
      </c>
      <c r="Q22" s="802">
        <v>160</v>
      </c>
      <c r="R22" s="793">
        <v>80</v>
      </c>
      <c r="S22" s="793">
        <v>70</v>
      </c>
      <c r="T22" s="793">
        <v>190</v>
      </c>
      <c r="U22" s="887">
        <v>5929.85</v>
      </c>
      <c r="V22" s="872">
        <v>5929.85</v>
      </c>
      <c r="W22" s="873" t="s">
        <v>403</v>
      </c>
      <c r="X22" s="873">
        <v>0.134</v>
      </c>
      <c r="Y22" s="873">
        <v>1</v>
      </c>
      <c r="Z22" s="1011">
        <v>0.03</v>
      </c>
      <c r="AA22" s="946"/>
      <c r="AB22" s="946"/>
    </row>
    <row r="23" customHeight="1" spans="1:28">
      <c r="A23" s="946"/>
      <c r="B23" s="751" t="s">
        <v>407</v>
      </c>
      <c r="C23" s="751" t="s">
        <v>50</v>
      </c>
      <c r="D23" s="767">
        <v>200</v>
      </c>
      <c r="E23" s="952">
        <v>600</v>
      </c>
      <c r="F23" s="758">
        <v>0.85</v>
      </c>
      <c r="G23" s="825">
        <v>0.71</v>
      </c>
      <c r="H23" s="816">
        <v>8</v>
      </c>
      <c r="I23" s="825">
        <v>276.85</v>
      </c>
      <c r="J23" s="819" t="s">
        <v>180</v>
      </c>
      <c r="K23" s="751">
        <v>1.74</v>
      </c>
      <c r="L23" s="775">
        <v>3.1</v>
      </c>
      <c r="M23" s="780">
        <v>0.84</v>
      </c>
      <c r="N23" s="775" t="s">
        <v>52</v>
      </c>
      <c r="O23" s="793"/>
      <c r="P23" s="824"/>
      <c r="Q23" s="793"/>
      <c r="R23" s="793"/>
      <c r="S23" s="793"/>
      <c r="T23" s="793"/>
      <c r="U23" s="888"/>
      <c r="V23" s="862"/>
      <c r="W23" s="858"/>
      <c r="X23" s="858"/>
      <c r="Y23" s="858"/>
      <c r="Z23" s="858"/>
      <c r="AA23" s="946"/>
      <c r="AB23" s="946"/>
    </row>
    <row r="24" customHeight="1" spans="1:28">
      <c r="A24" s="946"/>
      <c r="B24" s="751" t="s">
        <v>407</v>
      </c>
      <c r="C24" s="751" t="s">
        <v>51</v>
      </c>
      <c r="D24" s="774">
        <v>600</v>
      </c>
      <c r="E24" s="775">
        <v>4000</v>
      </c>
      <c r="F24" s="773">
        <v>0.84</v>
      </c>
      <c r="G24" s="781">
        <v>0.71</v>
      </c>
      <c r="H24" s="781">
        <v>1.25</v>
      </c>
      <c r="I24" s="781">
        <v>276.85</v>
      </c>
      <c r="J24" s="819" t="s">
        <v>180</v>
      </c>
      <c r="K24" s="751">
        <v>1.74</v>
      </c>
      <c r="L24" s="775">
        <v>3.1</v>
      </c>
      <c r="M24" s="780">
        <v>0.84</v>
      </c>
      <c r="N24" s="775" t="s">
        <v>52</v>
      </c>
      <c r="O24" s="793"/>
      <c r="P24" s="824"/>
      <c r="Q24" s="793"/>
      <c r="R24" s="793"/>
      <c r="S24" s="793"/>
      <c r="T24" s="793"/>
      <c r="U24" s="888"/>
      <c r="V24" s="862"/>
      <c r="W24" s="858"/>
      <c r="X24" s="858"/>
      <c r="Y24" s="858"/>
      <c r="Z24" s="858"/>
      <c r="AA24" s="946"/>
      <c r="AB24" s="946"/>
    </row>
    <row r="25" customHeight="1" spans="1:28">
      <c r="A25" s="946"/>
      <c r="B25" s="751" t="s">
        <v>408</v>
      </c>
      <c r="C25" s="751" t="s">
        <v>409</v>
      </c>
      <c r="D25" s="752">
        <v>100</v>
      </c>
      <c r="E25" s="753">
        <v>200</v>
      </c>
      <c r="F25" s="754">
        <v>0.3</v>
      </c>
      <c r="G25" s="751">
        <v>1</v>
      </c>
      <c r="H25" s="762">
        <v>20</v>
      </c>
      <c r="I25" s="762">
        <v>132.85</v>
      </c>
      <c r="J25" s="782" t="s">
        <v>180</v>
      </c>
      <c r="K25" s="787">
        <v>1.69</v>
      </c>
      <c r="L25" s="793">
        <v>2</v>
      </c>
      <c r="M25" s="807">
        <v>0.3</v>
      </c>
      <c r="N25" s="809" t="s">
        <v>410</v>
      </c>
      <c r="O25" s="792">
        <v>3000</v>
      </c>
      <c r="P25" s="824">
        <v>9970</v>
      </c>
      <c r="Q25" s="809">
        <v>80</v>
      </c>
      <c r="R25" s="793">
        <v>100</v>
      </c>
      <c r="S25" s="793">
        <v>1050</v>
      </c>
      <c r="T25" s="793">
        <v>2850</v>
      </c>
      <c r="U25" s="848">
        <v>4131.85</v>
      </c>
      <c r="V25" s="869" t="s">
        <v>180</v>
      </c>
      <c r="W25" s="870" t="s">
        <v>411</v>
      </c>
      <c r="X25" s="870">
        <v>1</v>
      </c>
      <c r="Y25" s="858">
        <v>0.1</v>
      </c>
      <c r="Z25" s="1008">
        <v>0.07</v>
      </c>
      <c r="AA25" s="946"/>
      <c r="AB25" s="946"/>
    </row>
    <row r="26" customHeight="1" spans="1:28">
      <c r="A26" s="946" t="s">
        <v>394</v>
      </c>
      <c r="B26" s="751" t="s">
        <v>408</v>
      </c>
      <c r="C26" s="751" t="s">
        <v>412</v>
      </c>
      <c r="D26" s="757">
        <v>100</v>
      </c>
      <c r="E26" s="751">
        <v>200</v>
      </c>
      <c r="F26" s="758">
        <v>0.85</v>
      </c>
      <c r="G26" s="768">
        <v>1</v>
      </c>
      <c r="H26" s="762">
        <v>20</v>
      </c>
      <c r="I26" s="816">
        <v>132.85</v>
      </c>
      <c r="J26" s="957">
        <v>132.85</v>
      </c>
      <c r="K26" s="787">
        <v>1.69</v>
      </c>
      <c r="L26" s="793">
        <v>2</v>
      </c>
      <c r="M26" s="785">
        <v>0.3</v>
      </c>
      <c r="N26" s="802" t="s">
        <v>410</v>
      </c>
      <c r="O26" s="792">
        <v>3000</v>
      </c>
      <c r="P26" s="824">
        <v>9970</v>
      </c>
      <c r="Q26" s="802">
        <v>80</v>
      </c>
      <c r="R26" s="793">
        <v>100</v>
      </c>
      <c r="S26" s="793">
        <v>1050</v>
      </c>
      <c r="T26" s="793">
        <v>2850</v>
      </c>
      <c r="U26" s="836">
        <v>4131.85</v>
      </c>
      <c r="V26" s="885" t="s">
        <v>180</v>
      </c>
      <c r="W26" s="873" t="s">
        <v>411</v>
      </c>
      <c r="X26" s="873">
        <v>1</v>
      </c>
      <c r="Y26" s="858">
        <v>0.1</v>
      </c>
      <c r="Z26" s="1008">
        <v>0.07</v>
      </c>
      <c r="AA26" s="946"/>
      <c r="AB26" s="946"/>
    </row>
    <row r="27" customHeight="1" spans="1:28">
      <c r="A27" s="946" t="s">
        <v>394</v>
      </c>
      <c r="B27" s="751" t="s">
        <v>408</v>
      </c>
      <c r="C27" s="751" t="s">
        <v>413</v>
      </c>
      <c r="D27" s="757">
        <v>100</v>
      </c>
      <c r="E27" s="751">
        <v>200</v>
      </c>
      <c r="F27" s="758">
        <v>0.3</v>
      </c>
      <c r="G27" s="753">
        <v>1</v>
      </c>
      <c r="H27" s="762">
        <v>20</v>
      </c>
      <c r="I27" s="781">
        <v>858.85</v>
      </c>
      <c r="J27" s="830" t="s">
        <v>180</v>
      </c>
      <c r="K27" s="787">
        <v>1.69</v>
      </c>
      <c r="L27" s="809">
        <v>2</v>
      </c>
      <c r="M27" s="785">
        <v>0.3</v>
      </c>
      <c r="N27" s="809" t="s">
        <v>410</v>
      </c>
      <c r="O27" s="808">
        <v>3000</v>
      </c>
      <c r="P27" s="831">
        <v>9970</v>
      </c>
      <c r="Q27" s="809">
        <v>80</v>
      </c>
      <c r="R27" s="809">
        <v>100</v>
      </c>
      <c r="S27" s="809">
        <v>1050</v>
      </c>
      <c r="T27" s="809">
        <v>2850</v>
      </c>
      <c r="U27" s="848">
        <v>4131.85</v>
      </c>
      <c r="V27" s="869" t="s">
        <v>180</v>
      </c>
      <c r="W27" s="870" t="s">
        <v>411</v>
      </c>
      <c r="X27" s="870">
        <v>1</v>
      </c>
      <c r="Y27" s="858">
        <v>0.1</v>
      </c>
      <c r="Z27" s="1008">
        <v>0.07</v>
      </c>
      <c r="AA27" s="946"/>
      <c r="AB27" s="946"/>
    </row>
    <row r="28" customHeight="1" spans="1:28">
      <c r="A28" s="946"/>
      <c r="B28" s="772" t="s">
        <v>414</v>
      </c>
      <c r="C28" s="751" t="s">
        <v>73</v>
      </c>
      <c r="D28" s="757">
        <v>200</v>
      </c>
      <c r="E28" s="751">
        <v>300</v>
      </c>
      <c r="F28" s="758">
        <v>0.65</v>
      </c>
      <c r="G28" s="751">
        <v>0.2</v>
      </c>
      <c r="H28" s="762">
        <v>2</v>
      </c>
      <c r="I28" s="816">
        <v>125</v>
      </c>
      <c r="J28" s="819" t="s">
        <v>180</v>
      </c>
      <c r="K28" s="751">
        <v>1.48</v>
      </c>
      <c r="L28" s="768">
        <v>2</v>
      </c>
      <c r="M28" s="773">
        <v>0.75</v>
      </c>
      <c r="N28" s="768" t="s">
        <v>22</v>
      </c>
      <c r="O28" s="802"/>
      <c r="P28" s="802"/>
      <c r="Q28" s="802"/>
      <c r="R28" s="802"/>
      <c r="S28" s="802"/>
      <c r="T28" s="802"/>
      <c r="U28" s="871"/>
      <c r="V28" s="872"/>
      <c r="W28" s="873"/>
      <c r="X28" s="873"/>
      <c r="Y28" s="858"/>
      <c r="Z28" s="858"/>
      <c r="AA28" s="946"/>
      <c r="AB28" s="946"/>
    </row>
    <row r="29" customHeight="1" spans="1:28">
      <c r="A29" s="946"/>
      <c r="B29" s="772" t="s">
        <v>414</v>
      </c>
      <c r="C29" s="751" t="s">
        <v>415</v>
      </c>
      <c r="D29" s="757">
        <v>200</v>
      </c>
      <c r="E29" s="751">
        <v>300</v>
      </c>
      <c r="F29" s="758">
        <v>0.65</v>
      </c>
      <c r="G29" s="751">
        <v>0.2</v>
      </c>
      <c r="H29" s="762">
        <v>2</v>
      </c>
      <c r="I29" s="781">
        <v>125</v>
      </c>
      <c r="J29" s="819" t="s">
        <v>180</v>
      </c>
      <c r="K29" s="751">
        <v>1.48</v>
      </c>
      <c r="L29" s="753">
        <v>2</v>
      </c>
      <c r="M29" s="754">
        <v>0.75</v>
      </c>
      <c r="N29" s="753" t="s">
        <v>22</v>
      </c>
      <c r="O29" s="809"/>
      <c r="P29" s="793"/>
      <c r="Q29" s="809"/>
      <c r="R29" s="793"/>
      <c r="S29" s="809"/>
      <c r="T29" s="809"/>
      <c r="U29" s="891"/>
      <c r="V29" s="890"/>
      <c r="W29" s="870"/>
      <c r="X29" s="870"/>
      <c r="Y29" s="858"/>
      <c r="Z29" s="870"/>
      <c r="AA29" s="946"/>
      <c r="AB29" s="946"/>
    </row>
    <row r="30" customHeight="1" spans="1:28">
      <c r="A30" s="946"/>
      <c r="B30" s="764" t="s">
        <v>414</v>
      </c>
      <c r="C30" s="763" t="s">
        <v>44</v>
      </c>
      <c r="D30" s="757">
        <v>200</v>
      </c>
      <c r="E30" s="751">
        <v>300</v>
      </c>
      <c r="F30" s="758">
        <v>0.7</v>
      </c>
      <c r="G30" s="751">
        <v>0.83</v>
      </c>
      <c r="H30" s="768">
        <v>2</v>
      </c>
      <c r="I30" s="762">
        <v>125</v>
      </c>
      <c r="J30" s="819" t="s">
        <v>180</v>
      </c>
      <c r="K30" s="751">
        <v>1.48</v>
      </c>
      <c r="L30" s="751">
        <v>2</v>
      </c>
      <c r="M30" s="758">
        <v>0.75</v>
      </c>
      <c r="N30" s="751" t="s">
        <v>22</v>
      </c>
      <c r="O30" s="802"/>
      <c r="P30" s="793"/>
      <c r="Q30" s="787"/>
      <c r="R30" s="793"/>
      <c r="S30" s="787"/>
      <c r="T30" s="787"/>
      <c r="U30" s="892"/>
      <c r="V30" s="893"/>
      <c r="W30" s="854"/>
      <c r="X30" s="854"/>
      <c r="Y30" s="858"/>
      <c r="Z30" s="854"/>
      <c r="AA30" s="946"/>
      <c r="AB30" s="946"/>
    </row>
    <row r="31" customHeight="1" spans="1:28">
      <c r="A31" s="946"/>
      <c r="B31" s="762" t="s">
        <v>416</v>
      </c>
      <c r="C31" s="763" t="s">
        <v>22</v>
      </c>
      <c r="D31" s="757">
        <v>1840</v>
      </c>
      <c r="E31" s="751">
        <v>1840</v>
      </c>
      <c r="F31" s="758">
        <v>0.75</v>
      </c>
      <c r="G31" s="751">
        <v>1.48</v>
      </c>
      <c r="H31" s="753">
        <v>2</v>
      </c>
      <c r="I31" s="762">
        <v>326.85</v>
      </c>
      <c r="J31" s="763" t="s">
        <v>180</v>
      </c>
      <c r="K31" s="751">
        <v>0.83</v>
      </c>
      <c r="L31" s="768">
        <v>2</v>
      </c>
      <c r="M31" s="773">
        <v>0.7</v>
      </c>
      <c r="N31" s="768" t="s">
        <v>42</v>
      </c>
      <c r="O31" s="802"/>
      <c r="P31" s="793"/>
      <c r="Q31" s="802"/>
      <c r="R31" s="793"/>
      <c r="S31" s="802"/>
      <c r="T31" s="802"/>
      <c r="U31" s="871"/>
      <c r="V31" s="872"/>
      <c r="W31" s="873"/>
      <c r="X31" s="873"/>
      <c r="Y31" s="858"/>
      <c r="Z31" s="873"/>
      <c r="AA31" s="946"/>
      <c r="AB31" s="946"/>
    </row>
    <row r="32" customHeight="1" spans="1:28">
      <c r="A32" s="946"/>
      <c r="B32" s="762" t="s">
        <v>407</v>
      </c>
      <c r="C32" s="763" t="s">
        <v>52</v>
      </c>
      <c r="D32" s="757">
        <v>600</v>
      </c>
      <c r="E32" s="751">
        <v>4000</v>
      </c>
      <c r="F32" s="758">
        <v>0.84</v>
      </c>
      <c r="G32" s="751">
        <v>1.74</v>
      </c>
      <c r="H32" s="762">
        <v>3.1</v>
      </c>
      <c r="I32" s="762">
        <v>4326.85</v>
      </c>
      <c r="J32" s="782">
        <v>3551.85</v>
      </c>
      <c r="K32" s="787">
        <v>0.71</v>
      </c>
      <c r="L32" s="809">
        <v>2</v>
      </c>
      <c r="M32" s="807">
        <v>0.84</v>
      </c>
      <c r="N32" s="809" t="s">
        <v>417</v>
      </c>
      <c r="O32" s="808">
        <v>600</v>
      </c>
      <c r="P32" s="793">
        <v>4000</v>
      </c>
      <c r="Q32" s="809">
        <v>480</v>
      </c>
      <c r="R32" s="793">
        <v>0.04</v>
      </c>
      <c r="S32" s="809">
        <v>210</v>
      </c>
      <c r="T32" s="809">
        <v>570</v>
      </c>
      <c r="U32" s="891">
        <v>4826.85</v>
      </c>
      <c r="V32" s="890">
        <v>4826.85</v>
      </c>
      <c r="W32" s="870" t="s">
        <v>418</v>
      </c>
      <c r="X32" s="870">
        <v>0.71</v>
      </c>
      <c r="Y32" s="858">
        <v>1.7</v>
      </c>
      <c r="Z32" s="1010">
        <v>0.08</v>
      </c>
      <c r="AA32" s="946"/>
      <c r="AB32" s="946"/>
    </row>
    <row r="33" customHeight="1" spans="1:28">
      <c r="A33" s="946"/>
      <c r="B33" s="751" t="s">
        <v>407</v>
      </c>
      <c r="C33" s="751" t="s">
        <v>419</v>
      </c>
      <c r="D33" s="757">
        <v>700</v>
      </c>
      <c r="E33" s="751">
        <v>1840</v>
      </c>
      <c r="F33" s="758">
        <v>0.8</v>
      </c>
      <c r="G33" s="768">
        <v>0.516</v>
      </c>
      <c r="H33" s="762">
        <v>80</v>
      </c>
      <c r="I33" s="762">
        <v>3926.85</v>
      </c>
      <c r="J33" s="820" t="s">
        <v>180</v>
      </c>
      <c r="K33" s="787">
        <v>0.71</v>
      </c>
      <c r="L33" s="802">
        <v>2</v>
      </c>
      <c r="M33" s="800">
        <v>0.84</v>
      </c>
      <c r="N33" s="802" t="s">
        <v>417</v>
      </c>
      <c r="O33" s="801">
        <v>600</v>
      </c>
      <c r="P33" s="793">
        <v>4000</v>
      </c>
      <c r="Q33" s="802">
        <v>480</v>
      </c>
      <c r="R33" s="793">
        <v>0.04</v>
      </c>
      <c r="S33" s="802">
        <v>210</v>
      </c>
      <c r="T33" s="802">
        <v>570</v>
      </c>
      <c r="U33" s="871">
        <v>4826.85</v>
      </c>
      <c r="V33" s="872">
        <v>4826.85</v>
      </c>
      <c r="W33" s="873" t="s">
        <v>418</v>
      </c>
      <c r="X33" s="873">
        <v>0.71</v>
      </c>
      <c r="Y33" s="858">
        <v>1.7</v>
      </c>
      <c r="Z33" s="1011">
        <v>0.08</v>
      </c>
      <c r="AA33" s="946"/>
      <c r="AB33" s="946"/>
    </row>
    <row r="34" customHeight="1" spans="1:28">
      <c r="A34" s="946"/>
      <c r="B34" s="751" t="s">
        <v>407</v>
      </c>
      <c r="C34" s="751" t="s">
        <v>420</v>
      </c>
      <c r="D34" s="757">
        <v>30</v>
      </c>
      <c r="E34" s="766">
        <v>50</v>
      </c>
      <c r="F34" s="758">
        <v>0.6</v>
      </c>
      <c r="G34" s="753">
        <v>0.95</v>
      </c>
      <c r="H34" s="762">
        <v>50</v>
      </c>
      <c r="I34" s="762">
        <v>3926.85</v>
      </c>
      <c r="J34" s="833" t="s">
        <v>180</v>
      </c>
      <c r="K34" s="787">
        <v>0.71</v>
      </c>
      <c r="L34" s="793">
        <v>2</v>
      </c>
      <c r="M34" s="791">
        <v>0.84</v>
      </c>
      <c r="N34" s="793" t="s">
        <v>417</v>
      </c>
      <c r="O34" s="792">
        <v>600</v>
      </c>
      <c r="P34" s="793">
        <v>4000</v>
      </c>
      <c r="Q34" s="793">
        <v>480</v>
      </c>
      <c r="R34" s="793">
        <v>0.04</v>
      </c>
      <c r="S34" s="793">
        <v>210</v>
      </c>
      <c r="T34" s="793">
        <v>570</v>
      </c>
      <c r="U34" s="861">
        <v>4826.85</v>
      </c>
      <c r="V34" s="862">
        <v>4826.85</v>
      </c>
      <c r="W34" s="858" t="s">
        <v>418</v>
      </c>
      <c r="X34" s="858">
        <v>0.71</v>
      </c>
      <c r="Y34" s="858">
        <v>1.7</v>
      </c>
      <c r="Z34" s="1008">
        <v>0.08</v>
      </c>
      <c r="AA34" s="946"/>
      <c r="AB34" s="946"/>
    </row>
    <row r="35" customHeight="1" spans="1:28">
      <c r="A35" s="946"/>
      <c r="B35" s="751" t="s">
        <v>421</v>
      </c>
      <c r="C35" s="751" t="s">
        <v>20</v>
      </c>
      <c r="D35" s="757">
        <v>870</v>
      </c>
      <c r="E35" s="751">
        <v>1840</v>
      </c>
      <c r="F35" s="758">
        <v>0.8</v>
      </c>
      <c r="G35" s="751">
        <v>1.69</v>
      </c>
      <c r="H35" s="768">
        <v>2</v>
      </c>
      <c r="I35" s="788">
        <v>-40.14999</v>
      </c>
      <c r="J35" s="789">
        <v>-40.14999</v>
      </c>
      <c r="K35" s="817">
        <v>1.69</v>
      </c>
      <c r="L35" s="790">
        <v>2</v>
      </c>
      <c r="M35" s="791">
        <v>0.8</v>
      </c>
      <c r="N35" s="958" t="s">
        <v>422</v>
      </c>
      <c r="O35" s="792">
        <v>870</v>
      </c>
      <c r="P35" s="793">
        <v>870</v>
      </c>
      <c r="Q35" s="856">
        <v>696</v>
      </c>
      <c r="R35" s="793">
        <v>0.4</v>
      </c>
      <c r="S35" s="793">
        <f>0.35*O35</f>
        <v>304.5</v>
      </c>
      <c r="T35" s="793">
        <f>0.95*O35</f>
        <v>826.5</v>
      </c>
      <c r="U35" s="975">
        <v>399.85</v>
      </c>
      <c r="V35" s="976" t="s">
        <v>180</v>
      </c>
      <c r="W35" s="790" t="s">
        <v>423</v>
      </c>
      <c r="X35" s="793">
        <v>1.76</v>
      </c>
      <c r="Y35" s="793">
        <v>2</v>
      </c>
      <c r="Z35" s="791">
        <v>0.8</v>
      </c>
      <c r="AA35" s="946"/>
      <c r="AB35" s="946"/>
    </row>
    <row r="36" customHeight="1" spans="1:28">
      <c r="A36" s="946"/>
      <c r="B36" s="751" t="s">
        <v>421</v>
      </c>
      <c r="C36" s="751" t="s">
        <v>19</v>
      </c>
      <c r="D36" s="757">
        <v>740</v>
      </c>
      <c r="E36" s="751">
        <v>1840</v>
      </c>
      <c r="F36" s="758">
        <v>0.8</v>
      </c>
      <c r="G36" s="751">
        <v>1.76</v>
      </c>
      <c r="H36" s="753">
        <v>2</v>
      </c>
      <c r="I36" s="788">
        <v>-57.14999</v>
      </c>
      <c r="J36" s="846">
        <v>-57.14999</v>
      </c>
      <c r="K36" s="817">
        <v>1.76</v>
      </c>
      <c r="L36" s="815">
        <v>2</v>
      </c>
      <c r="M36" s="807">
        <v>0.8</v>
      </c>
      <c r="N36" s="959" t="s">
        <v>423</v>
      </c>
      <c r="O36" s="808">
        <v>740</v>
      </c>
      <c r="P36" s="809">
        <v>740</v>
      </c>
      <c r="Q36" s="868">
        <v>592</v>
      </c>
      <c r="R36" s="809">
        <v>0.4</v>
      </c>
      <c r="S36" s="809">
        <v>259</v>
      </c>
      <c r="T36" s="809">
        <v>703</v>
      </c>
      <c r="U36" s="980">
        <v>538.85</v>
      </c>
      <c r="V36" s="981">
        <v>-161.5</v>
      </c>
      <c r="W36" s="832" t="s">
        <v>424</v>
      </c>
      <c r="X36" s="870">
        <v>1.898</v>
      </c>
      <c r="Y36" s="870">
        <v>0.018</v>
      </c>
      <c r="Z36" s="1010">
        <v>0.05</v>
      </c>
      <c r="AA36" s="946"/>
      <c r="AB36" s="946"/>
    </row>
    <row r="37" customHeight="1" spans="1:29">
      <c r="A37" s="946"/>
      <c r="B37" s="772" t="s">
        <v>425</v>
      </c>
      <c r="C37" s="751" t="s">
        <v>26</v>
      </c>
      <c r="D37" s="757">
        <v>300</v>
      </c>
      <c r="E37" s="751">
        <v>1</v>
      </c>
      <c r="F37" s="773">
        <v>0.82</v>
      </c>
      <c r="G37" s="768">
        <v>1.01</v>
      </c>
      <c r="H37" s="816">
        <v>1</v>
      </c>
      <c r="I37" s="788">
        <v>-218.79</v>
      </c>
      <c r="J37" s="813">
        <v>-218.79</v>
      </c>
      <c r="K37" s="817">
        <v>1.01</v>
      </c>
      <c r="L37" s="812">
        <v>2</v>
      </c>
      <c r="M37" s="785">
        <v>0.82</v>
      </c>
      <c r="N37" s="834" t="s">
        <v>426</v>
      </c>
      <c r="O37" s="960">
        <v>300</v>
      </c>
      <c r="P37" s="836">
        <v>500</v>
      </c>
      <c r="Q37" s="982">
        <v>240</v>
      </c>
      <c r="R37" s="836">
        <v>0.04</v>
      </c>
      <c r="S37" s="836">
        <v>105</v>
      </c>
      <c r="T37" s="836">
        <v>285</v>
      </c>
      <c r="U37" s="983">
        <v>-182.96</v>
      </c>
      <c r="V37" s="983">
        <v>-182.96</v>
      </c>
      <c r="W37" s="984" t="s">
        <v>427</v>
      </c>
      <c r="X37" s="895" t="s">
        <v>428</v>
      </c>
      <c r="Y37" s="895">
        <v>0.024</v>
      </c>
      <c r="Z37" s="1012">
        <v>0.08</v>
      </c>
      <c r="AA37" s="1013"/>
      <c r="AB37" s="1006"/>
      <c r="AC37" s="1007"/>
    </row>
    <row r="38" customHeight="1" spans="1:29">
      <c r="A38" s="946"/>
      <c r="B38" s="772" t="s">
        <v>425</v>
      </c>
      <c r="C38" s="772" t="s">
        <v>38</v>
      </c>
      <c r="D38" s="757">
        <v>600</v>
      </c>
      <c r="E38" s="751">
        <v>2000</v>
      </c>
      <c r="F38" s="754">
        <v>0.8</v>
      </c>
      <c r="G38" s="753">
        <v>0.846</v>
      </c>
      <c r="H38" s="825">
        <v>1.46</v>
      </c>
      <c r="I38" s="788">
        <v>-56.54999</v>
      </c>
      <c r="J38" s="789">
        <v>-56.54999</v>
      </c>
      <c r="K38" s="817">
        <v>0.846</v>
      </c>
      <c r="L38" s="790">
        <v>1.46</v>
      </c>
      <c r="M38" s="785">
        <v>0.8</v>
      </c>
      <c r="N38" s="961" t="s">
        <v>429</v>
      </c>
      <c r="O38" s="842">
        <v>600</v>
      </c>
      <c r="P38" s="840">
        <v>2000</v>
      </c>
      <c r="Q38" s="985">
        <v>480</v>
      </c>
      <c r="R38" s="840">
        <v>0.04</v>
      </c>
      <c r="S38" s="840">
        <v>210</v>
      </c>
      <c r="T38" s="840">
        <v>570</v>
      </c>
      <c r="U38" s="986">
        <v>-48.14999</v>
      </c>
      <c r="V38" s="986">
        <v>-48.14999</v>
      </c>
      <c r="W38" s="984" t="s">
        <v>216</v>
      </c>
      <c r="X38" s="895">
        <v>0.846</v>
      </c>
      <c r="Y38" s="895">
        <v>0.0146</v>
      </c>
      <c r="Z38" s="1012">
        <v>0.08</v>
      </c>
      <c r="AA38" s="1013"/>
      <c r="AB38" s="1006"/>
      <c r="AC38" s="1007"/>
    </row>
    <row r="39" customHeight="1" spans="1:29">
      <c r="A39" s="946"/>
      <c r="B39" s="772" t="s">
        <v>430</v>
      </c>
      <c r="C39" s="751" t="s">
        <v>27</v>
      </c>
      <c r="D39" s="757">
        <v>1840</v>
      </c>
      <c r="E39" s="751">
        <v>1840</v>
      </c>
      <c r="F39" s="758">
        <v>0.75</v>
      </c>
      <c r="G39" s="751">
        <v>1</v>
      </c>
      <c r="H39" s="825">
        <v>2</v>
      </c>
      <c r="I39" s="788">
        <v>1409.85</v>
      </c>
      <c r="J39" s="789">
        <v>1409.85</v>
      </c>
      <c r="K39" s="787">
        <v>1</v>
      </c>
      <c r="L39" s="793">
        <v>1</v>
      </c>
      <c r="M39" s="785">
        <v>0.8</v>
      </c>
      <c r="N39" s="962" t="s">
        <v>431</v>
      </c>
      <c r="O39" s="842">
        <v>1840</v>
      </c>
      <c r="P39" s="840">
        <v>1840</v>
      </c>
      <c r="Q39" s="840">
        <v>1472</v>
      </c>
      <c r="R39" s="840">
        <v>200</v>
      </c>
      <c r="S39" s="840">
        <v>644</v>
      </c>
      <c r="T39" s="840">
        <v>1748</v>
      </c>
      <c r="U39" s="888">
        <v>2356.85</v>
      </c>
      <c r="V39" s="888">
        <v>2356.85</v>
      </c>
      <c r="W39" s="895" t="s">
        <v>411</v>
      </c>
      <c r="X39" s="895">
        <v>1</v>
      </c>
      <c r="Y39" s="895">
        <v>0.1</v>
      </c>
      <c r="Z39" s="1012">
        <v>0.07</v>
      </c>
      <c r="AA39" s="1013"/>
      <c r="AB39" s="1006"/>
      <c r="AC39" s="1007"/>
    </row>
    <row r="40" customHeight="1" spans="1:29">
      <c r="A40" s="946"/>
      <c r="B40" s="772" t="s">
        <v>430</v>
      </c>
      <c r="C40" s="751" t="s">
        <v>432</v>
      </c>
      <c r="D40" s="757">
        <v>1840</v>
      </c>
      <c r="E40" s="768">
        <v>1840</v>
      </c>
      <c r="F40" s="758">
        <v>0.7</v>
      </c>
      <c r="G40" s="751">
        <v>0.79</v>
      </c>
      <c r="H40" s="825">
        <v>3.39</v>
      </c>
      <c r="I40" s="762">
        <v>668.85</v>
      </c>
      <c r="J40" s="796" t="s">
        <v>180</v>
      </c>
      <c r="K40" s="787">
        <v>1</v>
      </c>
      <c r="L40" s="809">
        <v>1</v>
      </c>
      <c r="M40" s="785">
        <v>0.8</v>
      </c>
      <c r="N40" s="963" t="s">
        <v>431</v>
      </c>
      <c r="O40" s="842">
        <v>1840</v>
      </c>
      <c r="P40" s="840">
        <v>1840</v>
      </c>
      <c r="Q40" s="840">
        <v>1472</v>
      </c>
      <c r="R40" s="840">
        <v>200</v>
      </c>
      <c r="S40" s="840">
        <v>644</v>
      </c>
      <c r="T40" s="840">
        <v>1748</v>
      </c>
      <c r="U40" s="888">
        <v>2356.85</v>
      </c>
      <c r="V40" s="888">
        <v>2356.85</v>
      </c>
      <c r="W40" s="895" t="s">
        <v>411</v>
      </c>
      <c r="X40" s="895">
        <v>1</v>
      </c>
      <c r="Y40" s="895">
        <v>0.1</v>
      </c>
      <c r="Z40" s="1012">
        <v>0.07</v>
      </c>
      <c r="AA40" s="1013"/>
      <c r="AB40" s="1006"/>
      <c r="AC40" s="1007"/>
    </row>
    <row r="41" customHeight="1" spans="1:29">
      <c r="A41" s="946"/>
      <c r="B41" s="772" t="s">
        <v>430</v>
      </c>
      <c r="C41" s="751" t="s">
        <v>69</v>
      </c>
      <c r="D41" s="757">
        <v>1840</v>
      </c>
      <c r="E41" s="753">
        <v>1840</v>
      </c>
      <c r="F41" s="758">
        <v>0.7</v>
      </c>
      <c r="G41" s="751">
        <v>0.2</v>
      </c>
      <c r="H41" s="781">
        <v>2</v>
      </c>
      <c r="I41" s="762">
        <v>926.85</v>
      </c>
      <c r="J41" s="796" t="s">
        <v>180</v>
      </c>
      <c r="K41" s="787">
        <v>1</v>
      </c>
      <c r="L41" s="787">
        <v>1</v>
      </c>
      <c r="M41" s="785">
        <v>0.8</v>
      </c>
      <c r="N41" s="963" t="s">
        <v>431</v>
      </c>
      <c r="O41" s="842">
        <v>1840</v>
      </c>
      <c r="P41" s="840">
        <v>1840</v>
      </c>
      <c r="Q41" s="840">
        <v>1472</v>
      </c>
      <c r="R41" s="840">
        <v>200</v>
      </c>
      <c r="S41" s="840">
        <v>644</v>
      </c>
      <c r="T41" s="840">
        <v>1748</v>
      </c>
      <c r="U41" s="888">
        <v>2356.85</v>
      </c>
      <c r="V41" s="888">
        <v>2356.85</v>
      </c>
      <c r="W41" s="895" t="s">
        <v>411</v>
      </c>
      <c r="X41" s="895">
        <v>1</v>
      </c>
      <c r="Y41" s="895">
        <v>0.1</v>
      </c>
      <c r="Z41" s="1012">
        <v>0.07</v>
      </c>
      <c r="AA41" s="1013"/>
      <c r="AB41" s="1006"/>
      <c r="AC41" s="1007"/>
    </row>
    <row r="42" customHeight="1" spans="1:29">
      <c r="A42" s="946" t="s">
        <v>394</v>
      </c>
      <c r="B42" s="772" t="s">
        <v>430</v>
      </c>
      <c r="C42" s="751" t="s">
        <v>70</v>
      </c>
      <c r="D42" s="767">
        <v>1840</v>
      </c>
      <c r="E42" s="751">
        <v>1840</v>
      </c>
      <c r="F42" s="758">
        <v>0.65</v>
      </c>
      <c r="G42" s="751">
        <v>0.2</v>
      </c>
      <c r="H42" s="751">
        <v>1</v>
      </c>
      <c r="I42" s="798">
        <v>1409.85</v>
      </c>
      <c r="J42" s="796" t="s">
        <v>180</v>
      </c>
      <c r="K42" s="802">
        <v>1</v>
      </c>
      <c r="L42" s="802">
        <v>1</v>
      </c>
      <c r="M42" s="785">
        <v>0.8</v>
      </c>
      <c r="N42" s="964" t="s">
        <v>431</v>
      </c>
      <c r="O42" s="842">
        <v>1840</v>
      </c>
      <c r="P42" s="840">
        <v>1840</v>
      </c>
      <c r="Q42" s="840">
        <v>1472</v>
      </c>
      <c r="R42" s="840">
        <v>200</v>
      </c>
      <c r="S42" s="840">
        <v>644</v>
      </c>
      <c r="T42" s="840">
        <v>1748</v>
      </c>
      <c r="U42" s="888">
        <v>2356.85</v>
      </c>
      <c r="V42" s="888">
        <v>2356.85</v>
      </c>
      <c r="W42" s="895" t="s">
        <v>411</v>
      </c>
      <c r="X42" s="895">
        <v>1</v>
      </c>
      <c r="Y42" s="895">
        <v>0.1</v>
      </c>
      <c r="Z42" s="1012">
        <v>0.07</v>
      </c>
      <c r="AA42" s="1013"/>
      <c r="AB42" s="1006"/>
      <c r="AC42" s="1007"/>
    </row>
    <row r="43" customHeight="1" spans="1:29">
      <c r="A43" s="946"/>
      <c r="B43" s="772" t="s">
        <v>430</v>
      </c>
      <c r="C43" s="751" t="s">
        <v>47</v>
      </c>
      <c r="D43" s="767">
        <v>1000</v>
      </c>
      <c r="E43" s="768">
        <v>1840</v>
      </c>
      <c r="F43" s="773">
        <v>0.7</v>
      </c>
      <c r="G43" s="751">
        <v>0.8</v>
      </c>
      <c r="H43" s="751">
        <v>2.9</v>
      </c>
      <c r="I43" s="956">
        <v>926.85</v>
      </c>
      <c r="J43" s="814" t="s">
        <v>180</v>
      </c>
      <c r="K43" s="809">
        <v>1</v>
      </c>
      <c r="L43" s="809">
        <v>1</v>
      </c>
      <c r="M43" s="785">
        <v>0.8</v>
      </c>
      <c r="N43" s="962" t="s">
        <v>431</v>
      </c>
      <c r="O43" s="847">
        <v>1840</v>
      </c>
      <c r="P43" s="848">
        <v>1840</v>
      </c>
      <c r="Q43" s="848">
        <v>1472</v>
      </c>
      <c r="R43" s="848">
        <v>200</v>
      </c>
      <c r="S43" s="848">
        <v>644</v>
      </c>
      <c r="T43" s="848">
        <v>1748</v>
      </c>
      <c r="U43" s="889">
        <v>2356.85</v>
      </c>
      <c r="V43" s="889">
        <v>2356.85</v>
      </c>
      <c r="W43" s="895" t="s">
        <v>411</v>
      </c>
      <c r="X43" s="895">
        <v>1</v>
      </c>
      <c r="Y43" s="895">
        <v>0.1</v>
      </c>
      <c r="Z43" s="1012">
        <v>0.07</v>
      </c>
      <c r="AA43" s="1013"/>
      <c r="AB43" s="1006"/>
      <c r="AC43" s="1007"/>
    </row>
    <row r="44" customHeight="1" spans="1:28">
      <c r="A44" s="946"/>
      <c r="B44" s="772" t="s">
        <v>430</v>
      </c>
      <c r="C44" s="751" t="s">
        <v>433</v>
      </c>
      <c r="D44" s="752">
        <v>1000</v>
      </c>
      <c r="E44" s="753">
        <v>1840</v>
      </c>
      <c r="F44" s="754">
        <v>0.75</v>
      </c>
      <c r="G44" s="751">
        <v>0.2</v>
      </c>
      <c r="H44" s="751">
        <v>2</v>
      </c>
      <c r="I44" s="762">
        <v>2726.85</v>
      </c>
      <c r="J44" s="782" t="s">
        <v>180</v>
      </c>
      <c r="K44" s="802">
        <v>1</v>
      </c>
      <c r="L44" s="802">
        <v>1</v>
      </c>
      <c r="M44" s="800">
        <v>0.8</v>
      </c>
      <c r="N44" s="965" t="s">
        <v>431</v>
      </c>
      <c r="O44" s="792">
        <v>1840</v>
      </c>
      <c r="P44" s="793">
        <v>1840</v>
      </c>
      <c r="Q44" s="793">
        <v>1472</v>
      </c>
      <c r="R44" s="793">
        <v>200</v>
      </c>
      <c r="S44" s="793">
        <v>644</v>
      </c>
      <c r="T44" s="793">
        <v>1748</v>
      </c>
      <c r="U44" s="861">
        <v>2356.85</v>
      </c>
      <c r="V44" s="862">
        <v>2356.85</v>
      </c>
      <c r="W44" s="854" t="s">
        <v>411</v>
      </c>
      <c r="X44" s="854">
        <v>1</v>
      </c>
      <c r="Y44" s="854">
        <v>0.1</v>
      </c>
      <c r="Z44" s="913">
        <v>0.07</v>
      </c>
      <c r="AA44" s="946"/>
      <c r="AB44" s="946"/>
    </row>
    <row r="45" customHeight="1" spans="1:28">
      <c r="A45" s="946"/>
      <c r="B45" s="772" t="s">
        <v>430</v>
      </c>
      <c r="C45" s="751" t="s">
        <v>434</v>
      </c>
      <c r="D45" s="757">
        <v>1000</v>
      </c>
      <c r="E45" s="751">
        <v>2000</v>
      </c>
      <c r="F45" s="758">
        <v>0.65</v>
      </c>
      <c r="G45" s="751">
        <v>0.84</v>
      </c>
      <c r="H45" s="762">
        <v>0.62</v>
      </c>
      <c r="I45" s="816">
        <v>1849.85</v>
      </c>
      <c r="J45" s="782" t="s">
        <v>180</v>
      </c>
      <c r="K45" s="793">
        <v>1</v>
      </c>
      <c r="L45" s="793">
        <v>1</v>
      </c>
      <c r="M45" s="791">
        <v>0.8</v>
      </c>
      <c r="N45" s="954" t="s">
        <v>431</v>
      </c>
      <c r="O45" s="792">
        <v>1840</v>
      </c>
      <c r="P45" s="793">
        <v>1840</v>
      </c>
      <c r="Q45" s="793">
        <v>1472</v>
      </c>
      <c r="R45" s="793">
        <v>200</v>
      </c>
      <c r="S45" s="793">
        <v>644</v>
      </c>
      <c r="T45" s="793">
        <v>1748</v>
      </c>
      <c r="U45" s="861">
        <v>2356.85</v>
      </c>
      <c r="V45" s="862">
        <v>2356.85</v>
      </c>
      <c r="W45" s="854" t="s">
        <v>411</v>
      </c>
      <c r="X45" s="854">
        <v>1</v>
      </c>
      <c r="Y45" s="854">
        <v>0.1</v>
      </c>
      <c r="Z45" s="913">
        <v>0.07</v>
      </c>
      <c r="AA45" s="946"/>
      <c r="AB45" s="946"/>
    </row>
    <row r="46" customHeight="1" spans="1:28">
      <c r="A46" s="946"/>
      <c r="B46" s="772" t="s">
        <v>430</v>
      </c>
      <c r="C46" s="751" t="s">
        <v>435</v>
      </c>
      <c r="D46" s="757">
        <v>500</v>
      </c>
      <c r="E46" s="751">
        <v>1000</v>
      </c>
      <c r="F46" s="758">
        <v>0.7</v>
      </c>
      <c r="G46" s="751">
        <v>0.91</v>
      </c>
      <c r="H46" s="762">
        <v>2</v>
      </c>
      <c r="I46" s="781">
        <v>1338.85</v>
      </c>
      <c r="J46" s="782" t="s">
        <v>180</v>
      </c>
      <c r="K46" s="809">
        <v>1</v>
      </c>
      <c r="L46" s="809">
        <v>1</v>
      </c>
      <c r="M46" s="807">
        <v>0.8</v>
      </c>
      <c r="N46" s="966" t="s">
        <v>431</v>
      </c>
      <c r="O46" s="808">
        <v>1840</v>
      </c>
      <c r="P46" s="809">
        <v>1840</v>
      </c>
      <c r="Q46" s="809">
        <v>1472</v>
      </c>
      <c r="R46" s="809">
        <v>200</v>
      </c>
      <c r="S46" s="809">
        <v>644</v>
      </c>
      <c r="T46" s="809">
        <v>1748</v>
      </c>
      <c r="U46" s="891">
        <v>2356.85</v>
      </c>
      <c r="V46" s="890">
        <v>2356.85</v>
      </c>
      <c r="W46" s="854" t="s">
        <v>411</v>
      </c>
      <c r="X46" s="854">
        <v>1</v>
      </c>
      <c r="Y46" s="854">
        <v>0.1</v>
      </c>
      <c r="Z46" s="913">
        <v>0.07</v>
      </c>
      <c r="AA46" s="946"/>
      <c r="AB46" s="946"/>
    </row>
    <row r="47" customHeight="1" spans="1:28">
      <c r="A47" s="946"/>
      <c r="B47" s="751" t="s">
        <v>72</v>
      </c>
      <c r="C47" s="751" t="s">
        <v>72</v>
      </c>
      <c r="D47" s="757">
        <v>1000</v>
      </c>
      <c r="E47" s="751">
        <v>1000</v>
      </c>
      <c r="F47" s="773">
        <v>0.6</v>
      </c>
      <c r="G47" s="751">
        <v>0.2</v>
      </c>
      <c r="H47" s="762">
        <v>1</v>
      </c>
      <c r="I47" s="762">
        <v>1409.85</v>
      </c>
      <c r="J47" s="782" t="s">
        <v>180</v>
      </c>
      <c r="K47" s="787">
        <v>1</v>
      </c>
      <c r="L47" s="802">
        <v>1</v>
      </c>
      <c r="M47" s="800">
        <v>0.8</v>
      </c>
      <c r="N47" s="965" t="s">
        <v>431</v>
      </c>
      <c r="O47" s="786">
        <v>1840</v>
      </c>
      <c r="P47" s="802">
        <v>1840</v>
      </c>
      <c r="Q47" s="802">
        <v>1472</v>
      </c>
      <c r="R47" s="802">
        <v>200</v>
      </c>
      <c r="S47" s="802">
        <v>644</v>
      </c>
      <c r="T47" s="802">
        <v>1748</v>
      </c>
      <c r="U47" s="871">
        <v>2356.85</v>
      </c>
      <c r="V47" s="872">
        <v>2356.85</v>
      </c>
      <c r="W47" s="873" t="s">
        <v>411</v>
      </c>
      <c r="X47" s="873">
        <v>1</v>
      </c>
      <c r="Y47" s="873">
        <v>0.1</v>
      </c>
      <c r="Z47" s="1011">
        <v>0.07</v>
      </c>
      <c r="AA47" s="946"/>
      <c r="AB47" s="946"/>
    </row>
    <row r="48" customHeight="1" spans="1:28">
      <c r="A48" s="946"/>
      <c r="B48" s="751" t="s">
        <v>436</v>
      </c>
      <c r="C48" s="751" t="s">
        <v>436</v>
      </c>
      <c r="D48" s="757">
        <v>1000</v>
      </c>
      <c r="E48" s="766">
        <v>1840</v>
      </c>
      <c r="F48" s="754">
        <v>0.75</v>
      </c>
      <c r="G48" s="751">
        <v>0.834</v>
      </c>
      <c r="H48" s="762">
        <v>2</v>
      </c>
      <c r="I48" s="762">
        <v>1056.85</v>
      </c>
      <c r="J48" s="820" t="s">
        <v>180</v>
      </c>
      <c r="K48" s="787">
        <v>1</v>
      </c>
      <c r="L48" s="809">
        <v>1</v>
      </c>
      <c r="M48" s="807">
        <v>0.8</v>
      </c>
      <c r="N48" s="966" t="s">
        <v>431</v>
      </c>
      <c r="O48" s="786">
        <v>1840</v>
      </c>
      <c r="P48" s="809">
        <v>1840</v>
      </c>
      <c r="Q48" s="809">
        <v>1472</v>
      </c>
      <c r="R48" s="809">
        <v>200</v>
      </c>
      <c r="S48" s="809">
        <v>644</v>
      </c>
      <c r="T48" s="809">
        <v>1748</v>
      </c>
      <c r="U48" s="891">
        <v>2356.85</v>
      </c>
      <c r="V48" s="890">
        <v>2356.85</v>
      </c>
      <c r="W48" s="870" t="s">
        <v>411</v>
      </c>
      <c r="X48" s="870">
        <v>1</v>
      </c>
      <c r="Y48" s="870">
        <v>0.1</v>
      </c>
      <c r="Z48" s="1008">
        <v>0.07</v>
      </c>
      <c r="AA48" s="946"/>
      <c r="AB48" s="946"/>
    </row>
    <row r="49" customHeight="1" spans="1:28">
      <c r="A49" s="946"/>
      <c r="B49" s="751" t="s">
        <v>437</v>
      </c>
      <c r="C49" s="751" t="s">
        <v>437</v>
      </c>
      <c r="D49" s="757">
        <v>200</v>
      </c>
      <c r="E49" s="751">
        <v>500</v>
      </c>
      <c r="F49" s="773">
        <v>0.82</v>
      </c>
      <c r="G49" s="751">
        <v>1</v>
      </c>
      <c r="H49" s="762">
        <v>4</v>
      </c>
      <c r="I49" s="762">
        <v>1409.85</v>
      </c>
      <c r="J49" s="782" t="s">
        <v>180</v>
      </c>
      <c r="K49" s="787">
        <v>1</v>
      </c>
      <c r="L49" s="802">
        <v>1</v>
      </c>
      <c r="M49" s="800">
        <v>0.8</v>
      </c>
      <c r="N49" s="967" t="s">
        <v>431</v>
      </c>
      <c r="O49" s="786">
        <v>1840</v>
      </c>
      <c r="P49" s="787">
        <v>1840</v>
      </c>
      <c r="Q49" s="787">
        <v>1472</v>
      </c>
      <c r="R49" s="787">
        <v>200</v>
      </c>
      <c r="S49" s="787">
        <v>644</v>
      </c>
      <c r="T49" s="787">
        <v>1748</v>
      </c>
      <c r="U49" s="871">
        <v>2356.85</v>
      </c>
      <c r="V49" s="872">
        <v>2356.85</v>
      </c>
      <c r="W49" s="854" t="s">
        <v>411</v>
      </c>
      <c r="X49" s="854">
        <v>1</v>
      </c>
      <c r="Y49" s="854">
        <v>0.1</v>
      </c>
      <c r="Z49" s="1008">
        <v>0.07</v>
      </c>
      <c r="AA49" s="946"/>
      <c r="AB49" s="946"/>
    </row>
    <row r="50" customHeight="1" spans="1:28">
      <c r="A50" s="946"/>
      <c r="B50" s="751" t="s">
        <v>438</v>
      </c>
      <c r="C50" s="751" t="s">
        <v>438</v>
      </c>
      <c r="D50" s="757">
        <v>100</v>
      </c>
      <c r="E50" s="751">
        <v>200</v>
      </c>
      <c r="F50" s="780">
        <v>0.25</v>
      </c>
      <c r="G50" s="751">
        <v>1</v>
      </c>
      <c r="H50" s="762">
        <v>20</v>
      </c>
      <c r="I50" s="762">
        <v>959.85</v>
      </c>
      <c r="J50" s="820" t="s">
        <v>180</v>
      </c>
      <c r="K50" s="787">
        <v>1</v>
      </c>
      <c r="L50" s="809">
        <v>1</v>
      </c>
      <c r="M50" s="791">
        <v>0.8</v>
      </c>
      <c r="N50" s="967" t="s">
        <v>431</v>
      </c>
      <c r="O50" s="786">
        <v>1840</v>
      </c>
      <c r="P50" s="787">
        <v>1840</v>
      </c>
      <c r="Q50" s="787">
        <v>1472</v>
      </c>
      <c r="R50" s="787">
        <v>200</v>
      </c>
      <c r="S50" s="787">
        <v>644</v>
      </c>
      <c r="T50" s="787">
        <v>1748</v>
      </c>
      <c r="U50" s="891">
        <v>2356.85</v>
      </c>
      <c r="V50" s="890">
        <v>2356.85</v>
      </c>
      <c r="W50" s="854" t="s">
        <v>411</v>
      </c>
      <c r="X50" s="854">
        <v>1</v>
      </c>
      <c r="Y50" s="854">
        <v>0.1</v>
      </c>
      <c r="Z50" s="1008">
        <v>0.07</v>
      </c>
      <c r="AA50" s="946"/>
      <c r="AB50" s="946"/>
    </row>
    <row r="51" customHeight="1" spans="1:28">
      <c r="A51" s="946"/>
      <c r="B51" s="762" t="s">
        <v>40</v>
      </c>
      <c r="C51" s="763" t="s">
        <v>40</v>
      </c>
      <c r="D51" s="757">
        <v>1000</v>
      </c>
      <c r="E51" s="751">
        <v>800</v>
      </c>
      <c r="F51" s="754">
        <v>0.65</v>
      </c>
      <c r="G51" s="751">
        <v>0.84</v>
      </c>
      <c r="H51" s="762">
        <v>1.11</v>
      </c>
      <c r="I51" s="762">
        <v>1426.85</v>
      </c>
      <c r="J51" s="820">
        <v>1126.85</v>
      </c>
      <c r="K51" s="787">
        <v>0.2</v>
      </c>
      <c r="L51" s="787">
        <v>1</v>
      </c>
      <c r="M51" s="807">
        <v>0.65</v>
      </c>
      <c r="N51" s="787" t="s">
        <v>439</v>
      </c>
      <c r="O51" s="786">
        <v>200</v>
      </c>
      <c r="P51" s="787">
        <v>1820</v>
      </c>
      <c r="Q51" s="787">
        <v>800</v>
      </c>
      <c r="R51" s="787">
        <v>200</v>
      </c>
      <c r="S51" s="787">
        <v>70</v>
      </c>
      <c r="T51" s="787">
        <v>190</v>
      </c>
      <c r="U51" s="851">
        <v>2356.85</v>
      </c>
      <c r="V51" s="883" t="s">
        <v>180</v>
      </c>
      <c r="W51" s="854" t="s">
        <v>411</v>
      </c>
      <c r="X51" s="854">
        <v>1</v>
      </c>
      <c r="Y51" s="854">
        <v>0.1</v>
      </c>
      <c r="Z51" s="1010">
        <v>0.07</v>
      </c>
      <c r="AA51" s="946"/>
      <c r="AB51" s="946"/>
    </row>
    <row r="52" customHeight="1" spans="1:28">
      <c r="A52" s="946"/>
      <c r="B52" s="751" t="s">
        <v>42</v>
      </c>
      <c r="C52" s="751" t="s">
        <v>42</v>
      </c>
      <c r="D52" s="757">
        <v>1000</v>
      </c>
      <c r="E52" s="768">
        <v>1840</v>
      </c>
      <c r="F52" s="773">
        <v>0.7</v>
      </c>
      <c r="G52" s="751">
        <v>0.83</v>
      </c>
      <c r="H52" s="768">
        <v>2</v>
      </c>
      <c r="I52" s="762">
        <v>1712.85</v>
      </c>
      <c r="J52" s="820" t="s">
        <v>180</v>
      </c>
      <c r="K52" s="787">
        <v>0.2</v>
      </c>
      <c r="L52" s="802">
        <v>1</v>
      </c>
      <c r="M52" s="800">
        <v>0.65</v>
      </c>
      <c r="N52" s="787" t="s">
        <v>439</v>
      </c>
      <c r="O52" s="786">
        <v>200</v>
      </c>
      <c r="P52" s="787">
        <v>1820</v>
      </c>
      <c r="Q52" s="787">
        <v>800</v>
      </c>
      <c r="R52" s="802">
        <v>200</v>
      </c>
      <c r="S52" s="787">
        <v>70</v>
      </c>
      <c r="T52" s="787">
        <v>190</v>
      </c>
      <c r="U52" s="851">
        <v>2356.85</v>
      </c>
      <c r="V52" s="969" t="s">
        <v>180</v>
      </c>
      <c r="W52" s="854" t="s">
        <v>411</v>
      </c>
      <c r="X52" s="854">
        <v>1</v>
      </c>
      <c r="Y52" s="854">
        <v>0.1</v>
      </c>
      <c r="Z52" s="913">
        <v>0.07</v>
      </c>
      <c r="AA52" s="946"/>
      <c r="AB52" s="946"/>
    </row>
    <row r="53" customHeight="1" spans="1:28">
      <c r="A53" s="946"/>
      <c r="B53" s="751" t="s">
        <v>440</v>
      </c>
      <c r="C53" s="751" t="s">
        <v>440</v>
      </c>
      <c r="D53" s="767">
        <v>1000</v>
      </c>
      <c r="E53" s="775">
        <v>1840</v>
      </c>
      <c r="F53" s="754">
        <v>0.7</v>
      </c>
      <c r="G53" s="751">
        <v>0.83</v>
      </c>
      <c r="H53" s="753">
        <v>2</v>
      </c>
      <c r="I53" s="762">
        <v>1712.85</v>
      </c>
      <c r="J53" s="820" t="s">
        <v>180</v>
      </c>
      <c r="K53" s="787">
        <v>0.2</v>
      </c>
      <c r="L53" s="809">
        <v>1</v>
      </c>
      <c r="M53" s="807">
        <v>0.65</v>
      </c>
      <c r="N53" s="787" t="s">
        <v>439</v>
      </c>
      <c r="O53" s="801">
        <v>200</v>
      </c>
      <c r="P53" s="802">
        <v>1820</v>
      </c>
      <c r="Q53" s="802">
        <v>800</v>
      </c>
      <c r="R53" s="809">
        <v>200</v>
      </c>
      <c r="S53" s="802">
        <v>70</v>
      </c>
      <c r="T53" s="802">
        <v>190</v>
      </c>
      <c r="U53" s="823">
        <v>2356.85</v>
      </c>
      <c r="V53" s="987" t="s">
        <v>180</v>
      </c>
      <c r="W53" s="885" t="s">
        <v>411</v>
      </c>
      <c r="X53" s="885">
        <v>1</v>
      </c>
      <c r="Y53" s="885">
        <v>0.1</v>
      </c>
      <c r="Z53" s="1014">
        <v>0.07</v>
      </c>
      <c r="AA53" s="946"/>
      <c r="AB53" s="946"/>
    </row>
    <row r="54" customHeight="1" spans="1:28">
      <c r="A54" s="946"/>
      <c r="B54" s="751" t="s">
        <v>416</v>
      </c>
      <c r="C54" s="751" t="s">
        <v>34</v>
      </c>
      <c r="D54" s="752">
        <v>1000</v>
      </c>
      <c r="E54" s="753">
        <v>1840</v>
      </c>
      <c r="F54" s="758">
        <v>0.65</v>
      </c>
      <c r="G54" s="751">
        <v>0.92</v>
      </c>
      <c r="H54" s="762">
        <v>2</v>
      </c>
      <c r="I54" s="762">
        <v>926.85</v>
      </c>
      <c r="J54" s="763" t="s">
        <v>180</v>
      </c>
      <c r="K54" s="751">
        <v>0.84</v>
      </c>
      <c r="L54" s="768">
        <v>0.62</v>
      </c>
      <c r="M54" s="773">
        <v>0.65</v>
      </c>
      <c r="N54" s="768" t="s">
        <v>39</v>
      </c>
      <c r="O54" s="793"/>
      <c r="P54" s="793"/>
      <c r="Q54" s="793"/>
      <c r="R54" s="802"/>
      <c r="S54" s="793"/>
      <c r="T54" s="793"/>
      <c r="U54" s="861"/>
      <c r="V54" s="908"/>
      <c r="W54" s="857"/>
      <c r="X54" s="857"/>
      <c r="Y54" s="857"/>
      <c r="Z54" s="857"/>
      <c r="AA54" s="946"/>
      <c r="AB54" s="946"/>
    </row>
    <row r="55" customHeight="1" spans="1:28">
      <c r="A55" s="946"/>
      <c r="B55" s="751" t="s">
        <v>16</v>
      </c>
      <c r="C55" s="751" t="s">
        <v>10</v>
      </c>
      <c r="D55" s="757">
        <v>1000</v>
      </c>
      <c r="E55" s="751">
        <v>1100</v>
      </c>
      <c r="F55" s="758">
        <v>0.8</v>
      </c>
      <c r="G55" s="751">
        <v>3.4</v>
      </c>
      <c r="H55" s="762">
        <v>2.18</v>
      </c>
      <c r="I55" s="762">
        <v>-16.5</v>
      </c>
      <c r="J55" s="782">
        <v>-22.5</v>
      </c>
      <c r="K55" s="817">
        <v>3.4</v>
      </c>
      <c r="L55" s="790">
        <v>0.609</v>
      </c>
      <c r="M55" s="791">
        <v>0.8</v>
      </c>
      <c r="N55" s="958" t="s">
        <v>441</v>
      </c>
      <c r="O55" s="792">
        <v>1200</v>
      </c>
      <c r="P55" s="793">
        <v>1200</v>
      </c>
      <c r="Q55" s="856">
        <v>800</v>
      </c>
      <c r="R55" s="793">
        <v>0.04</v>
      </c>
      <c r="S55" s="793">
        <v>420</v>
      </c>
      <c r="T55" s="793">
        <v>1140</v>
      </c>
      <c r="U55" s="975">
        <v>102.75</v>
      </c>
      <c r="V55" s="988" t="s">
        <v>180</v>
      </c>
      <c r="W55" s="989" t="s">
        <v>442</v>
      </c>
      <c r="X55" s="857">
        <v>4.179</v>
      </c>
      <c r="Y55" s="857">
        <v>0.184</v>
      </c>
      <c r="Z55" s="1015">
        <v>0.08</v>
      </c>
      <c r="AA55" s="946"/>
      <c r="AB55" s="946"/>
    </row>
    <row r="56" customHeight="1" spans="1:28">
      <c r="A56" s="946"/>
      <c r="B56" s="751" t="s">
        <v>16</v>
      </c>
      <c r="C56" s="751" t="s">
        <v>16</v>
      </c>
      <c r="D56" s="767">
        <v>1000</v>
      </c>
      <c r="E56" s="751">
        <v>1100</v>
      </c>
      <c r="F56" s="773">
        <v>0.8</v>
      </c>
      <c r="G56" s="768">
        <v>2.05</v>
      </c>
      <c r="H56" s="768">
        <v>2.18</v>
      </c>
      <c r="I56" s="762">
        <v>-0.6499939</v>
      </c>
      <c r="J56" s="782">
        <v>-0.6499939</v>
      </c>
      <c r="K56" s="817">
        <v>4.179</v>
      </c>
      <c r="L56" s="815">
        <v>0.609</v>
      </c>
      <c r="M56" s="807">
        <v>0.8</v>
      </c>
      <c r="N56" s="959" t="s">
        <v>443</v>
      </c>
      <c r="O56" s="808">
        <v>1000</v>
      </c>
      <c r="P56" s="809">
        <v>1000</v>
      </c>
      <c r="Q56" s="868">
        <v>800</v>
      </c>
      <c r="R56" s="809">
        <v>0.04</v>
      </c>
      <c r="S56" s="868">
        <v>350</v>
      </c>
      <c r="T56" s="868">
        <v>950</v>
      </c>
      <c r="U56" s="990">
        <v>99.35001</v>
      </c>
      <c r="V56" s="991">
        <v>99.35001</v>
      </c>
      <c r="W56" s="992" t="s">
        <v>442</v>
      </c>
      <c r="X56" s="869">
        <v>4.179</v>
      </c>
      <c r="Y56" s="869">
        <v>0.184</v>
      </c>
      <c r="Z56" s="1016">
        <v>0.08</v>
      </c>
      <c r="AA56" s="946"/>
      <c r="AB56" s="946"/>
    </row>
    <row r="57" customHeight="1" spans="1:28">
      <c r="A57" s="946" t="s">
        <v>394</v>
      </c>
      <c r="B57" s="751" t="s">
        <v>16</v>
      </c>
      <c r="C57" s="751" t="s">
        <v>17</v>
      </c>
      <c r="D57" s="752">
        <v>10</v>
      </c>
      <c r="E57" s="751">
        <v>20</v>
      </c>
      <c r="F57" s="754">
        <v>0.7</v>
      </c>
      <c r="G57" s="753">
        <v>2.05</v>
      </c>
      <c r="H57" s="753">
        <v>0.545</v>
      </c>
      <c r="I57" s="762">
        <v>-0.6499939</v>
      </c>
      <c r="J57" s="820" t="s">
        <v>180</v>
      </c>
      <c r="K57" s="817">
        <v>4.179</v>
      </c>
      <c r="L57" s="790">
        <v>0.609</v>
      </c>
      <c r="M57" s="791">
        <v>0.8</v>
      </c>
      <c r="N57" s="959" t="s">
        <v>443</v>
      </c>
      <c r="O57" s="808">
        <v>1000</v>
      </c>
      <c r="P57" s="809">
        <v>1000</v>
      </c>
      <c r="Q57" s="868">
        <v>800</v>
      </c>
      <c r="R57" s="793">
        <v>0.04</v>
      </c>
      <c r="S57" s="868">
        <v>350</v>
      </c>
      <c r="T57" s="868">
        <v>950</v>
      </c>
      <c r="U57" s="990">
        <v>99.35001</v>
      </c>
      <c r="V57" s="993">
        <v>99.35001</v>
      </c>
      <c r="W57" s="812" t="s">
        <v>442</v>
      </c>
      <c r="X57" s="873">
        <v>4.179</v>
      </c>
      <c r="Y57" s="873">
        <v>0.184</v>
      </c>
      <c r="Z57" s="1011">
        <v>0.08</v>
      </c>
      <c r="AA57" s="946"/>
      <c r="AB57" s="946"/>
    </row>
    <row r="58" customHeight="1" spans="1:28">
      <c r="A58" s="946"/>
      <c r="B58" s="751" t="s">
        <v>444</v>
      </c>
      <c r="C58" s="751" t="s">
        <v>444</v>
      </c>
      <c r="D58" s="767">
        <v>10000</v>
      </c>
      <c r="E58" s="768">
        <v>20000</v>
      </c>
      <c r="F58" s="758">
        <v>0.9</v>
      </c>
      <c r="G58" s="751">
        <v>0</v>
      </c>
      <c r="H58" s="768">
        <v>0</v>
      </c>
      <c r="I58" s="764">
        <v>9726.85</v>
      </c>
      <c r="J58" s="782">
        <v>-7.5</v>
      </c>
      <c r="K58" s="817">
        <v>4.1</v>
      </c>
      <c r="L58" s="812">
        <v>0.609</v>
      </c>
      <c r="M58" s="800">
        <v>0.8</v>
      </c>
      <c r="N58" s="968" t="s">
        <v>445</v>
      </c>
      <c r="O58" s="786">
        <v>1100</v>
      </c>
      <c r="P58" s="809">
        <v>1100</v>
      </c>
      <c r="Q58" s="994" t="s">
        <v>180</v>
      </c>
      <c r="R58" s="802">
        <v>0.04</v>
      </c>
      <c r="S58" s="787">
        <v>385</v>
      </c>
      <c r="T58" s="787">
        <v>1045</v>
      </c>
      <c r="U58" s="995">
        <v>99.69</v>
      </c>
      <c r="V58" s="996" t="s">
        <v>180</v>
      </c>
      <c r="W58" s="790" t="s">
        <v>442</v>
      </c>
      <c r="X58" s="858">
        <v>4.179</v>
      </c>
      <c r="Y58" s="858">
        <v>0.184</v>
      </c>
      <c r="Z58" s="1008">
        <v>0.08</v>
      </c>
      <c r="AA58" s="946"/>
      <c r="AB58" s="946"/>
    </row>
    <row r="59" customHeight="1" spans="1:28">
      <c r="A59" s="946"/>
      <c r="B59" s="751" t="s">
        <v>16</v>
      </c>
      <c r="C59" s="751" t="s">
        <v>11</v>
      </c>
      <c r="D59" s="752">
        <v>500</v>
      </c>
      <c r="E59" s="753">
        <v>800</v>
      </c>
      <c r="F59" s="758">
        <v>0.75</v>
      </c>
      <c r="G59" s="768">
        <v>3.05</v>
      </c>
      <c r="H59" s="753">
        <v>1</v>
      </c>
      <c r="I59" s="788">
        <v>-20.64999</v>
      </c>
      <c r="J59" s="804">
        <v>-20.64999</v>
      </c>
      <c r="K59" s="817">
        <v>4.179</v>
      </c>
      <c r="L59" s="790">
        <v>0.58</v>
      </c>
      <c r="M59" s="791">
        <v>0.8</v>
      </c>
      <c r="N59" s="968" t="s">
        <v>446</v>
      </c>
      <c r="O59" s="801">
        <v>1000</v>
      </c>
      <c r="P59" s="802">
        <v>1000</v>
      </c>
      <c r="Q59" s="856">
        <v>400</v>
      </c>
      <c r="R59" s="793">
        <v>0.04</v>
      </c>
      <c r="S59" s="787">
        <v>350</v>
      </c>
      <c r="T59" s="787">
        <v>950</v>
      </c>
      <c r="U59" s="997">
        <v>119.35</v>
      </c>
      <c r="V59" s="998" t="s">
        <v>180</v>
      </c>
      <c r="W59" s="790" t="s">
        <v>442</v>
      </c>
      <c r="X59" s="858">
        <v>4.179</v>
      </c>
      <c r="Y59" s="858">
        <v>0.184</v>
      </c>
      <c r="Z59" s="1008">
        <v>0.08</v>
      </c>
      <c r="AA59" s="946"/>
      <c r="AB59" s="946"/>
    </row>
    <row r="60" customHeight="1" spans="1:28">
      <c r="A60" s="946"/>
      <c r="B60" s="772" t="s">
        <v>425</v>
      </c>
      <c r="C60" s="751" t="s">
        <v>21</v>
      </c>
      <c r="D60" s="757">
        <v>100</v>
      </c>
      <c r="E60" s="751">
        <v>150</v>
      </c>
      <c r="F60" s="754">
        <v>0.6</v>
      </c>
      <c r="G60" s="753">
        <v>1.55</v>
      </c>
      <c r="H60" s="762">
        <v>0.45</v>
      </c>
      <c r="I60" s="788">
        <v>-30.64999</v>
      </c>
      <c r="J60" s="804">
        <v>-30.64999</v>
      </c>
      <c r="K60" s="817">
        <v>1.55</v>
      </c>
      <c r="L60" s="815">
        <v>0.45</v>
      </c>
      <c r="M60" s="791">
        <v>0.6</v>
      </c>
      <c r="N60" s="817" t="s">
        <v>447</v>
      </c>
      <c r="O60" s="792">
        <v>100</v>
      </c>
      <c r="P60" s="793">
        <v>100</v>
      </c>
      <c r="Q60" s="868">
        <v>80</v>
      </c>
      <c r="R60" s="879" t="s">
        <v>448</v>
      </c>
      <c r="S60" s="787">
        <v>35</v>
      </c>
      <c r="T60" s="787">
        <v>95</v>
      </c>
      <c r="U60" s="980">
        <v>479.85</v>
      </c>
      <c r="V60" s="981" t="s">
        <v>180</v>
      </c>
      <c r="W60" s="790" t="s">
        <v>449</v>
      </c>
      <c r="X60" s="793">
        <v>2.191</v>
      </c>
      <c r="Y60" s="793">
        <v>0.2</v>
      </c>
      <c r="Z60" s="791">
        <v>0.6</v>
      </c>
      <c r="AA60" s="946"/>
      <c r="AB60" s="946"/>
    </row>
    <row r="61" customHeight="1" spans="1:28">
      <c r="A61" s="946"/>
      <c r="B61" s="751" t="s">
        <v>53</v>
      </c>
      <c r="C61" s="751" t="s">
        <v>53</v>
      </c>
      <c r="D61" s="757">
        <v>500</v>
      </c>
      <c r="E61" s="751">
        <v>2000</v>
      </c>
      <c r="F61" s="758">
        <v>0.75</v>
      </c>
      <c r="G61" s="751">
        <v>0.7</v>
      </c>
      <c r="H61" s="762">
        <v>0.444</v>
      </c>
      <c r="I61" s="788">
        <v>799.85</v>
      </c>
      <c r="J61" s="811">
        <v>799.85</v>
      </c>
      <c r="K61" s="787">
        <v>0.7</v>
      </c>
      <c r="L61" s="787">
        <v>0.444</v>
      </c>
      <c r="M61" s="791">
        <v>0.75</v>
      </c>
      <c r="N61" s="784" t="s">
        <v>450</v>
      </c>
      <c r="O61" s="808">
        <v>190</v>
      </c>
      <c r="P61" s="809">
        <v>740</v>
      </c>
      <c r="Q61" s="849">
        <v>400</v>
      </c>
      <c r="R61" s="793">
        <v>0.4</v>
      </c>
      <c r="S61" s="787">
        <v>66.5</v>
      </c>
      <c r="T61" s="787">
        <v>180.5</v>
      </c>
      <c r="U61" s="995">
        <v>1464.85</v>
      </c>
      <c r="V61" s="999">
        <v>1464.85</v>
      </c>
      <c r="W61" s="815" t="s">
        <v>451</v>
      </c>
      <c r="X61" s="870">
        <v>0.88</v>
      </c>
      <c r="Y61" s="870">
        <v>0.444</v>
      </c>
      <c r="Z61" s="1008">
        <v>0.07</v>
      </c>
      <c r="AA61" s="946"/>
      <c r="AB61" s="946"/>
    </row>
    <row r="62" customHeight="1" spans="1:28">
      <c r="A62" s="946"/>
      <c r="B62" s="762" t="s">
        <v>452</v>
      </c>
      <c r="C62" s="763" t="s">
        <v>77</v>
      </c>
      <c r="D62" s="757">
        <v>600</v>
      </c>
      <c r="E62" s="751">
        <v>1840</v>
      </c>
      <c r="F62" s="773">
        <v>0.75</v>
      </c>
      <c r="G62" s="751">
        <v>0.15</v>
      </c>
      <c r="H62" s="751">
        <v>2</v>
      </c>
      <c r="I62" s="762">
        <v>243.85</v>
      </c>
      <c r="J62" s="820" t="s">
        <v>180</v>
      </c>
      <c r="K62" s="802">
        <v>0.7697</v>
      </c>
      <c r="L62" s="802">
        <v>0.236</v>
      </c>
      <c r="M62" s="785">
        <v>0.75</v>
      </c>
      <c r="N62" s="802" t="s">
        <v>453</v>
      </c>
      <c r="O62" s="801">
        <v>200</v>
      </c>
      <c r="P62" s="802">
        <v>1000</v>
      </c>
      <c r="Q62" s="865">
        <v>160</v>
      </c>
      <c r="R62" s="849">
        <v>8</v>
      </c>
      <c r="S62" s="865">
        <v>70</v>
      </c>
      <c r="T62" s="865">
        <v>190</v>
      </c>
      <c r="U62" s="1000">
        <v>280.45</v>
      </c>
      <c r="V62" s="934">
        <v>280.45</v>
      </c>
      <c r="W62" s="1001" t="s">
        <v>454</v>
      </c>
      <c r="X62" s="1002">
        <v>0.7697</v>
      </c>
      <c r="Y62" s="1002">
        <v>0.236</v>
      </c>
      <c r="Z62" s="1008">
        <v>0.07</v>
      </c>
      <c r="AA62" s="946"/>
      <c r="AB62" s="946"/>
    </row>
    <row r="63" customHeight="1" spans="1:28">
      <c r="A63" s="946" t="s">
        <v>394</v>
      </c>
      <c r="B63" s="751" t="s">
        <v>452</v>
      </c>
      <c r="C63" s="751" t="s">
        <v>455</v>
      </c>
      <c r="D63" s="757">
        <v>200</v>
      </c>
      <c r="E63" s="751">
        <v>1000</v>
      </c>
      <c r="F63" s="758">
        <v>0.75</v>
      </c>
      <c r="G63" s="751">
        <v>0.7697</v>
      </c>
      <c r="H63" s="762">
        <v>0.236</v>
      </c>
      <c r="I63" s="788">
        <v>44.14999</v>
      </c>
      <c r="J63" s="811">
        <v>44.14999</v>
      </c>
      <c r="K63" s="787">
        <v>0.7697</v>
      </c>
      <c r="L63" s="787">
        <v>0.236</v>
      </c>
      <c r="M63" s="785">
        <v>0.75</v>
      </c>
      <c r="N63" s="787" t="s">
        <v>453</v>
      </c>
      <c r="O63" s="786">
        <v>200</v>
      </c>
      <c r="P63" s="787">
        <v>1000</v>
      </c>
      <c r="Q63" s="849">
        <v>160</v>
      </c>
      <c r="R63" s="865">
        <v>8</v>
      </c>
      <c r="S63" s="849">
        <v>70</v>
      </c>
      <c r="T63" s="849">
        <v>190</v>
      </c>
      <c r="U63" s="933">
        <v>280.45</v>
      </c>
      <c r="V63" s="935">
        <v>280.45</v>
      </c>
      <c r="W63" s="903" t="s">
        <v>454</v>
      </c>
      <c r="X63" s="1003">
        <v>0.7697</v>
      </c>
      <c r="Y63" s="1003">
        <v>0.236</v>
      </c>
      <c r="Z63" s="1010">
        <v>0.07</v>
      </c>
      <c r="AA63" s="1006"/>
      <c r="AB63" s="946"/>
    </row>
    <row r="64" customHeight="1" spans="1:28">
      <c r="A64" s="946"/>
      <c r="B64" s="751" t="s">
        <v>421</v>
      </c>
      <c r="C64" s="751" t="s">
        <v>14</v>
      </c>
      <c r="D64" s="757">
        <v>740</v>
      </c>
      <c r="E64" s="751">
        <v>1840</v>
      </c>
      <c r="F64" s="773">
        <v>0.6</v>
      </c>
      <c r="G64" s="751">
        <v>2.191</v>
      </c>
      <c r="H64" s="762">
        <v>0.2</v>
      </c>
      <c r="I64" s="788">
        <v>-50.14999</v>
      </c>
      <c r="J64" s="811">
        <v>-50.14999</v>
      </c>
      <c r="K64" s="817">
        <v>2.191</v>
      </c>
      <c r="L64" s="817">
        <v>0.2</v>
      </c>
      <c r="M64" s="800">
        <v>0.6</v>
      </c>
      <c r="N64" s="817" t="s">
        <v>449</v>
      </c>
      <c r="O64" s="786">
        <v>740</v>
      </c>
      <c r="P64" s="787">
        <v>740</v>
      </c>
      <c r="Q64" s="849">
        <v>592</v>
      </c>
      <c r="R64" s="793">
        <v>40</v>
      </c>
      <c r="S64" s="787">
        <v>259</v>
      </c>
      <c r="T64" s="787">
        <v>703</v>
      </c>
      <c r="U64" s="995">
        <v>538.85</v>
      </c>
      <c r="V64" s="1004">
        <v>-161.5</v>
      </c>
      <c r="W64" s="1005" t="s">
        <v>424</v>
      </c>
      <c r="X64" s="854">
        <v>1.898</v>
      </c>
      <c r="Y64" s="854">
        <v>0.018</v>
      </c>
      <c r="Z64" s="913">
        <v>0.05</v>
      </c>
      <c r="AA64" s="946"/>
      <c r="AB64" s="946"/>
    </row>
    <row r="65" customHeight="1" spans="1:28">
      <c r="A65" s="946"/>
      <c r="B65" s="751" t="s">
        <v>421</v>
      </c>
      <c r="C65" s="751" t="s">
        <v>18</v>
      </c>
      <c r="D65" s="757">
        <v>913</v>
      </c>
      <c r="E65" s="766">
        <v>913</v>
      </c>
      <c r="F65" s="758">
        <v>0.85</v>
      </c>
      <c r="G65" s="751">
        <v>1.92</v>
      </c>
      <c r="H65" s="768">
        <v>0.15</v>
      </c>
      <c r="I65" s="762">
        <v>159.85</v>
      </c>
      <c r="J65" s="820" t="s">
        <v>180</v>
      </c>
      <c r="K65" s="817">
        <v>2.191</v>
      </c>
      <c r="L65" s="817">
        <v>0.2</v>
      </c>
      <c r="M65" s="785">
        <v>0.6</v>
      </c>
      <c r="N65" s="817" t="s">
        <v>449</v>
      </c>
      <c r="O65" s="786">
        <v>740</v>
      </c>
      <c r="P65" s="787">
        <v>740</v>
      </c>
      <c r="Q65" s="849">
        <v>592</v>
      </c>
      <c r="R65" s="793">
        <v>40</v>
      </c>
      <c r="S65" s="787">
        <v>259</v>
      </c>
      <c r="T65" s="787">
        <v>703</v>
      </c>
      <c r="U65" s="995">
        <v>538.85</v>
      </c>
      <c r="V65" s="1004">
        <v>-161.5</v>
      </c>
      <c r="W65" s="1005" t="s">
        <v>424</v>
      </c>
      <c r="X65" s="854">
        <v>1.898</v>
      </c>
      <c r="Y65" s="854">
        <v>0.018</v>
      </c>
      <c r="Z65" s="913">
        <v>0.05</v>
      </c>
      <c r="AA65" s="946"/>
      <c r="AB65" s="946"/>
    </row>
    <row r="66" customHeight="1" spans="1:28">
      <c r="A66" s="946"/>
      <c r="B66" s="772" t="s">
        <v>456</v>
      </c>
      <c r="C66" s="751" t="s">
        <v>23</v>
      </c>
      <c r="D66" s="757">
        <v>30</v>
      </c>
      <c r="E66" s="766">
        <v>50</v>
      </c>
      <c r="F66" s="758">
        <v>0.75</v>
      </c>
      <c r="G66" s="751">
        <v>1.3</v>
      </c>
      <c r="H66" s="753">
        <v>0.17</v>
      </c>
      <c r="I66" s="762">
        <v>200</v>
      </c>
      <c r="J66" s="820" t="s">
        <v>180</v>
      </c>
      <c r="K66" s="817">
        <v>2.191</v>
      </c>
      <c r="L66" s="817">
        <v>0.2</v>
      </c>
      <c r="M66" s="785">
        <v>0.6</v>
      </c>
      <c r="N66" s="817" t="s">
        <v>449</v>
      </c>
      <c r="O66" s="786">
        <v>740</v>
      </c>
      <c r="P66" s="787">
        <v>740</v>
      </c>
      <c r="Q66" s="849">
        <v>592</v>
      </c>
      <c r="R66" s="793">
        <v>40</v>
      </c>
      <c r="S66" s="787">
        <v>259</v>
      </c>
      <c r="T66" s="787">
        <v>703</v>
      </c>
      <c r="U66" s="995">
        <v>538.85</v>
      </c>
      <c r="V66" s="1004">
        <v>-161.5</v>
      </c>
      <c r="W66" s="1005" t="s">
        <v>424</v>
      </c>
      <c r="X66" s="854">
        <v>1.898</v>
      </c>
      <c r="Y66" s="854">
        <v>0.018</v>
      </c>
      <c r="Z66" s="913">
        <v>0.05</v>
      </c>
      <c r="AB66" s="3"/>
    </row>
    <row r="67" customHeight="1" spans="1:28">
      <c r="A67" s="946"/>
      <c r="B67" s="751" t="s">
        <v>54</v>
      </c>
      <c r="C67" s="751" t="s">
        <v>54</v>
      </c>
      <c r="D67" s="757">
        <v>500</v>
      </c>
      <c r="E67" s="751">
        <v>2000</v>
      </c>
      <c r="F67" s="758">
        <v>0.74</v>
      </c>
      <c r="G67" s="751">
        <v>0.7</v>
      </c>
      <c r="H67" s="762">
        <v>0.2</v>
      </c>
      <c r="I67" s="788">
        <v>115.2</v>
      </c>
      <c r="J67" s="811">
        <v>115.2</v>
      </c>
      <c r="K67" s="817">
        <v>0.7</v>
      </c>
      <c r="L67" s="817">
        <v>0.2</v>
      </c>
      <c r="M67" s="785">
        <v>0.74</v>
      </c>
      <c r="N67" s="817" t="s">
        <v>457</v>
      </c>
      <c r="O67" s="786">
        <v>190</v>
      </c>
      <c r="P67" s="787">
        <v>740</v>
      </c>
      <c r="Q67" s="849">
        <v>400</v>
      </c>
      <c r="R67" s="809">
        <v>0.4</v>
      </c>
      <c r="S67" s="787">
        <v>66.5</v>
      </c>
      <c r="T67" s="787">
        <v>180.5</v>
      </c>
      <c r="U67" s="995">
        <v>337</v>
      </c>
      <c r="V67" s="1004">
        <v>337</v>
      </c>
      <c r="W67" s="817" t="s">
        <v>458</v>
      </c>
      <c r="X67" s="854">
        <v>0.7</v>
      </c>
      <c r="Y67" s="854">
        <v>0.2</v>
      </c>
      <c r="Z67" s="913">
        <v>0.07</v>
      </c>
      <c r="AA67" s="946"/>
      <c r="AB67" s="946"/>
    </row>
    <row r="68" customHeight="1" spans="1:28">
      <c r="A68" s="946"/>
      <c r="B68" s="772" t="s">
        <v>425</v>
      </c>
      <c r="C68" s="768" t="s">
        <v>459</v>
      </c>
      <c r="D68" s="757">
        <v>100</v>
      </c>
      <c r="E68" s="751">
        <v>200</v>
      </c>
      <c r="F68" s="758">
        <v>0.7</v>
      </c>
      <c r="G68" s="751">
        <v>2.46</v>
      </c>
      <c r="H68" s="762">
        <v>20</v>
      </c>
      <c r="I68" s="788">
        <v>-114.05</v>
      </c>
      <c r="J68" s="811">
        <v>-114.05</v>
      </c>
      <c r="K68" s="817">
        <v>2.46</v>
      </c>
      <c r="L68" s="817">
        <v>0.171</v>
      </c>
      <c r="M68" s="785">
        <v>0.7</v>
      </c>
      <c r="N68" s="817" t="s">
        <v>460</v>
      </c>
      <c r="O68" s="786">
        <v>1000</v>
      </c>
      <c r="P68" s="787">
        <v>1000</v>
      </c>
      <c r="Q68" s="849">
        <v>80</v>
      </c>
      <c r="R68" s="787">
        <v>0.04</v>
      </c>
      <c r="S68" s="787">
        <v>350</v>
      </c>
      <c r="T68" s="787">
        <v>950</v>
      </c>
      <c r="U68" s="995">
        <v>78.35001</v>
      </c>
      <c r="V68" s="999">
        <v>78.35001</v>
      </c>
      <c r="W68" s="817" t="s">
        <v>461</v>
      </c>
      <c r="X68" s="854">
        <v>2.148</v>
      </c>
      <c r="Y68" s="854">
        <v>0.167</v>
      </c>
      <c r="Z68" s="913">
        <v>0.07</v>
      </c>
      <c r="AA68" s="946"/>
      <c r="AB68" s="946"/>
    </row>
    <row r="69" customHeight="1" spans="1:28">
      <c r="A69" s="946"/>
      <c r="B69" s="772" t="s">
        <v>456</v>
      </c>
      <c r="C69" s="751" t="s">
        <v>24</v>
      </c>
      <c r="D69" s="757">
        <v>30</v>
      </c>
      <c r="E69" s="751">
        <v>1850</v>
      </c>
      <c r="F69" s="758">
        <v>0.75</v>
      </c>
      <c r="G69" s="751">
        <v>1.3</v>
      </c>
      <c r="H69" s="762">
        <v>0.17</v>
      </c>
      <c r="I69" s="788">
        <v>20</v>
      </c>
      <c r="J69" s="811">
        <v>20</v>
      </c>
      <c r="K69" s="817">
        <v>1.11</v>
      </c>
      <c r="L69" s="817">
        <v>0.15</v>
      </c>
      <c r="M69" s="785">
        <v>0.75</v>
      </c>
      <c r="N69" s="817" t="s">
        <v>456</v>
      </c>
      <c r="O69" s="786">
        <v>920</v>
      </c>
      <c r="P69" s="787">
        <v>920</v>
      </c>
      <c r="Q69" s="787">
        <v>24</v>
      </c>
      <c r="R69" s="787">
        <v>4.4</v>
      </c>
      <c r="S69" s="787">
        <v>322</v>
      </c>
      <c r="T69" s="787">
        <v>874</v>
      </c>
      <c r="U69" s="995">
        <v>125</v>
      </c>
      <c r="V69" s="1004" t="s">
        <v>180</v>
      </c>
      <c r="W69" s="817" t="s">
        <v>442</v>
      </c>
      <c r="X69" s="854">
        <v>4.179</v>
      </c>
      <c r="Y69" s="854">
        <v>0.184</v>
      </c>
      <c r="Z69" s="913">
        <v>0.08</v>
      </c>
      <c r="AA69" s="946"/>
      <c r="AB69" s="946"/>
    </row>
    <row r="70" customHeight="1" spans="1:28">
      <c r="A70" s="946"/>
      <c r="B70" s="751" t="s">
        <v>25</v>
      </c>
      <c r="C70" s="751" t="s">
        <v>25</v>
      </c>
      <c r="D70" s="757">
        <v>500</v>
      </c>
      <c r="E70" s="751">
        <v>2000</v>
      </c>
      <c r="F70" s="758">
        <v>0.7</v>
      </c>
      <c r="G70" s="751">
        <v>1.255</v>
      </c>
      <c r="H70" s="762">
        <v>0.15</v>
      </c>
      <c r="I70" s="821">
        <v>185.85</v>
      </c>
      <c r="J70" s="926">
        <v>185.85</v>
      </c>
      <c r="K70" s="817">
        <v>1.255</v>
      </c>
      <c r="L70" s="817">
        <v>0.15</v>
      </c>
      <c r="M70" s="785">
        <v>0.7</v>
      </c>
      <c r="N70" s="817" t="s">
        <v>462</v>
      </c>
      <c r="O70" s="786">
        <v>190</v>
      </c>
      <c r="P70" s="787">
        <v>740</v>
      </c>
      <c r="Q70" s="849">
        <v>400</v>
      </c>
      <c r="R70" s="787">
        <v>0.4</v>
      </c>
      <c r="S70" s="787">
        <f>0.35*O70</f>
        <v>66.5</v>
      </c>
      <c r="T70" s="787">
        <f>0.95*O70</f>
        <v>180.5</v>
      </c>
      <c r="U70" s="995">
        <v>230</v>
      </c>
      <c r="V70" s="1019" t="s">
        <v>180</v>
      </c>
      <c r="W70" s="817" t="s">
        <v>216</v>
      </c>
      <c r="X70" s="854">
        <v>0.846</v>
      </c>
      <c r="Y70" s="854">
        <v>0.0146</v>
      </c>
      <c r="Z70" s="913">
        <v>0.08</v>
      </c>
      <c r="AA70" s="946"/>
      <c r="AB70" s="946"/>
    </row>
    <row r="71" customHeight="1" spans="1:28">
      <c r="A71" s="946"/>
      <c r="B71" s="772" t="s">
        <v>425</v>
      </c>
      <c r="C71" s="751" t="s">
        <v>13</v>
      </c>
      <c r="D71" s="757">
        <v>600</v>
      </c>
      <c r="E71" s="751">
        <v>1000</v>
      </c>
      <c r="F71" s="758">
        <v>0.9</v>
      </c>
      <c r="G71" s="751">
        <v>2.4</v>
      </c>
      <c r="H71" s="762">
        <v>1</v>
      </c>
      <c r="I71" s="803">
        <v>-259.15</v>
      </c>
      <c r="J71" s="926">
        <v>-259.15</v>
      </c>
      <c r="K71" s="817">
        <v>2.4</v>
      </c>
      <c r="L71" s="817">
        <v>0.1</v>
      </c>
      <c r="M71" s="785">
        <v>0.9</v>
      </c>
      <c r="N71" s="817" t="s">
        <v>463</v>
      </c>
      <c r="O71" s="786">
        <v>600</v>
      </c>
      <c r="P71" s="787">
        <v>1000</v>
      </c>
      <c r="Q71" s="849">
        <v>480</v>
      </c>
      <c r="R71" s="787">
        <v>0.04</v>
      </c>
      <c r="S71" s="787">
        <v>210</v>
      </c>
      <c r="T71" s="787">
        <v>570</v>
      </c>
      <c r="U71" s="995">
        <v>-252.15</v>
      </c>
      <c r="V71" s="999">
        <v>-252.15</v>
      </c>
      <c r="W71" s="817" t="s">
        <v>464</v>
      </c>
      <c r="X71" s="854">
        <v>2.4</v>
      </c>
      <c r="Y71" s="854">
        <v>0.168</v>
      </c>
      <c r="Z71" s="913">
        <v>0.09</v>
      </c>
      <c r="AA71" s="946"/>
      <c r="AB71" s="946"/>
    </row>
    <row r="72" customHeight="1" spans="1:29">
      <c r="A72" s="946" t="s">
        <v>394</v>
      </c>
      <c r="B72" s="772" t="s">
        <v>425</v>
      </c>
      <c r="C72" s="751" t="s">
        <v>15</v>
      </c>
      <c r="D72" s="767">
        <v>500</v>
      </c>
      <c r="E72" s="768">
        <v>750</v>
      </c>
      <c r="F72" s="773">
        <v>0.75</v>
      </c>
      <c r="G72" s="768">
        <v>2.191</v>
      </c>
      <c r="H72" s="768">
        <v>0.03</v>
      </c>
      <c r="I72" s="821">
        <v>-182.6</v>
      </c>
      <c r="J72" s="813">
        <v>-182.6</v>
      </c>
      <c r="K72" s="843">
        <v>2.191</v>
      </c>
      <c r="L72" s="927">
        <v>0.03</v>
      </c>
      <c r="M72" s="928">
        <v>0.75</v>
      </c>
      <c r="N72" s="927" t="s">
        <v>465</v>
      </c>
      <c r="O72" s="929">
        <v>600</v>
      </c>
      <c r="P72" s="930">
        <v>1000</v>
      </c>
      <c r="Q72" s="852">
        <v>400</v>
      </c>
      <c r="R72" s="930">
        <v>0.04</v>
      </c>
      <c r="S72" s="930">
        <v>210</v>
      </c>
      <c r="T72" s="930">
        <v>570</v>
      </c>
      <c r="U72" s="1020">
        <v>-161.5</v>
      </c>
      <c r="V72" s="999">
        <v>-161.5</v>
      </c>
      <c r="W72" s="817" t="s">
        <v>466</v>
      </c>
      <c r="X72" s="854">
        <v>2.191</v>
      </c>
      <c r="Y72" s="854">
        <v>0.035</v>
      </c>
      <c r="Z72" s="913">
        <v>0.07</v>
      </c>
      <c r="AA72" s="1006"/>
      <c r="AB72" s="1006"/>
      <c r="AC72" s="1007"/>
    </row>
    <row r="73" customHeight="1" spans="1:29">
      <c r="A73" s="946" t="s">
        <v>394</v>
      </c>
      <c r="B73" s="751" t="s">
        <v>467</v>
      </c>
      <c r="C73" s="751" t="s">
        <v>468</v>
      </c>
      <c r="D73" s="752">
        <v>50</v>
      </c>
      <c r="E73" s="775">
        <v>500</v>
      </c>
      <c r="F73" s="754">
        <v>0.73</v>
      </c>
      <c r="G73" s="753">
        <v>0.5</v>
      </c>
      <c r="H73" s="753">
        <v>4</v>
      </c>
      <c r="I73" s="781">
        <v>668.85</v>
      </c>
      <c r="J73" s="814" t="s">
        <v>180</v>
      </c>
      <c r="K73" s="851">
        <v>0.48</v>
      </c>
      <c r="L73" s="930">
        <v>0.0081</v>
      </c>
      <c r="M73" s="928">
        <v>0.73</v>
      </c>
      <c r="N73" s="930" t="s">
        <v>469</v>
      </c>
      <c r="O73" s="929">
        <v>600</v>
      </c>
      <c r="P73" s="930">
        <v>1000</v>
      </c>
      <c r="Q73" s="930">
        <v>480</v>
      </c>
      <c r="R73" s="930">
        <v>0.04</v>
      </c>
      <c r="S73" s="930">
        <v>210</v>
      </c>
      <c r="T73" s="930">
        <v>570</v>
      </c>
      <c r="U73" s="938">
        <v>-34.59999</v>
      </c>
      <c r="V73" s="905">
        <v>-34.59999</v>
      </c>
      <c r="W73" s="854" t="s">
        <v>329</v>
      </c>
      <c r="X73" s="854">
        <v>0.48</v>
      </c>
      <c r="Y73" s="854">
        <v>0.0081</v>
      </c>
      <c r="Z73" s="913">
        <v>0.07</v>
      </c>
      <c r="AA73" s="1006"/>
      <c r="AB73" s="1006"/>
      <c r="AC73" s="1007"/>
    </row>
    <row r="74" customHeight="1" spans="1:28">
      <c r="A74" s="946" t="s">
        <v>394</v>
      </c>
      <c r="B74" s="751" t="s">
        <v>467</v>
      </c>
      <c r="C74" s="751" t="s">
        <v>59</v>
      </c>
      <c r="D74" s="757">
        <v>600</v>
      </c>
      <c r="E74" s="753">
        <v>1000</v>
      </c>
      <c r="F74" s="773">
        <v>0.73</v>
      </c>
      <c r="G74" s="768">
        <v>0.48</v>
      </c>
      <c r="H74" s="768">
        <v>0.75</v>
      </c>
      <c r="I74" s="788">
        <v>-100.98</v>
      </c>
      <c r="J74" s="811">
        <v>-100.98</v>
      </c>
      <c r="K74" s="787">
        <v>0.48</v>
      </c>
      <c r="L74" s="787">
        <v>0.0081</v>
      </c>
      <c r="M74" s="785">
        <v>0.73</v>
      </c>
      <c r="N74" s="787" t="s">
        <v>469</v>
      </c>
      <c r="O74" s="786">
        <v>600</v>
      </c>
      <c r="P74" s="787">
        <v>1000</v>
      </c>
      <c r="Q74" s="787">
        <v>480</v>
      </c>
      <c r="R74" s="787">
        <v>0.04</v>
      </c>
      <c r="S74" s="787">
        <v>210</v>
      </c>
      <c r="T74" s="787">
        <v>570</v>
      </c>
      <c r="U74" s="892">
        <v>-34.59999</v>
      </c>
      <c r="V74" s="939">
        <v>-34.59999</v>
      </c>
      <c r="W74" s="854" t="s">
        <v>329</v>
      </c>
      <c r="X74" s="854">
        <v>0.48</v>
      </c>
      <c r="Y74" s="854">
        <v>0.0081</v>
      </c>
      <c r="Z74" s="913">
        <v>0.07</v>
      </c>
      <c r="AA74" s="946"/>
      <c r="AB74" s="946"/>
    </row>
    <row r="75" customHeight="1" spans="1:26">
      <c r="A75" s="3" t="s">
        <v>394</v>
      </c>
      <c r="B75" s="751" t="s">
        <v>470</v>
      </c>
      <c r="C75" s="751" t="s">
        <v>470</v>
      </c>
      <c r="D75" s="757">
        <v>200</v>
      </c>
      <c r="E75" s="751">
        <v>200</v>
      </c>
      <c r="F75" s="754">
        <v>0.3</v>
      </c>
      <c r="G75" s="753">
        <v>7.44</v>
      </c>
      <c r="H75" s="753">
        <v>6</v>
      </c>
      <c r="I75" s="762">
        <v>626.85</v>
      </c>
      <c r="J75" s="1017"/>
      <c r="K75" s="1018"/>
      <c r="L75" s="1018"/>
      <c r="M75" s="1018"/>
      <c r="N75" s="1018"/>
      <c r="O75" s="1018"/>
      <c r="P75" s="1018" t="s">
        <v>180</v>
      </c>
      <c r="Q75" s="1018"/>
      <c r="R75" s="1018"/>
      <c r="S75" s="1018"/>
      <c r="T75" s="1018"/>
      <c r="U75" s="1021"/>
      <c r="V75" s="1022"/>
      <c r="W75" s="854" t="s">
        <v>393</v>
      </c>
      <c r="X75" s="854">
        <v>0.265</v>
      </c>
      <c r="Y75" s="854">
        <v>1</v>
      </c>
      <c r="Z75" s="913">
        <v>0.03</v>
      </c>
    </row>
    <row r="76" customHeight="1" spans="3:28">
      <c r="C76" s="944"/>
      <c r="D76" s="573"/>
      <c r="G76" s="324"/>
      <c r="H76" s="324"/>
      <c r="K76" s="324"/>
      <c r="L76" s="324"/>
      <c r="O76" s="324"/>
      <c r="R76" s="324"/>
      <c r="Y76" s="324"/>
      <c r="AB76" s="3"/>
    </row>
    <row r="77" customHeight="1" spans="28:28">
      <c r="AB77" s="3"/>
    </row>
  </sheetData>
  <autoFilter ref="B1:Z77">
    <sortState ref="B1:Z77">
      <sortCondition ref="L1" descending="1"/>
    </sortState>
    <extLst/>
  </autoFilter>
  <pageMargins left="0" right="0" top="0.078740157480315" bottom="0" header="0" footer="0"/>
  <pageSetup paperSize="8" fitToHeight="0" orientation="landscape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8" tint="0.8"/>
    <pageSetUpPr fitToPage="1"/>
  </sheetPr>
  <dimension ref="A1:AC77"/>
  <sheetViews>
    <sheetView topLeftCell="G1" workbookViewId="0">
      <pane ySplit="2" topLeftCell="A3" activePane="bottomLeft" state="frozen"/>
      <selection/>
      <selection pane="bottomLeft" activeCell="N1" sqref="N$1:N$1048576"/>
    </sheetView>
  </sheetViews>
  <sheetFormatPr defaultColWidth="9" defaultRowHeight="13.8" customHeight="1"/>
  <cols>
    <col min="1" max="1" width="2.775" style="3" customWidth="1"/>
    <col min="2" max="2" width="2.775" style="941" customWidth="1"/>
    <col min="3" max="3" width="12.775" style="324" customWidth="1"/>
    <col min="4" max="4" width="8.10833333333333" style="942" customWidth="1"/>
    <col min="5" max="5" width="8.10833333333333" style="324" customWidth="1"/>
    <col min="6" max="6" width="14.775" style="943" customWidth="1"/>
    <col min="7" max="7" width="8.10833333333333" style="944" customWidth="1"/>
    <col min="8" max="8" width="9.88333333333333" style="944" customWidth="1"/>
    <col min="9" max="10" width="13.6666666666667" style="324" customWidth="1"/>
    <col min="11" max="11" width="8.10833333333333" style="944" customWidth="1"/>
    <col min="12" max="12" width="8.775" style="944" customWidth="1"/>
    <col min="13" max="13" width="6" style="943" customWidth="1"/>
    <col min="14" max="14" width="14.775" style="324" customWidth="1"/>
    <col min="15" max="15" width="8.10833333333333" style="942" customWidth="1"/>
    <col min="16" max="16" width="8.10833333333333" style="324" customWidth="1"/>
    <col min="17" max="17" width="10.2166666666667" style="324" customWidth="1"/>
    <col min="18" max="18" width="6.88333333333333" style="945" customWidth="1"/>
    <col min="19" max="20" width="7.66666666666667" style="324" customWidth="1"/>
    <col min="21" max="22" width="10.2166666666667" style="324" customWidth="1"/>
    <col min="23" max="23" width="15.2166666666667" style="324" customWidth="1"/>
    <col min="24" max="24" width="10.6666666666667" style="324" customWidth="1"/>
    <col min="25" max="25" width="8.10833333333333" style="942" customWidth="1"/>
    <col min="26" max="26" width="6" style="943" customWidth="1"/>
    <col min="27" max="27" width="7.55833333333333" style="3" customWidth="1"/>
    <col min="28" max="28" width="7.55833333333333" customWidth="1"/>
    <col min="29" max="29" width="7.66666666666667" style="3" customWidth="1"/>
    <col min="30" max="16384" width="8.88333333333333" style="3"/>
  </cols>
  <sheetData>
    <row r="1" customHeight="1" spans="1:29">
      <c r="A1" s="946"/>
      <c r="C1" s="947" t="s">
        <v>363</v>
      </c>
      <c r="D1" s="947" t="s">
        <v>363</v>
      </c>
      <c r="E1" s="947"/>
      <c r="F1" s="948"/>
      <c r="G1" s="949"/>
      <c r="H1" s="949"/>
      <c r="I1" s="947"/>
      <c r="J1" s="947"/>
      <c r="K1" s="949"/>
      <c r="L1" s="949"/>
      <c r="M1" s="948"/>
      <c r="N1" s="947"/>
      <c r="P1" s="947"/>
      <c r="Q1" s="947"/>
      <c r="S1" s="947"/>
      <c r="T1" s="947"/>
      <c r="U1" s="947"/>
      <c r="V1" s="947"/>
      <c r="W1" s="947"/>
      <c r="X1" s="947"/>
      <c r="Z1" s="948"/>
      <c r="AA1" s="946"/>
      <c r="AB1" s="1006"/>
      <c r="AC1" s="1007"/>
    </row>
    <row r="2" customHeight="1" spans="1:28">
      <c r="A2" s="946"/>
      <c r="B2" s="751" t="s">
        <v>364</v>
      </c>
      <c r="C2" s="751" t="s">
        <v>364</v>
      </c>
      <c r="D2" s="752">
        <v>1000</v>
      </c>
      <c r="E2" s="753">
        <v>1840</v>
      </c>
      <c r="F2" s="754">
        <v>0.7</v>
      </c>
      <c r="G2" s="753">
        <v>0.83</v>
      </c>
      <c r="H2" s="781">
        <v>2</v>
      </c>
      <c r="I2" s="953">
        <v>99.7</v>
      </c>
      <c r="J2" s="782" t="s">
        <v>180</v>
      </c>
      <c r="K2" s="787" t="s">
        <v>365</v>
      </c>
      <c r="L2" s="787" t="s">
        <v>365</v>
      </c>
      <c r="M2" s="787" t="s">
        <v>365</v>
      </c>
      <c r="N2" s="787" t="s">
        <v>365</v>
      </c>
      <c r="O2" s="787" t="s">
        <v>365</v>
      </c>
      <c r="P2" s="787" t="s">
        <v>365</v>
      </c>
      <c r="Q2" s="787" t="s">
        <v>365</v>
      </c>
      <c r="R2" s="787" t="s">
        <v>365</v>
      </c>
      <c r="S2" s="851" t="s">
        <v>365</v>
      </c>
      <c r="T2" s="820" t="s">
        <v>365</v>
      </c>
      <c r="U2" s="930" t="s">
        <v>365</v>
      </c>
      <c r="V2" s="969" t="s">
        <v>180</v>
      </c>
      <c r="W2" s="854" t="s">
        <v>180</v>
      </c>
      <c r="X2" s="854" t="s">
        <v>180</v>
      </c>
      <c r="Y2" s="854" t="s">
        <v>180</v>
      </c>
      <c r="Z2" s="854" t="s">
        <v>180</v>
      </c>
      <c r="AA2" s="946"/>
      <c r="AB2" s="1006"/>
    </row>
    <row r="3" customHeight="1" spans="1:28">
      <c r="A3" s="946"/>
      <c r="B3" s="751" t="s">
        <v>45</v>
      </c>
      <c r="C3" s="751" t="s">
        <v>45</v>
      </c>
      <c r="D3" s="757">
        <v>1000</v>
      </c>
      <c r="E3" s="751">
        <v>1840</v>
      </c>
      <c r="F3" s="758">
        <v>0.7</v>
      </c>
      <c r="G3" s="751">
        <v>0.83</v>
      </c>
      <c r="H3" s="762">
        <v>2</v>
      </c>
      <c r="I3" s="764">
        <v>99.7</v>
      </c>
      <c r="J3" s="820" t="s">
        <v>180</v>
      </c>
      <c r="K3" s="802" t="s">
        <v>366</v>
      </c>
      <c r="L3" s="802" t="s">
        <v>366</v>
      </c>
      <c r="M3" s="802" t="s">
        <v>366</v>
      </c>
      <c r="N3" s="802" t="s">
        <v>366</v>
      </c>
      <c r="O3" s="802" t="s">
        <v>366</v>
      </c>
      <c r="P3" s="802" t="s">
        <v>366</v>
      </c>
      <c r="Q3" s="802" t="s">
        <v>366</v>
      </c>
      <c r="R3" s="802" t="s">
        <v>366</v>
      </c>
      <c r="S3" s="802" t="s">
        <v>366</v>
      </c>
      <c r="T3" s="802" t="s">
        <v>366</v>
      </c>
      <c r="U3" s="823" t="s">
        <v>366</v>
      </c>
      <c r="V3" s="885" t="s">
        <v>180</v>
      </c>
      <c r="W3" s="873" t="s">
        <v>180</v>
      </c>
      <c r="X3" s="873" t="s">
        <v>180</v>
      </c>
      <c r="Y3" s="873" t="s">
        <v>180</v>
      </c>
      <c r="Z3" s="873" t="s">
        <v>180</v>
      </c>
      <c r="AA3" s="946"/>
      <c r="AB3" s="946"/>
    </row>
    <row r="4" customHeight="1" spans="1:28">
      <c r="A4" s="946"/>
      <c r="B4" s="751" t="s">
        <v>0</v>
      </c>
      <c r="C4" s="751" t="s">
        <v>0</v>
      </c>
      <c r="D4" s="757" t="s">
        <v>367</v>
      </c>
      <c r="E4" s="751" t="s">
        <v>368</v>
      </c>
      <c r="F4" s="773" t="s">
        <v>1</v>
      </c>
      <c r="G4" s="950" t="s">
        <v>369</v>
      </c>
      <c r="H4" s="951" t="s">
        <v>370</v>
      </c>
      <c r="I4" s="762" t="s">
        <v>4</v>
      </c>
      <c r="J4" s="833" t="s">
        <v>371</v>
      </c>
      <c r="K4" s="954" t="s">
        <v>2</v>
      </c>
      <c r="L4" s="954" t="s">
        <v>3</v>
      </c>
      <c r="M4" s="791" t="s">
        <v>372</v>
      </c>
      <c r="N4" s="793" t="s">
        <v>0</v>
      </c>
      <c r="O4" s="792" t="s">
        <v>367</v>
      </c>
      <c r="P4" s="793" t="s">
        <v>368</v>
      </c>
      <c r="Q4" s="856" t="s">
        <v>373</v>
      </c>
      <c r="R4" s="970" t="s">
        <v>374</v>
      </c>
      <c r="S4" s="793" t="s">
        <v>375</v>
      </c>
      <c r="T4" s="793" t="s">
        <v>375</v>
      </c>
      <c r="U4" s="971" t="s">
        <v>4</v>
      </c>
      <c r="V4" s="972" t="s">
        <v>371</v>
      </c>
      <c r="W4" s="858" t="s">
        <v>0</v>
      </c>
      <c r="X4" s="973" t="s">
        <v>2</v>
      </c>
      <c r="Y4" s="973" t="s">
        <v>3</v>
      </c>
      <c r="Z4" s="1008" t="s">
        <v>372</v>
      </c>
      <c r="AA4" s="946"/>
      <c r="AB4" s="946"/>
    </row>
    <row r="5" customHeight="1" spans="1:28">
      <c r="A5" s="946"/>
      <c r="B5" s="751" t="s">
        <v>376</v>
      </c>
      <c r="C5" s="751" t="s">
        <v>376</v>
      </c>
      <c r="D5" s="757">
        <v>400</v>
      </c>
      <c r="E5" s="751">
        <v>10000</v>
      </c>
      <c r="F5" s="754">
        <v>0.74</v>
      </c>
      <c r="G5" s="751">
        <v>0.49</v>
      </c>
      <c r="H5" s="762">
        <v>54</v>
      </c>
      <c r="I5" s="762">
        <v>2426.85</v>
      </c>
      <c r="J5" s="796">
        <v>1083.85</v>
      </c>
      <c r="K5" s="793">
        <v>0.386</v>
      </c>
      <c r="L5" s="793">
        <v>80</v>
      </c>
      <c r="M5" s="791">
        <v>0.74</v>
      </c>
      <c r="N5" s="793" t="s">
        <v>377</v>
      </c>
      <c r="O5" s="792">
        <v>900</v>
      </c>
      <c r="P5" s="793">
        <v>3870</v>
      </c>
      <c r="Q5" s="856">
        <v>320</v>
      </c>
      <c r="R5" s="793">
        <v>80</v>
      </c>
      <c r="S5" s="793">
        <v>315</v>
      </c>
      <c r="T5" s="793">
        <v>855</v>
      </c>
      <c r="U5" s="861">
        <v>3826.85</v>
      </c>
      <c r="V5" s="862">
        <v>3826.85</v>
      </c>
      <c r="W5" s="858" t="s">
        <v>378</v>
      </c>
      <c r="X5" s="858">
        <v>0.49</v>
      </c>
      <c r="Y5" s="858">
        <v>1</v>
      </c>
      <c r="Z5" s="1008">
        <v>0.07</v>
      </c>
      <c r="AA5" s="946"/>
      <c r="AB5" s="946"/>
    </row>
    <row r="6" customHeight="1" spans="1:28">
      <c r="A6" s="946"/>
      <c r="B6" s="751" t="s">
        <v>379</v>
      </c>
      <c r="C6" s="751" t="s">
        <v>379</v>
      </c>
      <c r="D6" s="757">
        <v>900</v>
      </c>
      <c r="E6" s="751">
        <v>1800</v>
      </c>
      <c r="F6" s="758">
        <v>0.6</v>
      </c>
      <c r="G6" s="751">
        <v>0.622</v>
      </c>
      <c r="H6" s="762">
        <v>220</v>
      </c>
      <c r="I6" s="762">
        <v>2676.85</v>
      </c>
      <c r="J6" s="796" t="s">
        <v>180</v>
      </c>
      <c r="K6" s="793">
        <v>0.265</v>
      </c>
      <c r="L6" s="793">
        <v>54</v>
      </c>
      <c r="M6" s="791">
        <v>0.49</v>
      </c>
      <c r="N6" s="793" t="s">
        <v>380</v>
      </c>
      <c r="O6" s="792">
        <v>900</v>
      </c>
      <c r="P6" s="793">
        <v>3870</v>
      </c>
      <c r="Q6" s="856">
        <v>24</v>
      </c>
      <c r="R6" s="793">
        <v>80</v>
      </c>
      <c r="S6" s="856">
        <v>315</v>
      </c>
      <c r="T6" s="856">
        <v>855</v>
      </c>
      <c r="U6" s="875">
        <v>4743.85</v>
      </c>
      <c r="V6" s="876">
        <v>4743.85</v>
      </c>
      <c r="W6" s="974" t="s">
        <v>381</v>
      </c>
      <c r="X6" s="974">
        <v>0.265</v>
      </c>
      <c r="Y6" s="858">
        <v>1</v>
      </c>
      <c r="Z6" s="1009">
        <v>0.05</v>
      </c>
      <c r="AA6" s="946"/>
      <c r="AB6" s="946"/>
    </row>
    <row r="7" customHeight="1" spans="1:28">
      <c r="A7" s="946"/>
      <c r="B7" s="751" t="s">
        <v>36</v>
      </c>
      <c r="C7" s="751" t="s">
        <v>37</v>
      </c>
      <c r="D7" s="757">
        <v>500</v>
      </c>
      <c r="E7" s="751">
        <v>500</v>
      </c>
      <c r="F7" s="758">
        <v>0.72</v>
      </c>
      <c r="G7" s="751">
        <v>0.91</v>
      </c>
      <c r="H7" s="762">
        <v>20.5</v>
      </c>
      <c r="I7" s="762">
        <v>1083.85</v>
      </c>
      <c r="J7" s="796" t="s">
        <v>180</v>
      </c>
      <c r="K7" s="793">
        <v>0.91</v>
      </c>
      <c r="L7" s="793">
        <v>20.5</v>
      </c>
      <c r="M7" s="791">
        <v>0.77</v>
      </c>
      <c r="N7" s="793" t="s">
        <v>382</v>
      </c>
      <c r="O7" s="792">
        <v>1000</v>
      </c>
      <c r="P7" s="793">
        <v>7870</v>
      </c>
      <c r="Q7" s="793">
        <v>160</v>
      </c>
      <c r="R7" s="793">
        <v>120</v>
      </c>
      <c r="S7" s="793">
        <v>350</v>
      </c>
      <c r="T7" s="793">
        <v>950</v>
      </c>
      <c r="U7" s="861">
        <v>2470</v>
      </c>
      <c r="V7" s="862">
        <v>2470</v>
      </c>
      <c r="W7" s="858" t="s">
        <v>383</v>
      </c>
      <c r="X7" s="858">
        <v>0.91</v>
      </c>
      <c r="Y7" s="858">
        <v>2.5</v>
      </c>
      <c r="Z7" s="1008">
        <v>0.07</v>
      </c>
      <c r="AA7" s="946"/>
      <c r="AB7" s="946"/>
    </row>
    <row r="8" customHeight="1" spans="1:28">
      <c r="A8" s="946"/>
      <c r="B8" s="751" t="s">
        <v>67</v>
      </c>
      <c r="C8" s="751" t="s">
        <v>67</v>
      </c>
      <c r="D8" s="757">
        <v>900</v>
      </c>
      <c r="E8" s="768">
        <v>3870</v>
      </c>
      <c r="F8" s="758">
        <v>0.61</v>
      </c>
      <c r="G8" s="751">
        <v>0.385</v>
      </c>
      <c r="H8" s="762">
        <v>60</v>
      </c>
      <c r="I8" s="762">
        <v>1083.85</v>
      </c>
      <c r="J8" s="796">
        <v>1083.85</v>
      </c>
      <c r="K8" s="793">
        <v>0.386</v>
      </c>
      <c r="L8" s="793">
        <v>12</v>
      </c>
      <c r="M8" s="791">
        <v>0.61</v>
      </c>
      <c r="N8" s="793" t="s">
        <v>384</v>
      </c>
      <c r="O8" s="792">
        <v>900</v>
      </c>
      <c r="P8" s="793">
        <v>3870</v>
      </c>
      <c r="Q8" s="793">
        <v>720</v>
      </c>
      <c r="R8" s="793">
        <v>80</v>
      </c>
      <c r="S8" s="793">
        <v>315</v>
      </c>
      <c r="T8" s="793">
        <v>855</v>
      </c>
      <c r="U8" s="861">
        <v>2560.85</v>
      </c>
      <c r="V8" s="862">
        <v>2560.85</v>
      </c>
      <c r="W8" s="858" t="s">
        <v>385</v>
      </c>
      <c r="X8" s="858">
        <v>0.386</v>
      </c>
      <c r="Y8" s="858">
        <v>1</v>
      </c>
      <c r="Z8" s="1008">
        <v>0.06</v>
      </c>
      <c r="AA8" s="946"/>
      <c r="AB8" s="946"/>
    </row>
    <row r="9" customHeight="1" spans="1:28">
      <c r="A9" s="946"/>
      <c r="B9" s="762" t="s">
        <v>81</v>
      </c>
      <c r="C9" s="763" t="s">
        <v>81</v>
      </c>
      <c r="D9" s="757">
        <v>2000</v>
      </c>
      <c r="E9" s="751">
        <v>2000</v>
      </c>
      <c r="F9" s="758">
        <v>0.85</v>
      </c>
      <c r="G9" s="751">
        <v>0.128</v>
      </c>
      <c r="H9" s="762">
        <v>35</v>
      </c>
      <c r="I9" s="788">
        <v>327.5</v>
      </c>
      <c r="J9" s="789">
        <v>327.5</v>
      </c>
      <c r="K9" s="793">
        <v>0.128</v>
      </c>
      <c r="L9" s="793">
        <v>11</v>
      </c>
      <c r="M9" s="791">
        <v>0.85</v>
      </c>
      <c r="N9" s="793" t="s">
        <v>386</v>
      </c>
      <c r="O9" s="792">
        <v>3000</v>
      </c>
      <c r="P9" s="793">
        <v>9970</v>
      </c>
      <c r="Q9" s="856">
        <v>1600</v>
      </c>
      <c r="R9" s="793">
        <v>100</v>
      </c>
      <c r="S9" s="793">
        <v>1050</v>
      </c>
      <c r="T9" s="793">
        <v>2850</v>
      </c>
      <c r="U9" s="861">
        <v>1749</v>
      </c>
      <c r="V9" s="862">
        <v>1749</v>
      </c>
      <c r="W9" s="858" t="s">
        <v>387</v>
      </c>
      <c r="X9" s="858">
        <v>0.128</v>
      </c>
      <c r="Y9" s="858">
        <v>3.5</v>
      </c>
      <c r="Z9" s="1008">
        <v>0.08</v>
      </c>
      <c r="AA9" s="946"/>
      <c r="AB9" s="946"/>
    </row>
    <row r="10" customHeight="1" spans="1:28">
      <c r="A10" s="946"/>
      <c r="B10" s="764" t="s">
        <v>9</v>
      </c>
      <c r="C10" s="765" t="s">
        <v>9</v>
      </c>
      <c r="D10" s="757">
        <v>40</v>
      </c>
      <c r="E10" s="766">
        <v>200</v>
      </c>
      <c r="F10" s="758">
        <v>0.25</v>
      </c>
      <c r="G10" s="751">
        <v>3.47</v>
      </c>
      <c r="H10" s="762">
        <v>0.6</v>
      </c>
      <c r="I10" s="764">
        <v>9726.85</v>
      </c>
      <c r="J10" s="796">
        <v>-271.15</v>
      </c>
      <c r="K10" s="790">
        <v>8.44</v>
      </c>
      <c r="L10" s="790">
        <v>9.46</v>
      </c>
      <c r="M10" s="791">
        <v>0.6</v>
      </c>
      <c r="N10" s="955" t="s">
        <v>388</v>
      </c>
      <c r="O10" s="792">
        <v>800</v>
      </c>
      <c r="P10" s="793">
        <v>910</v>
      </c>
      <c r="Q10" s="863" t="s">
        <v>180</v>
      </c>
      <c r="R10" s="793">
        <v>0.04</v>
      </c>
      <c r="S10" s="793">
        <v>280</v>
      </c>
      <c r="T10" s="793">
        <v>760</v>
      </c>
      <c r="U10" s="975">
        <v>436.85</v>
      </c>
      <c r="V10" s="976">
        <v>436.85</v>
      </c>
      <c r="W10" s="977" t="s">
        <v>389</v>
      </c>
      <c r="X10" s="858">
        <v>8.44</v>
      </c>
      <c r="Y10" s="858">
        <v>1.2</v>
      </c>
      <c r="Z10" s="1008">
        <v>0.06</v>
      </c>
      <c r="AA10" s="946"/>
      <c r="AB10" s="946"/>
    </row>
    <row r="11" customHeight="1" spans="1:28">
      <c r="A11" s="946"/>
      <c r="B11" s="762" t="s">
        <v>80</v>
      </c>
      <c r="C11" s="763" t="s">
        <v>76</v>
      </c>
      <c r="D11" s="774">
        <v>800</v>
      </c>
      <c r="E11" s="952">
        <v>1840</v>
      </c>
      <c r="F11" s="773">
        <v>0.35</v>
      </c>
      <c r="G11" s="768">
        <v>0.15</v>
      </c>
      <c r="H11" s="768">
        <v>2</v>
      </c>
      <c r="I11" s="816">
        <v>1063.85</v>
      </c>
      <c r="J11" s="782" t="s">
        <v>180</v>
      </c>
      <c r="K11" s="787">
        <v>0.1291</v>
      </c>
      <c r="L11" s="793">
        <v>6</v>
      </c>
      <c r="M11" s="791">
        <v>0.35</v>
      </c>
      <c r="N11" s="793" t="s">
        <v>390</v>
      </c>
      <c r="O11" s="792">
        <v>870</v>
      </c>
      <c r="P11" s="793">
        <v>9970</v>
      </c>
      <c r="Q11" s="793">
        <v>696</v>
      </c>
      <c r="R11" s="793">
        <v>100</v>
      </c>
      <c r="S11" s="793">
        <v>304.5</v>
      </c>
      <c r="T11" s="793">
        <v>826.5</v>
      </c>
      <c r="U11" s="861">
        <v>2855.85</v>
      </c>
      <c r="V11" s="878">
        <v>2855.85</v>
      </c>
      <c r="W11" s="858" t="s">
        <v>391</v>
      </c>
      <c r="X11" s="858">
        <v>0.1291</v>
      </c>
      <c r="Y11" s="858">
        <v>1</v>
      </c>
      <c r="Z11" s="1008">
        <v>0.03</v>
      </c>
      <c r="AA11" s="946"/>
      <c r="AB11" s="946"/>
    </row>
    <row r="12" customHeight="1" spans="1:28">
      <c r="A12" s="946"/>
      <c r="B12" s="762" t="s">
        <v>5</v>
      </c>
      <c r="C12" s="763" t="s">
        <v>5</v>
      </c>
      <c r="D12" s="752">
        <v>1840</v>
      </c>
      <c r="E12" s="753">
        <v>1840</v>
      </c>
      <c r="F12" s="754">
        <v>0.3</v>
      </c>
      <c r="G12" s="753">
        <v>7.44</v>
      </c>
      <c r="H12" s="753">
        <v>6</v>
      </c>
      <c r="I12" s="803">
        <v>26.85</v>
      </c>
      <c r="J12" s="804">
        <v>26.85</v>
      </c>
      <c r="K12" s="787">
        <v>7.44</v>
      </c>
      <c r="L12" s="809">
        <v>6</v>
      </c>
      <c r="M12" s="807">
        <v>0.3</v>
      </c>
      <c r="N12" s="809" t="s">
        <v>392</v>
      </c>
      <c r="O12" s="808">
        <v>500</v>
      </c>
      <c r="P12" s="809">
        <v>1000</v>
      </c>
      <c r="Q12" s="868">
        <v>1472</v>
      </c>
      <c r="R12" s="809">
        <v>100</v>
      </c>
      <c r="S12" s="809">
        <f>0.35*O12</f>
        <v>175</v>
      </c>
      <c r="T12" s="809">
        <f>0.95*O12</f>
        <v>475</v>
      </c>
      <c r="U12" s="831">
        <v>526.85</v>
      </c>
      <c r="V12" s="867">
        <v>66.85</v>
      </c>
      <c r="W12" s="858" t="s">
        <v>393</v>
      </c>
      <c r="X12" s="858">
        <v>0.265</v>
      </c>
      <c r="Y12" s="858">
        <v>1</v>
      </c>
      <c r="Z12" s="1008">
        <v>0.03</v>
      </c>
      <c r="AA12" s="946"/>
      <c r="AB12" s="946"/>
    </row>
    <row r="13" customHeight="1" spans="1:28">
      <c r="A13" s="946" t="s">
        <v>394</v>
      </c>
      <c r="B13" s="751" t="s">
        <v>60</v>
      </c>
      <c r="C13" s="751" t="s">
        <v>395</v>
      </c>
      <c r="D13" s="767">
        <v>1000</v>
      </c>
      <c r="E13" s="768">
        <v>7870</v>
      </c>
      <c r="F13" s="758">
        <v>0.66</v>
      </c>
      <c r="G13" s="768">
        <v>0.449</v>
      </c>
      <c r="H13" s="768">
        <v>55</v>
      </c>
      <c r="I13" s="798">
        <v>1534.85</v>
      </c>
      <c r="J13" s="782">
        <v>1534.85</v>
      </c>
      <c r="K13" s="802">
        <v>0.449</v>
      </c>
      <c r="L13" s="802">
        <v>4</v>
      </c>
      <c r="M13" s="800">
        <v>0.66</v>
      </c>
      <c r="N13" s="802" t="s">
        <v>396</v>
      </c>
      <c r="O13" s="801">
        <v>1000</v>
      </c>
      <c r="P13" s="802">
        <v>7870</v>
      </c>
      <c r="Q13" s="802">
        <v>800</v>
      </c>
      <c r="R13" s="802">
        <v>120</v>
      </c>
      <c r="S13" s="802">
        <v>350</v>
      </c>
      <c r="T13" s="802">
        <v>950</v>
      </c>
      <c r="U13" s="978">
        <v>2749.85</v>
      </c>
      <c r="V13" s="878">
        <v>2749.85</v>
      </c>
      <c r="W13" s="858" t="s">
        <v>397</v>
      </c>
      <c r="X13" s="858">
        <v>0.449</v>
      </c>
      <c r="Y13" s="858">
        <v>1</v>
      </c>
      <c r="Z13" s="1008">
        <v>0.06</v>
      </c>
      <c r="AA13" s="946"/>
      <c r="AB13" s="946"/>
    </row>
    <row r="14" customHeight="1" spans="1:28">
      <c r="A14" s="946" t="s">
        <v>394</v>
      </c>
      <c r="B14" s="751" t="s">
        <v>60</v>
      </c>
      <c r="C14" s="751" t="s">
        <v>61</v>
      </c>
      <c r="D14" s="774">
        <v>800</v>
      </c>
      <c r="E14" s="775">
        <v>1840</v>
      </c>
      <c r="F14" s="758">
        <v>0.61</v>
      </c>
      <c r="G14" s="775">
        <v>0.449</v>
      </c>
      <c r="H14" s="775">
        <v>4</v>
      </c>
      <c r="I14" s="956">
        <v>1534.85</v>
      </c>
      <c r="J14" s="782" t="s">
        <v>180</v>
      </c>
      <c r="K14" s="793">
        <v>0.449</v>
      </c>
      <c r="L14" s="793">
        <v>4</v>
      </c>
      <c r="M14" s="791">
        <v>0.66</v>
      </c>
      <c r="N14" s="793" t="s">
        <v>396</v>
      </c>
      <c r="O14" s="792">
        <v>1000</v>
      </c>
      <c r="P14" s="793">
        <v>7870</v>
      </c>
      <c r="Q14" s="793">
        <v>800</v>
      </c>
      <c r="R14" s="793">
        <v>120</v>
      </c>
      <c r="S14" s="793">
        <v>350</v>
      </c>
      <c r="T14" s="793">
        <v>950</v>
      </c>
      <c r="U14" s="979">
        <v>2749.85</v>
      </c>
      <c r="V14" s="878">
        <v>2749.85</v>
      </c>
      <c r="W14" s="858" t="s">
        <v>397</v>
      </c>
      <c r="X14" s="858">
        <v>0.449</v>
      </c>
      <c r="Y14" s="858">
        <v>1</v>
      </c>
      <c r="Z14" s="1008">
        <v>0.06</v>
      </c>
      <c r="AA14" s="946"/>
      <c r="AB14" s="946"/>
    </row>
    <row r="15" customHeight="1" spans="1:28">
      <c r="A15" s="946" t="s">
        <v>394</v>
      </c>
      <c r="B15" s="751" t="s">
        <v>60</v>
      </c>
      <c r="C15" s="751" t="s">
        <v>62</v>
      </c>
      <c r="D15" s="752">
        <v>800</v>
      </c>
      <c r="E15" s="753">
        <v>1840</v>
      </c>
      <c r="F15" s="758">
        <v>0.7</v>
      </c>
      <c r="G15" s="753">
        <v>0.449</v>
      </c>
      <c r="H15" s="753">
        <v>4</v>
      </c>
      <c r="I15" s="816">
        <v>1534.85</v>
      </c>
      <c r="J15" s="782" t="s">
        <v>180</v>
      </c>
      <c r="K15" s="809">
        <v>0.449</v>
      </c>
      <c r="L15" s="809">
        <v>4</v>
      </c>
      <c r="M15" s="807">
        <v>0.66</v>
      </c>
      <c r="N15" s="809" t="s">
        <v>396</v>
      </c>
      <c r="O15" s="808">
        <v>1000</v>
      </c>
      <c r="P15" s="793">
        <v>7870</v>
      </c>
      <c r="Q15" s="809">
        <v>800</v>
      </c>
      <c r="R15" s="793">
        <v>120</v>
      </c>
      <c r="S15" s="809">
        <v>350</v>
      </c>
      <c r="T15" s="809">
        <v>950</v>
      </c>
      <c r="U15" s="881">
        <v>2749.85</v>
      </c>
      <c r="V15" s="882">
        <v>2749.85</v>
      </c>
      <c r="W15" s="870" t="s">
        <v>397</v>
      </c>
      <c r="X15" s="870">
        <v>0.449</v>
      </c>
      <c r="Y15" s="870">
        <v>1</v>
      </c>
      <c r="Z15" s="1010">
        <v>0.06</v>
      </c>
      <c r="AA15" s="946"/>
      <c r="AB15" s="946"/>
    </row>
    <row r="16" customHeight="1" spans="1:28">
      <c r="A16" s="946"/>
      <c r="B16" s="762" t="s">
        <v>60</v>
      </c>
      <c r="C16" s="763" t="s">
        <v>65</v>
      </c>
      <c r="D16" s="757">
        <v>800</v>
      </c>
      <c r="E16" s="751">
        <v>1840</v>
      </c>
      <c r="F16" s="758">
        <v>0.7</v>
      </c>
      <c r="G16" s="751">
        <v>0.386</v>
      </c>
      <c r="H16" s="762">
        <v>4.5</v>
      </c>
      <c r="I16" s="762">
        <v>1083.85</v>
      </c>
      <c r="J16" s="820" t="s">
        <v>180</v>
      </c>
      <c r="K16" s="787">
        <v>0.449</v>
      </c>
      <c r="L16" s="787">
        <v>4</v>
      </c>
      <c r="M16" s="785">
        <v>0.66</v>
      </c>
      <c r="N16" s="787" t="s">
        <v>396</v>
      </c>
      <c r="O16" s="786">
        <v>1000</v>
      </c>
      <c r="P16" s="793">
        <v>7870</v>
      </c>
      <c r="Q16" s="787">
        <v>800</v>
      </c>
      <c r="R16" s="793">
        <v>120</v>
      </c>
      <c r="S16" s="787">
        <v>350</v>
      </c>
      <c r="T16" s="787">
        <v>950</v>
      </c>
      <c r="U16" s="892">
        <v>2749.85</v>
      </c>
      <c r="V16" s="893">
        <v>2749.85</v>
      </c>
      <c r="W16" s="854" t="s">
        <v>397</v>
      </c>
      <c r="X16" s="854">
        <v>0.449</v>
      </c>
      <c r="Y16" s="854">
        <v>1</v>
      </c>
      <c r="Z16" s="913">
        <v>0.06</v>
      </c>
      <c r="AA16" s="946"/>
      <c r="AB16" s="946"/>
    </row>
    <row r="17" customHeight="1" spans="1:28">
      <c r="A17" s="946"/>
      <c r="B17" s="751" t="s">
        <v>63</v>
      </c>
      <c r="C17" s="751" t="s">
        <v>398</v>
      </c>
      <c r="D17" s="757">
        <v>800</v>
      </c>
      <c r="E17" s="751">
        <v>8900</v>
      </c>
      <c r="F17" s="758">
        <v>0.63</v>
      </c>
      <c r="G17" s="751">
        <v>0.42</v>
      </c>
      <c r="H17" s="762">
        <v>100</v>
      </c>
      <c r="I17" s="821">
        <v>1494.85</v>
      </c>
      <c r="J17" s="804">
        <v>1494.85</v>
      </c>
      <c r="K17" s="787">
        <v>0.42</v>
      </c>
      <c r="L17" s="802">
        <v>4</v>
      </c>
      <c r="M17" s="800">
        <v>0.63</v>
      </c>
      <c r="N17" s="802" t="s">
        <v>399</v>
      </c>
      <c r="O17" s="801">
        <v>1000</v>
      </c>
      <c r="P17" s="793">
        <v>7870</v>
      </c>
      <c r="Q17" s="802">
        <v>640</v>
      </c>
      <c r="R17" s="793">
        <v>120</v>
      </c>
      <c r="S17" s="802">
        <v>350</v>
      </c>
      <c r="T17" s="802">
        <v>950</v>
      </c>
      <c r="U17" s="871">
        <v>2926.85</v>
      </c>
      <c r="V17" s="872">
        <v>2926.85</v>
      </c>
      <c r="W17" s="873" t="s">
        <v>400</v>
      </c>
      <c r="X17" s="873">
        <v>0.42</v>
      </c>
      <c r="Y17" s="873">
        <v>1</v>
      </c>
      <c r="Z17" s="1011">
        <v>0.06</v>
      </c>
      <c r="AA17" s="946"/>
      <c r="AB17" s="946"/>
    </row>
    <row r="18" customHeight="1" spans="1:28">
      <c r="A18" s="946"/>
      <c r="B18" s="751" t="s">
        <v>63</v>
      </c>
      <c r="C18" s="751" t="s">
        <v>64</v>
      </c>
      <c r="D18" s="757">
        <v>1250</v>
      </c>
      <c r="E18" s="751">
        <v>6300</v>
      </c>
      <c r="F18" s="758">
        <v>0.58</v>
      </c>
      <c r="G18" s="768">
        <v>0.42</v>
      </c>
      <c r="H18" s="816">
        <v>4</v>
      </c>
      <c r="I18" s="822">
        <v>1494.85</v>
      </c>
      <c r="J18" s="804">
        <v>1494.85</v>
      </c>
      <c r="K18" s="787">
        <v>0.42</v>
      </c>
      <c r="L18" s="793">
        <v>4</v>
      </c>
      <c r="M18" s="791">
        <v>0.63</v>
      </c>
      <c r="N18" s="793" t="s">
        <v>399</v>
      </c>
      <c r="O18" s="792">
        <v>1000</v>
      </c>
      <c r="P18" s="793">
        <v>7870</v>
      </c>
      <c r="Q18" s="793">
        <v>640</v>
      </c>
      <c r="R18" s="793">
        <v>120</v>
      </c>
      <c r="S18" s="793">
        <v>350</v>
      </c>
      <c r="T18" s="793">
        <v>950</v>
      </c>
      <c r="U18" s="861">
        <v>2926.85</v>
      </c>
      <c r="V18" s="862">
        <v>2926.85</v>
      </c>
      <c r="W18" s="858" t="s">
        <v>400</v>
      </c>
      <c r="X18" s="858">
        <v>0.42</v>
      </c>
      <c r="Y18" s="858">
        <v>1</v>
      </c>
      <c r="Z18" s="1008">
        <v>0.06</v>
      </c>
      <c r="AA18" s="946"/>
      <c r="AB18" s="946"/>
    </row>
    <row r="19" customHeight="1" spans="1:28">
      <c r="A19" s="946"/>
      <c r="B19" s="751" t="s">
        <v>78</v>
      </c>
      <c r="C19" s="751" t="s">
        <v>401</v>
      </c>
      <c r="D19" s="757">
        <v>200</v>
      </c>
      <c r="E19" s="751">
        <v>1000</v>
      </c>
      <c r="F19" s="754">
        <v>0.35</v>
      </c>
      <c r="G19" s="753">
        <v>0.134</v>
      </c>
      <c r="H19" s="781">
        <v>60</v>
      </c>
      <c r="I19" s="803">
        <v>3421.85</v>
      </c>
      <c r="J19" s="804">
        <v>3421.85</v>
      </c>
      <c r="K19" s="787">
        <v>0.134</v>
      </c>
      <c r="L19" s="809">
        <v>4</v>
      </c>
      <c r="M19" s="807">
        <v>0.35</v>
      </c>
      <c r="N19" s="809" t="s">
        <v>402</v>
      </c>
      <c r="O19" s="808">
        <v>200</v>
      </c>
      <c r="P19" s="809">
        <v>3870</v>
      </c>
      <c r="Q19" s="809">
        <v>160</v>
      </c>
      <c r="R19" s="809">
        <v>80</v>
      </c>
      <c r="S19" s="809">
        <v>70</v>
      </c>
      <c r="T19" s="809">
        <v>190</v>
      </c>
      <c r="U19" s="891">
        <v>5929.85</v>
      </c>
      <c r="V19" s="890">
        <v>5929.85</v>
      </c>
      <c r="W19" s="870" t="s">
        <v>403</v>
      </c>
      <c r="X19" s="870">
        <v>0.134</v>
      </c>
      <c r="Y19" s="870">
        <v>1</v>
      </c>
      <c r="Z19" s="1010">
        <v>0.03</v>
      </c>
      <c r="AA19" s="946"/>
      <c r="AB19" s="946"/>
    </row>
    <row r="20" customHeight="1" spans="1:28">
      <c r="A20" s="946"/>
      <c r="B20" s="751" t="s">
        <v>78</v>
      </c>
      <c r="C20" s="751" t="s">
        <v>404</v>
      </c>
      <c r="D20" s="757">
        <v>600</v>
      </c>
      <c r="E20" s="751">
        <v>1840</v>
      </c>
      <c r="F20" s="773">
        <v>0.65</v>
      </c>
      <c r="G20" s="768">
        <v>0.134</v>
      </c>
      <c r="H20" s="762">
        <v>15</v>
      </c>
      <c r="I20" s="762">
        <v>2926.85</v>
      </c>
      <c r="J20" s="820" t="s">
        <v>180</v>
      </c>
      <c r="K20" s="787">
        <v>0.134</v>
      </c>
      <c r="L20" s="802">
        <v>4</v>
      </c>
      <c r="M20" s="800">
        <v>0.35</v>
      </c>
      <c r="N20" s="802" t="s">
        <v>402</v>
      </c>
      <c r="O20" s="801">
        <v>200</v>
      </c>
      <c r="P20" s="823">
        <v>3870</v>
      </c>
      <c r="Q20" s="802">
        <v>160</v>
      </c>
      <c r="R20" s="802">
        <v>80</v>
      </c>
      <c r="S20" s="802">
        <v>70</v>
      </c>
      <c r="T20" s="802">
        <v>190</v>
      </c>
      <c r="U20" s="887">
        <v>5929.85</v>
      </c>
      <c r="V20" s="872">
        <v>5929.85</v>
      </c>
      <c r="W20" s="873" t="s">
        <v>403</v>
      </c>
      <c r="X20" s="873">
        <v>0.134</v>
      </c>
      <c r="Y20" s="873">
        <v>1</v>
      </c>
      <c r="Z20" s="1011">
        <v>0.03</v>
      </c>
      <c r="AA20" s="946"/>
      <c r="AB20" s="946"/>
    </row>
    <row r="21" customHeight="1" spans="1:28">
      <c r="A21" s="946"/>
      <c r="B21" s="751" t="s">
        <v>78</v>
      </c>
      <c r="C21" s="751" t="s">
        <v>405</v>
      </c>
      <c r="D21" s="757">
        <v>500</v>
      </c>
      <c r="E21" s="751">
        <v>3200</v>
      </c>
      <c r="F21" s="758">
        <v>0.9</v>
      </c>
      <c r="G21" s="753">
        <v>4</v>
      </c>
      <c r="H21" s="762">
        <v>1e-5</v>
      </c>
      <c r="I21" s="762">
        <v>3421.85</v>
      </c>
      <c r="J21" s="782" t="s">
        <v>180</v>
      </c>
      <c r="K21" s="787">
        <v>0.134</v>
      </c>
      <c r="L21" s="809">
        <v>4</v>
      </c>
      <c r="M21" s="807">
        <v>0.35</v>
      </c>
      <c r="N21" s="809" t="s">
        <v>402</v>
      </c>
      <c r="O21" s="792">
        <v>200</v>
      </c>
      <c r="P21" s="824">
        <v>3870</v>
      </c>
      <c r="Q21" s="809">
        <v>160</v>
      </c>
      <c r="R21" s="793">
        <v>80</v>
      </c>
      <c r="S21" s="793">
        <v>70</v>
      </c>
      <c r="T21" s="793">
        <v>190</v>
      </c>
      <c r="U21" s="889">
        <v>5929.85</v>
      </c>
      <c r="V21" s="890">
        <v>5929.85</v>
      </c>
      <c r="W21" s="870" t="s">
        <v>403</v>
      </c>
      <c r="X21" s="870">
        <v>0.134</v>
      </c>
      <c r="Y21" s="870">
        <v>1</v>
      </c>
      <c r="Z21" s="1010">
        <v>0.03</v>
      </c>
      <c r="AA21" s="946"/>
      <c r="AB21" s="946"/>
    </row>
    <row r="22" customHeight="1" spans="1:28">
      <c r="A22" s="946"/>
      <c r="B22" s="751" t="s">
        <v>78</v>
      </c>
      <c r="C22" s="751" t="s">
        <v>406</v>
      </c>
      <c r="D22" s="757">
        <v>900</v>
      </c>
      <c r="E22" s="766">
        <v>1800</v>
      </c>
      <c r="F22" s="758">
        <v>0.6</v>
      </c>
      <c r="G22" s="816">
        <v>5.57</v>
      </c>
      <c r="H22" s="762">
        <v>1e-5</v>
      </c>
      <c r="I22" s="816">
        <v>3621.85</v>
      </c>
      <c r="J22" s="782" t="s">
        <v>180</v>
      </c>
      <c r="K22" s="787">
        <v>0.134</v>
      </c>
      <c r="L22" s="802">
        <v>4</v>
      </c>
      <c r="M22" s="800">
        <v>0.35</v>
      </c>
      <c r="N22" s="802" t="s">
        <v>402</v>
      </c>
      <c r="O22" s="792">
        <v>200</v>
      </c>
      <c r="P22" s="824">
        <v>3870</v>
      </c>
      <c r="Q22" s="802">
        <v>160</v>
      </c>
      <c r="R22" s="793">
        <v>80</v>
      </c>
      <c r="S22" s="793">
        <v>70</v>
      </c>
      <c r="T22" s="793">
        <v>190</v>
      </c>
      <c r="U22" s="887">
        <v>5929.85</v>
      </c>
      <c r="V22" s="872">
        <v>5929.85</v>
      </c>
      <c r="W22" s="873" t="s">
        <v>403</v>
      </c>
      <c r="X22" s="873">
        <v>0.134</v>
      </c>
      <c r="Y22" s="873">
        <v>1</v>
      </c>
      <c r="Z22" s="1011">
        <v>0.03</v>
      </c>
      <c r="AA22" s="946"/>
      <c r="AB22" s="946"/>
    </row>
    <row r="23" customHeight="1" spans="1:28">
      <c r="A23" s="946"/>
      <c r="B23" s="751" t="s">
        <v>407</v>
      </c>
      <c r="C23" s="751" t="s">
        <v>50</v>
      </c>
      <c r="D23" s="767">
        <v>200</v>
      </c>
      <c r="E23" s="952">
        <v>600</v>
      </c>
      <c r="F23" s="758">
        <v>0.85</v>
      </c>
      <c r="G23" s="825">
        <v>0.71</v>
      </c>
      <c r="H23" s="816">
        <v>8</v>
      </c>
      <c r="I23" s="825">
        <v>276.85</v>
      </c>
      <c r="J23" s="819" t="s">
        <v>180</v>
      </c>
      <c r="K23" s="751">
        <v>1.74</v>
      </c>
      <c r="L23" s="775">
        <v>3.1</v>
      </c>
      <c r="M23" s="780">
        <v>0.84</v>
      </c>
      <c r="N23" s="775" t="s">
        <v>52</v>
      </c>
      <c r="O23" s="793"/>
      <c r="P23" s="824"/>
      <c r="Q23" s="793"/>
      <c r="R23" s="793"/>
      <c r="S23" s="793"/>
      <c r="T23" s="793"/>
      <c r="U23" s="888"/>
      <c r="V23" s="862"/>
      <c r="W23" s="858"/>
      <c r="X23" s="858"/>
      <c r="Y23" s="858"/>
      <c r="Z23" s="858"/>
      <c r="AA23" s="946"/>
      <c r="AB23" s="946"/>
    </row>
    <row r="24" customHeight="1" spans="1:28">
      <c r="A24" s="946"/>
      <c r="B24" s="751" t="s">
        <v>407</v>
      </c>
      <c r="C24" s="751" t="s">
        <v>51</v>
      </c>
      <c r="D24" s="774">
        <v>600</v>
      </c>
      <c r="E24" s="775">
        <v>4000</v>
      </c>
      <c r="F24" s="773">
        <v>0.84</v>
      </c>
      <c r="G24" s="781">
        <v>0.71</v>
      </c>
      <c r="H24" s="781">
        <v>1.25</v>
      </c>
      <c r="I24" s="781">
        <v>276.85</v>
      </c>
      <c r="J24" s="819" t="s">
        <v>180</v>
      </c>
      <c r="K24" s="751">
        <v>1.74</v>
      </c>
      <c r="L24" s="775">
        <v>3.1</v>
      </c>
      <c r="M24" s="780">
        <v>0.84</v>
      </c>
      <c r="N24" s="775" t="s">
        <v>52</v>
      </c>
      <c r="O24" s="793"/>
      <c r="P24" s="824"/>
      <c r="Q24" s="793"/>
      <c r="R24" s="793"/>
      <c r="S24" s="793"/>
      <c r="T24" s="793"/>
      <c r="U24" s="888"/>
      <c r="V24" s="862"/>
      <c r="W24" s="858"/>
      <c r="X24" s="858"/>
      <c r="Y24" s="858"/>
      <c r="Z24" s="858"/>
      <c r="AA24" s="946"/>
      <c r="AB24" s="946"/>
    </row>
    <row r="25" customHeight="1" spans="1:28">
      <c r="A25" s="946"/>
      <c r="B25" s="751" t="s">
        <v>408</v>
      </c>
      <c r="C25" s="751" t="s">
        <v>409</v>
      </c>
      <c r="D25" s="752">
        <v>100</v>
      </c>
      <c r="E25" s="753">
        <v>200</v>
      </c>
      <c r="F25" s="754">
        <v>0.3</v>
      </c>
      <c r="G25" s="751">
        <v>1</v>
      </c>
      <c r="H25" s="762">
        <v>20</v>
      </c>
      <c r="I25" s="762">
        <v>132.85</v>
      </c>
      <c r="J25" s="782" t="s">
        <v>180</v>
      </c>
      <c r="K25" s="787">
        <v>1.69</v>
      </c>
      <c r="L25" s="793">
        <v>2</v>
      </c>
      <c r="M25" s="807">
        <v>0.3</v>
      </c>
      <c r="N25" s="809" t="s">
        <v>410</v>
      </c>
      <c r="O25" s="792">
        <v>3000</v>
      </c>
      <c r="P25" s="824">
        <v>9970</v>
      </c>
      <c r="Q25" s="809">
        <v>80</v>
      </c>
      <c r="R25" s="793">
        <v>100</v>
      </c>
      <c r="S25" s="793">
        <v>1050</v>
      </c>
      <c r="T25" s="793">
        <v>2850</v>
      </c>
      <c r="U25" s="848">
        <v>4131.85</v>
      </c>
      <c r="V25" s="869" t="s">
        <v>180</v>
      </c>
      <c r="W25" s="870" t="s">
        <v>411</v>
      </c>
      <c r="X25" s="870">
        <v>1</v>
      </c>
      <c r="Y25" s="858">
        <v>0.1</v>
      </c>
      <c r="Z25" s="1008">
        <v>0.07</v>
      </c>
      <c r="AA25" s="946"/>
      <c r="AB25" s="946"/>
    </row>
    <row r="26" customHeight="1" spans="1:28">
      <c r="A26" s="946" t="s">
        <v>394</v>
      </c>
      <c r="B26" s="751" t="s">
        <v>408</v>
      </c>
      <c r="C26" s="751" t="s">
        <v>412</v>
      </c>
      <c r="D26" s="757">
        <v>100</v>
      </c>
      <c r="E26" s="751">
        <v>200</v>
      </c>
      <c r="F26" s="758">
        <v>0.85</v>
      </c>
      <c r="G26" s="768">
        <v>1</v>
      </c>
      <c r="H26" s="762">
        <v>20</v>
      </c>
      <c r="I26" s="816">
        <v>132.85</v>
      </c>
      <c r="J26" s="957">
        <v>132.85</v>
      </c>
      <c r="K26" s="787">
        <v>1.69</v>
      </c>
      <c r="L26" s="793">
        <v>2</v>
      </c>
      <c r="M26" s="785">
        <v>0.3</v>
      </c>
      <c r="N26" s="802" t="s">
        <v>410</v>
      </c>
      <c r="O26" s="792">
        <v>3000</v>
      </c>
      <c r="P26" s="824">
        <v>9970</v>
      </c>
      <c r="Q26" s="802">
        <v>80</v>
      </c>
      <c r="R26" s="793">
        <v>100</v>
      </c>
      <c r="S26" s="793">
        <v>1050</v>
      </c>
      <c r="T26" s="793">
        <v>2850</v>
      </c>
      <c r="U26" s="836">
        <v>4131.85</v>
      </c>
      <c r="V26" s="885" t="s">
        <v>180</v>
      </c>
      <c r="W26" s="873" t="s">
        <v>411</v>
      </c>
      <c r="X26" s="873">
        <v>1</v>
      </c>
      <c r="Y26" s="858">
        <v>0.1</v>
      </c>
      <c r="Z26" s="1008">
        <v>0.07</v>
      </c>
      <c r="AA26" s="946"/>
      <c r="AB26" s="946"/>
    </row>
    <row r="27" customHeight="1" spans="1:28">
      <c r="A27" s="946" t="s">
        <v>394</v>
      </c>
      <c r="B27" s="751" t="s">
        <v>408</v>
      </c>
      <c r="C27" s="751" t="s">
        <v>413</v>
      </c>
      <c r="D27" s="757">
        <v>100</v>
      </c>
      <c r="E27" s="751">
        <v>200</v>
      </c>
      <c r="F27" s="758">
        <v>0.3</v>
      </c>
      <c r="G27" s="753">
        <v>1</v>
      </c>
      <c r="H27" s="762">
        <v>20</v>
      </c>
      <c r="I27" s="781">
        <v>858.85</v>
      </c>
      <c r="J27" s="830" t="s">
        <v>180</v>
      </c>
      <c r="K27" s="787">
        <v>1.69</v>
      </c>
      <c r="L27" s="809">
        <v>2</v>
      </c>
      <c r="M27" s="785">
        <v>0.3</v>
      </c>
      <c r="N27" s="809" t="s">
        <v>410</v>
      </c>
      <c r="O27" s="808">
        <v>3000</v>
      </c>
      <c r="P27" s="831">
        <v>9970</v>
      </c>
      <c r="Q27" s="809">
        <v>80</v>
      </c>
      <c r="R27" s="809">
        <v>100</v>
      </c>
      <c r="S27" s="809">
        <v>1050</v>
      </c>
      <c r="T27" s="809">
        <v>2850</v>
      </c>
      <c r="U27" s="848">
        <v>4131.85</v>
      </c>
      <c r="V27" s="869" t="s">
        <v>180</v>
      </c>
      <c r="W27" s="870" t="s">
        <v>411</v>
      </c>
      <c r="X27" s="870">
        <v>1</v>
      </c>
      <c r="Y27" s="858">
        <v>0.1</v>
      </c>
      <c r="Z27" s="1008">
        <v>0.07</v>
      </c>
      <c r="AA27" s="946"/>
      <c r="AB27" s="946"/>
    </row>
    <row r="28" customHeight="1" spans="1:28">
      <c r="A28" s="946"/>
      <c r="B28" s="772" t="s">
        <v>414</v>
      </c>
      <c r="C28" s="751" t="s">
        <v>73</v>
      </c>
      <c r="D28" s="757">
        <v>200</v>
      </c>
      <c r="E28" s="751">
        <v>300</v>
      </c>
      <c r="F28" s="758">
        <v>0.65</v>
      </c>
      <c r="G28" s="751">
        <v>0.2</v>
      </c>
      <c r="H28" s="762">
        <v>2</v>
      </c>
      <c r="I28" s="816">
        <v>125</v>
      </c>
      <c r="J28" s="819" t="s">
        <v>180</v>
      </c>
      <c r="K28" s="751">
        <v>1.48</v>
      </c>
      <c r="L28" s="768">
        <v>2</v>
      </c>
      <c r="M28" s="773">
        <v>0.75</v>
      </c>
      <c r="N28" s="768" t="s">
        <v>22</v>
      </c>
      <c r="O28" s="802"/>
      <c r="P28" s="802"/>
      <c r="Q28" s="802"/>
      <c r="R28" s="802"/>
      <c r="S28" s="802"/>
      <c r="T28" s="802"/>
      <c r="U28" s="871"/>
      <c r="V28" s="872"/>
      <c r="W28" s="873"/>
      <c r="X28" s="873"/>
      <c r="Y28" s="858"/>
      <c r="Z28" s="858"/>
      <c r="AA28" s="946"/>
      <c r="AB28" s="946"/>
    </row>
    <row r="29" customHeight="1" spans="1:28">
      <c r="A29" s="946"/>
      <c r="B29" s="772" t="s">
        <v>414</v>
      </c>
      <c r="C29" s="751" t="s">
        <v>415</v>
      </c>
      <c r="D29" s="757">
        <v>200</v>
      </c>
      <c r="E29" s="751">
        <v>300</v>
      </c>
      <c r="F29" s="758">
        <v>0.65</v>
      </c>
      <c r="G29" s="751">
        <v>0.2</v>
      </c>
      <c r="H29" s="762">
        <v>2</v>
      </c>
      <c r="I29" s="781">
        <v>125</v>
      </c>
      <c r="J29" s="819" t="s">
        <v>180</v>
      </c>
      <c r="K29" s="751">
        <v>1.48</v>
      </c>
      <c r="L29" s="753">
        <v>2</v>
      </c>
      <c r="M29" s="754">
        <v>0.75</v>
      </c>
      <c r="N29" s="753" t="s">
        <v>22</v>
      </c>
      <c r="O29" s="809"/>
      <c r="P29" s="793"/>
      <c r="Q29" s="809"/>
      <c r="R29" s="793"/>
      <c r="S29" s="809"/>
      <c r="T29" s="809"/>
      <c r="U29" s="891"/>
      <c r="V29" s="890"/>
      <c r="W29" s="870"/>
      <c r="X29" s="870"/>
      <c r="Y29" s="858"/>
      <c r="Z29" s="870"/>
      <c r="AA29" s="946"/>
      <c r="AB29" s="946"/>
    </row>
    <row r="30" customHeight="1" spans="1:28">
      <c r="A30" s="946"/>
      <c r="B30" s="764" t="s">
        <v>414</v>
      </c>
      <c r="C30" s="763" t="s">
        <v>44</v>
      </c>
      <c r="D30" s="757">
        <v>200</v>
      </c>
      <c r="E30" s="751">
        <v>300</v>
      </c>
      <c r="F30" s="758">
        <v>0.7</v>
      </c>
      <c r="G30" s="751">
        <v>0.83</v>
      </c>
      <c r="H30" s="768">
        <v>2</v>
      </c>
      <c r="I30" s="762">
        <v>125</v>
      </c>
      <c r="J30" s="819" t="s">
        <v>180</v>
      </c>
      <c r="K30" s="751">
        <v>1.48</v>
      </c>
      <c r="L30" s="751">
        <v>2</v>
      </c>
      <c r="M30" s="758">
        <v>0.75</v>
      </c>
      <c r="N30" s="751" t="s">
        <v>22</v>
      </c>
      <c r="O30" s="802"/>
      <c r="P30" s="793"/>
      <c r="Q30" s="787"/>
      <c r="R30" s="793"/>
      <c r="S30" s="787"/>
      <c r="T30" s="787"/>
      <c r="U30" s="892"/>
      <c r="V30" s="893"/>
      <c r="W30" s="854"/>
      <c r="X30" s="854"/>
      <c r="Y30" s="858"/>
      <c r="Z30" s="854"/>
      <c r="AA30" s="946"/>
      <c r="AB30" s="946"/>
    </row>
    <row r="31" customHeight="1" spans="1:28">
      <c r="A31" s="946"/>
      <c r="B31" s="762" t="s">
        <v>416</v>
      </c>
      <c r="C31" s="763" t="s">
        <v>22</v>
      </c>
      <c r="D31" s="757">
        <v>1840</v>
      </c>
      <c r="E31" s="751">
        <v>1840</v>
      </c>
      <c r="F31" s="758">
        <v>0.75</v>
      </c>
      <c r="G31" s="751">
        <v>1.48</v>
      </c>
      <c r="H31" s="753">
        <v>2</v>
      </c>
      <c r="I31" s="762">
        <v>326.85</v>
      </c>
      <c r="J31" s="763" t="s">
        <v>180</v>
      </c>
      <c r="K31" s="751">
        <v>0.83</v>
      </c>
      <c r="L31" s="768">
        <v>2</v>
      </c>
      <c r="M31" s="773">
        <v>0.7</v>
      </c>
      <c r="N31" s="768" t="s">
        <v>42</v>
      </c>
      <c r="O31" s="802"/>
      <c r="P31" s="793"/>
      <c r="Q31" s="802"/>
      <c r="R31" s="793"/>
      <c r="S31" s="802"/>
      <c r="T31" s="802"/>
      <c r="U31" s="871"/>
      <c r="V31" s="872"/>
      <c r="W31" s="873"/>
      <c r="X31" s="873"/>
      <c r="Y31" s="858"/>
      <c r="Z31" s="873"/>
      <c r="AA31" s="946"/>
      <c r="AB31" s="946"/>
    </row>
    <row r="32" customHeight="1" spans="1:28">
      <c r="A32" s="946"/>
      <c r="B32" s="762" t="s">
        <v>407</v>
      </c>
      <c r="C32" s="763" t="s">
        <v>52</v>
      </c>
      <c r="D32" s="757">
        <v>600</v>
      </c>
      <c r="E32" s="751">
        <v>4000</v>
      </c>
      <c r="F32" s="758">
        <v>0.84</v>
      </c>
      <c r="G32" s="751">
        <v>1.74</v>
      </c>
      <c r="H32" s="762">
        <v>3.1</v>
      </c>
      <c r="I32" s="762">
        <v>4326.85</v>
      </c>
      <c r="J32" s="782">
        <v>3551.85</v>
      </c>
      <c r="K32" s="787">
        <v>0.71</v>
      </c>
      <c r="L32" s="809">
        <v>2</v>
      </c>
      <c r="M32" s="807">
        <v>0.84</v>
      </c>
      <c r="N32" s="809" t="s">
        <v>417</v>
      </c>
      <c r="O32" s="808">
        <v>600</v>
      </c>
      <c r="P32" s="793">
        <v>4000</v>
      </c>
      <c r="Q32" s="809">
        <v>480</v>
      </c>
      <c r="R32" s="793">
        <v>0.04</v>
      </c>
      <c r="S32" s="809">
        <v>210</v>
      </c>
      <c r="T32" s="809">
        <v>570</v>
      </c>
      <c r="U32" s="891">
        <v>4826.85</v>
      </c>
      <c r="V32" s="890">
        <v>4826.85</v>
      </c>
      <c r="W32" s="870" t="s">
        <v>418</v>
      </c>
      <c r="X32" s="870">
        <v>0.71</v>
      </c>
      <c r="Y32" s="858">
        <v>1.7</v>
      </c>
      <c r="Z32" s="1010">
        <v>0.08</v>
      </c>
      <c r="AA32" s="946"/>
      <c r="AB32" s="946"/>
    </row>
    <row r="33" customHeight="1" spans="1:28">
      <c r="A33" s="946"/>
      <c r="B33" s="751" t="s">
        <v>407</v>
      </c>
      <c r="C33" s="751" t="s">
        <v>419</v>
      </c>
      <c r="D33" s="757">
        <v>700</v>
      </c>
      <c r="E33" s="751">
        <v>1840</v>
      </c>
      <c r="F33" s="758">
        <v>0.8</v>
      </c>
      <c r="G33" s="768">
        <v>0.516</v>
      </c>
      <c r="H33" s="762">
        <v>80</v>
      </c>
      <c r="I33" s="762">
        <v>3926.85</v>
      </c>
      <c r="J33" s="820" t="s">
        <v>180</v>
      </c>
      <c r="K33" s="787">
        <v>0.71</v>
      </c>
      <c r="L33" s="802">
        <v>2</v>
      </c>
      <c r="M33" s="800">
        <v>0.84</v>
      </c>
      <c r="N33" s="802" t="s">
        <v>417</v>
      </c>
      <c r="O33" s="801">
        <v>600</v>
      </c>
      <c r="P33" s="793">
        <v>4000</v>
      </c>
      <c r="Q33" s="802">
        <v>480</v>
      </c>
      <c r="R33" s="793">
        <v>0.04</v>
      </c>
      <c r="S33" s="802">
        <v>210</v>
      </c>
      <c r="T33" s="802">
        <v>570</v>
      </c>
      <c r="U33" s="871">
        <v>4826.85</v>
      </c>
      <c r="V33" s="872">
        <v>4826.85</v>
      </c>
      <c r="W33" s="873" t="s">
        <v>418</v>
      </c>
      <c r="X33" s="873">
        <v>0.71</v>
      </c>
      <c r="Y33" s="858">
        <v>1.7</v>
      </c>
      <c r="Z33" s="1011">
        <v>0.08</v>
      </c>
      <c r="AA33" s="946"/>
      <c r="AB33" s="946"/>
    </row>
    <row r="34" customHeight="1" spans="1:28">
      <c r="A34" s="946"/>
      <c r="B34" s="751" t="s">
        <v>407</v>
      </c>
      <c r="C34" s="751" t="s">
        <v>420</v>
      </c>
      <c r="D34" s="757">
        <v>30</v>
      </c>
      <c r="E34" s="766">
        <v>50</v>
      </c>
      <c r="F34" s="758">
        <v>0.6</v>
      </c>
      <c r="G34" s="753">
        <v>0.95</v>
      </c>
      <c r="H34" s="762">
        <v>50</v>
      </c>
      <c r="I34" s="762">
        <v>3926.85</v>
      </c>
      <c r="J34" s="833" t="s">
        <v>180</v>
      </c>
      <c r="K34" s="787">
        <v>0.71</v>
      </c>
      <c r="L34" s="793">
        <v>2</v>
      </c>
      <c r="M34" s="791">
        <v>0.84</v>
      </c>
      <c r="N34" s="793" t="s">
        <v>417</v>
      </c>
      <c r="O34" s="792">
        <v>600</v>
      </c>
      <c r="P34" s="793">
        <v>4000</v>
      </c>
      <c r="Q34" s="793">
        <v>480</v>
      </c>
      <c r="R34" s="793">
        <v>0.04</v>
      </c>
      <c r="S34" s="793">
        <v>210</v>
      </c>
      <c r="T34" s="793">
        <v>570</v>
      </c>
      <c r="U34" s="861">
        <v>4826.85</v>
      </c>
      <c r="V34" s="862">
        <v>4826.85</v>
      </c>
      <c r="W34" s="858" t="s">
        <v>418</v>
      </c>
      <c r="X34" s="858">
        <v>0.71</v>
      </c>
      <c r="Y34" s="858">
        <v>1.7</v>
      </c>
      <c r="Z34" s="1008">
        <v>0.08</v>
      </c>
      <c r="AA34" s="946"/>
      <c r="AB34" s="946"/>
    </row>
    <row r="35" customHeight="1" spans="1:28">
      <c r="A35" s="946"/>
      <c r="B35" s="751" t="s">
        <v>421</v>
      </c>
      <c r="C35" s="751" t="s">
        <v>20</v>
      </c>
      <c r="D35" s="757">
        <v>870</v>
      </c>
      <c r="E35" s="751">
        <v>1840</v>
      </c>
      <c r="F35" s="758">
        <v>0.8</v>
      </c>
      <c r="G35" s="751">
        <v>1.69</v>
      </c>
      <c r="H35" s="768">
        <v>2</v>
      </c>
      <c r="I35" s="788">
        <v>-40.14999</v>
      </c>
      <c r="J35" s="789">
        <v>-40.14999</v>
      </c>
      <c r="K35" s="817">
        <v>1.69</v>
      </c>
      <c r="L35" s="790">
        <v>2</v>
      </c>
      <c r="M35" s="791">
        <v>0.8</v>
      </c>
      <c r="N35" s="958" t="s">
        <v>422</v>
      </c>
      <c r="O35" s="792">
        <v>870</v>
      </c>
      <c r="P35" s="793">
        <v>870</v>
      </c>
      <c r="Q35" s="856">
        <v>696</v>
      </c>
      <c r="R35" s="793">
        <v>0.4</v>
      </c>
      <c r="S35" s="793">
        <f>0.35*O35</f>
        <v>304.5</v>
      </c>
      <c r="T35" s="793">
        <f>0.95*O35</f>
        <v>826.5</v>
      </c>
      <c r="U35" s="975">
        <v>399.85</v>
      </c>
      <c r="V35" s="976" t="s">
        <v>180</v>
      </c>
      <c r="W35" s="790" t="s">
        <v>423</v>
      </c>
      <c r="X35" s="793">
        <v>1.76</v>
      </c>
      <c r="Y35" s="793">
        <v>2</v>
      </c>
      <c r="Z35" s="791">
        <v>0.8</v>
      </c>
      <c r="AA35" s="946"/>
      <c r="AB35" s="946"/>
    </row>
    <row r="36" customHeight="1" spans="1:28">
      <c r="A36" s="946"/>
      <c r="B36" s="751" t="s">
        <v>421</v>
      </c>
      <c r="C36" s="751" t="s">
        <v>19</v>
      </c>
      <c r="D36" s="757">
        <v>740</v>
      </c>
      <c r="E36" s="751">
        <v>1840</v>
      </c>
      <c r="F36" s="758">
        <v>0.8</v>
      </c>
      <c r="G36" s="751">
        <v>1.76</v>
      </c>
      <c r="H36" s="753">
        <v>2</v>
      </c>
      <c r="I36" s="788">
        <v>-57.14999</v>
      </c>
      <c r="J36" s="846">
        <v>-57.14999</v>
      </c>
      <c r="K36" s="817">
        <v>1.76</v>
      </c>
      <c r="L36" s="815">
        <v>2</v>
      </c>
      <c r="M36" s="807">
        <v>0.8</v>
      </c>
      <c r="N36" s="959" t="s">
        <v>423</v>
      </c>
      <c r="O36" s="808">
        <v>740</v>
      </c>
      <c r="P36" s="809">
        <v>740</v>
      </c>
      <c r="Q36" s="868">
        <v>592</v>
      </c>
      <c r="R36" s="809">
        <v>0.4</v>
      </c>
      <c r="S36" s="809">
        <v>259</v>
      </c>
      <c r="T36" s="809">
        <v>703</v>
      </c>
      <c r="U36" s="980">
        <v>538.85</v>
      </c>
      <c r="V36" s="981">
        <v>-161.5</v>
      </c>
      <c r="W36" s="832" t="s">
        <v>424</v>
      </c>
      <c r="X36" s="870">
        <v>1.898</v>
      </c>
      <c r="Y36" s="870">
        <v>0.018</v>
      </c>
      <c r="Z36" s="1010">
        <v>0.05</v>
      </c>
      <c r="AA36" s="946"/>
      <c r="AB36" s="946"/>
    </row>
    <row r="37" customHeight="1" spans="1:29">
      <c r="A37" s="946"/>
      <c r="B37" s="772" t="s">
        <v>425</v>
      </c>
      <c r="C37" s="751" t="s">
        <v>26</v>
      </c>
      <c r="D37" s="757">
        <v>300</v>
      </c>
      <c r="E37" s="751">
        <v>1</v>
      </c>
      <c r="F37" s="773">
        <v>0.82</v>
      </c>
      <c r="G37" s="768">
        <v>1.01</v>
      </c>
      <c r="H37" s="816">
        <v>1</v>
      </c>
      <c r="I37" s="788">
        <v>-218.79</v>
      </c>
      <c r="J37" s="813">
        <v>-218.79</v>
      </c>
      <c r="K37" s="817">
        <v>1.01</v>
      </c>
      <c r="L37" s="812">
        <v>2</v>
      </c>
      <c r="M37" s="785">
        <v>0.82</v>
      </c>
      <c r="N37" s="834" t="s">
        <v>426</v>
      </c>
      <c r="O37" s="960">
        <v>300</v>
      </c>
      <c r="P37" s="836">
        <v>500</v>
      </c>
      <c r="Q37" s="982">
        <v>240</v>
      </c>
      <c r="R37" s="836">
        <v>0.04</v>
      </c>
      <c r="S37" s="836">
        <v>105</v>
      </c>
      <c r="T37" s="836">
        <v>285</v>
      </c>
      <c r="U37" s="983">
        <v>-182.96</v>
      </c>
      <c r="V37" s="983">
        <v>-182.96</v>
      </c>
      <c r="W37" s="984" t="s">
        <v>427</v>
      </c>
      <c r="X37" s="895" t="s">
        <v>428</v>
      </c>
      <c r="Y37" s="895">
        <v>0.024</v>
      </c>
      <c r="Z37" s="1012">
        <v>0.08</v>
      </c>
      <c r="AA37" s="1013"/>
      <c r="AB37" s="1006"/>
      <c r="AC37" s="1007"/>
    </row>
    <row r="38" customHeight="1" spans="1:29">
      <c r="A38" s="946"/>
      <c r="B38" s="772" t="s">
        <v>425</v>
      </c>
      <c r="C38" s="772" t="s">
        <v>38</v>
      </c>
      <c r="D38" s="757">
        <v>600</v>
      </c>
      <c r="E38" s="751">
        <v>2000</v>
      </c>
      <c r="F38" s="754">
        <v>0.8</v>
      </c>
      <c r="G38" s="753">
        <v>0.846</v>
      </c>
      <c r="H38" s="825">
        <v>1.46</v>
      </c>
      <c r="I38" s="788">
        <v>-56.54999</v>
      </c>
      <c r="J38" s="789">
        <v>-56.54999</v>
      </c>
      <c r="K38" s="817">
        <v>0.846</v>
      </c>
      <c r="L38" s="790">
        <v>1.46</v>
      </c>
      <c r="M38" s="785">
        <v>0.8</v>
      </c>
      <c r="N38" s="961" t="s">
        <v>429</v>
      </c>
      <c r="O38" s="842">
        <v>600</v>
      </c>
      <c r="P38" s="840">
        <v>2000</v>
      </c>
      <c r="Q38" s="985">
        <v>480</v>
      </c>
      <c r="R38" s="840">
        <v>0.04</v>
      </c>
      <c r="S38" s="840">
        <v>210</v>
      </c>
      <c r="T38" s="840">
        <v>570</v>
      </c>
      <c r="U38" s="986">
        <v>-48.14999</v>
      </c>
      <c r="V38" s="986">
        <v>-48.14999</v>
      </c>
      <c r="W38" s="984" t="s">
        <v>216</v>
      </c>
      <c r="X38" s="895">
        <v>0.846</v>
      </c>
      <c r="Y38" s="895">
        <v>0.0146</v>
      </c>
      <c r="Z38" s="1012">
        <v>0.08</v>
      </c>
      <c r="AA38" s="1013"/>
      <c r="AB38" s="1006"/>
      <c r="AC38" s="1007"/>
    </row>
    <row r="39" customHeight="1" spans="1:29">
      <c r="A39" s="946"/>
      <c r="B39" s="772" t="s">
        <v>430</v>
      </c>
      <c r="C39" s="751" t="s">
        <v>27</v>
      </c>
      <c r="D39" s="757">
        <v>1840</v>
      </c>
      <c r="E39" s="751">
        <v>1840</v>
      </c>
      <c r="F39" s="758">
        <v>0.75</v>
      </c>
      <c r="G39" s="751">
        <v>1</v>
      </c>
      <c r="H39" s="825">
        <v>2</v>
      </c>
      <c r="I39" s="788">
        <v>1409.85</v>
      </c>
      <c r="J39" s="789">
        <v>1409.85</v>
      </c>
      <c r="K39" s="787">
        <v>1</v>
      </c>
      <c r="L39" s="793">
        <v>1</v>
      </c>
      <c r="M39" s="785">
        <v>0.8</v>
      </c>
      <c r="N39" s="962" t="s">
        <v>431</v>
      </c>
      <c r="O39" s="842">
        <v>1840</v>
      </c>
      <c r="P39" s="840">
        <v>1840</v>
      </c>
      <c r="Q39" s="840">
        <v>1472</v>
      </c>
      <c r="R39" s="840">
        <v>200</v>
      </c>
      <c r="S39" s="840">
        <v>644</v>
      </c>
      <c r="T39" s="840">
        <v>1748</v>
      </c>
      <c r="U39" s="888">
        <v>2356.85</v>
      </c>
      <c r="V39" s="888">
        <v>2356.85</v>
      </c>
      <c r="W39" s="895" t="s">
        <v>411</v>
      </c>
      <c r="X39" s="895">
        <v>1</v>
      </c>
      <c r="Y39" s="895">
        <v>0.1</v>
      </c>
      <c r="Z39" s="1012">
        <v>0.07</v>
      </c>
      <c r="AA39" s="1013"/>
      <c r="AB39" s="1006"/>
      <c r="AC39" s="1007"/>
    </row>
    <row r="40" customHeight="1" spans="1:29">
      <c r="A40" s="946"/>
      <c r="B40" s="772" t="s">
        <v>430</v>
      </c>
      <c r="C40" s="751" t="s">
        <v>432</v>
      </c>
      <c r="D40" s="757">
        <v>1840</v>
      </c>
      <c r="E40" s="768">
        <v>1840</v>
      </c>
      <c r="F40" s="758">
        <v>0.7</v>
      </c>
      <c r="G40" s="751">
        <v>0.79</v>
      </c>
      <c r="H40" s="825">
        <v>3.39</v>
      </c>
      <c r="I40" s="762">
        <v>668.85</v>
      </c>
      <c r="J40" s="796" t="s">
        <v>180</v>
      </c>
      <c r="K40" s="787">
        <v>1</v>
      </c>
      <c r="L40" s="809">
        <v>1</v>
      </c>
      <c r="M40" s="785">
        <v>0.8</v>
      </c>
      <c r="N40" s="963" t="s">
        <v>431</v>
      </c>
      <c r="O40" s="842">
        <v>1840</v>
      </c>
      <c r="P40" s="840">
        <v>1840</v>
      </c>
      <c r="Q40" s="840">
        <v>1472</v>
      </c>
      <c r="R40" s="840">
        <v>200</v>
      </c>
      <c r="S40" s="840">
        <v>644</v>
      </c>
      <c r="T40" s="840">
        <v>1748</v>
      </c>
      <c r="U40" s="888">
        <v>2356.85</v>
      </c>
      <c r="V40" s="888">
        <v>2356.85</v>
      </c>
      <c r="W40" s="895" t="s">
        <v>411</v>
      </c>
      <c r="X40" s="895">
        <v>1</v>
      </c>
      <c r="Y40" s="895">
        <v>0.1</v>
      </c>
      <c r="Z40" s="1012">
        <v>0.07</v>
      </c>
      <c r="AA40" s="1013"/>
      <c r="AB40" s="1006"/>
      <c r="AC40" s="1007"/>
    </row>
    <row r="41" customHeight="1" spans="1:29">
      <c r="A41" s="946"/>
      <c r="B41" s="772" t="s">
        <v>430</v>
      </c>
      <c r="C41" s="751" t="s">
        <v>69</v>
      </c>
      <c r="D41" s="757">
        <v>1840</v>
      </c>
      <c r="E41" s="753">
        <v>1840</v>
      </c>
      <c r="F41" s="758">
        <v>0.7</v>
      </c>
      <c r="G41" s="751">
        <v>0.2</v>
      </c>
      <c r="H41" s="781">
        <v>2</v>
      </c>
      <c r="I41" s="762">
        <v>926.85</v>
      </c>
      <c r="J41" s="796" t="s">
        <v>180</v>
      </c>
      <c r="K41" s="787">
        <v>1</v>
      </c>
      <c r="L41" s="787">
        <v>1</v>
      </c>
      <c r="M41" s="785">
        <v>0.8</v>
      </c>
      <c r="N41" s="963" t="s">
        <v>431</v>
      </c>
      <c r="O41" s="842">
        <v>1840</v>
      </c>
      <c r="P41" s="840">
        <v>1840</v>
      </c>
      <c r="Q41" s="840">
        <v>1472</v>
      </c>
      <c r="R41" s="840">
        <v>200</v>
      </c>
      <c r="S41" s="840">
        <v>644</v>
      </c>
      <c r="T41" s="840">
        <v>1748</v>
      </c>
      <c r="U41" s="888">
        <v>2356.85</v>
      </c>
      <c r="V41" s="888">
        <v>2356.85</v>
      </c>
      <c r="W41" s="895" t="s">
        <v>411</v>
      </c>
      <c r="X41" s="895">
        <v>1</v>
      </c>
      <c r="Y41" s="895">
        <v>0.1</v>
      </c>
      <c r="Z41" s="1012">
        <v>0.07</v>
      </c>
      <c r="AA41" s="1013"/>
      <c r="AB41" s="1006"/>
      <c r="AC41" s="1007"/>
    </row>
    <row r="42" customHeight="1" spans="1:29">
      <c r="A42" s="946" t="s">
        <v>394</v>
      </c>
      <c r="B42" s="772" t="s">
        <v>430</v>
      </c>
      <c r="C42" s="751" t="s">
        <v>70</v>
      </c>
      <c r="D42" s="767">
        <v>1840</v>
      </c>
      <c r="E42" s="751">
        <v>1840</v>
      </c>
      <c r="F42" s="758">
        <v>0.65</v>
      </c>
      <c r="G42" s="751">
        <v>0.2</v>
      </c>
      <c r="H42" s="751">
        <v>1</v>
      </c>
      <c r="I42" s="798">
        <v>1409.85</v>
      </c>
      <c r="J42" s="796" t="s">
        <v>180</v>
      </c>
      <c r="K42" s="802">
        <v>1</v>
      </c>
      <c r="L42" s="802">
        <v>1</v>
      </c>
      <c r="M42" s="785">
        <v>0.8</v>
      </c>
      <c r="N42" s="964" t="s">
        <v>431</v>
      </c>
      <c r="O42" s="842">
        <v>1840</v>
      </c>
      <c r="P42" s="840">
        <v>1840</v>
      </c>
      <c r="Q42" s="840">
        <v>1472</v>
      </c>
      <c r="R42" s="840">
        <v>200</v>
      </c>
      <c r="S42" s="840">
        <v>644</v>
      </c>
      <c r="T42" s="840">
        <v>1748</v>
      </c>
      <c r="U42" s="888">
        <v>2356.85</v>
      </c>
      <c r="V42" s="888">
        <v>2356.85</v>
      </c>
      <c r="W42" s="895" t="s">
        <v>411</v>
      </c>
      <c r="X42" s="895">
        <v>1</v>
      </c>
      <c r="Y42" s="895">
        <v>0.1</v>
      </c>
      <c r="Z42" s="1012">
        <v>0.07</v>
      </c>
      <c r="AA42" s="1013"/>
      <c r="AB42" s="1006"/>
      <c r="AC42" s="1007"/>
    </row>
    <row r="43" customHeight="1" spans="1:29">
      <c r="A43" s="946"/>
      <c r="B43" s="772" t="s">
        <v>430</v>
      </c>
      <c r="C43" s="751" t="s">
        <v>47</v>
      </c>
      <c r="D43" s="767">
        <v>1000</v>
      </c>
      <c r="E43" s="768">
        <v>1840</v>
      </c>
      <c r="F43" s="773">
        <v>0.7</v>
      </c>
      <c r="G43" s="751">
        <v>0.8</v>
      </c>
      <c r="H43" s="751">
        <v>2.9</v>
      </c>
      <c r="I43" s="956">
        <v>926.85</v>
      </c>
      <c r="J43" s="814" t="s">
        <v>180</v>
      </c>
      <c r="K43" s="809">
        <v>1</v>
      </c>
      <c r="L43" s="809">
        <v>1</v>
      </c>
      <c r="M43" s="785">
        <v>0.8</v>
      </c>
      <c r="N43" s="962" t="s">
        <v>431</v>
      </c>
      <c r="O43" s="847">
        <v>1840</v>
      </c>
      <c r="P43" s="848">
        <v>1840</v>
      </c>
      <c r="Q43" s="848">
        <v>1472</v>
      </c>
      <c r="R43" s="848">
        <v>200</v>
      </c>
      <c r="S43" s="848">
        <v>644</v>
      </c>
      <c r="T43" s="848">
        <v>1748</v>
      </c>
      <c r="U43" s="889">
        <v>2356.85</v>
      </c>
      <c r="V43" s="889">
        <v>2356.85</v>
      </c>
      <c r="W43" s="895" t="s">
        <v>411</v>
      </c>
      <c r="X43" s="895">
        <v>1</v>
      </c>
      <c r="Y43" s="895">
        <v>0.1</v>
      </c>
      <c r="Z43" s="1012">
        <v>0.07</v>
      </c>
      <c r="AA43" s="1013"/>
      <c r="AB43" s="1006"/>
      <c r="AC43" s="1007"/>
    </row>
    <row r="44" customHeight="1" spans="1:28">
      <c r="A44" s="946"/>
      <c r="B44" s="772" t="s">
        <v>430</v>
      </c>
      <c r="C44" s="751" t="s">
        <v>433</v>
      </c>
      <c r="D44" s="752">
        <v>1000</v>
      </c>
      <c r="E44" s="753">
        <v>1840</v>
      </c>
      <c r="F44" s="754">
        <v>0.75</v>
      </c>
      <c r="G44" s="751">
        <v>0.2</v>
      </c>
      <c r="H44" s="751">
        <v>2</v>
      </c>
      <c r="I44" s="762">
        <v>2726.85</v>
      </c>
      <c r="J44" s="782" t="s">
        <v>180</v>
      </c>
      <c r="K44" s="802">
        <v>1</v>
      </c>
      <c r="L44" s="802">
        <v>1</v>
      </c>
      <c r="M44" s="800">
        <v>0.8</v>
      </c>
      <c r="N44" s="965" t="s">
        <v>431</v>
      </c>
      <c r="O44" s="792">
        <v>1840</v>
      </c>
      <c r="P44" s="793">
        <v>1840</v>
      </c>
      <c r="Q44" s="793">
        <v>1472</v>
      </c>
      <c r="R44" s="793">
        <v>200</v>
      </c>
      <c r="S44" s="793">
        <v>644</v>
      </c>
      <c r="T44" s="793">
        <v>1748</v>
      </c>
      <c r="U44" s="861">
        <v>2356.85</v>
      </c>
      <c r="V44" s="862">
        <v>2356.85</v>
      </c>
      <c r="W44" s="854" t="s">
        <v>411</v>
      </c>
      <c r="X44" s="854">
        <v>1</v>
      </c>
      <c r="Y44" s="854">
        <v>0.1</v>
      </c>
      <c r="Z44" s="913">
        <v>0.07</v>
      </c>
      <c r="AA44" s="946"/>
      <c r="AB44" s="946"/>
    </row>
    <row r="45" customHeight="1" spans="1:28">
      <c r="A45" s="946"/>
      <c r="B45" s="772" t="s">
        <v>430</v>
      </c>
      <c r="C45" s="751" t="s">
        <v>434</v>
      </c>
      <c r="D45" s="757">
        <v>1000</v>
      </c>
      <c r="E45" s="751">
        <v>2000</v>
      </c>
      <c r="F45" s="758">
        <v>0.65</v>
      </c>
      <c r="G45" s="751">
        <v>0.84</v>
      </c>
      <c r="H45" s="762">
        <v>0.62</v>
      </c>
      <c r="I45" s="816">
        <v>1849.85</v>
      </c>
      <c r="J45" s="782" t="s">
        <v>180</v>
      </c>
      <c r="K45" s="793">
        <v>1</v>
      </c>
      <c r="L45" s="793">
        <v>1</v>
      </c>
      <c r="M45" s="791">
        <v>0.8</v>
      </c>
      <c r="N45" s="954" t="s">
        <v>431</v>
      </c>
      <c r="O45" s="792">
        <v>1840</v>
      </c>
      <c r="P45" s="793">
        <v>1840</v>
      </c>
      <c r="Q45" s="793">
        <v>1472</v>
      </c>
      <c r="R45" s="793">
        <v>200</v>
      </c>
      <c r="S45" s="793">
        <v>644</v>
      </c>
      <c r="T45" s="793">
        <v>1748</v>
      </c>
      <c r="U45" s="861">
        <v>2356.85</v>
      </c>
      <c r="V45" s="862">
        <v>2356.85</v>
      </c>
      <c r="W45" s="854" t="s">
        <v>411</v>
      </c>
      <c r="X45" s="854">
        <v>1</v>
      </c>
      <c r="Y45" s="854">
        <v>0.1</v>
      </c>
      <c r="Z45" s="913">
        <v>0.07</v>
      </c>
      <c r="AA45" s="946"/>
      <c r="AB45" s="946"/>
    </row>
    <row r="46" customHeight="1" spans="1:28">
      <c r="A46" s="946"/>
      <c r="B46" s="772" t="s">
        <v>430</v>
      </c>
      <c r="C46" s="751" t="s">
        <v>435</v>
      </c>
      <c r="D46" s="757">
        <v>500</v>
      </c>
      <c r="E46" s="751">
        <v>1000</v>
      </c>
      <c r="F46" s="758">
        <v>0.7</v>
      </c>
      <c r="G46" s="751">
        <v>0.91</v>
      </c>
      <c r="H46" s="762">
        <v>2</v>
      </c>
      <c r="I46" s="781">
        <v>1338.85</v>
      </c>
      <c r="J46" s="782" t="s">
        <v>180</v>
      </c>
      <c r="K46" s="809">
        <v>1</v>
      </c>
      <c r="L46" s="809">
        <v>1</v>
      </c>
      <c r="M46" s="807">
        <v>0.8</v>
      </c>
      <c r="N46" s="966" t="s">
        <v>431</v>
      </c>
      <c r="O46" s="808">
        <v>1840</v>
      </c>
      <c r="P46" s="809">
        <v>1840</v>
      </c>
      <c r="Q46" s="809">
        <v>1472</v>
      </c>
      <c r="R46" s="809">
        <v>200</v>
      </c>
      <c r="S46" s="809">
        <v>644</v>
      </c>
      <c r="T46" s="809">
        <v>1748</v>
      </c>
      <c r="U46" s="891">
        <v>2356.85</v>
      </c>
      <c r="V46" s="890">
        <v>2356.85</v>
      </c>
      <c r="W46" s="854" t="s">
        <v>411</v>
      </c>
      <c r="X46" s="854">
        <v>1</v>
      </c>
      <c r="Y46" s="854">
        <v>0.1</v>
      </c>
      <c r="Z46" s="913">
        <v>0.07</v>
      </c>
      <c r="AA46" s="946"/>
      <c r="AB46" s="946"/>
    </row>
    <row r="47" customHeight="1" spans="1:28">
      <c r="A47" s="946"/>
      <c r="B47" s="751" t="s">
        <v>72</v>
      </c>
      <c r="C47" s="751" t="s">
        <v>72</v>
      </c>
      <c r="D47" s="757">
        <v>1000</v>
      </c>
      <c r="E47" s="751">
        <v>1000</v>
      </c>
      <c r="F47" s="773">
        <v>0.6</v>
      </c>
      <c r="G47" s="751">
        <v>0.2</v>
      </c>
      <c r="H47" s="762">
        <v>1</v>
      </c>
      <c r="I47" s="762">
        <v>1409.85</v>
      </c>
      <c r="J47" s="782" t="s">
        <v>180</v>
      </c>
      <c r="K47" s="787">
        <v>1</v>
      </c>
      <c r="L47" s="802">
        <v>1</v>
      </c>
      <c r="M47" s="800">
        <v>0.8</v>
      </c>
      <c r="N47" s="965" t="s">
        <v>431</v>
      </c>
      <c r="O47" s="786">
        <v>1840</v>
      </c>
      <c r="P47" s="802">
        <v>1840</v>
      </c>
      <c r="Q47" s="802">
        <v>1472</v>
      </c>
      <c r="R47" s="802">
        <v>200</v>
      </c>
      <c r="S47" s="802">
        <v>644</v>
      </c>
      <c r="T47" s="802">
        <v>1748</v>
      </c>
      <c r="U47" s="871">
        <v>2356.85</v>
      </c>
      <c r="V47" s="872">
        <v>2356.85</v>
      </c>
      <c r="W47" s="873" t="s">
        <v>411</v>
      </c>
      <c r="X47" s="873">
        <v>1</v>
      </c>
      <c r="Y47" s="873">
        <v>0.1</v>
      </c>
      <c r="Z47" s="1011">
        <v>0.07</v>
      </c>
      <c r="AA47" s="946"/>
      <c r="AB47" s="946"/>
    </row>
    <row r="48" customHeight="1" spans="1:28">
      <c r="A48" s="946"/>
      <c r="B48" s="751" t="s">
        <v>436</v>
      </c>
      <c r="C48" s="751" t="s">
        <v>436</v>
      </c>
      <c r="D48" s="757">
        <v>1000</v>
      </c>
      <c r="E48" s="766">
        <v>1840</v>
      </c>
      <c r="F48" s="754">
        <v>0.75</v>
      </c>
      <c r="G48" s="751">
        <v>0.834</v>
      </c>
      <c r="H48" s="762">
        <v>2</v>
      </c>
      <c r="I48" s="762">
        <v>1056.85</v>
      </c>
      <c r="J48" s="820" t="s">
        <v>180</v>
      </c>
      <c r="K48" s="787">
        <v>1</v>
      </c>
      <c r="L48" s="809">
        <v>1</v>
      </c>
      <c r="M48" s="807">
        <v>0.8</v>
      </c>
      <c r="N48" s="966" t="s">
        <v>431</v>
      </c>
      <c r="O48" s="786">
        <v>1840</v>
      </c>
      <c r="P48" s="809">
        <v>1840</v>
      </c>
      <c r="Q48" s="809">
        <v>1472</v>
      </c>
      <c r="R48" s="809">
        <v>200</v>
      </c>
      <c r="S48" s="809">
        <v>644</v>
      </c>
      <c r="T48" s="809">
        <v>1748</v>
      </c>
      <c r="U48" s="891">
        <v>2356.85</v>
      </c>
      <c r="V48" s="890">
        <v>2356.85</v>
      </c>
      <c r="W48" s="870" t="s">
        <v>411</v>
      </c>
      <c r="X48" s="870">
        <v>1</v>
      </c>
      <c r="Y48" s="870">
        <v>0.1</v>
      </c>
      <c r="Z48" s="1008">
        <v>0.07</v>
      </c>
      <c r="AA48" s="946"/>
      <c r="AB48" s="946"/>
    </row>
    <row r="49" customHeight="1" spans="1:28">
      <c r="A49" s="946"/>
      <c r="B49" s="751" t="s">
        <v>437</v>
      </c>
      <c r="C49" s="751" t="s">
        <v>437</v>
      </c>
      <c r="D49" s="757">
        <v>200</v>
      </c>
      <c r="E49" s="751">
        <v>500</v>
      </c>
      <c r="F49" s="773">
        <v>0.82</v>
      </c>
      <c r="G49" s="751">
        <v>1</v>
      </c>
      <c r="H49" s="762">
        <v>4</v>
      </c>
      <c r="I49" s="762">
        <v>1409.85</v>
      </c>
      <c r="J49" s="782" t="s">
        <v>180</v>
      </c>
      <c r="K49" s="787">
        <v>1</v>
      </c>
      <c r="L49" s="802">
        <v>1</v>
      </c>
      <c r="M49" s="800">
        <v>0.8</v>
      </c>
      <c r="N49" s="967" t="s">
        <v>431</v>
      </c>
      <c r="O49" s="786">
        <v>1840</v>
      </c>
      <c r="P49" s="787">
        <v>1840</v>
      </c>
      <c r="Q49" s="787">
        <v>1472</v>
      </c>
      <c r="R49" s="787">
        <v>200</v>
      </c>
      <c r="S49" s="787">
        <v>644</v>
      </c>
      <c r="T49" s="787">
        <v>1748</v>
      </c>
      <c r="U49" s="871">
        <v>2356.85</v>
      </c>
      <c r="V49" s="872">
        <v>2356.85</v>
      </c>
      <c r="W49" s="854" t="s">
        <v>411</v>
      </c>
      <c r="X49" s="854">
        <v>1</v>
      </c>
      <c r="Y49" s="854">
        <v>0.1</v>
      </c>
      <c r="Z49" s="1008">
        <v>0.07</v>
      </c>
      <c r="AA49" s="946"/>
      <c r="AB49" s="946"/>
    </row>
    <row r="50" customHeight="1" spans="1:28">
      <c r="A50" s="946"/>
      <c r="B50" s="751" t="s">
        <v>438</v>
      </c>
      <c r="C50" s="751" t="s">
        <v>438</v>
      </c>
      <c r="D50" s="757">
        <v>100</v>
      </c>
      <c r="E50" s="751">
        <v>200</v>
      </c>
      <c r="F50" s="780">
        <v>0.25</v>
      </c>
      <c r="G50" s="751">
        <v>1</v>
      </c>
      <c r="H50" s="762">
        <v>20</v>
      </c>
      <c r="I50" s="762">
        <v>959.85</v>
      </c>
      <c r="J50" s="820" t="s">
        <v>180</v>
      </c>
      <c r="K50" s="787">
        <v>1</v>
      </c>
      <c r="L50" s="809">
        <v>1</v>
      </c>
      <c r="M50" s="791">
        <v>0.8</v>
      </c>
      <c r="N50" s="967" t="s">
        <v>431</v>
      </c>
      <c r="O50" s="786">
        <v>1840</v>
      </c>
      <c r="P50" s="787">
        <v>1840</v>
      </c>
      <c r="Q50" s="787">
        <v>1472</v>
      </c>
      <c r="R50" s="787">
        <v>200</v>
      </c>
      <c r="S50" s="787">
        <v>644</v>
      </c>
      <c r="T50" s="787">
        <v>1748</v>
      </c>
      <c r="U50" s="891">
        <v>2356.85</v>
      </c>
      <c r="V50" s="890">
        <v>2356.85</v>
      </c>
      <c r="W50" s="854" t="s">
        <v>411</v>
      </c>
      <c r="X50" s="854">
        <v>1</v>
      </c>
      <c r="Y50" s="854">
        <v>0.1</v>
      </c>
      <c r="Z50" s="1008">
        <v>0.07</v>
      </c>
      <c r="AA50" s="946"/>
      <c r="AB50" s="946"/>
    </row>
    <row r="51" customHeight="1" spans="1:28">
      <c r="A51" s="946"/>
      <c r="B51" s="762" t="s">
        <v>40</v>
      </c>
      <c r="C51" s="763" t="s">
        <v>40</v>
      </c>
      <c r="D51" s="757">
        <v>1000</v>
      </c>
      <c r="E51" s="751">
        <v>800</v>
      </c>
      <c r="F51" s="754">
        <v>0.65</v>
      </c>
      <c r="G51" s="751">
        <v>0.84</v>
      </c>
      <c r="H51" s="762">
        <v>1.11</v>
      </c>
      <c r="I51" s="762">
        <v>1426.85</v>
      </c>
      <c r="J51" s="820">
        <v>1126.85</v>
      </c>
      <c r="K51" s="787">
        <v>0.2</v>
      </c>
      <c r="L51" s="787">
        <v>1</v>
      </c>
      <c r="M51" s="807">
        <v>0.65</v>
      </c>
      <c r="N51" s="787" t="s">
        <v>439</v>
      </c>
      <c r="O51" s="786">
        <v>200</v>
      </c>
      <c r="P51" s="787">
        <v>1820</v>
      </c>
      <c r="Q51" s="787">
        <v>800</v>
      </c>
      <c r="R51" s="787">
        <v>200</v>
      </c>
      <c r="S51" s="787">
        <v>70</v>
      </c>
      <c r="T51" s="787">
        <v>190</v>
      </c>
      <c r="U51" s="851">
        <v>2356.85</v>
      </c>
      <c r="V51" s="883" t="s">
        <v>180</v>
      </c>
      <c r="W51" s="854" t="s">
        <v>411</v>
      </c>
      <c r="X51" s="854">
        <v>1</v>
      </c>
      <c r="Y51" s="854">
        <v>0.1</v>
      </c>
      <c r="Z51" s="1010">
        <v>0.07</v>
      </c>
      <c r="AA51" s="946"/>
      <c r="AB51" s="946"/>
    </row>
    <row r="52" customHeight="1" spans="1:28">
      <c r="A52" s="946"/>
      <c r="B52" s="751" t="s">
        <v>42</v>
      </c>
      <c r="C52" s="751" t="s">
        <v>42</v>
      </c>
      <c r="D52" s="757">
        <v>1000</v>
      </c>
      <c r="E52" s="768">
        <v>1840</v>
      </c>
      <c r="F52" s="773">
        <v>0.7</v>
      </c>
      <c r="G52" s="751">
        <v>0.83</v>
      </c>
      <c r="H52" s="768">
        <v>2</v>
      </c>
      <c r="I52" s="762">
        <v>1712.85</v>
      </c>
      <c r="J52" s="820" t="s">
        <v>180</v>
      </c>
      <c r="K52" s="787">
        <v>0.2</v>
      </c>
      <c r="L52" s="802">
        <v>1</v>
      </c>
      <c r="M52" s="800">
        <v>0.65</v>
      </c>
      <c r="N52" s="787" t="s">
        <v>439</v>
      </c>
      <c r="O52" s="786">
        <v>200</v>
      </c>
      <c r="P52" s="787">
        <v>1820</v>
      </c>
      <c r="Q52" s="787">
        <v>800</v>
      </c>
      <c r="R52" s="802">
        <v>200</v>
      </c>
      <c r="S52" s="787">
        <v>70</v>
      </c>
      <c r="T52" s="787">
        <v>190</v>
      </c>
      <c r="U52" s="851">
        <v>2356.85</v>
      </c>
      <c r="V52" s="969" t="s">
        <v>180</v>
      </c>
      <c r="W52" s="854" t="s">
        <v>411</v>
      </c>
      <c r="X52" s="854">
        <v>1</v>
      </c>
      <c r="Y52" s="854">
        <v>0.1</v>
      </c>
      <c r="Z52" s="913">
        <v>0.07</v>
      </c>
      <c r="AA52" s="946"/>
      <c r="AB52" s="946"/>
    </row>
    <row r="53" customHeight="1" spans="1:28">
      <c r="A53" s="946"/>
      <c r="B53" s="751" t="s">
        <v>440</v>
      </c>
      <c r="C53" s="751" t="s">
        <v>440</v>
      </c>
      <c r="D53" s="767">
        <v>1000</v>
      </c>
      <c r="E53" s="775">
        <v>1840</v>
      </c>
      <c r="F53" s="754">
        <v>0.7</v>
      </c>
      <c r="G53" s="751">
        <v>0.83</v>
      </c>
      <c r="H53" s="753">
        <v>2</v>
      </c>
      <c r="I53" s="762">
        <v>1712.85</v>
      </c>
      <c r="J53" s="820" t="s">
        <v>180</v>
      </c>
      <c r="K53" s="787">
        <v>0.2</v>
      </c>
      <c r="L53" s="809">
        <v>1</v>
      </c>
      <c r="M53" s="807">
        <v>0.65</v>
      </c>
      <c r="N53" s="787" t="s">
        <v>439</v>
      </c>
      <c r="O53" s="801">
        <v>200</v>
      </c>
      <c r="P53" s="802">
        <v>1820</v>
      </c>
      <c r="Q53" s="802">
        <v>800</v>
      </c>
      <c r="R53" s="809">
        <v>200</v>
      </c>
      <c r="S53" s="802">
        <v>70</v>
      </c>
      <c r="T53" s="802">
        <v>190</v>
      </c>
      <c r="U53" s="823">
        <v>2356.85</v>
      </c>
      <c r="V53" s="987" t="s">
        <v>180</v>
      </c>
      <c r="W53" s="885" t="s">
        <v>411</v>
      </c>
      <c r="X53" s="885">
        <v>1</v>
      </c>
      <c r="Y53" s="885">
        <v>0.1</v>
      </c>
      <c r="Z53" s="1014">
        <v>0.07</v>
      </c>
      <c r="AA53" s="946"/>
      <c r="AB53" s="946"/>
    </row>
    <row r="54" customHeight="1" spans="1:28">
      <c r="A54" s="946"/>
      <c r="B54" s="751" t="s">
        <v>416</v>
      </c>
      <c r="C54" s="751" t="s">
        <v>34</v>
      </c>
      <c r="D54" s="752">
        <v>1000</v>
      </c>
      <c r="E54" s="753">
        <v>1840</v>
      </c>
      <c r="F54" s="758">
        <v>0.65</v>
      </c>
      <c r="G54" s="751">
        <v>0.92</v>
      </c>
      <c r="H54" s="762">
        <v>2</v>
      </c>
      <c r="I54" s="762">
        <v>926.85</v>
      </c>
      <c r="J54" s="763" t="s">
        <v>180</v>
      </c>
      <c r="K54" s="751">
        <v>0.84</v>
      </c>
      <c r="L54" s="768">
        <v>0.62</v>
      </c>
      <c r="M54" s="773">
        <v>0.65</v>
      </c>
      <c r="N54" s="768" t="s">
        <v>39</v>
      </c>
      <c r="O54" s="793"/>
      <c r="P54" s="793"/>
      <c r="Q54" s="793"/>
      <c r="R54" s="802"/>
      <c r="S54" s="793"/>
      <c r="T54" s="793"/>
      <c r="U54" s="861"/>
      <c r="V54" s="908"/>
      <c r="W54" s="857"/>
      <c r="X54" s="857"/>
      <c r="Y54" s="857"/>
      <c r="Z54" s="857"/>
      <c r="AA54" s="946"/>
      <c r="AB54" s="946"/>
    </row>
    <row r="55" customHeight="1" spans="1:28">
      <c r="A55" s="946"/>
      <c r="B55" s="751" t="s">
        <v>16</v>
      </c>
      <c r="C55" s="751" t="s">
        <v>10</v>
      </c>
      <c r="D55" s="757">
        <v>1000</v>
      </c>
      <c r="E55" s="751">
        <v>1100</v>
      </c>
      <c r="F55" s="758">
        <v>0.8</v>
      </c>
      <c r="G55" s="751">
        <v>3.4</v>
      </c>
      <c r="H55" s="762">
        <v>2.18</v>
      </c>
      <c r="I55" s="762">
        <v>-16.5</v>
      </c>
      <c r="J55" s="782">
        <v>-22.5</v>
      </c>
      <c r="K55" s="817">
        <v>3.4</v>
      </c>
      <c r="L55" s="790">
        <v>0.609</v>
      </c>
      <c r="M55" s="791">
        <v>0.8</v>
      </c>
      <c r="N55" s="958" t="s">
        <v>441</v>
      </c>
      <c r="O55" s="792">
        <v>1200</v>
      </c>
      <c r="P55" s="793">
        <v>1200</v>
      </c>
      <c r="Q55" s="856">
        <v>800</v>
      </c>
      <c r="R55" s="793">
        <v>0.04</v>
      </c>
      <c r="S55" s="793">
        <v>420</v>
      </c>
      <c r="T55" s="793">
        <v>1140</v>
      </c>
      <c r="U55" s="975">
        <v>102.75</v>
      </c>
      <c r="V55" s="988" t="s">
        <v>180</v>
      </c>
      <c r="W55" s="989" t="s">
        <v>442</v>
      </c>
      <c r="X55" s="857">
        <v>4.179</v>
      </c>
      <c r="Y55" s="857">
        <v>0.184</v>
      </c>
      <c r="Z55" s="1015">
        <v>0.08</v>
      </c>
      <c r="AA55" s="946"/>
      <c r="AB55" s="946"/>
    </row>
    <row r="56" customHeight="1" spans="1:28">
      <c r="A56" s="946"/>
      <c r="B56" s="751" t="s">
        <v>16</v>
      </c>
      <c r="C56" s="751" t="s">
        <v>16</v>
      </c>
      <c r="D56" s="767">
        <v>1000</v>
      </c>
      <c r="E56" s="751">
        <v>1100</v>
      </c>
      <c r="F56" s="773">
        <v>0.8</v>
      </c>
      <c r="G56" s="768">
        <v>2.05</v>
      </c>
      <c r="H56" s="768">
        <v>2.18</v>
      </c>
      <c r="I56" s="762">
        <v>-0.6499939</v>
      </c>
      <c r="J56" s="782">
        <v>-0.6499939</v>
      </c>
      <c r="K56" s="817">
        <v>4.179</v>
      </c>
      <c r="L56" s="815">
        <v>0.609</v>
      </c>
      <c r="M56" s="807">
        <v>0.8</v>
      </c>
      <c r="N56" s="959" t="s">
        <v>443</v>
      </c>
      <c r="O56" s="808">
        <v>1000</v>
      </c>
      <c r="P56" s="809">
        <v>1000</v>
      </c>
      <c r="Q56" s="868">
        <v>800</v>
      </c>
      <c r="R56" s="809">
        <v>0.04</v>
      </c>
      <c r="S56" s="868">
        <v>350</v>
      </c>
      <c r="T56" s="868">
        <v>950</v>
      </c>
      <c r="U56" s="990">
        <v>99.35001</v>
      </c>
      <c r="V56" s="991">
        <v>99.35001</v>
      </c>
      <c r="W56" s="992" t="s">
        <v>442</v>
      </c>
      <c r="X56" s="869">
        <v>4.179</v>
      </c>
      <c r="Y56" s="869">
        <v>0.184</v>
      </c>
      <c r="Z56" s="1016">
        <v>0.08</v>
      </c>
      <c r="AA56" s="946"/>
      <c r="AB56" s="946"/>
    </row>
    <row r="57" customHeight="1" spans="1:28">
      <c r="A57" s="946" t="s">
        <v>394</v>
      </c>
      <c r="B57" s="751" t="s">
        <v>16</v>
      </c>
      <c r="C57" s="751" t="s">
        <v>17</v>
      </c>
      <c r="D57" s="752">
        <v>10</v>
      </c>
      <c r="E57" s="751">
        <v>20</v>
      </c>
      <c r="F57" s="754">
        <v>0.7</v>
      </c>
      <c r="G57" s="753">
        <v>2.05</v>
      </c>
      <c r="H57" s="753">
        <v>0.545</v>
      </c>
      <c r="I57" s="762">
        <v>-0.6499939</v>
      </c>
      <c r="J57" s="820" t="s">
        <v>180</v>
      </c>
      <c r="K57" s="817">
        <v>4.179</v>
      </c>
      <c r="L57" s="790">
        <v>0.609</v>
      </c>
      <c r="M57" s="791">
        <v>0.8</v>
      </c>
      <c r="N57" s="959" t="s">
        <v>443</v>
      </c>
      <c r="O57" s="808">
        <v>1000</v>
      </c>
      <c r="P57" s="809">
        <v>1000</v>
      </c>
      <c r="Q57" s="868">
        <v>800</v>
      </c>
      <c r="R57" s="793">
        <v>0.04</v>
      </c>
      <c r="S57" s="868">
        <v>350</v>
      </c>
      <c r="T57" s="868">
        <v>950</v>
      </c>
      <c r="U57" s="990">
        <v>99.35001</v>
      </c>
      <c r="V57" s="993">
        <v>99.35001</v>
      </c>
      <c r="W57" s="812" t="s">
        <v>442</v>
      </c>
      <c r="X57" s="873">
        <v>4.179</v>
      </c>
      <c r="Y57" s="873">
        <v>0.184</v>
      </c>
      <c r="Z57" s="1011">
        <v>0.08</v>
      </c>
      <c r="AA57" s="946"/>
      <c r="AB57" s="946"/>
    </row>
    <row r="58" customHeight="1" spans="1:28">
      <c r="A58" s="946"/>
      <c r="B58" s="751" t="s">
        <v>444</v>
      </c>
      <c r="C58" s="751" t="s">
        <v>444</v>
      </c>
      <c r="D58" s="767">
        <v>10000</v>
      </c>
      <c r="E58" s="768">
        <v>20000</v>
      </c>
      <c r="F58" s="758">
        <v>0.9</v>
      </c>
      <c r="G58" s="751">
        <v>0</v>
      </c>
      <c r="H58" s="768">
        <v>0</v>
      </c>
      <c r="I58" s="764">
        <v>9726.85</v>
      </c>
      <c r="J58" s="782">
        <v>-7.5</v>
      </c>
      <c r="K58" s="817">
        <v>4.1</v>
      </c>
      <c r="L58" s="812">
        <v>0.609</v>
      </c>
      <c r="M58" s="800">
        <v>0.8</v>
      </c>
      <c r="N58" s="968" t="s">
        <v>445</v>
      </c>
      <c r="O58" s="786">
        <v>1100</v>
      </c>
      <c r="P58" s="809">
        <v>1100</v>
      </c>
      <c r="Q58" s="994" t="s">
        <v>180</v>
      </c>
      <c r="R58" s="802">
        <v>0.04</v>
      </c>
      <c r="S58" s="787">
        <v>385</v>
      </c>
      <c r="T58" s="787">
        <v>1045</v>
      </c>
      <c r="U58" s="995">
        <v>99.69</v>
      </c>
      <c r="V58" s="996" t="s">
        <v>180</v>
      </c>
      <c r="W58" s="790" t="s">
        <v>442</v>
      </c>
      <c r="X58" s="858">
        <v>4.179</v>
      </c>
      <c r="Y58" s="858">
        <v>0.184</v>
      </c>
      <c r="Z58" s="1008">
        <v>0.08</v>
      </c>
      <c r="AA58" s="946"/>
      <c r="AB58" s="946"/>
    </row>
    <row r="59" customHeight="1" spans="1:28">
      <c r="A59" s="946"/>
      <c r="B59" s="751" t="s">
        <v>16</v>
      </c>
      <c r="C59" s="751" t="s">
        <v>11</v>
      </c>
      <c r="D59" s="752">
        <v>500</v>
      </c>
      <c r="E59" s="753">
        <v>800</v>
      </c>
      <c r="F59" s="758">
        <v>0.75</v>
      </c>
      <c r="G59" s="768">
        <v>3.05</v>
      </c>
      <c r="H59" s="753">
        <v>1</v>
      </c>
      <c r="I59" s="788">
        <v>-20.64999</v>
      </c>
      <c r="J59" s="804">
        <v>-20.64999</v>
      </c>
      <c r="K59" s="817">
        <v>4.179</v>
      </c>
      <c r="L59" s="790">
        <v>0.58</v>
      </c>
      <c r="M59" s="791">
        <v>0.8</v>
      </c>
      <c r="N59" s="968" t="s">
        <v>446</v>
      </c>
      <c r="O59" s="801">
        <v>1000</v>
      </c>
      <c r="P59" s="802">
        <v>1000</v>
      </c>
      <c r="Q59" s="856">
        <v>400</v>
      </c>
      <c r="R59" s="793">
        <v>0.04</v>
      </c>
      <c r="S59" s="787">
        <v>350</v>
      </c>
      <c r="T59" s="787">
        <v>950</v>
      </c>
      <c r="U59" s="997">
        <v>119.35</v>
      </c>
      <c r="V59" s="998" t="s">
        <v>180</v>
      </c>
      <c r="W59" s="790" t="s">
        <v>442</v>
      </c>
      <c r="X59" s="858">
        <v>4.179</v>
      </c>
      <c r="Y59" s="858">
        <v>0.184</v>
      </c>
      <c r="Z59" s="1008">
        <v>0.08</v>
      </c>
      <c r="AA59" s="946"/>
      <c r="AB59" s="946"/>
    </row>
    <row r="60" customHeight="1" spans="1:28">
      <c r="A60" s="946"/>
      <c r="B60" s="772" t="s">
        <v>425</v>
      </c>
      <c r="C60" s="751" t="s">
        <v>21</v>
      </c>
      <c r="D60" s="757">
        <v>100</v>
      </c>
      <c r="E60" s="751">
        <v>150</v>
      </c>
      <c r="F60" s="754">
        <v>0.6</v>
      </c>
      <c r="G60" s="753">
        <v>1.55</v>
      </c>
      <c r="H60" s="762">
        <v>0.45</v>
      </c>
      <c r="I60" s="788">
        <v>-30.64999</v>
      </c>
      <c r="J60" s="804">
        <v>-30.64999</v>
      </c>
      <c r="K60" s="817">
        <v>1.55</v>
      </c>
      <c r="L60" s="815">
        <v>0.45</v>
      </c>
      <c r="M60" s="791">
        <v>0.6</v>
      </c>
      <c r="N60" s="817" t="s">
        <v>447</v>
      </c>
      <c r="O60" s="792">
        <v>100</v>
      </c>
      <c r="P60" s="793">
        <v>100</v>
      </c>
      <c r="Q60" s="868">
        <v>80</v>
      </c>
      <c r="R60" s="879" t="s">
        <v>448</v>
      </c>
      <c r="S60" s="787">
        <v>35</v>
      </c>
      <c r="T60" s="787">
        <v>95</v>
      </c>
      <c r="U60" s="980">
        <v>479.85</v>
      </c>
      <c r="V60" s="981" t="s">
        <v>180</v>
      </c>
      <c r="W60" s="790" t="s">
        <v>449</v>
      </c>
      <c r="X60" s="793">
        <v>2.191</v>
      </c>
      <c r="Y60" s="793">
        <v>0.2</v>
      </c>
      <c r="Z60" s="791">
        <v>0.6</v>
      </c>
      <c r="AA60" s="946"/>
      <c r="AB60" s="946"/>
    </row>
    <row r="61" customHeight="1" spans="1:28">
      <c r="A61" s="946"/>
      <c r="B61" s="751" t="s">
        <v>53</v>
      </c>
      <c r="C61" s="751" t="s">
        <v>53</v>
      </c>
      <c r="D61" s="757">
        <v>500</v>
      </c>
      <c r="E61" s="751">
        <v>2000</v>
      </c>
      <c r="F61" s="758">
        <v>0.75</v>
      </c>
      <c r="G61" s="751">
        <v>0.7</v>
      </c>
      <c r="H61" s="762">
        <v>0.444</v>
      </c>
      <c r="I61" s="788">
        <v>799.85</v>
      </c>
      <c r="J61" s="811">
        <v>799.85</v>
      </c>
      <c r="K61" s="787">
        <v>0.7</v>
      </c>
      <c r="L61" s="787">
        <v>0.444</v>
      </c>
      <c r="M61" s="791">
        <v>0.75</v>
      </c>
      <c r="N61" s="784" t="s">
        <v>450</v>
      </c>
      <c r="O61" s="808">
        <v>190</v>
      </c>
      <c r="P61" s="809">
        <v>740</v>
      </c>
      <c r="Q61" s="849">
        <v>400</v>
      </c>
      <c r="R61" s="793">
        <v>0.4</v>
      </c>
      <c r="S61" s="787">
        <v>66.5</v>
      </c>
      <c r="T61" s="787">
        <v>180.5</v>
      </c>
      <c r="U61" s="995">
        <v>1464.85</v>
      </c>
      <c r="V61" s="999">
        <v>1464.85</v>
      </c>
      <c r="W61" s="815" t="s">
        <v>451</v>
      </c>
      <c r="X61" s="870">
        <v>0.88</v>
      </c>
      <c r="Y61" s="870">
        <v>0.444</v>
      </c>
      <c r="Z61" s="1008">
        <v>0.07</v>
      </c>
      <c r="AA61" s="946"/>
      <c r="AB61" s="946"/>
    </row>
    <row r="62" customHeight="1" spans="1:28">
      <c r="A62" s="946"/>
      <c r="B62" s="762" t="s">
        <v>452</v>
      </c>
      <c r="C62" s="763" t="s">
        <v>77</v>
      </c>
      <c r="D62" s="757">
        <v>600</v>
      </c>
      <c r="E62" s="751">
        <v>1840</v>
      </c>
      <c r="F62" s="773">
        <v>0.75</v>
      </c>
      <c r="G62" s="751">
        <v>0.15</v>
      </c>
      <c r="H62" s="751">
        <v>2</v>
      </c>
      <c r="I62" s="762">
        <v>243.85</v>
      </c>
      <c r="J62" s="820" t="s">
        <v>180</v>
      </c>
      <c r="K62" s="802">
        <v>0.7697</v>
      </c>
      <c r="L62" s="802">
        <v>0.236</v>
      </c>
      <c r="M62" s="785">
        <v>0.75</v>
      </c>
      <c r="N62" s="802" t="s">
        <v>453</v>
      </c>
      <c r="O62" s="801">
        <v>200</v>
      </c>
      <c r="P62" s="802">
        <v>1000</v>
      </c>
      <c r="Q62" s="865">
        <v>160</v>
      </c>
      <c r="R62" s="849">
        <v>8</v>
      </c>
      <c r="S62" s="865">
        <v>70</v>
      </c>
      <c r="T62" s="865">
        <v>190</v>
      </c>
      <c r="U62" s="1000">
        <v>280.45</v>
      </c>
      <c r="V62" s="934">
        <v>280.45</v>
      </c>
      <c r="W62" s="1001" t="s">
        <v>454</v>
      </c>
      <c r="X62" s="1002">
        <v>0.7697</v>
      </c>
      <c r="Y62" s="1002">
        <v>0.236</v>
      </c>
      <c r="Z62" s="1008">
        <v>0.07</v>
      </c>
      <c r="AA62" s="946"/>
      <c r="AB62" s="946"/>
    </row>
    <row r="63" customHeight="1" spans="1:28">
      <c r="A63" s="946" t="s">
        <v>394</v>
      </c>
      <c r="B63" s="751" t="s">
        <v>452</v>
      </c>
      <c r="C63" s="751" t="s">
        <v>455</v>
      </c>
      <c r="D63" s="757">
        <v>200</v>
      </c>
      <c r="E63" s="751">
        <v>1000</v>
      </c>
      <c r="F63" s="758">
        <v>0.75</v>
      </c>
      <c r="G63" s="751">
        <v>0.7697</v>
      </c>
      <c r="H63" s="762">
        <v>0.236</v>
      </c>
      <c r="I63" s="788">
        <v>44.14999</v>
      </c>
      <c r="J63" s="811">
        <v>44.14999</v>
      </c>
      <c r="K63" s="787">
        <v>0.7697</v>
      </c>
      <c r="L63" s="787">
        <v>0.236</v>
      </c>
      <c r="M63" s="785">
        <v>0.75</v>
      </c>
      <c r="N63" s="787" t="s">
        <v>453</v>
      </c>
      <c r="O63" s="786">
        <v>200</v>
      </c>
      <c r="P63" s="787">
        <v>1000</v>
      </c>
      <c r="Q63" s="849">
        <v>160</v>
      </c>
      <c r="R63" s="865">
        <v>8</v>
      </c>
      <c r="S63" s="849">
        <v>70</v>
      </c>
      <c r="T63" s="849">
        <v>190</v>
      </c>
      <c r="U63" s="933">
        <v>280.45</v>
      </c>
      <c r="V63" s="935">
        <v>280.45</v>
      </c>
      <c r="W63" s="903" t="s">
        <v>454</v>
      </c>
      <c r="X63" s="1003">
        <v>0.7697</v>
      </c>
      <c r="Y63" s="1003">
        <v>0.236</v>
      </c>
      <c r="Z63" s="1010">
        <v>0.07</v>
      </c>
      <c r="AA63" s="1006"/>
      <c r="AB63" s="946"/>
    </row>
    <row r="64" customHeight="1" spans="1:28">
      <c r="A64" s="946"/>
      <c r="B64" s="751" t="s">
        <v>421</v>
      </c>
      <c r="C64" s="751" t="s">
        <v>14</v>
      </c>
      <c r="D64" s="757">
        <v>740</v>
      </c>
      <c r="E64" s="751">
        <v>1840</v>
      </c>
      <c r="F64" s="773">
        <v>0.6</v>
      </c>
      <c r="G64" s="751">
        <v>2.191</v>
      </c>
      <c r="H64" s="762">
        <v>0.2</v>
      </c>
      <c r="I64" s="788">
        <v>-50.14999</v>
      </c>
      <c r="J64" s="811">
        <v>-50.14999</v>
      </c>
      <c r="K64" s="817">
        <v>2.191</v>
      </c>
      <c r="L64" s="817">
        <v>0.2</v>
      </c>
      <c r="M64" s="800">
        <v>0.6</v>
      </c>
      <c r="N64" s="817" t="s">
        <v>449</v>
      </c>
      <c r="O64" s="786">
        <v>740</v>
      </c>
      <c r="P64" s="787">
        <v>740</v>
      </c>
      <c r="Q64" s="849">
        <v>592</v>
      </c>
      <c r="R64" s="793">
        <v>40</v>
      </c>
      <c r="S64" s="787">
        <v>259</v>
      </c>
      <c r="T64" s="787">
        <v>703</v>
      </c>
      <c r="U64" s="995">
        <v>538.85</v>
      </c>
      <c r="V64" s="1004">
        <v>-161.5</v>
      </c>
      <c r="W64" s="1005" t="s">
        <v>424</v>
      </c>
      <c r="X64" s="854">
        <v>1.898</v>
      </c>
      <c r="Y64" s="854">
        <v>0.018</v>
      </c>
      <c r="Z64" s="913">
        <v>0.05</v>
      </c>
      <c r="AA64" s="946"/>
      <c r="AB64" s="946"/>
    </row>
    <row r="65" customHeight="1" spans="1:28">
      <c r="A65" s="946"/>
      <c r="B65" s="751" t="s">
        <v>421</v>
      </c>
      <c r="C65" s="751" t="s">
        <v>18</v>
      </c>
      <c r="D65" s="757">
        <v>913</v>
      </c>
      <c r="E65" s="766">
        <v>913</v>
      </c>
      <c r="F65" s="758">
        <v>0.85</v>
      </c>
      <c r="G65" s="751">
        <v>1.92</v>
      </c>
      <c r="H65" s="768">
        <v>0.15</v>
      </c>
      <c r="I65" s="762">
        <v>159.85</v>
      </c>
      <c r="J65" s="820" t="s">
        <v>180</v>
      </c>
      <c r="K65" s="817">
        <v>2.191</v>
      </c>
      <c r="L65" s="817">
        <v>0.2</v>
      </c>
      <c r="M65" s="785">
        <v>0.6</v>
      </c>
      <c r="N65" s="817" t="s">
        <v>449</v>
      </c>
      <c r="O65" s="786">
        <v>740</v>
      </c>
      <c r="P65" s="787">
        <v>740</v>
      </c>
      <c r="Q65" s="849">
        <v>592</v>
      </c>
      <c r="R65" s="793">
        <v>40</v>
      </c>
      <c r="S65" s="787">
        <v>259</v>
      </c>
      <c r="T65" s="787">
        <v>703</v>
      </c>
      <c r="U65" s="995">
        <v>538.85</v>
      </c>
      <c r="V65" s="1004">
        <v>-161.5</v>
      </c>
      <c r="W65" s="1005" t="s">
        <v>424</v>
      </c>
      <c r="X65" s="854">
        <v>1.898</v>
      </c>
      <c r="Y65" s="854">
        <v>0.018</v>
      </c>
      <c r="Z65" s="913">
        <v>0.05</v>
      </c>
      <c r="AA65" s="946"/>
      <c r="AB65" s="946"/>
    </row>
    <row r="66" customHeight="1" spans="1:28">
      <c r="A66" s="946"/>
      <c r="B66" s="772" t="s">
        <v>456</v>
      </c>
      <c r="C66" s="751" t="s">
        <v>23</v>
      </c>
      <c r="D66" s="757">
        <v>30</v>
      </c>
      <c r="E66" s="766">
        <v>50</v>
      </c>
      <c r="F66" s="758">
        <v>0.75</v>
      </c>
      <c r="G66" s="751">
        <v>1.3</v>
      </c>
      <c r="H66" s="753">
        <v>0.17</v>
      </c>
      <c r="I66" s="762">
        <v>200</v>
      </c>
      <c r="J66" s="820" t="s">
        <v>180</v>
      </c>
      <c r="K66" s="817">
        <v>2.191</v>
      </c>
      <c r="L66" s="817">
        <v>0.2</v>
      </c>
      <c r="M66" s="785">
        <v>0.6</v>
      </c>
      <c r="N66" s="817" t="s">
        <v>449</v>
      </c>
      <c r="O66" s="786">
        <v>740</v>
      </c>
      <c r="P66" s="787">
        <v>740</v>
      </c>
      <c r="Q66" s="849">
        <v>592</v>
      </c>
      <c r="R66" s="793">
        <v>40</v>
      </c>
      <c r="S66" s="787">
        <v>259</v>
      </c>
      <c r="T66" s="787">
        <v>703</v>
      </c>
      <c r="U66" s="995">
        <v>538.85</v>
      </c>
      <c r="V66" s="1004">
        <v>-161.5</v>
      </c>
      <c r="W66" s="1005" t="s">
        <v>424</v>
      </c>
      <c r="X66" s="854">
        <v>1.898</v>
      </c>
      <c r="Y66" s="854">
        <v>0.018</v>
      </c>
      <c r="Z66" s="913">
        <v>0.05</v>
      </c>
      <c r="AB66" s="3"/>
    </row>
    <row r="67" customHeight="1" spans="1:28">
      <c r="A67" s="946"/>
      <c r="B67" s="751" t="s">
        <v>54</v>
      </c>
      <c r="C67" s="751" t="s">
        <v>54</v>
      </c>
      <c r="D67" s="757">
        <v>500</v>
      </c>
      <c r="E67" s="751">
        <v>2000</v>
      </c>
      <c r="F67" s="758">
        <v>0.74</v>
      </c>
      <c r="G67" s="751">
        <v>0.7</v>
      </c>
      <c r="H67" s="762">
        <v>0.2</v>
      </c>
      <c r="I67" s="788">
        <v>115.2</v>
      </c>
      <c r="J67" s="811">
        <v>115.2</v>
      </c>
      <c r="K67" s="817">
        <v>0.7</v>
      </c>
      <c r="L67" s="817">
        <v>0.2</v>
      </c>
      <c r="M67" s="785">
        <v>0.74</v>
      </c>
      <c r="N67" s="817" t="s">
        <v>457</v>
      </c>
      <c r="O67" s="786">
        <v>190</v>
      </c>
      <c r="P67" s="787">
        <v>740</v>
      </c>
      <c r="Q67" s="849">
        <v>400</v>
      </c>
      <c r="R67" s="809">
        <v>0.4</v>
      </c>
      <c r="S67" s="787">
        <v>66.5</v>
      </c>
      <c r="T67" s="787">
        <v>180.5</v>
      </c>
      <c r="U67" s="995">
        <v>337</v>
      </c>
      <c r="V67" s="1004">
        <v>337</v>
      </c>
      <c r="W67" s="817" t="s">
        <v>458</v>
      </c>
      <c r="X67" s="854">
        <v>0.7</v>
      </c>
      <c r="Y67" s="854">
        <v>0.2</v>
      </c>
      <c r="Z67" s="913">
        <v>0.07</v>
      </c>
      <c r="AA67" s="946"/>
      <c r="AB67" s="946"/>
    </row>
    <row r="68" customHeight="1" spans="1:28">
      <c r="A68" s="946"/>
      <c r="B68" s="772" t="s">
        <v>425</v>
      </c>
      <c r="C68" s="768" t="s">
        <v>459</v>
      </c>
      <c r="D68" s="757">
        <v>100</v>
      </c>
      <c r="E68" s="751">
        <v>200</v>
      </c>
      <c r="F68" s="758">
        <v>0.7</v>
      </c>
      <c r="G68" s="751">
        <v>2.46</v>
      </c>
      <c r="H68" s="762">
        <v>20</v>
      </c>
      <c r="I68" s="788">
        <v>-114.05</v>
      </c>
      <c r="J68" s="811">
        <v>-114.05</v>
      </c>
      <c r="K68" s="817">
        <v>2.46</v>
      </c>
      <c r="L68" s="817">
        <v>0.171</v>
      </c>
      <c r="M68" s="785">
        <v>0.7</v>
      </c>
      <c r="N68" s="817" t="s">
        <v>460</v>
      </c>
      <c r="O68" s="786">
        <v>1000</v>
      </c>
      <c r="P68" s="787">
        <v>1000</v>
      </c>
      <c r="Q68" s="849">
        <v>80</v>
      </c>
      <c r="R68" s="787">
        <v>0.04</v>
      </c>
      <c r="S68" s="787">
        <v>350</v>
      </c>
      <c r="T68" s="787">
        <v>950</v>
      </c>
      <c r="U68" s="995">
        <v>78.35001</v>
      </c>
      <c r="V68" s="999">
        <v>78.35001</v>
      </c>
      <c r="W68" s="817" t="s">
        <v>461</v>
      </c>
      <c r="X68" s="854">
        <v>2.148</v>
      </c>
      <c r="Y68" s="854">
        <v>0.167</v>
      </c>
      <c r="Z68" s="913">
        <v>0.07</v>
      </c>
      <c r="AA68" s="946"/>
      <c r="AB68" s="946"/>
    </row>
    <row r="69" customHeight="1" spans="1:28">
      <c r="A69" s="946"/>
      <c r="B69" s="772" t="s">
        <v>456</v>
      </c>
      <c r="C69" s="751" t="s">
        <v>24</v>
      </c>
      <c r="D69" s="757">
        <v>30</v>
      </c>
      <c r="E69" s="751">
        <v>1850</v>
      </c>
      <c r="F69" s="758">
        <v>0.75</v>
      </c>
      <c r="G69" s="751">
        <v>1.3</v>
      </c>
      <c r="H69" s="762">
        <v>0.17</v>
      </c>
      <c r="I69" s="788">
        <v>20</v>
      </c>
      <c r="J69" s="811">
        <v>20</v>
      </c>
      <c r="K69" s="817">
        <v>1.11</v>
      </c>
      <c r="L69" s="817">
        <v>0.15</v>
      </c>
      <c r="M69" s="785">
        <v>0.75</v>
      </c>
      <c r="N69" s="817" t="s">
        <v>456</v>
      </c>
      <c r="O69" s="786">
        <v>920</v>
      </c>
      <c r="P69" s="787">
        <v>920</v>
      </c>
      <c r="Q69" s="787">
        <v>24</v>
      </c>
      <c r="R69" s="787">
        <v>4.4</v>
      </c>
      <c r="S69" s="787">
        <v>322</v>
      </c>
      <c r="T69" s="787">
        <v>874</v>
      </c>
      <c r="U69" s="995">
        <v>125</v>
      </c>
      <c r="V69" s="1004" t="s">
        <v>180</v>
      </c>
      <c r="W69" s="817" t="s">
        <v>442</v>
      </c>
      <c r="X69" s="854">
        <v>4.179</v>
      </c>
      <c r="Y69" s="854">
        <v>0.184</v>
      </c>
      <c r="Z69" s="913">
        <v>0.08</v>
      </c>
      <c r="AA69" s="946"/>
      <c r="AB69" s="946"/>
    </row>
    <row r="70" customHeight="1" spans="1:28">
      <c r="A70" s="946"/>
      <c r="B70" s="751" t="s">
        <v>25</v>
      </c>
      <c r="C70" s="751" t="s">
        <v>25</v>
      </c>
      <c r="D70" s="757">
        <v>500</v>
      </c>
      <c r="E70" s="751">
        <v>2000</v>
      </c>
      <c r="F70" s="758">
        <v>0.7</v>
      </c>
      <c r="G70" s="751">
        <v>1.255</v>
      </c>
      <c r="H70" s="762">
        <v>0.15</v>
      </c>
      <c r="I70" s="821">
        <v>185.85</v>
      </c>
      <c r="J70" s="926">
        <v>185.85</v>
      </c>
      <c r="K70" s="817">
        <v>1.255</v>
      </c>
      <c r="L70" s="817">
        <v>0.15</v>
      </c>
      <c r="M70" s="785">
        <v>0.7</v>
      </c>
      <c r="N70" s="817" t="s">
        <v>462</v>
      </c>
      <c r="O70" s="786">
        <v>190</v>
      </c>
      <c r="P70" s="787">
        <v>740</v>
      </c>
      <c r="Q70" s="849">
        <v>400</v>
      </c>
      <c r="R70" s="787">
        <v>0.4</v>
      </c>
      <c r="S70" s="787">
        <f>0.35*O70</f>
        <v>66.5</v>
      </c>
      <c r="T70" s="787">
        <f>0.95*O70</f>
        <v>180.5</v>
      </c>
      <c r="U70" s="995">
        <v>230</v>
      </c>
      <c r="V70" s="1019" t="s">
        <v>180</v>
      </c>
      <c r="W70" s="817" t="s">
        <v>216</v>
      </c>
      <c r="X70" s="854">
        <v>0.846</v>
      </c>
      <c r="Y70" s="854">
        <v>0.0146</v>
      </c>
      <c r="Z70" s="913">
        <v>0.08</v>
      </c>
      <c r="AA70" s="946"/>
      <c r="AB70" s="946"/>
    </row>
    <row r="71" customHeight="1" spans="1:28">
      <c r="A71" s="946"/>
      <c r="B71" s="772" t="s">
        <v>425</v>
      </c>
      <c r="C71" s="751" t="s">
        <v>13</v>
      </c>
      <c r="D71" s="757">
        <v>600</v>
      </c>
      <c r="E71" s="751">
        <v>1000</v>
      </c>
      <c r="F71" s="758">
        <v>0.9</v>
      </c>
      <c r="G71" s="751">
        <v>2.4</v>
      </c>
      <c r="H71" s="762">
        <v>1</v>
      </c>
      <c r="I71" s="803">
        <v>-259.15</v>
      </c>
      <c r="J71" s="926">
        <v>-259.15</v>
      </c>
      <c r="K71" s="817">
        <v>2.4</v>
      </c>
      <c r="L71" s="817">
        <v>0.1</v>
      </c>
      <c r="M71" s="785">
        <v>0.9</v>
      </c>
      <c r="N71" s="817" t="s">
        <v>463</v>
      </c>
      <c r="O71" s="786">
        <v>600</v>
      </c>
      <c r="P71" s="787">
        <v>1000</v>
      </c>
      <c r="Q71" s="849">
        <v>480</v>
      </c>
      <c r="R71" s="787">
        <v>0.04</v>
      </c>
      <c r="S71" s="787">
        <v>210</v>
      </c>
      <c r="T71" s="787">
        <v>570</v>
      </c>
      <c r="U71" s="995">
        <v>-252.15</v>
      </c>
      <c r="V71" s="999">
        <v>-252.15</v>
      </c>
      <c r="W71" s="817" t="s">
        <v>464</v>
      </c>
      <c r="X71" s="854">
        <v>2.4</v>
      </c>
      <c r="Y71" s="854">
        <v>0.168</v>
      </c>
      <c r="Z71" s="913">
        <v>0.09</v>
      </c>
      <c r="AA71" s="946"/>
      <c r="AB71" s="946"/>
    </row>
    <row r="72" customHeight="1" spans="1:29">
      <c r="A72" s="946" t="s">
        <v>394</v>
      </c>
      <c r="B72" s="772" t="s">
        <v>425</v>
      </c>
      <c r="C72" s="751" t="s">
        <v>15</v>
      </c>
      <c r="D72" s="767">
        <v>500</v>
      </c>
      <c r="E72" s="768">
        <v>750</v>
      </c>
      <c r="F72" s="773">
        <v>0.75</v>
      </c>
      <c r="G72" s="768">
        <v>2.191</v>
      </c>
      <c r="H72" s="768">
        <v>0.03</v>
      </c>
      <c r="I72" s="821">
        <v>-182.6</v>
      </c>
      <c r="J72" s="813">
        <v>-182.6</v>
      </c>
      <c r="K72" s="843">
        <v>2.191</v>
      </c>
      <c r="L72" s="927">
        <v>0.03</v>
      </c>
      <c r="M72" s="928">
        <v>0.75</v>
      </c>
      <c r="N72" s="927" t="s">
        <v>465</v>
      </c>
      <c r="O72" s="929">
        <v>600</v>
      </c>
      <c r="P72" s="930">
        <v>1000</v>
      </c>
      <c r="Q72" s="852">
        <v>400</v>
      </c>
      <c r="R72" s="930">
        <v>0.04</v>
      </c>
      <c r="S72" s="930">
        <v>210</v>
      </c>
      <c r="T72" s="930">
        <v>570</v>
      </c>
      <c r="U72" s="1020">
        <v>-161.5</v>
      </c>
      <c r="V72" s="999">
        <v>-161.5</v>
      </c>
      <c r="W72" s="817" t="s">
        <v>466</v>
      </c>
      <c r="X72" s="854">
        <v>2.191</v>
      </c>
      <c r="Y72" s="854">
        <v>0.035</v>
      </c>
      <c r="Z72" s="913">
        <v>0.07</v>
      </c>
      <c r="AA72" s="1006"/>
      <c r="AB72" s="1006"/>
      <c r="AC72" s="1007"/>
    </row>
    <row r="73" customHeight="1" spans="1:29">
      <c r="A73" s="946" t="s">
        <v>394</v>
      </c>
      <c r="B73" s="751" t="s">
        <v>467</v>
      </c>
      <c r="C73" s="751" t="s">
        <v>468</v>
      </c>
      <c r="D73" s="752">
        <v>50</v>
      </c>
      <c r="E73" s="775">
        <v>500</v>
      </c>
      <c r="F73" s="754">
        <v>0.73</v>
      </c>
      <c r="G73" s="753">
        <v>0.5</v>
      </c>
      <c r="H73" s="753">
        <v>4</v>
      </c>
      <c r="I73" s="781">
        <v>668.85</v>
      </c>
      <c r="J73" s="814" t="s">
        <v>180</v>
      </c>
      <c r="K73" s="851">
        <v>0.48</v>
      </c>
      <c r="L73" s="930">
        <v>0.0081</v>
      </c>
      <c r="M73" s="928">
        <v>0.73</v>
      </c>
      <c r="N73" s="930" t="s">
        <v>469</v>
      </c>
      <c r="O73" s="929">
        <v>600</v>
      </c>
      <c r="P73" s="930">
        <v>1000</v>
      </c>
      <c r="Q73" s="930">
        <v>480</v>
      </c>
      <c r="R73" s="930">
        <v>0.04</v>
      </c>
      <c r="S73" s="930">
        <v>210</v>
      </c>
      <c r="T73" s="930">
        <v>570</v>
      </c>
      <c r="U73" s="938">
        <v>-34.59999</v>
      </c>
      <c r="V73" s="905">
        <v>-34.59999</v>
      </c>
      <c r="W73" s="854" t="s">
        <v>329</v>
      </c>
      <c r="X73" s="854">
        <v>0.48</v>
      </c>
      <c r="Y73" s="854">
        <v>0.0081</v>
      </c>
      <c r="Z73" s="913">
        <v>0.07</v>
      </c>
      <c r="AA73" s="1006"/>
      <c r="AB73" s="1006"/>
      <c r="AC73" s="1007"/>
    </row>
    <row r="74" customHeight="1" spans="1:28">
      <c r="A74" s="946" t="s">
        <v>394</v>
      </c>
      <c r="B74" s="751" t="s">
        <v>467</v>
      </c>
      <c r="C74" s="751" t="s">
        <v>59</v>
      </c>
      <c r="D74" s="757">
        <v>600</v>
      </c>
      <c r="E74" s="753">
        <v>1000</v>
      </c>
      <c r="F74" s="773">
        <v>0.73</v>
      </c>
      <c r="G74" s="768">
        <v>0.48</v>
      </c>
      <c r="H74" s="768">
        <v>0.75</v>
      </c>
      <c r="I74" s="788">
        <v>-100.98</v>
      </c>
      <c r="J74" s="811">
        <v>-100.98</v>
      </c>
      <c r="K74" s="787">
        <v>0.48</v>
      </c>
      <c r="L74" s="787">
        <v>0.0081</v>
      </c>
      <c r="M74" s="785">
        <v>0.73</v>
      </c>
      <c r="N74" s="787" t="s">
        <v>469</v>
      </c>
      <c r="O74" s="786">
        <v>600</v>
      </c>
      <c r="P74" s="787">
        <v>1000</v>
      </c>
      <c r="Q74" s="787">
        <v>480</v>
      </c>
      <c r="R74" s="787">
        <v>0.04</v>
      </c>
      <c r="S74" s="787">
        <v>210</v>
      </c>
      <c r="T74" s="787">
        <v>570</v>
      </c>
      <c r="U74" s="892">
        <v>-34.59999</v>
      </c>
      <c r="V74" s="939">
        <v>-34.59999</v>
      </c>
      <c r="W74" s="854" t="s">
        <v>329</v>
      </c>
      <c r="X74" s="854">
        <v>0.48</v>
      </c>
      <c r="Y74" s="854">
        <v>0.0081</v>
      </c>
      <c r="Z74" s="913">
        <v>0.07</v>
      </c>
      <c r="AA74" s="946"/>
      <c r="AB74" s="946"/>
    </row>
    <row r="75" customHeight="1" spans="1:26">
      <c r="A75" s="3" t="s">
        <v>394</v>
      </c>
      <c r="B75" s="751" t="s">
        <v>470</v>
      </c>
      <c r="C75" s="751" t="s">
        <v>470</v>
      </c>
      <c r="D75" s="757">
        <v>200</v>
      </c>
      <c r="E75" s="751">
        <v>200</v>
      </c>
      <c r="F75" s="754">
        <v>0.3</v>
      </c>
      <c r="G75" s="753">
        <v>7.44</v>
      </c>
      <c r="H75" s="753">
        <v>6</v>
      </c>
      <c r="I75" s="762">
        <v>626.85</v>
      </c>
      <c r="J75" s="1017"/>
      <c r="K75" s="1018"/>
      <c r="L75" s="1018"/>
      <c r="M75" s="1018"/>
      <c r="N75" s="1018"/>
      <c r="O75" s="1018"/>
      <c r="P75" s="1018" t="s">
        <v>180</v>
      </c>
      <c r="Q75" s="1018"/>
      <c r="R75" s="1018"/>
      <c r="S75" s="1018"/>
      <c r="T75" s="1018"/>
      <c r="U75" s="1021"/>
      <c r="V75" s="1022"/>
      <c r="W75" s="854" t="s">
        <v>393</v>
      </c>
      <c r="X75" s="854">
        <v>0.265</v>
      </c>
      <c r="Y75" s="854">
        <v>1</v>
      </c>
      <c r="Z75" s="913">
        <v>0.03</v>
      </c>
    </row>
    <row r="76" customHeight="1" spans="3:28">
      <c r="C76" s="944"/>
      <c r="D76" s="573"/>
      <c r="G76" s="324"/>
      <c r="H76" s="324"/>
      <c r="K76" s="324"/>
      <c r="L76" s="324"/>
      <c r="O76" s="324"/>
      <c r="R76" s="324"/>
      <c r="Y76" s="324"/>
      <c r="AB76" s="3"/>
    </row>
    <row r="77" customHeight="1" spans="28:28">
      <c r="AB77" s="3"/>
    </row>
  </sheetData>
  <autoFilter ref="B1:Z77">
    <sortState ref="B1:Z77">
      <sortCondition ref="L1:L77" descending="1"/>
    </sortState>
    <extLst/>
  </autoFilter>
  <pageMargins left="0" right="0" top="0.078740157480315" bottom="0" header="0" footer="0"/>
  <pageSetup paperSize="8" fitToHeight="0" orientation="landscape"/>
  <headerFooter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 tint="0.4"/>
  </sheetPr>
  <dimension ref="A1:Z79"/>
  <sheetViews>
    <sheetView workbookViewId="0">
      <pane xSplit="3" ySplit="1" topLeftCell="D2" activePane="bottomRight" state="frozen"/>
      <selection/>
      <selection pane="topRight"/>
      <selection pane="bottomLeft"/>
      <selection pane="bottomRight" activeCell="M8" sqref="M8"/>
    </sheetView>
  </sheetViews>
  <sheetFormatPr defaultColWidth="12.75" defaultRowHeight="14"/>
  <cols>
    <col min="1" max="1" width="5.5" style="573" customWidth="1"/>
    <col min="2" max="3" width="12.75" style="573" customWidth="1"/>
    <col min="4" max="6" width="12.75" style="573" hidden="1" customWidth="1"/>
    <col min="7" max="8" width="12.75" style="749" customWidth="1"/>
    <col min="9" max="10" width="12.75" style="573" customWidth="1"/>
    <col min="11" max="13" width="12.75" style="750" customWidth="1"/>
    <col min="14" max="20" width="12.75" style="573" hidden="1" customWidth="1"/>
    <col min="21" max="23" width="12.75" style="573" customWidth="1"/>
    <col min="24" max="26" width="12.75" style="749" customWidth="1"/>
    <col min="27" max="16384" width="12.75" style="573" customWidth="1"/>
  </cols>
  <sheetData>
    <row r="1" spans="1:26">
      <c r="A1" s="573" t="s">
        <v>83</v>
      </c>
      <c r="B1" s="751" t="s">
        <v>0</v>
      </c>
      <c r="C1" s="751" t="s">
        <v>0</v>
      </c>
      <c r="D1" s="752" t="s">
        <v>367</v>
      </c>
      <c r="E1" s="753" t="s">
        <v>368</v>
      </c>
      <c r="F1" s="754" t="s">
        <v>1</v>
      </c>
      <c r="G1" s="755" t="s">
        <v>471</v>
      </c>
      <c r="H1" s="756" t="s">
        <v>3</v>
      </c>
      <c r="I1" s="781" t="s">
        <v>4</v>
      </c>
      <c r="J1" s="782" t="s">
        <v>371</v>
      </c>
      <c r="K1" s="783" t="s">
        <v>2</v>
      </c>
      <c r="L1" s="783" t="s">
        <v>3</v>
      </c>
      <c r="M1" s="784" t="s">
        <v>0</v>
      </c>
      <c r="N1" s="785" t="s">
        <v>372</v>
      </c>
      <c r="O1" s="786" t="s">
        <v>367</v>
      </c>
      <c r="P1" s="787" t="s">
        <v>368</v>
      </c>
      <c r="Q1" s="849" t="s">
        <v>373</v>
      </c>
      <c r="R1" s="850" t="s">
        <v>374</v>
      </c>
      <c r="S1" s="851" t="s">
        <v>375</v>
      </c>
      <c r="T1" s="820" t="s">
        <v>375</v>
      </c>
      <c r="U1" s="852" t="s">
        <v>4</v>
      </c>
      <c r="V1" s="853" t="s">
        <v>371</v>
      </c>
      <c r="W1" s="854" t="s">
        <v>0</v>
      </c>
      <c r="X1" s="855" t="s">
        <v>2</v>
      </c>
      <c r="Y1" s="855" t="s">
        <v>3</v>
      </c>
      <c r="Z1" s="913" t="s">
        <v>372</v>
      </c>
    </row>
    <row r="2" spans="1:26">
      <c r="A2" s="573">
        <v>0</v>
      </c>
      <c r="B2" s="751" t="s">
        <v>5</v>
      </c>
      <c r="C2" s="751" t="s">
        <v>5</v>
      </c>
      <c r="D2" s="757">
        <v>1840</v>
      </c>
      <c r="E2" s="751">
        <v>1840</v>
      </c>
      <c r="F2" s="758">
        <v>0.3</v>
      </c>
      <c r="G2" s="759">
        <v>7.44</v>
      </c>
      <c r="H2" s="760">
        <v>6</v>
      </c>
      <c r="I2" s="788">
        <v>26.85</v>
      </c>
      <c r="J2" s="789">
        <v>26.85</v>
      </c>
      <c r="K2" s="790">
        <v>7.44</v>
      </c>
      <c r="L2" s="790">
        <v>6</v>
      </c>
      <c r="M2" s="790" t="s">
        <v>392</v>
      </c>
      <c r="N2" s="791">
        <v>0.3</v>
      </c>
      <c r="O2" s="792">
        <v>500</v>
      </c>
      <c r="P2" s="793">
        <v>1000</v>
      </c>
      <c r="Q2" s="856">
        <v>1472</v>
      </c>
      <c r="R2" s="793">
        <v>100</v>
      </c>
      <c r="S2" s="793">
        <f>0.35*O2</f>
        <v>175</v>
      </c>
      <c r="T2" s="793">
        <f>0.95*O2</f>
        <v>475</v>
      </c>
      <c r="U2" s="824">
        <v>526.85</v>
      </c>
      <c r="V2" s="857">
        <v>66.85</v>
      </c>
      <c r="W2" s="858" t="s">
        <v>393</v>
      </c>
      <c r="X2" s="776">
        <v>0.265</v>
      </c>
      <c r="Y2" s="776">
        <v>1</v>
      </c>
      <c r="Z2" s="914">
        <v>0.03</v>
      </c>
    </row>
    <row r="3" spans="1:26">
      <c r="A3" s="573">
        <v>1</v>
      </c>
      <c r="B3" s="751" t="s">
        <v>470</v>
      </c>
      <c r="C3" s="751" t="s">
        <v>470</v>
      </c>
      <c r="D3" s="757">
        <v>200</v>
      </c>
      <c r="E3" s="751">
        <v>200</v>
      </c>
      <c r="F3" s="758">
        <v>0.3</v>
      </c>
      <c r="G3" s="759">
        <v>7.44</v>
      </c>
      <c r="H3" s="760">
        <v>6</v>
      </c>
      <c r="I3" s="762">
        <v>626.85</v>
      </c>
      <c r="J3" s="794"/>
      <c r="K3" s="699"/>
      <c r="L3" s="699"/>
      <c r="M3" s="699"/>
      <c r="N3" s="795"/>
      <c r="O3" s="795"/>
      <c r="P3" s="795" t="s">
        <v>180</v>
      </c>
      <c r="Q3" s="795"/>
      <c r="R3" s="795"/>
      <c r="S3" s="795"/>
      <c r="T3" s="795"/>
      <c r="U3" s="859"/>
      <c r="V3" s="860"/>
      <c r="W3" s="858" t="s">
        <v>393</v>
      </c>
      <c r="X3" s="776">
        <v>0.265</v>
      </c>
      <c r="Y3" s="776">
        <v>1</v>
      </c>
      <c r="Z3" s="914">
        <v>0.03</v>
      </c>
    </row>
    <row r="4" spans="1:26">
      <c r="A4" s="573">
        <v>2</v>
      </c>
      <c r="B4" s="751" t="s">
        <v>78</v>
      </c>
      <c r="C4" s="751" t="s">
        <v>406</v>
      </c>
      <c r="D4" s="757">
        <v>900</v>
      </c>
      <c r="E4" s="761">
        <v>1800</v>
      </c>
      <c r="F4" s="758">
        <v>0.6</v>
      </c>
      <c r="G4" s="759">
        <v>5.57</v>
      </c>
      <c r="H4" s="760">
        <v>1e-5</v>
      </c>
      <c r="I4" s="762">
        <v>3621.85</v>
      </c>
      <c r="J4" s="796" t="s">
        <v>180</v>
      </c>
      <c r="K4" s="790">
        <v>0.134</v>
      </c>
      <c r="L4" s="790">
        <v>4</v>
      </c>
      <c r="M4" s="790" t="s">
        <v>402</v>
      </c>
      <c r="N4" s="791">
        <v>0.35</v>
      </c>
      <c r="O4" s="792">
        <v>200</v>
      </c>
      <c r="P4" s="793">
        <v>3870</v>
      </c>
      <c r="Q4" s="793">
        <v>160</v>
      </c>
      <c r="R4" s="793">
        <v>80</v>
      </c>
      <c r="S4" s="793">
        <v>70</v>
      </c>
      <c r="T4" s="793">
        <v>190</v>
      </c>
      <c r="U4" s="861">
        <v>5929.85</v>
      </c>
      <c r="V4" s="862">
        <v>5929.85</v>
      </c>
      <c r="W4" s="858" t="s">
        <v>403</v>
      </c>
      <c r="X4" s="776">
        <v>0.134</v>
      </c>
      <c r="Y4" s="776">
        <v>1</v>
      </c>
      <c r="Z4" s="914">
        <v>0.03</v>
      </c>
    </row>
    <row r="5" spans="1:26">
      <c r="A5" s="573">
        <v>3</v>
      </c>
      <c r="B5" s="762" t="s">
        <v>78</v>
      </c>
      <c r="C5" s="763" t="s">
        <v>405</v>
      </c>
      <c r="D5" s="757">
        <v>500</v>
      </c>
      <c r="E5" s="753">
        <v>3200</v>
      </c>
      <c r="F5" s="758">
        <v>0.9</v>
      </c>
      <c r="G5" s="759">
        <v>4</v>
      </c>
      <c r="H5" s="760">
        <v>1e-5</v>
      </c>
      <c r="I5" s="762">
        <v>3421.85</v>
      </c>
      <c r="J5" s="796" t="s">
        <v>180</v>
      </c>
      <c r="K5" s="790">
        <v>0.134</v>
      </c>
      <c r="L5" s="790">
        <v>4</v>
      </c>
      <c r="M5" s="790" t="s">
        <v>402</v>
      </c>
      <c r="N5" s="791">
        <v>0.35</v>
      </c>
      <c r="O5" s="792">
        <v>200</v>
      </c>
      <c r="P5" s="793">
        <v>3870</v>
      </c>
      <c r="Q5" s="793">
        <v>160</v>
      </c>
      <c r="R5" s="793">
        <v>80</v>
      </c>
      <c r="S5" s="793">
        <v>70</v>
      </c>
      <c r="T5" s="793">
        <v>190</v>
      </c>
      <c r="U5" s="861">
        <v>5929.85</v>
      </c>
      <c r="V5" s="862">
        <v>5929.85</v>
      </c>
      <c r="W5" s="858" t="s">
        <v>403</v>
      </c>
      <c r="X5" s="776">
        <v>0.134</v>
      </c>
      <c r="Y5" s="776">
        <v>1</v>
      </c>
      <c r="Z5" s="914">
        <v>0.03</v>
      </c>
    </row>
    <row r="6" spans="1:26">
      <c r="A6" s="573">
        <v>4</v>
      </c>
      <c r="B6" s="764" t="s">
        <v>9</v>
      </c>
      <c r="C6" s="765" t="s">
        <v>9</v>
      </c>
      <c r="D6" s="757">
        <v>40</v>
      </c>
      <c r="E6" s="766">
        <v>200</v>
      </c>
      <c r="F6" s="758">
        <v>0.25</v>
      </c>
      <c r="G6" s="759">
        <v>3.47</v>
      </c>
      <c r="H6" s="760">
        <v>0.6</v>
      </c>
      <c r="I6" s="764">
        <v>9726.85</v>
      </c>
      <c r="J6" s="796">
        <v>-271.15</v>
      </c>
      <c r="K6" s="790">
        <v>8.44</v>
      </c>
      <c r="L6" s="790">
        <v>9.46</v>
      </c>
      <c r="M6" s="797" t="s">
        <v>388</v>
      </c>
      <c r="N6" s="791">
        <v>0.6</v>
      </c>
      <c r="O6" s="792">
        <v>800</v>
      </c>
      <c r="P6" s="793">
        <v>910</v>
      </c>
      <c r="Q6" s="863" t="s">
        <v>180</v>
      </c>
      <c r="R6" s="793">
        <v>0.04</v>
      </c>
      <c r="S6" s="793">
        <v>280</v>
      </c>
      <c r="T6" s="793">
        <v>760</v>
      </c>
      <c r="U6" s="861">
        <v>436.85</v>
      </c>
      <c r="V6" s="862">
        <v>436.85</v>
      </c>
      <c r="W6" s="864" t="s">
        <v>389</v>
      </c>
      <c r="X6" s="776">
        <v>8.44</v>
      </c>
      <c r="Y6" s="776">
        <v>1.2</v>
      </c>
      <c r="Z6" s="914">
        <v>0.06</v>
      </c>
    </row>
    <row r="7" spans="1:26">
      <c r="A7" s="573">
        <v>5</v>
      </c>
      <c r="B7" s="751" t="s">
        <v>16</v>
      </c>
      <c r="C7" s="751" t="s">
        <v>10</v>
      </c>
      <c r="D7" s="767">
        <v>1000</v>
      </c>
      <c r="E7" s="768">
        <v>1100</v>
      </c>
      <c r="F7" s="758">
        <v>0.8</v>
      </c>
      <c r="G7" s="769">
        <v>3.4</v>
      </c>
      <c r="H7" s="769">
        <v>2.18</v>
      </c>
      <c r="I7" s="798">
        <v>-16.5</v>
      </c>
      <c r="J7" s="782">
        <v>-22.5</v>
      </c>
      <c r="K7" s="799">
        <v>3.4</v>
      </c>
      <c r="L7" s="799">
        <v>0.609</v>
      </c>
      <c r="M7" s="799" t="s">
        <v>441</v>
      </c>
      <c r="N7" s="800">
        <v>0.8</v>
      </c>
      <c r="O7" s="801">
        <v>1200</v>
      </c>
      <c r="P7" s="802">
        <v>1200</v>
      </c>
      <c r="Q7" s="865">
        <v>800</v>
      </c>
      <c r="R7" s="802">
        <v>0.04</v>
      </c>
      <c r="S7" s="802">
        <v>420</v>
      </c>
      <c r="T7" s="802">
        <v>1140</v>
      </c>
      <c r="U7" s="866">
        <v>102.75</v>
      </c>
      <c r="V7" s="867" t="s">
        <v>180</v>
      </c>
      <c r="W7" s="858" t="s">
        <v>442</v>
      </c>
      <c r="X7" s="776">
        <v>4.179</v>
      </c>
      <c r="Y7" s="776">
        <v>0.184</v>
      </c>
      <c r="Z7" s="914">
        <v>0.08</v>
      </c>
    </row>
    <row r="8" spans="1:26">
      <c r="A8" s="573">
        <v>6</v>
      </c>
      <c r="B8" s="751" t="s">
        <v>16</v>
      </c>
      <c r="C8" s="751" t="s">
        <v>11</v>
      </c>
      <c r="D8" s="757">
        <v>500</v>
      </c>
      <c r="E8" s="751">
        <v>800</v>
      </c>
      <c r="F8" s="754">
        <v>0.75</v>
      </c>
      <c r="G8" s="770">
        <v>3.05</v>
      </c>
      <c r="H8" s="771">
        <v>1</v>
      </c>
      <c r="I8" s="803">
        <v>-20.64999</v>
      </c>
      <c r="J8" s="804">
        <v>-20.64999</v>
      </c>
      <c r="K8" s="805">
        <v>4.179</v>
      </c>
      <c r="L8" s="806">
        <v>0.58</v>
      </c>
      <c r="M8" s="806" t="s">
        <v>446</v>
      </c>
      <c r="N8" s="807">
        <v>0.8</v>
      </c>
      <c r="O8" s="808">
        <v>1000</v>
      </c>
      <c r="P8" s="809">
        <v>1000</v>
      </c>
      <c r="Q8" s="868">
        <v>400</v>
      </c>
      <c r="R8" s="809">
        <v>0.04</v>
      </c>
      <c r="S8" s="809">
        <v>350</v>
      </c>
      <c r="T8" s="809">
        <v>950</v>
      </c>
      <c r="U8" s="831">
        <v>119.35</v>
      </c>
      <c r="V8" s="869" t="s">
        <v>180</v>
      </c>
      <c r="W8" s="870" t="s">
        <v>442</v>
      </c>
      <c r="X8" s="770">
        <v>4.179</v>
      </c>
      <c r="Y8" s="770">
        <v>0.184</v>
      </c>
      <c r="Z8" s="915">
        <v>0.08</v>
      </c>
    </row>
    <row r="9" spans="1:26">
      <c r="A9" s="573">
        <v>7</v>
      </c>
      <c r="B9" s="772" t="s">
        <v>425</v>
      </c>
      <c r="C9" s="751" t="s">
        <v>459</v>
      </c>
      <c r="D9" s="757">
        <v>100</v>
      </c>
      <c r="E9" s="751">
        <v>200</v>
      </c>
      <c r="F9" s="754">
        <v>0.7</v>
      </c>
      <c r="G9" s="759">
        <v>2.46</v>
      </c>
      <c r="H9" s="760">
        <v>20</v>
      </c>
      <c r="I9" s="788">
        <v>-114.05</v>
      </c>
      <c r="J9" s="789">
        <v>-114.05</v>
      </c>
      <c r="K9" s="810">
        <v>2.46</v>
      </c>
      <c r="L9" s="810">
        <v>0.171</v>
      </c>
      <c r="M9" s="810" t="s">
        <v>460</v>
      </c>
      <c r="N9" s="791">
        <v>0.7</v>
      </c>
      <c r="O9" s="792">
        <v>1000</v>
      </c>
      <c r="P9" s="793">
        <v>1000</v>
      </c>
      <c r="Q9" s="856">
        <v>80</v>
      </c>
      <c r="R9" s="793">
        <v>0.04</v>
      </c>
      <c r="S9" s="793">
        <v>350</v>
      </c>
      <c r="T9" s="793">
        <v>950</v>
      </c>
      <c r="U9" s="861">
        <v>78.35001</v>
      </c>
      <c r="V9" s="862">
        <v>78.35001</v>
      </c>
      <c r="W9" s="858" t="s">
        <v>461</v>
      </c>
      <c r="X9" s="776">
        <v>2.148</v>
      </c>
      <c r="Y9" s="776">
        <v>0.167</v>
      </c>
      <c r="Z9" s="914">
        <v>0.07</v>
      </c>
    </row>
    <row r="10" spans="1:26">
      <c r="A10" s="573">
        <v>8</v>
      </c>
      <c r="B10" s="772" t="s">
        <v>425</v>
      </c>
      <c r="C10" s="751" t="s">
        <v>13</v>
      </c>
      <c r="D10" s="757">
        <v>600</v>
      </c>
      <c r="E10" s="751">
        <v>1000</v>
      </c>
      <c r="F10" s="758">
        <v>0.9</v>
      </c>
      <c r="G10" s="759">
        <v>2.4</v>
      </c>
      <c r="H10" s="760">
        <v>1</v>
      </c>
      <c r="I10" s="788">
        <v>-259.15</v>
      </c>
      <c r="J10" s="811">
        <v>-259.15</v>
      </c>
      <c r="K10" s="812">
        <v>2.4</v>
      </c>
      <c r="L10" s="812">
        <v>0.1</v>
      </c>
      <c r="M10" s="812" t="s">
        <v>463</v>
      </c>
      <c r="N10" s="800">
        <v>0.9</v>
      </c>
      <c r="O10" s="801">
        <v>600</v>
      </c>
      <c r="P10" s="802">
        <v>1000</v>
      </c>
      <c r="Q10" s="865">
        <v>480</v>
      </c>
      <c r="R10" s="802">
        <v>0.04</v>
      </c>
      <c r="S10" s="802">
        <v>210</v>
      </c>
      <c r="T10" s="802">
        <v>570</v>
      </c>
      <c r="U10" s="871">
        <v>-252.15</v>
      </c>
      <c r="V10" s="872">
        <v>-252.15</v>
      </c>
      <c r="W10" s="873" t="s">
        <v>464</v>
      </c>
      <c r="X10" s="769">
        <v>2.4</v>
      </c>
      <c r="Y10" s="769">
        <v>0.168</v>
      </c>
      <c r="Z10" s="916">
        <v>0.09</v>
      </c>
    </row>
    <row r="11" spans="1:26">
      <c r="A11" s="573">
        <v>9</v>
      </c>
      <c r="B11" s="751" t="s">
        <v>421</v>
      </c>
      <c r="C11" s="751" t="s">
        <v>14</v>
      </c>
      <c r="D11" s="757">
        <v>740</v>
      </c>
      <c r="E11" s="751">
        <v>1840</v>
      </c>
      <c r="F11" s="773">
        <v>0.6</v>
      </c>
      <c r="G11" s="759">
        <v>2.191</v>
      </c>
      <c r="H11" s="760">
        <v>0.2</v>
      </c>
      <c r="I11" s="788">
        <v>-50.14999</v>
      </c>
      <c r="J11" s="813">
        <v>-50.14999</v>
      </c>
      <c r="K11" s="790">
        <v>2.191</v>
      </c>
      <c r="L11" s="790">
        <v>0.2</v>
      </c>
      <c r="M11" s="790" t="s">
        <v>449</v>
      </c>
      <c r="N11" s="791">
        <v>0.6</v>
      </c>
      <c r="O11" s="792">
        <v>740</v>
      </c>
      <c r="P11" s="793">
        <v>740</v>
      </c>
      <c r="Q11" s="856">
        <v>592</v>
      </c>
      <c r="R11" s="793">
        <v>40</v>
      </c>
      <c r="S11" s="793">
        <v>259</v>
      </c>
      <c r="T11" s="793">
        <v>703</v>
      </c>
      <c r="U11" s="824">
        <v>538.85</v>
      </c>
      <c r="V11" s="857">
        <v>-161.5</v>
      </c>
      <c r="W11" s="874" t="s">
        <v>424</v>
      </c>
      <c r="X11" s="776">
        <v>1.898</v>
      </c>
      <c r="Y11" s="776">
        <v>0.018</v>
      </c>
      <c r="Z11" s="914">
        <v>0.05</v>
      </c>
    </row>
    <row r="12" spans="1:26">
      <c r="A12" s="573">
        <v>10</v>
      </c>
      <c r="B12" s="772" t="s">
        <v>425</v>
      </c>
      <c r="C12" s="751" t="s">
        <v>15</v>
      </c>
      <c r="D12" s="757">
        <v>500</v>
      </c>
      <c r="E12" s="751">
        <v>750</v>
      </c>
      <c r="F12" s="758">
        <v>0.75</v>
      </c>
      <c r="G12" s="759">
        <v>2.191</v>
      </c>
      <c r="H12" s="760">
        <v>0.03</v>
      </c>
      <c r="I12" s="788">
        <v>-182.6</v>
      </c>
      <c r="J12" s="789">
        <v>-182.6</v>
      </c>
      <c r="K12" s="790">
        <v>2.191</v>
      </c>
      <c r="L12" s="790">
        <v>0.03</v>
      </c>
      <c r="M12" s="790" t="s">
        <v>465</v>
      </c>
      <c r="N12" s="791">
        <v>0.75</v>
      </c>
      <c r="O12" s="792">
        <v>600</v>
      </c>
      <c r="P12" s="793">
        <v>1000</v>
      </c>
      <c r="Q12" s="856">
        <v>400</v>
      </c>
      <c r="R12" s="793">
        <v>0.04</v>
      </c>
      <c r="S12" s="793">
        <v>210</v>
      </c>
      <c r="T12" s="793">
        <v>570</v>
      </c>
      <c r="U12" s="861">
        <v>-161.5</v>
      </c>
      <c r="V12" s="862">
        <v>-161.5</v>
      </c>
      <c r="W12" s="858" t="s">
        <v>466</v>
      </c>
      <c r="X12" s="776">
        <v>2.191</v>
      </c>
      <c r="Y12" s="776">
        <v>0.035</v>
      </c>
      <c r="Z12" s="914">
        <v>0.07</v>
      </c>
    </row>
    <row r="13" spans="1:26">
      <c r="A13" s="573">
        <v>11</v>
      </c>
      <c r="B13" s="751" t="s">
        <v>16</v>
      </c>
      <c r="C13" s="751" t="s">
        <v>16</v>
      </c>
      <c r="D13" s="757">
        <v>1000</v>
      </c>
      <c r="E13" s="751">
        <v>1100</v>
      </c>
      <c r="F13" s="758">
        <v>0.8</v>
      </c>
      <c r="G13" s="759">
        <v>2.05</v>
      </c>
      <c r="H13" s="760">
        <v>2.18</v>
      </c>
      <c r="I13" s="762">
        <v>-0.6499939</v>
      </c>
      <c r="J13" s="796">
        <v>-0.6499939</v>
      </c>
      <c r="K13" s="790">
        <v>4.179</v>
      </c>
      <c r="L13" s="790">
        <v>0.609</v>
      </c>
      <c r="M13" s="790" t="s">
        <v>443</v>
      </c>
      <c r="N13" s="791">
        <v>0.8</v>
      </c>
      <c r="O13" s="792">
        <v>1000</v>
      </c>
      <c r="P13" s="793">
        <v>1000</v>
      </c>
      <c r="Q13" s="856">
        <v>800</v>
      </c>
      <c r="R13" s="793">
        <v>0.04</v>
      </c>
      <c r="S13" s="856">
        <v>350</v>
      </c>
      <c r="T13" s="856">
        <v>950</v>
      </c>
      <c r="U13" s="875">
        <v>99.35001</v>
      </c>
      <c r="V13" s="876">
        <v>99.35001</v>
      </c>
      <c r="W13" s="858" t="s">
        <v>442</v>
      </c>
      <c r="X13" s="776">
        <v>4.179</v>
      </c>
      <c r="Y13" s="776">
        <v>0.184</v>
      </c>
      <c r="Z13" s="914">
        <v>0.08</v>
      </c>
    </row>
    <row r="14" spans="1:26">
      <c r="A14" s="573">
        <v>12</v>
      </c>
      <c r="B14" s="762" t="s">
        <v>16</v>
      </c>
      <c r="C14" s="763" t="s">
        <v>17</v>
      </c>
      <c r="D14" s="757">
        <v>10</v>
      </c>
      <c r="E14" s="751">
        <v>20</v>
      </c>
      <c r="F14" s="758">
        <v>0.7</v>
      </c>
      <c r="G14" s="759">
        <v>2.05</v>
      </c>
      <c r="H14" s="760">
        <v>0.545</v>
      </c>
      <c r="I14" s="762">
        <v>-0.6499939</v>
      </c>
      <c r="J14" s="796" t="s">
        <v>180</v>
      </c>
      <c r="K14" s="810">
        <v>4.179</v>
      </c>
      <c r="L14" s="810">
        <v>0.609</v>
      </c>
      <c r="M14" s="810" t="s">
        <v>443</v>
      </c>
      <c r="N14" s="791">
        <v>0.8</v>
      </c>
      <c r="O14" s="792">
        <v>1000</v>
      </c>
      <c r="P14" s="793">
        <v>1000</v>
      </c>
      <c r="Q14" s="856">
        <v>800</v>
      </c>
      <c r="R14" s="793">
        <v>0.04</v>
      </c>
      <c r="S14" s="856">
        <v>350</v>
      </c>
      <c r="T14" s="856">
        <v>950</v>
      </c>
      <c r="U14" s="875">
        <v>99.35001</v>
      </c>
      <c r="V14" s="876">
        <v>99.35001</v>
      </c>
      <c r="W14" s="858" t="s">
        <v>442</v>
      </c>
      <c r="X14" s="776">
        <v>4.179</v>
      </c>
      <c r="Y14" s="776">
        <v>0.184</v>
      </c>
      <c r="Z14" s="914">
        <v>0.08</v>
      </c>
    </row>
    <row r="15" spans="1:26">
      <c r="A15" s="573">
        <v>13</v>
      </c>
      <c r="B15" s="762" t="s">
        <v>421</v>
      </c>
      <c r="C15" s="763" t="s">
        <v>18</v>
      </c>
      <c r="D15" s="757">
        <v>913</v>
      </c>
      <c r="E15" s="766">
        <v>913</v>
      </c>
      <c r="F15" s="758">
        <v>0.85</v>
      </c>
      <c r="G15" s="759">
        <v>1.92</v>
      </c>
      <c r="H15" s="760">
        <v>0.15</v>
      </c>
      <c r="I15" s="762">
        <v>159.85</v>
      </c>
      <c r="J15" s="814" t="s">
        <v>180</v>
      </c>
      <c r="K15" s="815">
        <v>2.191</v>
      </c>
      <c r="L15" s="790">
        <v>0.2</v>
      </c>
      <c r="M15" s="815" t="s">
        <v>449</v>
      </c>
      <c r="N15" s="807">
        <v>0.6</v>
      </c>
      <c r="O15" s="808">
        <v>740</v>
      </c>
      <c r="P15" s="809">
        <v>740</v>
      </c>
      <c r="Q15" s="868">
        <v>592</v>
      </c>
      <c r="R15" s="809">
        <v>40</v>
      </c>
      <c r="S15" s="809">
        <v>259</v>
      </c>
      <c r="T15" s="809">
        <v>703</v>
      </c>
      <c r="U15" s="831">
        <v>538.85</v>
      </c>
      <c r="V15" s="869">
        <v>-161.5</v>
      </c>
      <c r="W15" s="874" t="s">
        <v>424</v>
      </c>
      <c r="X15" s="776">
        <v>1.898</v>
      </c>
      <c r="Y15" s="776">
        <v>0.018</v>
      </c>
      <c r="Z15" s="914">
        <v>0.05</v>
      </c>
    </row>
    <row r="16" spans="1:26">
      <c r="A16" s="573">
        <v>14</v>
      </c>
      <c r="B16" s="762" t="s">
        <v>421</v>
      </c>
      <c r="C16" s="763" t="s">
        <v>19</v>
      </c>
      <c r="D16" s="767">
        <v>740</v>
      </c>
      <c r="E16" s="751">
        <v>1840</v>
      </c>
      <c r="F16" s="758">
        <v>0.8</v>
      </c>
      <c r="G16" s="759">
        <v>1.76</v>
      </c>
      <c r="H16" s="760">
        <v>2</v>
      </c>
      <c r="I16" s="788">
        <v>-57.14999</v>
      </c>
      <c r="J16" s="804">
        <v>-57.14999</v>
      </c>
      <c r="K16" s="805">
        <v>1.76</v>
      </c>
      <c r="L16" s="810">
        <v>2</v>
      </c>
      <c r="M16" s="799" t="s">
        <v>423</v>
      </c>
      <c r="N16" s="800">
        <v>0.8</v>
      </c>
      <c r="O16" s="801">
        <v>740</v>
      </c>
      <c r="P16" s="802">
        <v>740</v>
      </c>
      <c r="Q16" s="865">
        <v>592</v>
      </c>
      <c r="R16" s="802">
        <v>0.4</v>
      </c>
      <c r="S16" s="802">
        <v>259</v>
      </c>
      <c r="T16" s="802">
        <v>703</v>
      </c>
      <c r="U16" s="823">
        <v>538.85</v>
      </c>
      <c r="V16" s="877">
        <v>-161.5</v>
      </c>
      <c r="W16" s="874" t="s">
        <v>424</v>
      </c>
      <c r="X16" s="776">
        <v>1.898</v>
      </c>
      <c r="Y16" s="776">
        <v>0.018</v>
      </c>
      <c r="Z16" s="914">
        <v>0.05</v>
      </c>
    </row>
    <row r="17" spans="1:26">
      <c r="A17" s="573">
        <v>15</v>
      </c>
      <c r="B17" s="762" t="s">
        <v>407</v>
      </c>
      <c r="C17" s="763" t="s">
        <v>52</v>
      </c>
      <c r="D17" s="774">
        <v>600</v>
      </c>
      <c r="E17" s="768">
        <v>4000</v>
      </c>
      <c r="F17" s="773">
        <v>0.84</v>
      </c>
      <c r="G17" s="769">
        <v>1.74</v>
      </c>
      <c r="H17" s="769">
        <v>3.1</v>
      </c>
      <c r="I17" s="816">
        <v>4326.85</v>
      </c>
      <c r="J17" s="782">
        <v>3551.85</v>
      </c>
      <c r="K17" s="817">
        <v>0.71</v>
      </c>
      <c r="L17" s="790">
        <v>2</v>
      </c>
      <c r="M17" s="790" t="s">
        <v>417</v>
      </c>
      <c r="N17" s="791">
        <v>0.84</v>
      </c>
      <c r="O17" s="792">
        <v>600</v>
      </c>
      <c r="P17" s="793">
        <v>4000</v>
      </c>
      <c r="Q17" s="793">
        <v>480</v>
      </c>
      <c r="R17" s="793">
        <v>0.04</v>
      </c>
      <c r="S17" s="793">
        <v>210</v>
      </c>
      <c r="T17" s="793">
        <v>570</v>
      </c>
      <c r="U17" s="861">
        <v>4826.85</v>
      </c>
      <c r="V17" s="878">
        <v>4826.85</v>
      </c>
      <c r="W17" s="858" t="s">
        <v>418</v>
      </c>
      <c r="X17" s="776">
        <v>0.71</v>
      </c>
      <c r="Y17" s="776">
        <v>1.7</v>
      </c>
      <c r="Z17" s="914">
        <v>0.08</v>
      </c>
    </row>
    <row r="18" spans="1:26">
      <c r="A18" s="573">
        <v>16</v>
      </c>
      <c r="B18" s="762" t="s">
        <v>421</v>
      </c>
      <c r="C18" s="763" t="s">
        <v>20</v>
      </c>
      <c r="D18" s="752">
        <v>870</v>
      </c>
      <c r="E18" s="753">
        <v>1840</v>
      </c>
      <c r="F18" s="754">
        <v>0.8</v>
      </c>
      <c r="G18" s="770">
        <v>1.69</v>
      </c>
      <c r="H18" s="770">
        <v>2</v>
      </c>
      <c r="I18" s="803">
        <v>-40.14999</v>
      </c>
      <c r="J18" s="804">
        <v>-40.14999</v>
      </c>
      <c r="K18" s="805">
        <v>1.69</v>
      </c>
      <c r="L18" s="806">
        <v>2</v>
      </c>
      <c r="M18" s="806" t="s">
        <v>422</v>
      </c>
      <c r="N18" s="807">
        <v>0.8</v>
      </c>
      <c r="O18" s="808">
        <v>870</v>
      </c>
      <c r="P18" s="809">
        <v>870</v>
      </c>
      <c r="Q18" s="868">
        <v>696</v>
      </c>
      <c r="R18" s="809">
        <v>0.4</v>
      </c>
      <c r="S18" s="809">
        <f>0.35*O18</f>
        <v>304.5</v>
      </c>
      <c r="T18" s="809">
        <f>0.95*O18</f>
        <v>826.5</v>
      </c>
      <c r="U18" s="831">
        <v>399.85</v>
      </c>
      <c r="V18" s="796" t="s">
        <v>180</v>
      </c>
      <c r="W18" s="793" t="s">
        <v>423</v>
      </c>
      <c r="X18" s="776">
        <v>1.76</v>
      </c>
      <c r="Y18" s="776">
        <v>2</v>
      </c>
      <c r="Z18" s="914">
        <v>0.8</v>
      </c>
    </row>
    <row r="19" spans="1:26">
      <c r="A19" s="573">
        <v>17</v>
      </c>
      <c r="B19" s="772" t="s">
        <v>425</v>
      </c>
      <c r="C19" s="751" t="s">
        <v>21</v>
      </c>
      <c r="D19" s="774">
        <v>100</v>
      </c>
      <c r="E19" s="775">
        <v>150</v>
      </c>
      <c r="F19" s="758">
        <v>0.6</v>
      </c>
      <c r="G19" s="776">
        <v>1.55</v>
      </c>
      <c r="H19" s="776">
        <v>0.45</v>
      </c>
      <c r="I19" s="818">
        <v>-30.64999</v>
      </c>
      <c r="J19" s="804">
        <v>-30.64999</v>
      </c>
      <c r="K19" s="790">
        <v>1.55</v>
      </c>
      <c r="L19" s="790">
        <v>0.45</v>
      </c>
      <c r="M19" s="790" t="s">
        <v>447</v>
      </c>
      <c r="N19" s="791">
        <v>0.6</v>
      </c>
      <c r="O19" s="792">
        <v>100</v>
      </c>
      <c r="P19" s="793">
        <v>100</v>
      </c>
      <c r="Q19" s="856">
        <v>80</v>
      </c>
      <c r="R19" s="879" t="s">
        <v>448</v>
      </c>
      <c r="S19" s="793">
        <v>35</v>
      </c>
      <c r="T19" s="793">
        <v>95</v>
      </c>
      <c r="U19" s="880">
        <v>479.85</v>
      </c>
      <c r="V19" s="796" t="s">
        <v>180</v>
      </c>
      <c r="W19" s="793" t="s">
        <v>449</v>
      </c>
      <c r="X19" s="776">
        <v>2.191</v>
      </c>
      <c r="Y19" s="776">
        <v>0.2</v>
      </c>
      <c r="Z19" s="914">
        <v>0.6</v>
      </c>
    </row>
    <row r="20" spans="1:26">
      <c r="A20" s="573">
        <v>18</v>
      </c>
      <c r="B20" s="751" t="s">
        <v>416</v>
      </c>
      <c r="C20" s="751" t="s">
        <v>22</v>
      </c>
      <c r="D20" s="752">
        <v>1840</v>
      </c>
      <c r="E20" s="753">
        <v>1840</v>
      </c>
      <c r="F20" s="758">
        <v>0.75</v>
      </c>
      <c r="G20" s="770">
        <v>1.48</v>
      </c>
      <c r="H20" s="770">
        <v>2</v>
      </c>
      <c r="I20" s="816">
        <v>326.85</v>
      </c>
      <c r="J20" s="819" t="s">
        <v>180</v>
      </c>
      <c r="K20" s="815">
        <v>0.83</v>
      </c>
      <c r="L20" s="815">
        <v>2</v>
      </c>
      <c r="M20" s="815" t="s">
        <v>42</v>
      </c>
      <c r="N20" s="754">
        <v>0.7</v>
      </c>
      <c r="O20" s="809"/>
      <c r="P20" s="793"/>
      <c r="Q20" s="809"/>
      <c r="R20" s="793"/>
      <c r="S20" s="809"/>
      <c r="T20" s="809"/>
      <c r="U20" s="881"/>
      <c r="V20" s="882"/>
      <c r="W20" s="870"/>
      <c r="X20" s="770"/>
      <c r="Y20" s="770"/>
      <c r="Z20" s="770"/>
    </row>
    <row r="21" spans="1:26">
      <c r="A21" s="573">
        <v>19</v>
      </c>
      <c r="B21" s="764" t="s">
        <v>456</v>
      </c>
      <c r="C21" s="763" t="s">
        <v>23</v>
      </c>
      <c r="D21" s="757">
        <v>30</v>
      </c>
      <c r="E21" s="766">
        <v>50</v>
      </c>
      <c r="F21" s="758">
        <v>0.75</v>
      </c>
      <c r="G21" s="759">
        <v>1.3</v>
      </c>
      <c r="H21" s="760">
        <v>0.17</v>
      </c>
      <c r="I21" s="762">
        <v>200</v>
      </c>
      <c r="J21" s="820" t="s">
        <v>180</v>
      </c>
      <c r="K21" s="817">
        <v>2.191</v>
      </c>
      <c r="L21" s="817">
        <v>0.2</v>
      </c>
      <c r="M21" s="817" t="s">
        <v>449</v>
      </c>
      <c r="N21" s="785">
        <v>0.6</v>
      </c>
      <c r="O21" s="786">
        <v>740</v>
      </c>
      <c r="P21" s="793">
        <v>740</v>
      </c>
      <c r="Q21" s="849">
        <v>592</v>
      </c>
      <c r="R21" s="793">
        <v>40</v>
      </c>
      <c r="S21" s="787">
        <v>259</v>
      </c>
      <c r="T21" s="787">
        <v>703</v>
      </c>
      <c r="U21" s="851">
        <v>538.85</v>
      </c>
      <c r="V21" s="883">
        <v>-161.5</v>
      </c>
      <c r="W21" s="884" t="s">
        <v>424</v>
      </c>
      <c r="X21" s="759">
        <v>1.898</v>
      </c>
      <c r="Y21" s="759">
        <v>0.018</v>
      </c>
      <c r="Z21" s="917">
        <v>0.05</v>
      </c>
    </row>
    <row r="22" spans="1:26">
      <c r="A22" s="573">
        <v>20</v>
      </c>
      <c r="B22" s="772" t="s">
        <v>456</v>
      </c>
      <c r="C22" s="751" t="s">
        <v>24</v>
      </c>
      <c r="D22" s="757">
        <v>30</v>
      </c>
      <c r="E22" s="751">
        <v>1850</v>
      </c>
      <c r="F22" s="758">
        <v>0.75</v>
      </c>
      <c r="G22" s="759">
        <v>1.3</v>
      </c>
      <c r="H22" s="760">
        <v>0.17</v>
      </c>
      <c r="I22" s="821">
        <v>20</v>
      </c>
      <c r="J22" s="804">
        <v>20</v>
      </c>
      <c r="K22" s="817">
        <v>1.11</v>
      </c>
      <c r="L22" s="812">
        <v>0.15</v>
      </c>
      <c r="M22" s="812" t="s">
        <v>456</v>
      </c>
      <c r="N22" s="800">
        <v>0.75</v>
      </c>
      <c r="O22" s="801">
        <v>920</v>
      </c>
      <c r="P22" s="793">
        <v>920</v>
      </c>
      <c r="Q22" s="802">
        <v>24</v>
      </c>
      <c r="R22" s="793">
        <v>4.4</v>
      </c>
      <c r="S22" s="802">
        <v>322</v>
      </c>
      <c r="T22" s="802">
        <v>874</v>
      </c>
      <c r="U22" s="823">
        <v>125</v>
      </c>
      <c r="V22" s="885" t="s">
        <v>180</v>
      </c>
      <c r="W22" s="873" t="s">
        <v>442</v>
      </c>
      <c r="X22" s="769">
        <v>4.179</v>
      </c>
      <c r="Y22" s="769">
        <v>0.184</v>
      </c>
      <c r="Z22" s="916">
        <v>0.08</v>
      </c>
    </row>
    <row r="23" spans="1:26">
      <c r="A23" s="573">
        <v>21</v>
      </c>
      <c r="B23" s="751" t="s">
        <v>25</v>
      </c>
      <c r="C23" s="751" t="s">
        <v>25</v>
      </c>
      <c r="D23" s="757">
        <v>500</v>
      </c>
      <c r="E23" s="751">
        <v>2000</v>
      </c>
      <c r="F23" s="758">
        <v>0.7</v>
      </c>
      <c r="G23" s="769">
        <v>1.255</v>
      </c>
      <c r="H23" s="777">
        <v>0.15</v>
      </c>
      <c r="I23" s="822">
        <v>185.85</v>
      </c>
      <c r="J23" s="804">
        <v>185.85</v>
      </c>
      <c r="K23" s="817">
        <v>1.255</v>
      </c>
      <c r="L23" s="790">
        <v>0.15</v>
      </c>
      <c r="M23" s="790" t="s">
        <v>462</v>
      </c>
      <c r="N23" s="791">
        <v>0.7</v>
      </c>
      <c r="O23" s="792">
        <v>190</v>
      </c>
      <c r="P23" s="793">
        <v>740</v>
      </c>
      <c r="Q23" s="856">
        <v>400</v>
      </c>
      <c r="R23" s="793">
        <v>0.4</v>
      </c>
      <c r="S23" s="793">
        <f>0.35*O23</f>
        <v>66.5</v>
      </c>
      <c r="T23" s="793">
        <f>0.95*O23</f>
        <v>180.5</v>
      </c>
      <c r="U23" s="824">
        <v>230</v>
      </c>
      <c r="V23" s="886" t="s">
        <v>180</v>
      </c>
      <c r="W23" s="858" t="s">
        <v>216</v>
      </c>
      <c r="X23" s="776">
        <v>0.846</v>
      </c>
      <c r="Y23" s="776">
        <v>0.0146</v>
      </c>
      <c r="Z23" s="914">
        <v>0.08</v>
      </c>
    </row>
    <row r="24" spans="1:26">
      <c r="A24" s="573">
        <v>22</v>
      </c>
      <c r="B24" s="772" t="s">
        <v>425</v>
      </c>
      <c r="C24" s="751" t="s">
        <v>26</v>
      </c>
      <c r="D24" s="757">
        <v>300</v>
      </c>
      <c r="E24" s="751">
        <v>1</v>
      </c>
      <c r="F24" s="773">
        <v>0.82</v>
      </c>
      <c r="G24" s="769">
        <v>1.01</v>
      </c>
      <c r="H24" s="760">
        <v>1</v>
      </c>
      <c r="I24" s="788">
        <v>-218.79</v>
      </c>
      <c r="J24" s="811">
        <v>-218.79</v>
      </c>
      <c r="K24" s="817">
        <v>1.01</v>
      </c>
      <c r="L24" s="812">
        <v>2</v>
      </c>
      <c r="M24" s="812" t="s">
        <v>426</v>
      </c>
      <c r="N24" s="800">
        <v>0.82</v>
      </c>
      <c r="O24" s="801">
        <v>300</v>
      </c>
      <c r="P24" s="823">
        <v>500</v>
      </c>
      <c r="Q24" s="865">
        <v>240</v>
      </c>
      <c r="R24" s="802">
        <v>0.04</v>
      </c>
      <c r="S24" s="802">
        <v>105</v>
      </c>
      <c r="T24" s="802">
        <v>285</v>
      </c>
      <c r="U24" s="887">
        <v>-182.96</v>
      </c>
      <c r="V24" s="872">
        <v>-182.96</v>
      </c>
      <c r="W24" s="873" t="s">
        <v>427</v>
      </c>
      <c r="X24" s="769" t="s">
        <v>428</v>
      </c>
      <c r="Y24" s="769">
        <v>0.024</v>
      </c>
      <c r="Z24" s="916">
        <v>0.08</v>
      </c>
    </row>
    <row r="25" spans="1:26">
      <c r="A25" s="573">
        <v>23</v>
      </c>
      <c r="B25" s="751" t="s">
        <v>408</v>
      </c>
      <c r="C25" s="751" t="s">
        <v>409</v>
      </c>
      <c r="D25" s="757">
        <v>100</v>
      </c>
      <c r="E25" s="751">
        <v>200</v>
      </c>
      <c r="F25" s="758">
        <v>0.3</v>
      </c>
      <c r="G25" s="770">
        <v>1</v>
      </c>
      <c r="H25" s="760">
        <v>20</v>
      </c>
      <c r="I25" s="762">
        <v>132.85</v>
      </c>
      <c r="J25" s="782" t="s">
        <v>180</v>
      </c>
      <c r="K25" s="817">
        <v>1.69</v>
      </c>
      <c r="L25" s="815">
        <v>2</v>
      </c>
      <c r="M25" s="815" t="s">
        <v>410</v>
      </c>
      <c r="N25" s="807">
        <v>0.3</v>
      </c>
      <c r="O25" s="792">
        <v>3000</v>
      </c>
      <c r="P25" s="824">
        <v>9970</v>
      </c>
      <c r="Q25" s="809">
        <v>80</v>
      </c>
      <c r="R25" s="793">
        <v>100</v>
      </c>
      <c r="S25" s="793">
        <v>1050</v>
      </c>
      <c r="T25" s="793">
        <v>2850</v>
      </c>
      <c r="U25" s="848">
        <v>4131.85</v>
      </c>
      <c r="V25" s="869" t="s">
        <v>180</v>
      </c>
      <c r="W25" s="870" t="s">
        <v>411</v>
      </c>
      <c r="X25" s="770">
        <v>1</v>
      </c>
      <c r="Y25" s="770">
        <v>0.1</v>
      </c>
      <c r="Z25" s="915">
        <v>0.07</v>
      </c>
    </row>
    <row r="26" spans="1:26">
      <c r="A26" s="573">
        <v>24</v>
      </c>
      <c r="B26" s="751" t="s">
        <v>408</v>
      </c>
      <c r="C26" s="751" t="s">
        <v>412</v>
      </c>
      <c r="D26" s="757">
        <v>100</v>
      </c>
      <c r="E26" s="751">
        <v>200</v>
      </c>
      <c r="F26" s="758">
        <v>0.85</v>
      </c>
      <c r="G26" s="777">
        <v>1</v>
      </c>
      <c r="H26" s="760">
        <v>20</v>
      </c>
      <c r="I26" s="816">
        <v>132.85</v>
      </c>
      <c r="J26" s="782">
        <v>132.85</v>
      </c>
      <c r="K26" s="817">
        <v>1.69</v>
      </c>
      <c r="L26" s="812">
        <v>2</v>
      </c>
      <c r="M26" s="812" t="s">
        <v>410</v>
      </c>
      <c r="N26" s="800">
        <v>0.3</v>
      </c>
      <c r="O26" s="792">
        <v>3000</v>
      </c>
      <c r="P26" s="824">
        <v>9970</v>
      </c>
      <c r="Q26" s="802">
        <v>80</v>
      </c>
      <c r="R26" s="793">
        <v>100</v>
      </c>
      <c r="S26" s="793">
        <v>1050</v>
      </c>
      <c r="T26" s="793">
        <v>2850</v>
      </c>
      <c r="U26" s="836">
        <v>4131.85</v>
      </c>
      <c r="V26" s="885" t="s">
        <v>180</v>
      </c>
      <c r="W26" s="873" t="s">
        <v>411</v>
      </c>
      <c r="X26" s="769">
        <v>1</v>
      </c>
      <c r="Y26" s="769">
        <v>0.1</v>
      </c>
      <c r="Z26" s="916">
        <v>0.07</v>
      </c>
    </row>
    <row r="27" spans="1:26">
      <c r="A27" s="573">
        <v>25</v>
      </c>
      <c r="B27" s="751" t="s">
        <v>408</v>
      </c>
      <c r="C27" s="751" t="s">
        <v>413</v>
      </c>
      <c r="D27" s="767">
        <v>100</v>
      </c>
      <c r="E27" s="768">
        <v>200</v>
      </c>
      <c r="F27" s="758">
        <v>0.3</v>
      </c>
      <c r="G27" s="778">
        <v>1</v>
      </c>
      <c r="H27" s="777">
        <v>20</v>
      </c>
      <c r="I27" s="825">
        <v>858.85</v>
      </c>
      <c r="J27" s="782" t="s">
        <v>180</v>
      </c>
      <c r="K27" s="817">
        <v>1.69</v>
      </c>
      <c r="L27" s="790">
        <v>2</v>
      </c>
      <c r="M27" s="790" t="s">
        <v>410</v>
      </c>
      <c r="N27" s="791">
        <v>0.3</v>
      </c>
      <c r="O27" s="792">
        <v>3000</v>
      </c>
      <c r="P27" s="824">
        <v>9970</v>
      </c>
      <c r="Q27" s="793">
        <v>80</v>
      </c>
      <c r="R27" s="793">
        <v>100</v>
      </c>
      <c r="S27" s="793">
        <v>1050</v>
      </c>
      <c r="T27" s="793">
        <v>2850</v>
      </c>
      <c r="U27" s="840">
        <v>4131.85</v>
      </c>
      <c r="V27" s="857" t="s">
        <v>180</v>
      </c>
      <c r="W27" s="858" t="s">
        <v>411</v>
      </c>
      <c r="X27" s="776">
        <v>1</v>
      </c>
      <c r="Y27" s="776">
        <v>0.1</v>
      </c>
      <c r="Z27" s="914">
        <v>0.07</v>
      </c>
    </row>
    <row r="28" spans="1:26">
      <c r="A28" s="573">
        <v>26</v>
      </c>
      <c r="B28" s="751" t="s">
        <v>438</v>
      </c>
      <c r="C28" s="751" t="s">
        <v>438</v>
      </c>
      <c r="D28" s="774">
        <v>100</v>
      </c>
      <c r="E28" s="775">
        <v>200</v>
      </c>
      <c r="F28" s="773">
        <v>0.25</v>
      </c>
      <c r="G28" s="771">
        <v>1</v>
      </c>
      <c r="H28" s="771">
        <v>20</v>
      </c>
      <c r="I28" s="781">
        <v>959.85</v>
      </c>
      <c r="J28" s="782" t="s">
        <v>180</v>
      </c>
      <c r="K28" s="817">
        <v>1</v>
      </c>
      <c r="L28" s="790">
        <v>1</v>
      </c>
      <c r="M28" s="826" t="s">
        <v>431</v>
      </c>
      <c r="N28" s="791">
        <v>0.8</v>
      </c>
      <c r="O28" s="792">
        <v>1840</v>
      </c>
      <c r="P28" s="824">
        <v>1840</v>
      </c>
      <c r="Q28" s="793">
        <v>1472</v>
      </c>
      <c r="R28" s="793">
        <v>200</v>
      </c>
      <c r="S28" s="793">
        <v>644</v>
      </c>
      <c r="T28" s="793">
        <v>1748</v>
      </c>
      <c r="U28" s="888">
        <v>2356.85</v>
      </c>
      <c r="V28" s="862">
        <v>2356.85</v>
      </c>
      <c r="W28" s="858" t="s">
        <v>411</v>
      </c>
      <c r="X28" s="776">
        <v>1</v>
      </c>
      <c r="Y28" s="776">
        <v>0.1</v>
      </c>
      <c r="Z28" s="914">
        <v>0.07</v>
      </c>
    </row>
    <row r="29" spans="1:26">
      <c r="A29" s="573">
        <v>27</v>
      </c>
      <c r="B29" s="751" t="s">
        <v>437</v>
      </c>
      <c r="C29" s="751" t="s">
        <v>437</v>
      </c>
      <c r="D29" s="752">
        <v>200</v>
      </c>
      <c r="E29" s="753">
        <v>500</v>
      </c>
      <c r="F29" s="754">
        <v>0.82</v>
      </c>
      <c r="G29" s="759">
        <v>1</v>
      </c>
      <c r="H29" s="760">
        <v>4</v>
      </c>
      <c r="I29" s="762">
        <v>1409.85</v>
      </c>
      <c r="J29" s="782" t="s">
        <v>180</v>
      </c>
      <c r="K29" s="817">
        <v>1</v>
      </c>
      <c r="L29" s="790">
        <v>1</v>
      </c>
      <c r="M29" s="827" t="s">
        <v>431</v>
      </c>
      <c r="N29" s="807">
        <v>0.8</v>
      </c>
      <c r="O29" s="792">
        <v>1840</v>
      </c>
      <c r="P29" s="824">
        <v>1840</v>
      </c>
      <c r="Q29" s="809">
        <v>1472</v>
      </c>
      <c r="R29" s="793">
        <v>200</v>
      </c>
      <c r="S29" s="793">
        <v>644</v>
      </c>
      <c r="T29" s="793">
        <v>1748</v>
      </c>
      <c r="U29" s="889">
        <v>2356.85</v>
      </c>
      <c r="V29" s="890">
        <v>2356.85</v>
      </c>
      <c r="W29" s="870" t="s">
        <v>411</v>
      </c>
      <c r="X29" s="770">
        <v>1</v>
      </c>
      <c r="Y29" s="776">
        <v>0.1</v>
      </c>
      <c r="Z29" s="914">
        <v>0.07</v>
      </c>
    </row>
    <row r="30" spans="1:26">
      <c r="A30" s="573">
        <v>28</v>
      </c>
      <c r="B30" s="772" t="s">
        <v>430</v>
      </c>
      <c r="C30" s="751" t="s">
        <v>27</v>
      </c>
      <c r="D30" s="757">
        <v>1840</v>
      </c>
      <c r="E30" s="751">
        <v>1840</v>
      </c>
      <c r="F30" s="758">
        <v>0.75</v>
      </c>
      <c r="G30" s="769">
        <v>1</v>
      </c>
      <c r="H30" s="760">
        <v>2</v>
      </c>
      <c r="I30" s="821">
        <v>1409.85</v>
      </c>
      <c r="J30" s="828">
        <v>1409.85</v>
      </c>
      <c r="K30" s="817">
        <v>1</v>
      </c>
      <c r="L30" s="790">
        <v>1</v>
      </c>
      <c r="M30" s="829" t="s">
        <v>431</v>
      </c>
      <c r="N30" s="785">
        <v>0.8</v>
      </c>
      <c r="O30" s="792">
        <v>1840</v>
      </c>
      <c r="P30" s="824">
        <v>1840</v>
      </c>
      <c r="Q30" s="802">
        <v>1472</v>
      </c>
      <c r="R30" s="793">
        <v>200</v>
      </c>
      <c r="S30" s="793">
        <v>644</v>
      </c>
      <c r="T30" s="793">
        <v>1748</v>
      </c>
      <c r="U30" s="887">
        <v>2356.85</v>
      </c>
      <c r="V30" s="872">
        <v>2356.85</v>
      </c>
      <c r="W30" s="873" t="s">
        <v>411</v>
      </c>
      <c r="X30" s="769">
        <v>1</v>
      </c>
      <c r="Y30" s="776">
        <v>0.1</v>
      </c>
      <c r="Z30" s="914">
        <v>0.07</v>
      </c>
    </row>
    <row r="31" spans="1:26">
      <c r="A31" s="573">
        <v>29</v>
      </c>
      <c r="B31" s="751" t="s">
        <v>407</v>
      </c>
      <c r="C31" s="751" t="s">
        <v>420</v>
      </c>
      <c r="D31" s="757">
        <v>30</v>
      </c>
      <c r="E31" s="766">
        <v>50</v>
      </c>
      <c r="F31" s="758">
        <v>0.6</v>
      </c>
      <c r="G31" s="770">
        <v>0.95</v>
      </c>
      <c r="H31" s="760">
        <v>50</v>
      </c>
      <c r="I31" s="781">
        <v>3926.85</v>
      </c>
      <c r="J31" s="830" t="s">
        <v>180</v>
      </c>
      <c r="K31" s="817">
        <v>0.71</v>
      </c>
      <c r="L31" s="815">
        <v>2</v>
      </c>
      <c r="M31" s="815" t="s">
        <v>417</v>
      </c>
      <c r="N31" s="785">
        <v>0.84</v>
      </c>
      <c r="O31" s="808">
        <v>600</v>
      </c>
      <c r="P31" s="831">
        <v>4000</v>
      </c>
      <c r="Q31" s="809">
        <v>480</v>
      </c>
      <c r="R31" s="809">
        <v>0.04</v>
      </c>
      <c r="S31" s="809">
        <v>210</v>
      </c>
      <c r="T31" s="809">
        <v>570</v>
      </c>
      <c r="U31" s="889">
        <v>4826.85</v>
      </c>
      <c r="V31" s="890">
        <v>4826.85</v>
      </c>
      <c r="W31" s="870" t="s">
        <v>418</v>
      </c>
      <c r="X31" s="770">
        <v>0.71</v>
      </c>
      <c r="Y31" s="776">
        <v>1.7</v>
      </c>
      <c r="Z31" s="914">
        <v>0.08</v>
      </c>
    </row>
    <row r="32" spans="1:26">
      <c r="A32" s="573">
        <v>30</v>
      </c>
      <c r="B32" s="751" t="s">
        <v>416</v>
      </c>
      <c r="C32" s="751" t="s">
        <v>34</v>
      </c>
      <c r="D32" s="757">
        <v>1000</v>
      </c>
      <c r="E32" s="751">
        <v>1840</v>
      </c>
      <c r="F32" s="758">
        <v>0.65</v>
      </c>
      <c r="G32" s="759">
        <v>0.92</v>
      </c>
      <c r="H32" s="760">
        <v>2</v>
      </c>
      <c r="I32" s="816">
        <v>926.85</v>
      </c>
      <c r="J32" s="819" t="s">
        <v>180</v>
      </c>
      <c r="K32" s="817">
        <v>0.84</v>
      </c>
      <c r="L32" s="812">
        <v>0.62</v>
      </c>
      <c r="M32" s="812" t="s">
        <v>39</v>
      </c>
      <c r="N32" s="773">
        <v>0.65</v>
      </c>
      <c r="O32" s="802"/>
      <c r="P32" s="802"/>
      <c r="Q32" s="802"/>
      <c r="R32" s="802"/>
      <c r="S32" s="802"/>
      <c r="T32" s="802"/>
      <c r="U32" s="871"/>
      <c r="V32" s="872"/>
      <c r="W32" s="873"/>
      <c r="X32" s="769"/>
      <c r="Y32" s="776"/>
      <c r="Z32" s="776"/>
    </row>
    <row r="33" spans="1:26">
      <c r="A33" s="573">
        <v>31</v>
      </c>
      <c r="B33" s="751" t="s">
        <v>36</v>
      </c>
      <c r="C33" s="751" t="s">
        <v>36</v>
      </c>
      <c r="D33" s="757">
        <v>200</v>
      </c>
      <c r="E33" s="751">
        <v>1000</v>
      </c>
      <c r="F33" s="758">
        <v>0.77</v>
      </c>
      <c r="G33" s="759">
        <v>0.91</v>
      </c>
      <c r="H33" s="760">
        <v>205</v>
      </c>
      <c r="I33" s="803">
        <v>660.3</v>
      </c>
      <c r="J33" s="804">
        <v>660.3</v>
      </c>
      <c r="K33" s="817">
        <v>0.91</v>
      </c>
      <c r="L33" s="815">
        <v>20.5</v>
      </c>
      <c r="M33" s="815" t="s">
        <v>382</v>
      </c>
      <c r="N33" s="807">
        <v>0.77</v>
      </c>
      <c r="O33" s="808">
        <v>1000</v>
      </c>
      <c r="P33" s="793">
        <v>7870</v>
      </c>
      <c r="Q33" s="809">
        <v>160</v>
      </c>
      <c r="R33" s="793">
        <v>120</v>
      </c>
      <c r="S33" s="809">
        <v>350</v>
      </c>
      <c r="T33" s="809">
        <v>950</v>
      </c>
      <c r="U33" s="891">
        <v>2470</v>
      </c>
      <c r="V33" s="890">
        <v>2470</v>
      </c>
      <c r="W33" s="870" t="s">
        <v>383</v>
      </c>
      <c r="X33" s="770">
        <v>0.91</v>
      </c>
      <c r="Y33" s="776">
        <v>2.5</v>
      </c>
      <c r="Z33" s="915">
        <v>0.07</v>
      </c>
    </row>
    <row r="34" spans="1:26">
      <c r="A34" s="573">
        <v>32</v>
      </c>
      <c r="B34" s="762" t="s">
        <v>36</v>
      </c>
      <c r="C34" s="763" t="s">
        <v>37</v>
      </c>
      <c r="D34" s="757">
        <v>500</v>
      </c>
      <c r="E34" s="751">
        <v>500</v>
      </c>
      <c r="F34" s="758">
        <v>0.72</v>
      </c>
      <c r="G34" s="759">
        <v>0.91</v>
      </c>
      <c r="H34" s="769">
        <v>20.5</v>
      </c>
      <c r="I34" s="762">
        <v>1083.85</v>
      </c>
      <c r="J34" s="782" t="s">
        <v>180</v>
      </c>
      <c r="K34" s="817">
        <v>0.91</v>
      </c>
      <c r="L34" s="817">
        <v>20.5</v>
      </c>
      <c r="M34" s="817" t="s">
        <v>382</v>
      </c>
      <c r="N34" s="785">
        <v>0.77</v>
      </c>
      <c r="O34" s="801">
        <v>1000</v>
      </c>
      <c r="P34" s="793">
        <v>7870</v>
      </c>
      <c r="Q34" s="787">
        <v>160</v>
      </c>
      <c r="R34" s="793">
        <v>120</v>
      </c>
      <c r="S34" s="787">
        <v>350</v>
      </c>
      <c r="T34" s="787">
        <v>950</v>
      </c>
      <c r="U34" s="892">
        <v>2470</v>
      </c>
      <c r="V34" s="893">
        <v>2470</v>
      </c>
      <c r="W34" s="854" t="s">
        <v>383</v>
      </c>
      <c r="X34" s="759">
        <v>0.91</v>
      </c>
      <c r="Y34" s="776">
        <v>2.5</v>
      </c>
      <c r="Z34" s="917">
        <v>0.07</v>
      </c>
    </row>
    <row r="35" spans="1:26">
      <c r="A35" s="573">
        <v>33</v>
      </c>
      <c r="B35" s="764" t="s">
        <v>430</v>
      </c>
      <c r="C35" s="763" t="s">
        <v>435</v>
      </c>
      <c r="D35" s="757">
        <v>500</v>
      </c>
      <c r="E35" s="751">
        <v>1000</v>
      </c>
      <c r="F35" s="758">
        <v>0.7</v>
      </c>
      <c r="G35" s="759">
        <v>0.91</v>
      </c>
      <c r="H35" s="770">
        <v>2</v>
      </c>
      <c r="I35" s="762">
        <v>1338.85</v>
      </c>
      <c r="J35" s="820" t="s">
        <v>180</v>
      </c>
      <c r="K35" s="817">
        <v>1</v>
      </c>
      <c r="L35" s="812">
        <v>1</v>
      </c>
      <c r="M35" s="829" t="s">
        <v>431</v>
      </c>
      <c r="N35" s="800">
        <v>0.8</v>
      </c>
      <c r="O35" s="801">
        <v>1840</v>
      </c>
      <c r="P35" s="793">
        <v>1840</v>
      </c>
      <c r="Q35" s="802">
        <v>1472</v>
      </c>
      <c r="R35" s="793">
        <v>200</v>
      </c>
      <c r="S35" s="802">
        <v>644</v>
      </c>
      <c r="T35" s="802">
        <v>1748</v>
      </c>
      <c r="U35" s="871">
        <v>2356.85</v>
      </c>
      <c r="V35" s="872">
        <v>2356.85</v>
      </c>
      <c r="W35" s="873" t="s">
        <v>411</v>
      </c>
      <c r="X35" s="769">
        <v>1</v>
      </c>
      <c r="Y35" s="776">
        <v>0.1</v>
      </c>
      <c r="Z35" s="916">
        <v>0.07</v>
      </c>
    </row>
    <row r="36" spans="1:26">
      <c r="A36" s="573">
        <v>34</v>
      </c>
      <c r="B36" s="764" t="s">
        <v>425</v>
      </c>
      <c r="C36" s="765" t="s">
        <v>38</v>
      </c>
      <c r="D36" s="757">
        <v>600</v>
      </c>
      <c r="E36" s="751">
        <v>2000</v>
      </c>
      <c r="F36" s="758">
        <v>0.8</v>
      </c>
      <c r="G36" s="759">
        <v>0.846</v>
      </c>
      <c r="H36" s="760">
        <v>1.46</v>
      </c>
      <c r="I36" s="788">
        <v>-56.54999</v>
      </c>
      <c r="J36" s="804">
        <v>-56.54999</v>
      </c>
      <c r="K36" s="817">
        <v>0.846</v>
      </c>
      <c r="L36" s="815">
        <v>1.46</v>
      </c>
      <c r="M36" s="832" t="s">
        <v>429</v>
      </c>
      <c r="N36" s="807">
        <v>0.8</v>
      </c>
      <c r="O36" s="808">
        <v>600</v>
      </c>
      <c r="P36" s="793">
        <v>2000</v>
      </c>
      <c r="Q36" s="868">
        <v>480</v>
      </c>
      <c r="R36" s="793">
        <v>0.04</v>
      </c>
      <c r="S36" s="809">
        <v>210</v>
      </c>
      <c r="T36" s="809">
        <v>570</v>
      </c>
      <c r="U36" s="891">
        <v>-48.14999</v>
      </c>
      <c r="V36" s="890">
        <v>-48.14999</v>
      </c>
      <c r="W36" s="870" t="s">
        <v>216</v>
      </c>
      <c r="X36" s="770">
        <v>0.846</v>
      </c>
      <c r="Y36" s="776">
        <v>0.0146</v>
      </c>
      <c r="Z36" s="915">
        <v>0.08</v>
      </c>
    </row>
    <row r="37" spans="1:26">
      <c r="A37" s="573">
        <v>35</v>
      </c>
      <c r="B37" s="751" t="s">
        <v>40</v>
      </c>
      <c r="C37" s="751" t="s">
        <v>40</v>
      </c>
      <c r="D37" s="757">
        <v>1000</v>
      </c>
      <c r="E37" s="751">
        <v>800</v>
      </c>
      <c r="F37" s="758">
        <v>0.65</v>
      </c>
      <c r="G37" s="769">
        <v>0.84</v>
      </c>
      <c r="H37" s="760">
        <v>1.11</v>
      </c>
      <c r="I37" s="762">
        <v>1426.85</v>
      </c>
      <c r="J37" s="820">
        <v>1126.85</v>
      </c>
      <c r="K37" s="817">
        <v>0.2</v>
      </c>
      <c r="L37" s="812">
        <v>1</v>
      </c>
      <c r="M37" s="812" t="s">
        <v>439</v>
      </c>
      <c r="N37" s="800">
        <v>0.65</v>
      </c>
      <c r="O37" s="801">
        <v>200</v>
      </c>
      <c r="P37" s="793">
        <v>1820</v>
      </c>
      <c r="Q37" s="802">
        <v>800</v>
      </c>
      <c r="R37" s="793">
        <v>200</v>
      </c>
      <c r="S37" s="802">
        <v>70</v>
      </c>
      <c r="T37" s="802">
        <v>190</v>
      </c>
      <c r="U37" s="823">
        <v>2356.85</v>
      </c>
      <c r="V37" s="885" t="s">
        <v>180</v>
      </c>
      <c r="W37" s="873" t="s">
        <v>411</v>
      </c>
      <c r="X37" s="769">
        <v>1</v>
      </c>
      <c r="Y37" s="776">
        <v>0.1</v>
      </c>
      <c r="Z37" s="916">
        <v>0.07</v>
      </c>
    </row>
    <row r="38" spans="1:26">
      <c r="A38" s="573">
        <v>36</v>
      </c>
      <c r="B38" s="772" t="s">
        <v>430</v>
      </c>
      <c r="C38" s="751" t="s">
        <v>434</v>
      </c>
      <c r="D38" s="757">
        <v>1000</v>
      </c>
      <c r="E38" s="751">
        <v>2000</v>
      </c>
      <c r="F38" s="758">
        <v>0.65</v>
      </c>
      <c r="G38" s="770">
        <v>0.84</v>
      </c>
      <c r="H38" s="760">
        <v>0.62</v>
      </c>
      <c r="I38" s="762">
        <v>1849.85</v>
      </c>
      <c r="J38" s="833" t="s">
        <v>180</v>
      </c>
      <c r="K38" s="817">
        <v>1</v>
      </c>
      <c r="L38" s="790">
        <v>1</v>
      </c>
      <c r="M38" s="826" t="s">
        <v>431</v>
      </c>
      <c r="N38" s="791">
        <v>0.8</v>
      </c>
      <c r="O38" s="792">
        <v>1840</v>
      </c>
      <c r="P38" s="793">
        <v>1840</v>
      </c>
      <c r="Q38" s="793">
        <v>1472</v>
      </c>
      <c r="R38" s="793">
        <v>200</v>
      </c>
      <c r="S38" s="793">
        <v>644</v>
      </c>
      <c r="T38" s="793">
        <v>1748</v>
      </c>
      <c r="U38" s="861">
        <v>2356.85</v>
      </c>
      <c r="V38" s="862">
        <v>2356.85</v>
      </c>
      <c r="W38" s="858" t="s">
        <v>411</v>
      </c>
      <c r="X38" s="776">
        <v>1</v>
      </c>
      <c r="Y38" s="776">
        <v>0.1</v>
      </c>
      <c r="Z38" s="914">
        <v>0.07</v>
      </c>
    </row>
    <row r="39" spans="1:26">
      <c r="A39" s="573">
        <v>37</v>
      </c>
      <c r="B39" s="751" t="s">
        <v>436</v>
      </c>
      <c r="C39" s="751" t="s">
        <v>436</v>
      </c>
      <c r="D39" s="757">
        <v>1000</v>
      </c>
      <c r="E39" s="766">
        <v>1840</v>
      </c>
      <c r="F39" s="758">
        <v>0.75</v>
      </c>
      <c r="G39" s="759">
        <v>0.834</v>
      </c>
      <c r="H39" s="769">
        <v>2</v>
      </c>
      <c r="I39" s="762">
        <v>1056.85</v>
      </c>
      <c r="J39" s="796" t="s">
        <v>180</v>
      </c>
      <c r="K39" s="817">
        <v>1</v>
      </c>
      <c r="L39" s="790">
        <v>1</v>
      </c>
      <c r="M39" s="826" t="s">
        <v>431</v>
      </c>
      <c r="N39" s="791">
        <v>0.8</v>
      </c>
      <c r="O39" s="792">
        <v>1840</v>
      </c>
      <c r="P39" s="793">
        <v>1840</v>
      </c>
      <c r="Q39" s="793">
        <v>1472</v>
      </c>
      <c r="R39" s="793">
        <v>200</v>
      </c>
      <c r="S39" s="793">
        <v>644</v>
      </c>
      <c r="T39" s="793">
        <v>1748</v>
      </c>
      <c r="U39" s="861">
        <v>2356.85</v>
      </c>
      <c r="V39" s="862">
        <v>2356.85</v>
      </c>
      <c r="W39" s="858" t="s">
        <v>411</v>
      </c>
      <c r="X39" s="776">
        <v>1</v>
      </c>
      <c r="Y39" s="776">
        <v>0.1</v>
      </c>
      <c r="Z39" s="914">
        <v>0.07</v>
      </c>
    </row>
    <row r="40" spans="1:26">
      <c r="A40" s="573">
        <v>38</v>
      </c>
      <c r="B40" s="751" t="s">
        <v>364</v>
      </c>
      <c r="C40" s="751" t="s">
        <v>364</v>
      </c>
      <c r="D40" s="757">
        <v>1000</v>
      </c>
      <c r="E40" s="751">
        <v>1840</v>
      </c>
      <c r="F40" s="758">
        <v>0.7</v>
      </c>
      <c r="G40" s="759">
        <v>0.83</v>
      </c>
      <c r="H40" s="770">
        <v>2</v>
      </c>
      <c r="I40" s="764">
        <v>99.7</v>
      </c>
      <c r="J40" s="814" t="s">
        <v>180</v>
      </c>
      <c r="K40" s="817" t="s">
        <v>365</v>
      </c>
      <c r="L40" s="815" t="s">
        <v>365</v>
      </c>
      <c r="M40" s="815" t="s">
        <v>365</v>
      </c>
      <c r="N40" s="809" t="s">
        <v>365</v>
      </c>
      <c r="O40" s="809" t="s">
        <v>365</v>
      </c>
      <c r="P40" s="809" t="s">
        <v>365</v>
      </c>
      <c r="Q40" s="809" t="s">
        <v>365</v>
      </c>
      <c r="R40" s="809" t="s">
        <v>365</v>
      </c>
      <c r="S40" s="809" t="s">
        <v>365</v>
      </c>
      <c r="T40" s="809" t="s">
        <v>365</v>
      </c>
      <c r="U40" s="831" t="s">
        <v>365</v>
      </c>
      <c r="V40" s="869" t="s">
        <v>180</v>
      </c>
      <c r="W40" s="870" t="s">
        <v>180</v>
      </c>
      <c r="X40" s="770" t="s">
        <v>180</v>
      </c>
      <c r="Y40" s="770" t="s">
        <v>180</v>
      </c>
      <c r="Z40" s="770" t="s">
        <v>180</v>
      </c>
    </row>
    <row r="41" spans="1:26">
      <c r="A41" s="573">
        <v>39</v>
      </c>
      <c r="B41" s="751" t="s">
        <v>45</v>
      </c>
      <c r="C41" s="751" t="s">
        <v>45</v>
      </c>
      <c r="D41" s="757">
        <v>1000</v>
      </c>
      <c r="E41" s="751">
        <v>1840</v>
      </c>
      <c r="F41" s="773">
        <v>0.7</v>
      </c>
      <c r="G41" s="769">
        <v>0.83</v>
      </c>
      <c r="H41" s="777">
        <v>2</v>
      </c>
      <c r="I41" s="764">
        <v>99.7</v>
      </c>
      <c r="J41" s="833" t="s">
        <v>180</v>
      </c>
      <c r="K41" s="817" t="s">
        <v>366</v>
      </c>
      <c r="L41" s="812" t="s">
        <v>366</v>
      </c>
      <c r="M41" s="834" t="s">
        <v>366</v>
      </c>
      <c r="N41" s="787" t="s">
        <v>366</v>
      </c>
      <c r="O41" s="835" t="s">
        <v>366</v>
      </c>
      <c r="P41" s="836" t="s">
        <v>366</v>
      </c>
      <c r="Q41" s="836" t="s">
        <v>366</v>
      </c>
      <c r="R41" s="836" t="s">
        <v>366</v>
      </c>
      <c r="S41" s="836" t="s">
        <v>366</v>
      </c>
      <c r="T41" s="836" t="s">
        <v>366</v>
      </c>
      <c r="U41" s="836" t="s">
        <v>366</v>
      </c>
      <c r="V41" s="894" t="s">
        <v>180</v>
      </c>
      <c r="W41" s="895" t="s">
        <v>180</v>
      </c>
      <c r="X41" s="896" t="s">
        <v>180</v>
      </c>
      <c r="Y41" s="896" t="s">
        <v>180</v>
      </c>
      <c r="Z41" s="896" t="s">
        <v>180</v>
      </c>
    </row>
    <row r="42" spans="1:26">
      <c r="A42" s="573">
        <v>40</v>
      </c>
      <c r="B42" s="772" t="s">
        <v>414</v>
      </c>
      <c r="C42" s="751" t="s">
        <v>44</v>
      </c>
      <c r="D42" s="757">
        <v>200</v>
      </c>
      <c r="E42" s="751">
        <v>300</v>
      </c>
      <c r="F42" s="754">
        <v>0.7</v>
      </c>
      <c r="G42" s="770">
        <v>0.83</v>
      </c>
      <c r="H42" s="778">
        <v>2</v>
      </c>
      <c r="I42" s="762">
        <v>125</v>
      </c>
      <c r="J42" s="837" t="s">
        <v>180</v>
      </c>
      <c r="K42" s="817">
        <v>1.48</v>
      </c>
      <c r="L42" s="790">
        <v>2</v>
      </c>
      <c r="M42" s="838" t="s">
        <v>22</v>
      </c>
      <c r="N42" s="758">
        <v>0.75</v>
      </c>
      <c r="O42" s="839"/>
      <c r="P42" s="840"/>
      <c r="Q42" s="840"/>
      <c r="R42" s="840"/>
      <c r="S42" s="840"/>
      <c r="T42" s="840"/>
      <c r="U42" s="888"/>
      <c r="V42" s="888"/>
      <c r="W42" s="895"/>
      <c r="X42" s="896"/>
      <c r="Y42" s="896"/>
      <c r="Z42" s="896"/>
    </row>
    <row r="43" spans="1:26">
      <c r="A43" s="573">
        <v>41</v>
      </c>
      <c r="B43" s="751" t="s">
        <v>42</v>
      </c>
      <c r="C43" s="751" t="s">
        <v>42</v>
      </c>
      <c r="D43" s="757">
        <v>1000</v>
      </c>
      <c r="E43" s="751">
        <v>1840</v>
      </c>
      <c r="F43" s="758">
        <v>0.7</v>
      </c>
      <c r="G43" s="759">
        <v>0.83</v>
      </c>
      <c r="H43" s="778">
        <v>2</v>
      </c>
      <c r="I43" s="762">
        <v>1712.85</v>
      </c>
      <c r="J43" s="796" t="s">
        <v>180</v>
      </c>
      <c r="K43" s="817">
        <v>0.2</v>
      </c>
      <c r="L43" s="790">
        <v>1</v>
      </c>
      <c r="M43" s="841" t="s">
        <v>439</v>
      </c>
      <c r="N43" s="785">
        <v>0.65</v>
      </c>
      <c r="O43" s="842">
        <v>200</v>
      </c>
      <c r="P43" s="840">
        <v>1820</v>
      </c>
      <c r="Q43" s="840">
        <v>800</v>
      </c>
      <c r="R43" s="840">
        <v>200</v>
      </c>
      <c r="S43" s="840">
        <v>70</v>
      </c>
      <c r="T43" s="840">
        <v>190</v>
      </c>
      <c r="U43" s="840">
        <v>2356.85</v>
      </c>
      <c r="V43" s="895" t="s">
        <v>180</v>
      </c>
      <c r="W43" s="895" t="s">
        <v>411</v>
      </c>
      <c r="X43" s="896">
        <v>1</v>
      </c>
      <c r="Y43" s="896">
        <v>0.1</v>
      </c>
      <c r="Z43" s="918">
        <v>0.07</v>
      </c>
    </row>
    <row r="44" spans="1:26">
      <c r="A44" s="573">
        <v>42</v>
      </c>
      <c r="B44" s="751" t="s">
        <v>440</v>
      </c>
      <c r="C44" s="751" t="s">
        <v>440</v>
      </c>
      <c r="D44" s="757">
        <v>1000</v>
      </c>
      <c r="E44" s="768">
        <v>1840</v>
      </c>
      <c r="F44" s="758">
        <v>0.7</v>
      </c>
      <c r="G44" s="759">
        <v>0.83</v>
      </c>
      <c r="H44" s="778">
        <v>2</v>
      </c>
      <c r="I44" s="762">
        <v>1712.85</v>
      </c>
      <c r="J44" s="796" t="s">
        <v>180</v>
      </c>
      <c r="K44" s="817">
        <v>0.2</v>
      </c>
      <c r="L44" s="815">
        <v>1</v>
      </c>
      <c r="M44" s="843" t="s">
        <v>439</v>
      </c>
      <c r="N44" s="785">
        <v>0.65</v>
      </c>
      <c r="O44" s="842">
        <v>200</v>
      </c>
      <c r="P44" s="840">
        <v>1820</v>
      </c>
      <c r="Q44" s="840">
        <v>800</v>
      </c>
      <c r="R44" s="840">
        <v>200</v>
      </c>
      <c r="S44" s="840">
        <v>70</v>
      </c>
      <c r="T44" s="840">
        <v>190</v>
      </c>
      <c r="U44" s="840">
        <v>2356.85</v>
      </c>
      <c r="V44" s="895" t="s">
        <v>180</v>
      </c>
      <c r="W44" s="895" t="s">
        <v>411</v>
      </c>
      <c r="X44" s="896">
        <v>1</v>
      </c>
      <c r="Y44" s="896">
        <v>0.1</v>
      </c>
      <c r="Z44" s="918">
        <v>0.07</v>
      </c>
    </row>
    <row r="45" spans="1:26">
      <c r="A45" s="573">
        <v>43</v>
      </c>
      <c r="B45" s="772" t="s">
        <v>430</v>
      </c>
      <c r="C45" s="751" t="s">
        <v>47</v>
      </c>
      <c r="D45" s="757">
        <v>1000</v>
      </c>
      <c r="E45" s="753">
        <v>1840</v>
      </c>
      <c r="F45" s="758">
        <v>0.7</v>
      </c>
      <c r="G45" s="759">
        <v>0.8</v>
      </c>
      <c r="H45" s="771">
        <v>2.9</v>
      </c>
      <c r="I45" s="762">
        <v>926.85</v>
      </c>
      <c r="J45" s="796" t="s">
        <v>180</v>
      </c>
      <c r="K45" s="817">
        <v>1</v>
      </c>
      <c r="L45" s="817">
        <v>1</v>
      </c>
      <c r="M45" s="844" t="s">
        <v>431</v>
      </c>
      <c r="N45" s="785">
        <v>0.8</v>
      </c>
      <c r="O45" s="842">
        <v>1840</v>
      </c>
      <c r="P45" s="840">
        <v>1840</v>
      </c>
      <c r="Q45" s="840">
        <v>1472</v>
      </c>
      <c r="R45" s="840">
        <v>200</v>
      </c>
      <c r="S45" s="840">
        <v>644</v>
      </c>
      <c r="T45" s="840">
        <v>1748</v>
      </c>
      <c r="U45" s="888">
        <v>2356.85</v>
      </c>
      <c r="V45" s="888">
        <v>2356.85</v>
      </c>
      <c r="W45" s="895" t="s">
        <v>411</v>
      </c>
      <c r="X45" s="896">
        <v>1</v>
      </c>
      <c r="Y45" s="896">
        <v>0.1</v>
      </c>
      <c r="Z45" s="918">
        <v>0.07</v>
      </c>
    </row>
    <row r="46" spans="1:26">
      <c r="A46" s="573">
        <v>44</v>
      </c>
      <c r="B46" s="772" t="s">
        <v>430</v>
      </c>
      <c r="C46" s="751" t="s">
        <v>432</v>
      </c>
      <c r="D46" s="767">
        <v>1840</v>
      </c>
      <c r="E46" s="751">
        <v>1840</v>
      </c>
      <c r="F46" s="758">
        <v>0.7</v>
      </c>
      <c r="G46" s="759">
        <v>0.79</v>
      </c>
      <c r="H46" s="759">
        <v>3.39</v>
      </c>
      <c r="I46" s="798">
        <v>668.85</v>
      </c>
      <c r="J46" s="796" t="s">
        <v>180</v>
      </c>
      <c r="K46" s="812">
        <v>1</v>
      </c>
      <c r="L46" s="812">
        <v>1</v>
      </c>
      <c r="M46" s="845" t="s">
        <v>431</v>
      </c>
      <c r="N46" s="785">
        <v>0.8</v>
      </c>
      <c r="O46" s="842">
        <v>1840</v>
      </c>
      <c r="P46" s="840">
        <v>1840</v>
      </c>
      <c r="Q46" s="840">
        <v>1472</v>
      </c>
      <c r="R46" s="840">
        <v>200</v>
      </c>
      <c r="S46" s="840">
        <v>644</v>
      </c>
      <c r="T46" s="840">
        <v>1748</v>
      </c>
      <c r="U46" s="888">
        <v>2356.85</v>
      </c>
      <c r="V46" s="888">
        <v>2356.85</v>
      </c>
      <c r="W46" s="895" t="s">
        <v>411</v>
      </c>
      <c r="X46" s="896">
        <v>1</v>
      </c>
      <c r="Y46" s="896">
        <v>0.1</v>
      </c>
      <c r="Z46" s="918">
        <v>0.07</v>
      </c>
    </row>
    <row r="47" spans="1:26">
      <c r="A47" s="573">
        <v>45</v>
      </c>
      <c r="B47" s="751" t="s">
        <v>452</v>
      </c>
      <c r="C47" s="751" t="s">
        <v>455</v>
      </c>
      <c r="D47" s="767">
        <v>200</v>
      </c>
      <c r="E47" s="768">
        <v>1000</v>
      </c>
      <c r="F47" s="773">
        <v>0.75</v>
      </c>
      <c r="G47" s="759">
        <v>0.7697</v>
      </c>
      <c r="H47" s="759">
        <v>0.236</v>
      </c>
      <c r="I47" s="818">
        <v>44.14999</v>
      </c>
      <c r="J47" s="846">
        <v>44.14999</v>
      </c>
      <c r="K47" s="815">
        <v>0.7697</v>
      </c>
      <c r="L47" s="815">
        <v>0.236</v>
      </c>
      <c r="M47" s="841" t="s">
        <v>453</v>
      </c>
      <c r="N47" s="785">
        <v>0.75</v>
      </c>
      <c r="O47" s="847">
        <v>200</v>
      </c>
      <c r="P47" s="848">
        <v>1000</v>
      </c>
      <c r="Q47" s="897">
        <v>160</v>
      </c>
      <c r="R47" s="897">
        <v>8</v>
      </c>
      <c r="S47" s="897">
        <v>70</v>
      </c>
      <c r="T47" s="897">
        <v>190</v>
      </c>
      <c r="U47" s="898">
        <v>280.45</v>
      </c>
      <c r="V47" s="898">
        <v>280.45</v>
      </c>
      <c r="W47" s="899" t="s">
        <v>454</v>
      </c>
      <c r="X47" s="900">
        <v>0.7697</v>
      </c>
      <c r="Y47" s="900">
        <v>0.236</v>
      </c>
      <c r="Z47" s="918">
        <v>0.07</v>
      </c>
    </row>
    <row r="48" spans="1:26">
      <c r="A48" s="573">
        <v>46</v>
      </c>
      <c r="B48" s="751" t="s">
        <v>407</v>
      </c>
      <c r="C48" s="751" t="s">
        <v>50</v>
      </c>
      <c r="D48" s="752">
        <v>200</v>
      </c>
      <c r="E48" s="779">
        <v>600</v>
      </c>
      <c r="F48" s="754">
        <v>0.85</v>
      </c>
      <c r="G48" s="759">
        <v>0.71</v>
      </c>
      <c r="H48" s="759">
        <v>8</v>
      </c>
      <c r="I48" s="762">
        <v>276.85</v>
      </c>
      <c r="J48" s="819" t="s">
        <v>180</v>
      </c>
      <c r="K48" s="812">
        <v>1.74</v>
      </c>
      <c r="L48" s="812">
        <v>3.1</v>
      </c>
      <c r="M48" s="812" t="s">
        <v>52</v>
      </c>
      <c r="N48" s="773">
        <v>0.84</v>
      </c>
      <c r="O48" s="793"/>
      <c r="P48" s="793"/>
      <c r="Q48" s="793"/>
      <c r="R48" s="793"/>
      <c r="S48" s="793"/>
      <c r="T48" s="793"/>
      <c r="U48" s="861"/>
      <c r="V48" s="862"/>
      <c r="W48" s="854"/>
      <c r="X48" s="759"/>
      <c r="Y48" s="759"/>
      <c r="Z48" s="759"/>
    </row>
    <row r="49" spans="1:26">
      <c r="A49" s="573">
        <v>47</v>
      </c>
      <c r="B49" s="751" t="s">
        <v>407</v>
      </c>
      <c r="C49" s="751" t="s">
        <v>51</v>
      </c>
      <c r="D49" s="757">
        <v>600</v>
      </c>
      <c r="E49" s="751">
        <v>4000</v>
      </c>
      <c r="F49" s="758">
        <v>0.84</v>
      </c>
      <c r="G49" s="759">
        <v>0.71</v>
      </c>
      <c r="H49" s="760">
        <v>1.25</v>
      </c>
      <c r="I49" s="816">
        <v>276.85</v>
      </c>
      <c r="J49" s="819" t="s">
        <v>180</v>
      </c>
      <c r="K49" s="790">
        <v>1.74</v>
      </c>
      <c r="L49" s="790">
        <v>3.1</v>
      </c>
      <c r="M49" s="790" t="s">
        <v>52</v>
      </c>
      <c r="N49" s="780">
        <v>0.84</v>
      </c>
      <c r="O49" s="793"/>
      <c r="P49" s="793"/>
      <c r="Q49" s="793"/>
      <c r="R49" s="793"/>
      <c r="S49" s="793"/>
      <c r="T49" s="793"/>
      <c r="U49" s="861"/>
      <c r="V49" s="862"/>
      <c r="W49" s="854"/>
      <c r="X49" s="759"/>
      <c r="Y49" s="759"/>
      <c r="Z49" s="759"/>
    </row>
    <row r="50" spans="1:26">
      <c r="A50" s="573">
        <v>48</v>
      </c>
      <c r="B50" s="751" t="s">
        <v>53</v>
      </c>
      <c r="C50" s="751" t="s">
        <v>53</v>
      </c>
      <c r="D50" s="757">
        <v>500</v>
      </c>
      <c r="E50" s="751">
        <v>2000</v>
      </c>
      <c r="F50" s="758">
        <v>0.75</v>
      </c>
      <c r="G50" s="759">
        <v>0.7</v>
      </c>
      <c r="H50" s="760">
        <v>0.444</v>
      </c>
      <c r="I50" s="803">
        <v>799.85</v>
      </c>
      <c r="J50" s="804">
        <v>799.85</v>
      </c>
      <c r="K50" s="815">
        <v>0.7</v>
      </c>
      <c r="L50" s="815">
        <v>0.444</v>
      </c>
      <c r="M50" s="815" t="s">
        <v>450</v>
      </c>
      <c r="N50" s="807">
        <v>0.75</v>
      </c>
      <c r="O50" s="808">
        <v>190</v>
      </c>
      <c r="P50" s="809">
        <v>740</v>
      </c>
      <c r="Q50" s="868">
        <v>400</v>
      </c>
      <c r="R50" s="809">
        <v>0.4</v>
      </c>
      <c r="S50" s="809">
        <v>66.5</v>
      </c>
      <c r="T50" s="809">
        <v>180.5</v>
      </c>
      <c r="U50" s="891">
        <v>1464.85</v>
      </c>
      <c r="V50" s="890">
        <v>1464.85</v>
      </c>
      <c r="W50" s="854" t="s">
        <v>451</v>
      </c>
      <c r="X50" s="759">
        <v>0.88</v>
      </c>
      <c r="Y50" s="759">
        <v>0.444</v>
      </c>
      <c r="Z50" s="917">
        <v>0.07</v>
      </c>
    </row>
    <row r="51" spans="1:26">
      <c r="A51" s="573">
        <v>49</v>
      </c>
      <c r="B51" s="751" t="s">
        <v>54</v>
      </c>
      <c r="C51" s="751" t="s">
        <v>54</v>
      </c>
      <c r="D51" s="757">
        <v>500</v>
      </c>
      <c r="E51" s="751">
        <v>2000</v>
      </c>
      <c r="F51" s="773">
        <v>0.74</v>
      </c>
      <c r="G51" s="759">
        <v>0.7</v>
      </c>
      <c r="H51" s="760">
        <v>0.2</v>
      </c>
      <c r="I51" s="788">
        <v>115.2</v>
      </c>
      <c r="J51" s="804">
        <v>115.2</v>
      </c>
      <c r="K51" s="817">
        <v>0.7</v>
      </c>
      <c r="L51" s="812">
        <v>0.2</v>
      </c>
      <c r="M51" s="812" t="s">
        <v>457</v>
      </c>
      <c r="N51" s="800">
        <v>0.74</v>
      </c>
      <c r="O51" s="786">
        <v>190</v>
      </c>
      <c r="P51" s="802">
        <v>740</v>
      </c>
      <c r="Q51" s="865">
        <v>400</v>
      </c>
      <c r="R51" s="802">
        <v>0.4</v>
      </c>
      <c r="S51" s="802">
        <v>66.5</v>
      </c>
      <c r="T51" s="802">
        <v>180.5</v>
      </c>
      <c r="U51" s="871">
        <v>337</v>
      </c>
      <c r="V51" s="872">
        <v>337</v>
      </c>
      <c r="W51" s="873" t="s">
        <v>458</v>
      </c>
      <c r="X51" s="769">
        <v>0.7</v>
      </c>
      <c r="Y51" s="769">
        <v>0.2</v>
      </c>
      <c r="Z51" s="916">
        <v>0.07</v>
      </c>
    </row>
    <row r="52" spans="1:26">
      <c r="A52" s="573">
        <v>50</v>
      </c>
      <c r="B52" s="751" t="s">
        <v>379</v>
      </c>
      <c r="C52" s="751" t="s">
        <v>379</v>
      </c>
      <c r="D52" s="757">
        <v>900</v>
      </c>
      <c r="E52" s="751">
        <v>1800</v>
      </c>
      <c r="F52" s="754">
        <v>0.6</v>
      </c>
      <c r="G52" s="759">
        <v>0.622</v>
      </c>
      <c r="H52" s="760">
        <v>220</v>
      </c>
      <c r="I52" s="762">
        <v>2676.85</v>
      </c>
      <c r="J52" s="820" t="s">
        <v>180</v>
      </c>
      <c r="K52" s="817">
        <v>0.265</v>
      </c>
      <c r="L52" s="815">
        <v>54</v>
      </c>
      <c r="M52" s="815" t="s">
        <v>380</v>
      </c>
      <c r="N52" s="807">
        <v>0.49</v>
      </c>
      <c r="O52" s="786">
        <v>900</v>
      </c>
      <c r="P52" s="809">
        <v>3870</v>
      </c>
      <c r="Q52" s="868">
        <v>24</v>
      </c>
      <c r="R52" s="809">
        <v>80</v>
      </c>
      <c r="S52" s="868">
        <v>315</v>
      </c>
      <c r="T52" s="868">
        <v>855</v>
      </c>
      <c r="U52" s="901">
        <v>4743.85</v>
      </c>
      <c r="V52" s="902">
        <v>4743.85</v>
      </c>
      <c r="W52" s="903" t="s">
        <v>381</v>
      </c>
      <c r="X52" s="904">
        <v>0.265</v>
      </c>
      <c r="Y52" s="770">
        <v>1</v>
      </c>
      <c r="Z52" s="919">
        <v>0.05</v>
      </c>
    </row>
    <row r="53" spans="1:26">
      <c r="A53" s="573">
        <v>51</v>
      </c>
      <c r="B53" s="751" t="s">
        <v>407</v>
      </c>
      <c r="C53" s="751" t="s">
        <v>419</v>
      </c>
      <c r="D53" s="757">
        <v>700</v>
      </c>
      <c r="E53" s="751">
        <v>1840</v>
      </c>
      <c r="F53" s="773">
        <v>0.8</v>
      </c>
      <c r="G53" s="759">
        <v>0.516</v>
      </c>
      <c r="H53" s="760">
        <v>80</v>
      </c>
      <c r="I53" s="762">
        <v>3926.85</v>
      </c>
      <c r="J53" s="782" t="s">
        <v>180</v>
      </c>
      <c r="K53" s="817">
        <v>0.71</v>
      </c>
      <c r="L53" s="812">
        <v>2</v>
      </c>
      <c r="M53" s="817" t="s">
        <v>417</v>
      </c>
      <c r="N53" s="800">
        <v>0.84</v>
      </c>
      <c r="O53" s="786">
        <v>600</v>
      </c>
      <c r="P53" s="787">
        <v>4000</v>
      </c>
      <c r="Q53" s="787">
        <v>480</v>
      </c>
      <c r="R53" s="787">
        <v>0.04</v>
      </c>
      <c r="S53" s="787">
        <v>210</v>
      </c>
      <c r="T53" s="787">
        <v>570</v>
      </c>
      <c r="U53" s="871">
        <v>4826.85</v>
      </c>
      <c r="V53" s="872">
        <v>4826.85</v>
      </c>
      <c r="W53" s="854" t="s">
        <v>418</v>
      </c>
      <c r="X53" s="759">
        <v>0.71</v>
      </c>
      <c r="Y53" s="759">
        <v>1.7</v>
      </c>
      <c r="Z53" s="914">
        <v>0.08</v>
      </c>
    </row>
    <row r="54" spans="1:26">
      <c r="A54" s="573">
        <v>52</v>
      </c>
      <c r="B54" s="751" t="s">
        <v>467</v>
      </c>
      <c r="C54" s="751" t="s">
        <v>468</v>
      </c>
      <c r="D54" s="757">
        <v>50</v>
      </c>
      <c r="E54" s="751">
        <v>500</v>
      </c>
      <c r="F54" s="780">
        <v>0.73</v>
      </c>
      <c r="G54" s="759">
        <v>0.5</v>
      </c>
      <c r="H54" s="760">
        <v>4</v>
      </c>
      <c r="I54" s="762">
        <v>668.85</v>
      </c>
      <c r="J54" s="820" t="s">
        <v>180</v>
      </c>
      <c r="K54" s="817">
        <v>0.48</v>
      </c>
      <c r="L54" s="815">
        <v>0.0081</v>
      </c>
      <c r="M54" s="817" t="s">
        <v>469</v>
      </c>
      <c r="N54" s="791">
        <v>0.73</v>
      </c>
      <c r="O54" s="786">
        <v>600</v>
      </c>
      <c r="P54" s="787">
        <v>1000</v>
      </c>
      <c r="Q54" s="787">
        <v>480</v>
      </c>
      <c r="R54" s="787">
        <v>0.04</v>
      </c>
      <c r="S54" s="787">
        <v>210</v>
      </c>
      <c r="T54" s="787">
        <v>570</v>
      </c>
      <c r="U54" s="891">
        <v>-34.59999</v>
      </c>
      <c r="V54" s="890">
        <v>-34.59999</v>
      </c>
      <c r="W54" s="854" t="s">
        <v>329</v>
      </c>
      <c r="X54" s="759">
        <v>0.48</v>
      </c>
      <c r="Y54" s="759">
        <v>0.0081</v>
      </c>
      <c r="Z54" s="914">
        <v>0.07</v>
      </c>
    </row>
    <row r="55" spans="1:26">
      <c r="A55" s="573">
        <v>53</v>
      </c>
      <c r="B55" s="762" t="s">
        <v>376</v>
      </c>
      <c r="C55" s="763" t="s">
        <v>376</v>
      </c>
      <c r="D55" s="757">
        <v>400</v>
      </c>
      <c r="E55" s="751">
        <v>10000</v>
      </c>
      <c r="F55" s="754">
        <v>0.74</v>
      </c>
      <c r="G55" s="759">
        <v>0.49</v>
      </c>
      <c r="H55" s="760">
        <v>54</v>
      </c>
      <c r="I55" s="762">
        <v>2426.85</v>
      </c>
      <c r="J55" s="820">
        <v>1083.85</v>
      </c>
      <c r="K55" s="817">
        <v>0.386</v>
      </c>
      <c r="L55" s="817">
        <v>80</v>
      </c>
      <c r="M55" s="817" t="s">
        <v>377</v>
      </c>
      <c r="N55" s="807">
        <v>0.74</v>
      </c>
      <c r="O55" s="786">
        <v>900</v>
      </c>
      <c r="P55" s="787">
        <v>3870</v>
      </c>
      <c r="Q55" s="849">
        <v>320</v>
      </c>
      <c r="R55" s="787">
        <v>80</v>
      </c>
      <c r="S55" s="787">
        <v>315</v>
      </c>
      <c r="T55" s="787">
        <v>855</v>
      </c>
      <c r="U55" s="892">
        <v>3826.85</v>
      </c>
      <c r="V55" s="893">
        <v>3826.85</v>
      </c>
      <c r="W55" s="854" t="s">
        <v>378</v>
      </c>
      <c r="X55" s="759">
        <v>0.49</v>
      </c>
      <c r="Y55" s="759">
        <v>1</v>
      </c>
      <c r="Z55" s="915">
        <v>0.07</v>
      </c>
    </row>
    <row r="56" spans="1:26">
      <c r="A56" s="573">
        <v>54</v>
      </c>
      <c r="B56" s="751" t="s">
        <v>467</v>
      </c>
      <c r="C56" s="751" t="s">
        <v>59</v>
      </c>
      <c r="D56" s="757">
        <v>600</v>
      </c>
      <c r="E56" s="768">
        <v>1000</v>
      </c>
      <c r="F56" s="773">
        <v>0.73</v>
      </c>
      <c r="G56" s="759">
        <v>0.48</v>
      </c>
      <c r="H56" s="769">
        <v>0.75</v>
      </c>
      <c r="I56" s="788">
        <v>-100.98</v>
      </c>
      <c r="J56" s="811">
        <v>-100.98</v>
      </c>
      <c r="K56" s="817">
        <v>0.48</v>
      </c>
      <c r="L56" s="812">
        <v>0.0081</v>
      </c>
      <c r="M56" s="817" t="s">
        <v>469</v>
      </c>
      <c r="N56" s="800">
        <v>0.73</v>
      </c>
      <c r="O56" s="786">
        <v>600</v>
      </c>
      <c r="P56" s="787">
        <v>1000</v>
      </c>
      <c r="Q56" s="787">
        <v>480</v>
      </c>
      <c r="R56" s="802">
        <v>0.04</v>
      </c>
      <c r="S56" s="787">
        <v>210</v>
      </c>
      <c r="T56" s="787">
        <v>570</v>
      </c>
      <c r="U56" s="892">
        <v>-34.59999</v>
      </c>
      <c r="V56" s="905">
        <v>-34.59999</v>
      </c>
      <c r="W56" s="854" t="s">
        <v>329</v>
      </c>
      <c r="X56" s="759">
        <v>0.48</v>
      </c>
      <c r="Y56" s="759">
        <v>0.0081</v>
      </c>
      <c r="Z56" s="917">
        <v>0.07</v>
      </c>
    </row>
    <row r="57" spans="1:26">
      <c r="A57" s="573">
        <v>55</v>
      </c>
      <c r="B57" s="751" t="s">
        <v>60</v>
      </c>
      <c r="C57" s="751" t="s">
        <v>395</v>
      </c>
      <c r="D57" s="767">
        <v>1000</v>
      </c>
      <c r="E57" s="775">
        <v>7870</v>
      </c>
      <c r="F57" s="754">
        <v>0.66</v>
      </c>
      <c r="G57" s="759">
        <v>0.449</v>
      </c>
      <c r="H57" s="770">
        <v>55</v>
      </c>
      <c r="I57" s="762">
        <v>1534.85</v>
      </c>
      <c r="J57" s="820">
        <v>1534.85</v>
      </c>
      <c r="K57" s="817">
        <v>0.449</v>
      </c>
      <c r="L57" s="815">
        <v>4</v>
      </c>
      <c r="M57" s="817" t="s">
        <v>396</v>
      </c>
      <c r="N57" s="807">
        <v>0.66</v>
      </c>
      <c r="O57" s="801">
        <v>1000</v>
      </c>
      <c r="P57" s="802">
        <v>7870</v>
      </c>
      <c r="Q57" s="802">
        <v>800</v>
      </c>
      <c r="R57" s="809">
        <v>120</v>
      </c>
      <c r="S57" s="802">
        <v>350</v>
      </c>
      <c r="T57" s="802">
        <v>950</v>
      </c>
      <c r="U57" s="871">
        <v>2749.85</v>
      </c>
      <c r="V57" s="906">
        <v>2749.85</v>
      </c>
      <c r="W57" s="885" t="s">
        <v>397</v>
      </c>
      <c r="X57" s="907">
        <v>0.449</v>
      </c>
      <c r="Y57" s="907">
        <v>1</v>
      </c>
      <c r="Z57" s="920">
        <v>0.06</v>
      </c>
    </row>
    <row r="58" spans="1:26">
      <c r="A58" s="573">
        <v>56</v>
      </c>
      <c r="B58" s="751" t="s">
        <v>60</v>
      </c>
      <c r="C58" s="751" t="s">
        <v>61</v>
      </c>
      <c r="D58" s="752">
        <v>800</v>
      </c>
      <c r="E58" s="753">
        <v>1840</v>
      </c>
      <c r="F58" s="758">
        <v>0.61</v>
      </c>
      <c r="G58" s="759">
        <v>0.449</v>
      </c>
      <c r="H58" s="760">
        <v>4</v>
      </c>
      <c r="I58" s="762">
        <v>1534.85</v>
      </c>
      <c r="J58" s="820" t="s">
        <v>180</v>
      </c>
      <c r="K58" s="817">
        <v>0.449</v>
      </c>
      <c r="L58" s="812">
        <v>4</v>
      </c>
      <c r="M58" s="812" t="s">
        <v>396</v>
      </c>
      <c r="N58" s="800">
        <v>0.66</v>
      </c>
      <c r="O58" s="792">
        <v>1000</v>
      </c>
      <c r="P58" s="793">
        <v>7870</v>
      </c>
      <c r="Q58" s="793">
        <v>800</v>
      </c>
      <c r="R58" s="802">
        <v>120</v>
      </c>
      <c r="S58" s="793">
        <v>350</v>
      </c>
      <c r="T58" s="793">
        <v>950</v>
      </c>
      <c r="U58" s="861">
        <v>2749.85</v>
      </c>
      <c r="V58" s="908">
        <v>2749.85</v>
      </c>
      <c r="W58" s="857" t="s">
        <v>397</v>
      </c>
      <c r="X58" s="909">
        <v>0.449</v>
      </c>
      <c r="Y58" s="909">
        <v>1</v>
      </c>
      <c r="Z58" s="921">
        <v>0.06</v>
      </c>
    </row>
    <row r="59" spans="1:26">
      <c r="A59" s="573">
        <v>57</v>
      </c>
      <c r="B59" s="751" t="s">
        <v>60</v>
      </c>
      <c r="C59" s="751" t="s">
        <v>62</v>
      </c>
      <c r="D59" s="757">
        <v>800</v>
      </c>
      <c r="E59" s="751">
        <v>1840</v>
      </c>
      <c r="F59" s="758">
        <v>0.7</v>
      </c>
      <c r="G59" s="759">
        <v>0.449</v>
      </c>
      <c r="H59" s="760">
        <v>4</v>
      </c>
      <c r="I59" s="762">
        <v>1534.85</v>
      </c>
      <c r="J59" s="782" t="s">
        <v>180</v>
      </c>
      <c r="K59" s="817">
        <v>0.449</v>
      </c>
      <c r="L59" s="790">
        <v>4</v>
      </c>
      <c r="M59" s="790" t="s">
        <v>396</v>
      </c>
      <c r="N59" s="791">
        <v>0.66</v>
      </c>
      <c r="O59" s="792">
        <v>1000</v>
      </c>
      <c r="P59" s="793">
        <v>7870</v>
      </c>
      <c r="Q59" s="793">
        <v>800</v>
      </c>
      <c r="R59" s="793">
        <v>120</v>
      </c>
      <c r="S59" s="793">
        <v>350</v>
      </c>
      <c r="T59" s="793">
        <v>950</v>
      </c>
      <c r="U59" s="861">
        <v>2749.85</v>
      </c>
      <c r="V59" s="908">
        <v>2749.85</v>
      </c>
      <c r="W59" s="857" t="s">
        <v>397</v>
      </c>
      <c r="X59" s="909">
        <v>0.449</v>
      </c>
      <c r="Y59" s="909">
        <v>1</v>
      </c>
      <c r="Z59" s="921">
        <v>0.06</v>
      </c>
    </row>
    <row r="60" spans="1:26">
      <c r="A60" s="573">
        <v>58</v>
      </c>
      <c r="B60" s="751" t="s">
        <v>63</v>
      </c>
      <c r="C60" s="751" t="s">
        <v>398</v>
      </c>
      <c r="D60" s="767">
        <v>800</v>
      </c>
      <c r="E60" s="751">
        <v>8900</v>
      </c>
      <c r="F60" s="773">
        <v>0.63</v>
      </c>
      <c r="G60" s="769">
        <v>0.42</v>
      </c>
      <c r="H60" s="769">
        <v>100</v>
      </c>
      <c r="I60" s="788">
        <v>1494.85</v>
      </c>
      <c r="J60" s="804">
        <v>1494.85</v>
      </c>
      <c r="K60" s="817">
        <v>0.42</v>
      </c>
      <c r="L60" s="815">
        <v>4</v>
      </c>
      <c r="M60" s="815" t="s">
        <v>399</v>
      </c>
      <c r="N60" s="807">
        <v>0.63</v>
      </c>
      <c r="O60" s="808">
        <v>1000</v>
      </c>
      <c r="P60" s="809">
        <v>7870</v>
      </c>
      <c r="Q60" s="809">
        <v>640</v>
      </c>
      <c r="R60" s="809">
        <v>120</v>
      </c>
      <c r="S60" s="809">
        <v>350</v>
      </c>
      <c r="T60" s="809">
        <v>950</v>
      </c>
      <c r="U60" s="891">
        <v>2926.85</v>
      </c>
      <c r="V60" s="910">
        <v>2926.85</v>
      </c>
      <c r="W60" s="869" t="s">
        <v>400</v>
      </c>
      <c r="X60" s="911">
        <v>0.42</v>
      </c>
      <c r="Y60" s="911">
        <v>1</v>
      </c>
      <c r="Z60" s="922">
        <v>0.06</v>
      </c>
    </row>
    <row r="61" spans="1:26">
      <c r="A61" s="573">
        <v>59</v>
      </c>
      <c r="B61" s="751" t="s">
        <v>63</v>
      </c>
      <c r="C61" s="751" t="s">
        <v>64</v>
      </c>
      <c r="D61" s="752">
        <v>1250</v>
      </c>
      <c r="E61" s="751">
        <v>6300</v>
      </c>
      <c r="F61" s="754">
        <v>0.58</v>
      </c>
      <c r="G61" s="770">
        <v>0.42</v>
      </c>
      <c r="H61" s="770">
        <v>4</v>
      </c>
      <c r="I61" s="788">
        <v>1494.85</v>
      </c>
      <c r="J61" s="811">
        <v>1494.85</v>
      </c>
      <c r="K61" s="817">
        <v>0.42</v>
      </c>
      <c r="L61" s="790">
        <v>4</v>
      </c>
      <c r="M61" s="815" t="s">
        <v>399</v>
      </c>
      <c r="N61" s="791">
        <v>0.63</v>
      </c>
      <c r="O61" s="808">
        <v>1000</v>
      </c>
      <c r="P61" s="809">
        <v>7870</v>
      </c>
      <c r="Q61" s="809">
        <v>640</v>
      </c>
      <c r="R61" s="793">
        <v>120</v>
      </c>
      <c r="S61" s="809">
        <v>350</v>
      </c>
      <c r="T61" s="809">
        <v>950</v>
      </c>
      <c r="U61" s="891">
        <v>2926.85</v>
      </c>
      <c r="V61" s="912">
        <v>2926.85</v>
      </c>
      <c r="W61" s="873" t="s">
        <v>400</v>
      </c>
      <c r="X61" s="769">
        <v>0.42</v>
      </c>
      <c r="Y61" s="769">
        <v>1</v>
      </c>
      <c r="Z61" s="916">
        <v>0.06</v>
      </c>
    </row>
    <row r="62" spans="1:26">
      <c r="A62" s="573">
        <v>60</v>
      </c>
      <c r="B62" s="751" t="s">
        <v>67</v>
      </c>
      <c r="C62" s="751" t="s">
        <v>66</v>
      </c>
      <c r="D62" s="767">
        <v>800</v>
      </c>
      <c r="E62" s="768">
        <v>1840</v>
      </c>
      <c r="F62" s="758">
        <v>0.56</v>
      </c>
      <c r="G62" s="759">
        <v>0.386</v>
      </c>
      <c r="H62" s="769">
        <v>4.5</v>
      </c>
      <c r="I62" s="762">
        <v>1083.85</v>
      </c>
      <c r="J62" s="782" t="s">
        <v>180</v>
      </c>
      <c r="K62" s="817">
        <v>0.386</v>
      </c>
      <c r="L62" s="812">
        <v>12</v>
      </c>
      <c r="M62" s="817" t="s">
        <v>384</v>
      </c>
      <c r="N62" s="800">
        <v>0.61</v>
      </c>
      <c r="O62" s="786">
        <v>900</v>
      </c>
      <c r="P62" s="809">
        <v>3870</v>
      </c>
      <c r="Q62" s="802">
        <v>720</v>
      </c>
      <c r="R62" s="802">
        <v>80</v>
      </c>
      <c r="S62" s="787">
        <v>315</v>
      </c>
      <c r="T62" s="787">
        <v>855</v>
      </c>
      <c r="U62" s="892">
        <v>2560.85</v>
      </c>
      <c r="V62" s="882">
        <v>2560.85</v>
      </c>
      <c r="W62" s="858" t="s">
        <v>385</v>
      </c>
      <c r="X62" s="776">
        <v>0.386</v>
      </c>
      <c r="Y62" s="776">
        <v>1</v>
      </c>
      <c r="Z62" s="914">
        <v>0.06</v>
      </c>
    </row>
    <row r="63" spans="1:26">
      <c r="A63" s="573">
        <v>61</v>
      </c>
      <c r="B63" s="751" t="s">
        <v>60</v>
      </c>
      <c r="C63" s="751" t="s">
        <v>65</v>
      </c>
      <c r="D63" s="752">
        <v>800</v>
      </c>
      <c r="E63" s="753">
        <v>1840</v>
      </c>
      <c r="F63" s="758">
        <v>0.7</v>
      </c>
      <c r="G63" s="769">
        <v>0.386</v>
      </c>
      <c r="H63" s="770">
        <v>4.5</v>
      </c>
      <c r="I63" s="762">
        <v>1083.85</v>
      </c>
      <c r="J63" s="782" t="s">
        <v>180</v>
      </c>
      <c r="K63" s="817">
        <v>0.449</v>
      </c>
      <c r="L63" s="790">
        <v>4</v>
      </c>
      <c r="M63" s="817" t="s">
        <v>396</v>
      </c>
      <c r="N63" s="791">
        <v>0.66</v>
      </c>
      <c r="O63" s="801">
        <v>1000</v>
      </c>
      <c r="P63" s="802">
        <v>7870</v>
      </c>
      <c r="Q63" s="793">
        <v>800</v>
      </c>
      <c r="R63" s="793">
        <v>120</v>
      </c>
      <c r="S63" s="787">
        <v>350</v>
      </c>
      <c r="T63" s="787">
        <v>950</v>
      </c>
      <c r="U63" s="871">
        <v>2749.85</v>
      </c>
      <c r="V63" s="872">
        <v>2749.85</v>
      </c>
      <c r="W63" s="858" t="s">
        <v>397</v>
      </c>
      <c r="X63" s="776">
        <v>0.449</v>
      </c>
      <c r="Y63" s="776">
        <v>1</v>
      </c>
      <c r="Z63" s="914">
        <v>0.06</v>
      </c>
    </row>
    <row r="64" spans="1:26">
      <c r="A64" s="573">
        <v>62</v>
      </c>
      <c r="B64" s="751" t="s">
        <v>67</v>
      </c>
      <c r="C64" s="751" t="s">
        <v>67</v>
      </c>
      <c r="D64" s="757">
        <v>900</v>
      </c>
      <c r="E64" s="751">
        <v>3870</v>
      </c>
      <c r="F64" s="754">
        <v>0.61</v>
      </c>
      <c r="G64" s="770">
        <v>0.385</v>
      </c>
      <c r="H64" s="760">
        <v>60</v>
      </c>
      <c r="I64" s="762">
        <v>1083.85</v>
      </c>
      <c r="J64" s="782">
        <v>1083.85</v>
      </c>
      <c r="K64" s="817">
        <v>0.386</v>
      </c>
      <c r="L64" s="815">
        <v>12</v>
      </c>
      <c r="M64" s="817" t="s">
        <v>384</v>
      </c>
      <c r="N64" s="791">
        <v>0.61</v>
      </c>
      <c r="O64" s="792">
        <v>900</v>
      </c>
      <c r="P64" s="793">
        <v>3870</v>
      </c>
      <c r="Q64" s="809">
        <v>720</v>
      </c>
      <c r="R64" s="793">
        <v>80</v>
      </c>
      <c r="S64" s="787">
        <v>315</v>
      </c>
      <c r="T64" s="787">
        <v>855</v>
      </c>
      <c r="U64" s="891">
        <v>2560.85</v>
      </c>
      <c r="V64" s="890">
        <v>2560.85</v>
      </c>
      <c r="W64" s="858" t="s">
        <v>385</v>
      </c>
      <c r="X64" s="776">
        <v>0.386</v>
      </c>
      <c r="Y64" s="776">
        <v>1</v>
      </c>
      <c r="Z64" s="914">
        <v>0.06</v>
      </c>
    </row>
    <row r="65" spans="1:26">
      <c r="A65" s="573">
        <v>63</v>
      </c>
      <c r="B65" s="751" t="s">
        <v>472</v>
      </c>
      <c r="C65" s="751" t="s">
        <v>472</v>
      </c>
      <c r="D65" s="757">
        <v>30</v>
      </c>
      <c r="E65" s="751">
        <v>50</v>
      </c>
      <c r="F65" s="758">
        <v>0.49</v>
      </c>
      <c r="G65" s="759">
        <v>0.265</v>
      </c>
      <c r="H65" s="760">
        <v>54</v>
      </c>
      <c r="I65" s="788">
        <v>2476.85</v>
      </c>
      <c r="J65" s="811">
        <v>2476.85</v>
      </c>
      <c r="K65" s="817">
        <v>0.265</v>
      </c>
      <c r="L65" s="817">
        <v>54</v>
      </c>
      <c r="M65" s="817" t="s">
        <v>380</v>
      </c>
      <c r="N65" s="791">
        <v>0.49</v>
      </c>
      <c r="O65" s="808">
        <v>900</v>
      </c>
      <c r="P65" s="809">
        <v>3870</v>
      </c>
      <c r="Q65" s="849">
        <v>24</v>
      </c>
      <c r="R65" s="793">
        <v>80</v>
      </c>
      <c r="S65" s="849">
        <v>315</v>
      </c>
      <c r="T65" s="849">
        <v>855</v>
      </c>
      <c r="U65" s="933">
        <v>4743.85</v>
      </c>
      <c r="V65" s="934">
        <v>4743.85</v>
      </c>
      <c r="W65" s="903" t="s">
        <v>381</v>
      </c>
      <c r="X65" s="904">
        <v>0.265</v>
      </c>
      <c r="Y65" s="770">
        <v>1</v>
      </c>
      <c r="Z65" s="919">
        <v>0.05</v>
      </c>
    </row>
    <row r="66" spans="1:26">
      <c r="A66" s="573">
        <v>64</v>
      </c>
      <c r="B66" s="764" t="s">
        <v>414</v>
      </c>
      <c r="C66" s="763" t="s">
        <v>73</v>
      </c>
      <c r="D66" s="757">
        <v>200</v>
      </c>
      <c r="E66" s="751">
        <v>300</v>
      </c>
      <c r="F66" s="773">
        <v>0.65</v>
      </c>
      <c r="G66" s="759">
        <v>0.2</v>
      </c>
      <c r="H66" s="759">
        <v>2</v>
      </c>
      <c r="I66" s="762">
        <v>125</v>
      </c>
      <c r="J66" s="763" t="s">
        <v>180</v>
      </c>
      <c r="K66" s="812">
        <v>1.48</v>
      </c>
      <c r="L66" s="812">
        <v>2</v>
      </c>
      <c r="M66" s="812" t="s">
        <v>22</v>
      </c>
      <c r="N66" s="758">
        <v>0.75</v>
      </c>
      <c r="O66" s="802"/>
      <c r="P66" s="802"/>
      <c r="Q66" s="802"/>
      <c r="R66" s="787"/>
      <c r="S66" s="802"/>
      <c r="T66" s="802"/>
      <c r="U66" s="871"/>
      <c r="V66" s="905"/>
      <c r="W66" s="873"/>
      <c r="X66" s="907"/>
      <c r="Y66" s="907"/>
      <c r="Z66" s="776"/>
    </row>
    <row r="67" spans="1:26">
      <c r="A67" s="573">
        <v>65</v>
      </c>
      <c r="B67" s="772" t="s">
        <v>414</v>
      </c>
      <c r="C67" s="751" t="s">
        <v>415</v>
      </c>
      <c r="D67" s="757">
        <v>200</v>
      </c>
      <c r="E67" s="751">
        <v>300</v>
      </c>
      <c r="F67" s="758">
        <v>0.65</v>
      </c>
      <c r="G67" s="759">
        <v>0.2</v>
      </c>
      <c r="H67" s="760">
        <v>2</v>
      </c>
      <c r="I67" s="762">
        <v>125</v>
      </c>
      <c r="J67" s="763" t="s">
        <v>180</v>
      </c>
      <c r="K67" s="817">
        <v>1.48</v>
      </c>
      <c r="L67" s="817">
        <v>2</v>
      </c>
      <c r="M67" s="817" t="s">
        <v>22</v>
      </c>
      <c r="N67" s="758">
        <v>0.75</v>
      </c>
      <c r="O67" s="787"/>
      <c r="P67" s="787"/>
      <c r="Q67" s="787"/>
      <c r="R67" s="802"/>
      <c r="S67" s="787"/>
      <c r="T67" s="787"/>
      <c r="U67" s="892"/>
      <c r="V67" s="893"/>
      <c r="W67" s="870"/>
      <c r="X67" s="911"/>
      <c r="Y67" s="911"/>
      <c r="Z67" s="770"/>
    </row>
    <row r="68" spans="1:26">
      <c r="A68" s="573">
        <v>66</v>
      </c>
      <c r="B68" s="772" t="s">
        <v>430</v>
      </c>
      <c r="C68" s="751" t="s">
        <v>69</v>
      </c>
      <c r="D68" s="757">
        <v>1840</v>
      </c>
      <c r="E68" s="751">
        <v>1840</v>
      </c>
      <c r="F68" s="773">
        <v>0.7</v>
      </c>
      <c r="G68" s="759">
        <v>0.2</v>
      </c>
      <c r="H68" s="760">
        <v>2</v>
      </c>
      <c r="I68" s="762">
        <v>926.85</v>
      </c>
      <c r="J68" s="820" t="s">
        <v>180</v>
      </c>
      <c r="K68" s="817">
        <v>1</v>
      </c>
      <c r="L68" s="817">
        <v>1</v>
      </c>
      <c r="M68" s="924" t="s">
        <v>431</v>
      </c>
      <c r="N68" s="800">
        <v>0.8</v>
      </c>
      <c r="O68" s="786">
        <v>1840</v>
      </c>
      <c r="P68" s="787">
        <v>1840</v>
      </c>
      <c r="Q68" s="787">
        <v>1472</v>
      </c>
      <c r="R68" s="793">
        <v>200</v>
      </c>
      <c r="S68" s="787">
        <v>644</v>
      </c>
      <c r="T68" s="787">
        <v>1748</v>
      </c>
      <c r="U68" s="892">
        <v>2356.85</v>
      </c>
      <c r="V68" s="893">
        <v>2356.85</v>
      </c>
      <c r="W68" s="854" t="s">
        <v>411</v>
      </c>
      <c r="X68" s="759">
        <v>1</v>
      </c>
      <c r="Y68" s="759">
        <v>0.1</v>
      </c>
      <c r="Z68" s="917">
        <v>0.07</v>
      </c>
    </row>
    <row r="69" spans="1:26">
      <c r="A69" s="573">
        <v>67</v>
      </c>
      <c r="B69" s="772" t="s">
        <v>430</v>
      </c>
      <c r="C69" s="751" t="s">
        <v>433</v>
      </c>
      <c r="D69" s="757">
        <v>1000</v>
      </c>
      <c r="E69" s="751">
        <v>1840</v>
      </c>
      <c r="F69" s="758">
        <v>0.75</v>
      </c>
      <c r="G69" s="759">
        <v>0.2</v>
      </c>
      <c r="H69" s="769">
        <v>2</v>
      </c>
      <c r="I69" s="762">
        <v>2726.85</v>
      </c>
      <c r="J69" s="820" t="s">
        <v>180</v>
      </c>
      <c r="K69" s="817">
        <v>1</v>
      </c>
      <c r="L69" s="817">
        <v>1</v>
      </c>
      <c r="M69" s="924" t="s">
        <v>431</v>
      </c>
      <c r="N69" s="785">
        <v>0.8</v>
      </c>
      <c r="O69" s="786">
        <v>1840</v>
      </c>
      <c r="P69" s="787">
        <v>1840</v>
      </c>
      <c r="Q69" s="787">
        <v>1472</v>
      </c>
      <c r="R69" s="793">
        <v>200</v>
      </c>
      <c r="S69" s="787">
        <v>644</v>
      </c>
      <c r="T69" s="787">
        <v>1748</v>
      </c>
      <c r="U69" s="892">
        <v>2356.85</v>
      </c>
      <c r="V69" s="893">
        <v>2356.85</v>
      </c>
      <c r="W69" s="854" t="s">
        <v>411</v>
      </c>
      <c r="X69" s="759">
        <v>1</v>
      </c>
      <c r="Y69" s="759">
        <v>0.1</v>
      </c>
      <c r="Z69" s="917">
        <v>0.07</v>
      </c>
    </row>
    <row r="70" spans="1:26">
      <c r="A70" s="573">
        <v>68</v>
      </c>
      <c r="B70" s="772" t="s">
        <v>430</v>
      </c>
      <c r="C70" s="751" t="s">
        <v>70</v>
      </c>
      <c r="D70" s="757">
        <v>1840</v>
      </c>
      <c r="E70" s="751">
        <v>1840</v>
      </c>
      <c r="F70" s="758">
        <v>0.65</v>
      </c>
      <c r="G70" s="759">
        <v>0.2</v>
      </c>
      <c r="H70" s="770">
        <v>1</v>
      </c>
      <c r="I70" s="762">
        <v>1409.85</v>
      </c>
      <c r="J70" s="820" t="s">
        <v>180</v>
      </c>
      <c r="K70" s="817">
        <v>1</v>
      </c>
      <c r="L70" s="817">
        <v>1</v>
      </c>
      <c r="M70" s="924" t="s">
        <v>431</v>
      </c>
      <c r="N70" s="785">
        <v>0.8</v>
      </c>
      <c r="O70" s="786">
        <v>1840</v>
      </c>
      <c r="P70" s="787">
        <v>1840</v>
      </c>
      <c r="Q70" s="787">
        <v>1472</v>
      </c>
      <c r="R70" s="793">
        <v>200</v>
      </c>
      <c r="S70" s="787">
        <v>644</v>
      </c>
      <c r="T70" s="787">
        <v>1748</v>
      </c>
      <c r="U70" s="892">
        <v>2356.85</v>
      </c>
      <c r="V70" s="893">
        <v>2356.85</v>
      </c>
      <c r="W70" s="854" t="s">
        <v>411</v>
      </c>
      <c r="X70" s="759">
        <v>1</v>
      </c>
      <c r="Y70" s="759">
        <v>0.1</v>
      </c>
      <c r="Z70" s="917">
        <v>0.07</v>
      </c>
    </row>
    <row r="71" spans="1:26">
      <c r="A71" s="573">
        <v>69</v>
      </c>
      <c r="B71" s="751" t="s">
        <v>72</v>
      </c>
      <c r="C71" s="751" t="s">
        <v>72</v>
      </c>
      <c r="D71" s="757">
        <v>1000</v>
      </c>
      <c r="E71" s="751">
        <v>1000</v>
      </c>
      <c r="F71" s="758">
        <v>0.6</v>
      </c>
      <c r="G71" s="759">
        <v>0.2</v>
      </c>
      <c r="H71" s="760">
        <v>1</v>
      </c>
      <c r="I71" s="762">
        <v>1409.85</v>
      </c>
      <c r="J71" s="820" t="s">
        <v>180</v>
      </c>
      <c r="K71" s="817">
        <v>1</v>
      </c>
      <c r="L71" s="817">
        <v>1</v>
      </c>
      <c r="M71" s="924" t="s">
        <v>431</v>
      </c>
      <c r="N71" s="785">
        <v>0.8</v>
      </c>
      <c r="O71" s="786">
        <v>1840</v>
      </c>
      <c r="P71" s="787">
        <v>1840</v>
      </c>
      <c r="Q71" s="787">
        <v>1472</v>
      </c>
      <c r="R71" s="809">
        <v>200</v>
      </c>
      <c r="S71" s="787">
        <v>644</v>
      </c>
      <c r="T71" s="787">
        <v>1748</v>
      </c>
      <c r="U71" s="892">
        <v>2356.85</v>
      </c>
      <c r="V71" s="893">
        <v>2356.85</v>
      </c>
      <c r="W71" s="854" t="s">
        <v>411</v>
      </c>
      <c r="X71" s="759">
        <v>1</v>
      </c>
      <c r="Y71" s="759">
        <v>0.1</v>
      </c>
      <c r="Z71" s="917">
        <v>0.07</v>
      </c>
    </row>
    <row r="72" spans="1:26">
      <c r="A72" s="573">
        <v>70</v>
      </c>
      <c r="B72" s="751" t="s">
        <v>80</v>
      </c>
      <c r="C72" s="768" t="s">
        <v>75</v>
      </c>
      <c r="D72" s="757">
        <v>800</v>
      </c>
      <c r="E72" s="751">
        <v>1840</v>
      </c>
      <c r="F72" s="758">
        <v>0.3</v>
      </c>
      <c r="G72" s="759">
        <v>0.15</v>
      </c>
      <c r="H72" s="760">
        <v>2</v>
      </c>
      <c r="I72" s="762">
        <v>1063.85</v>
      </c>
      <c r="J72" s="820" t="s">
        <v>180</v>
      </c>
      <c r="K72" s="817">
        <v>0.1291</v>
      </c>
      <c r="L72" s="817">
        <v>6</v>
      </c>
      <c r="M72" s="817" t="s">
        <v>390</v>
      </c>
      <c r="N72" s="785">
        <v>0.35</v>
      </c>
      <c r="O72" s="786">
        <v>870</v>
      </c>
      <c r="P72" s="787">
        <v>9970</v>
      </c>
      <c r="Q72" s="787">
        <v>696</v>
      </c>
      <c r="R72" s="787">
        <v>100</v>
      </c>
      <c r="S72" s="787">
        <v>304.5</v>
      </c>
      <c r="T72" s="787">
        <v>826.5</v>
      </c>
      <c r="U72" s="892">
        <v>2855.85</v>
      </c>
      <c r="V72" s="905">
        <v>2855.85</v>
      </c>
      <c r="W72" s="854" t="s">
        <v>391</v>
      </c>
      <c r="X72" s="759">
        <v>0.1291</v>
      </c>
      <c r="Y72" s="759">
        <v>1</v>
      </c>
      <c r="Z72" s="917">
        <v>0.03</v>
      </c>
    </row>
    <row r="73" spans="1:26">
      <c r="A73" s="573">
        <v>71</v>
      </c>
      <c r="B73" s="751" t="s">
        <v>80</v>
      </c>
      <c r="C73" s="751" t="s">
        <v>76</v>
      </c>
      <c r="D73" s="757">
        <v>800</v>
      </c>
      <c r="E73" s="923">
        <v>1840</v>
      </c>
      <c r="F73" s="758">
        <v>0.35</v>
      </c>
      <c r="G73" s="759">
        <v>0.15</v>
      </c>
      <c r="H73" s="760">
        <v>2</v>
      </c>
      <c r="I73" s="762">
        <v>1063.85</v>
      </c>
      <c r="J73" s="820" t="s">
        <v>180</v>
      </c>
      <c r="K73" s="817">
        <v>0.1291</v>
      </c>
      <c r="L73" s="817">
        <v>6</v>
      </c>
      <c r="M73" s="817" t="s">
        <v>390</v>
      </c>
      <c r="N73" s="785">
        <v>0.35</v>
      </c>
      <c r="O73" s="786">
        <v>870</v>
      </c>
      <c r="P73" s="787">
        <v>9970</v>
      </c>
      <c r="Q73" s="787">
        <v>696</v>
      </c>
      <c r="R73" s="787">
        <v>100</v>
      </c>
      <c r="S73" s="787">
        <v>304.5</v>
      </c>
      <c r="T73" s="787">
        <v>826.5</v>
      </c>
      <c r="U73" s="892">
        <v>2855.85</v>
      </c>
      <c r="V73" s="893">
        <v>2855.85</v>
      </c>
      <c r="W73" s="854" t="s">
        <v>391</v>
      </c>
      <c r="X73" s="759">
        <v>0.1291</v>
      </c>
      <c r="Y73" s="759">
        <v>1</v>
      </c>
      <c r="Z73" s="917">
        <v>0.03</v>
      </c>
    </row>
    <row r="74" spans="1:26">
      <c r="A74" s="573">
        <v>72</v>
      </c>
      <c r="B74" s="751" t="s">
        <v>452</v>
      </c>
      <c r="C74" s="751" t="s">
        <v>77</v>
      </c>
      <c r="D74" s="757">
        <v>600</v>
      </c>
      <c r="E74" s="751">
        <v>1840</v>
      </c>
      <c r="F74" s="758">
        <v>0.75</v>
      </c>
      <c r="G74" s="759">
        <v>0.15</v>
      </c>
      <c r="H74" s="760">
        <v>2</v>
      </c>
      <c r="I74" s="816">
        <v>243.85</v>
      </c>
      <c r="J74" s="925" t="s">
        <v>180</v>
      </c>
      <c r="K74" s="817">
        <v>0.7697</v>
      </c>
      <c r="L74" s="817">
        <v>0.236</v>
      </c>
      <c r="M74" s="817" t="s">
        <v>453</v>
      </c>
      <c r="N74" s="785">
        <v>0.75</v>
      </c>
      <c r="O74" s="786">
        <v>200</v>
      </c>
      <c r="P74" s="787">
        <v>1000</v>
      </c>
      <c r="Q74" s="849">
        <v>160</v>
      </c>
      <c r="R74" s="849">
        <v>8</v>
      </c>
      <c r="S74" s="849">
        <v>70</v>
      </c>
      <c r="T74" s="849">
        <v>190</v>
      </c>
      <c r="U74" s="933">
        <v>280.45</v>
      </c>
      <c r="V74" s="935">
        <v>280.45</v>
      </c>
      <c r="W74" s="936" t="s">
        <v>454</v>
      </c>
      <c r="X74" s="937">
        <v>0.7697</v>
      </c>
      <c r="Y74" s="937">
        <v>0.236</v>
      </c>
      <c r="Z74" s="917">
        <v>0.07</v>
      </c>
    </row>
    <row r="75" spans="1:26">
      <c r="A75" s="573">
        <v>73</v>
      </c>
      <c r="B75" s="751" t="s">
        <v>78</v>
      </c>
      <c r="C75" s="751" t="s">
        <v>401</v>
      </c>
      <c r="D75" s="757">
        <v>200</v>
      </c>
      <c r="E75" s="751">
        <v>1000</v>
      </c>
      <c r="F75" s="758">
        <v>0.35</v>
      </c>
      <c r="G75" s="759">
        <v>0.134</v>
      </c>
      <c r="H75" s="760">
        <v>60</v>
      </c>
      <c r="I75" s="803">
        <v>3421.85</v>
      </c>
      <c r="J75" s="926">
        <v>3421.85</v>
      </c>
      <c r="K75" s="817">
        <v>0.134</v>
      </c>
      <c r="L75" s="817">
        <v>4</v>
      </c>
      <c r="M75" s="817" t="s">
        <v>402</v>
      </c>
      <c r="N75" s="785">
        <v>0.35</v>
      </c>
      <c r="O75" s="786">
        <v>200</v>
      </c>
      <c r="P75" s="787">
        <v>3870</v>
      </c>
      <c r="Q75" s="787">
        <v>160</v>
      </c>
      <c r="R75" s="787">
        <v>80</v>
      </c>
      <c r="S75" s="787">
        <v>70</v>
      </c>
      <c r="T75" s="787">
        <v>190</v>
      </c>
      <c r="U75" s="892">
        <v>5929.85</v>
      </c>
      <c r="V75" s="905">
        <v>5929.85</v>
      </c>
      <c r="W75" s="854" t="s">
        <v>403</v>
      </c>
      <c r="X75" s="759">
        <v>0.134</v>
      </c>
      <c r="Y75" s="759">
        <v>1</v>
      </c>
      <c r="Z75" s="917">
        <v>0.03</v>
      </c>
    </row>
    <row r="76" spans="1:26">
      <c r="A76" s="573">
        <v>74</v>
      </c>
      <c r="B76" s="751" t="s">
        <v>78</v>
      </c>
      <c r="C76" s="751" t="s">
        <v>404</v>
      </c>
      <c r="D76" s="767">
        <v>600</v>
      </c>
      <c r="E76" s="768">
        <v>1840</v>
      </c>
      <c r="F76" s="773">
        <v>0.65</v>
      </c>
      <c r="G76" s="769">
        <v>0.134</v>
      </c>
      <c r="H76" s="769">
        <v>15</v>
      </c>
      <c r="I76" s="816">
        <v>2926.85</v>
      </c>
      <c r="J76" s="833" t="s">
        <v>180</v>
      </c>
      <c r="K76" s="843">
        <v>0.134</v>
      </c>
      <c r="L76" s="927">
        <v>4</v>
      </c>
      <c r="M76" s="927" t="s">
        <v>402</v>
      </c>
      <c r="N76" s="928">
        <v>0.35</v>
      </c>
      <c r="O76" s="929">
        <v>200</v>
      </c>
      <c r="P76" s="930">
        <v>3870</v>
      </c>
      <c r="Q76" s="930">
        <v>160</v>
      </c>
      <c r="R76" s="930">
        <v>80</v>
      </c>
      <c r="S76" s="930">
        <v>70</v>
      </c>
      <c r="T76" s="930">
        <v>190</v>
      </c>
      <c r="U76" s="938">
        <v>5929.85</v>
      </c>
      <c r="V76" s="905">
        <v>5929.85</v>
      </c>
      <c r="W76" s="854" t="s">
        <v>403</v>
      </c>
      <c r="X76" s="759">
        <v>0.134</v>
      </c>
      <c r="Y76" s="759">
        <v>1</v>
      </c>
      <c r="Z76" s="917">
        <v>0.03</v>
      </c>
    </row>
    <row r="77" spans="1:26">
      <c r="A77" s="573">
        <v>75</v>
      </c>
      <c r="B77" s="751" t="s">
        <v>80</v>
      </c>
      <c r="C77" s="751" t="s">
        <v>80</v>
      </c>
      <c r="D77" s="752">
        <v>870</v>
      </c>
      <c r="E77" s="775">
        <v>9970</v>
      </c>
      <c r="F77" s="754">
        <v>0.35</v>
      </c>
      <c r="G77" s="770">
        <v>0.129</v>
      </c>
      <c r="H77" s="770">
        <v>60</v>
      </c>
      <c r="I77" s="781">
        <v>1063.85</v>
      </c>
      <c r="J77" s="814">
        <v>1063.85</v>
      </c>
      <c r="K77" s="843">
        <v>0.1291</v>
      </c>
      <c r="L77" s="927">
        <v>6</v>
      </c>
      <c r="M77" s="927" t="s">
        <v>390</v>
      </c>
      <c r="N77" s="928">
        <v>0.35</v>
      </c>
      <c r="O77" s="929">
        <v>870</v>
      </c>
      <c r="P77" s="930">
        <v>9970</v>
      </c>
      <c r="Q77" s="930">
        <v>696</v>
      </c>
      <c r="R77" s="930">
        <v>100</v>
      </c>
      <c r="S77" s="930">
        <v>304.5</v>
      </c>
      <c r="T77" s="930">
        <v>826.5</v>
      </c>
      <c r="U77" s="938">
        <v>2855.85</v>
      </c>
      <c r="V77" s="905">
        <v>2855.85</v>
      </c>
      <c r="W77" s="854" t="s">
        <v>391</v>
      </c>
      <c r="X77" s="759">
        <v>0.1291</v>
      </c>
      <c r="Y77" s="759">
        <v>1</v>
      </c>
      <c r="Z77" s="917">
        <v>0.03</v>
      </c>
    </row>
    <row r="78" spans="1:26">
      <c r="A78" s="573">
        <v>76</v>
      </c>
      <c r="B78" s="751" t="s">
        <v>81</v>
      </c>
      <c r="C78" s="751" t="s">
        <v>81</v>
      </c>
      <c r="D78" s="757">
        <v>2000</v>
      </c>
      <c r="E78" s="753">
        <v>2000</v>
      </c>
      <c r="F78" s="773">
        <v>0.85</v>
      </c>
      <c r="G78" s="769">
        <v>0.128</v>
      </c>
      <c r="H78" s="769">
        <v>35</v>
      </c>
      <c r="I78" s="788">
        <v>327.5</v>
      </c>
      <c r="J78" s="811">
        <v>327.5</v>
      </c>
      <c r="K78" s="817">
        <v>0.128</v>
      </c>
      <c r="L78" s="817">
        <v>11</v>
      </c>
      <c r="M78" s="817" t="s">
        <v>386</v>
      </c>
      <c r="N78" s="785">
        <v>0.85</v>
      </c>
      <c r="O78" s="786">
        <v>3000</v>
      </c>
      <c r="P78" s="787">
        <v>9970</v>
      </c>
      <c r="Q78" s="849">
        <v>1600</v>
      </c>
      <c r="R78" s="787">
        <v>100</v>
      </c>
      <c r="S78" s="787">
        <v>1050</v>
      </c>
      <c r="T78" s="787">
        <v>2850</v>
      </c>
      <c r="U78" s="892">
        <v>1749</v>
      </c>
      <c r="V78" s="939">
        <v>1749</v>
      </c>
      <c r="W78" s="854" t="s">
        <v>387</v>
      </c>
      <c r="X78" s="759">
        <v>0.128</v>
      </c>
      <c r="Y78" s="759">
        <v>3.5</v>
      </c>
      <c r="Z78" s="917">
        <v>0.08</v>
      </c>
    </row>
    <row r="79" spans="1:26">
      <c r="A79" s="573">
        <v>77</v>
      </c>
      <c r="B79" s="751" t="s">
        <v>444</v>
      </c>
      <c r="C79" s="751" t="s">
        <v>444</v>
      </c>
      <c r="D79" s="757">
        <v>10000</v>
      </c>
      <c r="E79" s="751">
        <v>20000</v>
      </c>
      <c r="F79" s="754">
        <v>0.9</v>
      </c>
      <c r="G79" s="770">
        <v>0</v>
      </c>
      <c r="H79" s="770">
        <v>0</v>
      </c>
      <c r="I79" s="764">
        <v>9726.85</v>
      </c>
      <c r="J79" s="931">
        <v>-7.5</v>
      </c>
      <c r="K79" s="932">
        <v>4.1</v>
      </c>
      <c r="L79" s="932">
        <v>0.609</v>
      </c>
      <c r="M79" s="932" t="s">
        <v>445</v>
      </c>
      <c r="N79" s="928">
        <v>0.8</v>
      </c>
      <c r="O79" s="929">
        <v>1100</v>
      </c>
      <c r="P79" s="930">
        <v>1100</v>
      </c>
      <c r="Q79" s="940" t="s">
        <v>180</v>
      </c>
      <c r="R79" s="930">
        <v>0.04</v>
      </c>
      <c r="S79" s="930">
        <v>385</v>
      </c>
      <c r="T79" s="930">
        <v>1045</v>
      </c>
      <c r="U79" s="930">
        <v>99.69</v>
      </c>
      <c r="V79" s="883" t="s">
        <v>180</v>
      </c>
      <c r="W79" s="854" t="s">
        <v>442</v>
      </c>
      <c r="X79" s="759">
        <v>4.179</v>
      </c>
      <c r="Y79" s="759">
        <v>0.184</v>
      </c>
      <c r="Z79" s="917">
        <v>0.08</v>
      </c>
    </row>
  </sheetData>
  <autoFilter ref="B1:Z79">
    <sortState ref="B1:Z79">
      <sortCondition ref="G1" descending="1"/>
    </sortState>
    <extLst/>
  </autoFilter>
  <pageMargins left="0.75" right="0.75" top="1" bottom="1" header="0.5" footer="0.5"/>
  <headerFooter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 tint="0.4"/>
  </sheetPr>
  <dimension ref="B2:AC46"/>
  <sheetViews>
    <sheetView workbookViewId="0">
      <pane ySplit="2" topLeftCell="A3" activePane="bottomLeft" state="frozen"/>
      <selection/>
      <selection pane="bottomLeft" activeCell="A3" sqref="$A3:$XFD3"/>
    </sheetView>
  </sheetViews>
  <sheetFormatPr defaultColWidth="9" defaultRowHeight="14"/>
  <cols>
    <col min="1" max="1" width="5" style="324" customWidth="1"/>
    <col min="2" max="2" width="14.8333333333333" style="324" customWidth="1"/>
    <col min="3" max="3" width="12.75" style="324" customWidth="1"/>
    <col min="4" max="4" width="5.08333333333333" style="324" customWidth="1"/>
    <col min="5" max="5" width="11.3333333333333" style="324" customWidth="1"/>
    <col min="6" max="7" width="8.75" style="324" customWidth="1"/>
    <col min="8" max="8" width="9.58333333333333" style="324" customWidth="1"/>
    <col min="9" max="9" width="8.75" style="324" customWidth="1"/>
    <col min="10" max="11" width="10.5" style="324" customWidth="1"/>
    <col min="12" max="13" width="8.75" style="324" customWidth="1"/>
    <col min="14" max="14" width="14.8333333333333" style="324" customWidth="1"/>
    <col min="15" max="15" width="11.4166666666667" style="324" customWidth="1"/>
    <col min="16" max="16" width="27.3333333333333" style="324" customWidth="1"/>
    <col min="17" max="17" width="14.25" style="685" customWidth="1"/>
    <col min="18" max="18" width="12.6666666666667" style="685" customWidth="1"/>
    <col min="19" max="19" width="5.08333333333333" style="324" customWidth="1"/>
    <col min="20" max="20" width="6.33333333333333" style="685" customWidth="1"/>
    <col min="21" max="21" width="8.33333333333333" style="324" customWidth="1"/>
    <col min="22" max="22" width="8.88333333333333" style="324"/>
    <col min="23" max="23" width="6.91666666666667" style="324" customWidth="1"/>
    <col min="24" max="24" width="9.75" style="324" customWidth="1"/>
    <col min="25" max="25" width="8.75" style="324" customWidth="1"/>
    <col min="26" max="26" width="5.58333333333333" style="324" customWidth="1"/>
    <col min="27" max="27" width="6.58333333333333" style="324" customWidth="1"/>
    <col min="28" max="28" width="8.91666666666667" style="324" customWidth="1"/>
    <col min="29" max="29" width="27.5833333333333" style="685" customWidth="1"/>
    <col min="30" max="16384" width="8.88333333333333" style="324"/>
  </cols>
  <sheetData>
    <row r="2" ht="17.5" spans="2:29">
      <c r="B2" s="686" t="s">
        <v>84</v>
      </c>
      <c r="C2" s="686" t="s">
        <v>84</v>
      </c>
      <c r="D2" s="686" t="s">
        <v>184</v>
      </c>
      <c r="E2" s="687" t="s">
        <v>473</v>
      </c>
      <c r="F2" s="687" t="s">
        <v>474</v>
      </c>
      <c r="G2" s="687" t="s">
        <v>475</v>
      </c>
      <c r="H2" s="688" t="s">
        <v>476</v>
      </c>
      <c r="I2" s="703" t="s">
        <v>477</v>
      </c>
      <c r="J2" s="704" t="s">
        <v>478</v>
      </c>
      <c r="K2" s="704" t="s">
        <v>479</v>
      </c>
      <c r="L2" s="705" t="s">
        <v>480</v>
      </c>
      <c r="M2" s="705" t="s">
        <v>481</v>
      </c>
      <c r="N2" s="706" t="s">
        <v>186</v>
      </c>
      <c r="O2" s="707" t="s">
        <v>186</v>
      </c>
      <c r="P2" s="686" t="s">
        <v>482</v>
      </c>
      <c r="Q2" s="726" t="s">
        <v>188</v>
      </c>
      <c r="R2" s="726" t="s">
        <v>189</v>
      </c>
      <c r="S2" s="686" t="s">
        <v>190</v>
      </c>
      <c r="T2" s="726" t="s">
        <v>191</v>
      </c>
      <c r="U2" s="726" t="s">
        <v>192</v>
      </c>
      <c r="W2" s="686" t="s">
        <v>193</v>
      </c>
      <c r="X2" s="686" t="s">
        <v>194</v>
      </c>
      <c r="Y2" s="686" t="s">
        <v>195</v>
      </c>
      <c r="Z2" s="686" t="s">
        <v>196</v>
      </c>
      <c r="AA2" s="686" t="s">
        <v>197</v>
      </c>
      <c r="AB2" s="686" t="s">
        <v>198</v>
      </c>
      <c r="AC2" s="726" t="s">
        <v>199</v>
      </c>
    </row>
    <row r="3" spans="2:29">
      <c r="B3" s="585" t="s">
        <v>319</v>
      </c>
      <c r="C3" s="583" t="s">
        <v>320</v>
      </c>
      <c r="D3" s="596">
        <v>2</v>
      </c>
      <c r="E3" s="613">
        <f t="shared" ref="E3:E12" si="0">F3/H3</f>
        <v>400</v>
      </c>
      <c r="F3" s="689">
        <v>12000</v>
      </c>
      <c r="G3" s="689">
        <v>12000</v>
      </c>
      <c r="H3" s="690">
        <v>30</v>
      </c>
      <c r="I3" s="708" t="s">
        <v>483</v>
      </c>
      <c r="J3" s="709" t="s">
        <v>446</v>
      </c>
      <c r="K3" s="710" t="s">
        <v>322</v>
      </c>
      <c r="L3" s="702"/>
      <c r="M3" s="702"/>
      <c r="N3" s="624" t="s">
        <v>321</v>
      </c>
      <c r="O3" s="594" t="s">
        <v>322</v>
      </c>
      <c r="P3" s="583" t="s">
        <v>323</v>
      </c>
      <c r="Q3" s="727" t="s">
        <v>180</v>
      </c>
      <c r="R3" s="727" t="s">
        <v>298</v>
      </c>
      <c r="S3" s="728" t="s">
        <v>180</v>
      </c>
      <c r="T3" s="727" t="s">
        <v>218</v>
      </c>
      <c r="U3" s="727" t="s">
        <v>282</v>
      </c>
      <c r="W3" s="623"/>
      <c r="X3" s="623"/>
      <c r="Y3" s="734"/>
      <c r="Z3" s="623"/>
      <c r="AA3" s="734"/>
      <c r="AB3" s="734"/>
      <c r="AC3" s="735"/>
    </row>
    <row r="4" spans="2:29">
      <c r="B4" s="691" t="s">
        <v>200</v>
      </c>
      <c r="C4" s="583" t="s">
        <v>221</v>
      </c>
      <c r="D4" s="602">
        <v>1</v>
      </c>
      <c r="E4" s="613">
        <f t="shared" si="0"/>
        <v>400</v>
      </c>
      <c r="F4" s="689">
        <v>7200</v>
      </c>
      <c r="G4" s="689">
        <v>7200</v>
      </c>
      <c r="H4" s="690">
        <v>18</v>
      </c>
      <c r="I4" s="689">
        <v>20</v>
      </c>
      <c r="J4" s="711" t="s">
        <v>443</v>
      </c>
      <c r="K4" s="695" t="s">
        <v>223</v>
      </c>
      <c r="L4" s="689"/>
      <c r="M4" s="689"/>
      <c r="N4" s="583" t="s">
        <v>222</v>
      </c>
      <c r="O4" s="583" t="s">
        <v>223</v>
      </c>
      <c r="P4" s="583" t="s">
        <v>224</v>
      </c>
      <c r="Q4" s="728" t="s">
        <v>204</v>
      </c>
      <c r="R4" s="727" t="s">
        <v>225</v>
      </c>
      <c r="S4" s="596" t="s">
        <v>206</v>
      </c>
      <c r="T4" s="728" t="s">
        <v>218</v>
      </c>
      <c r="U4" s="728" t="s">
        <v>226</v>
      </c>
      <c r="W4" s="729" t="s">
        <v>227</v>
      </c>
      <c r="X4" s="1278" t="s">
        <v>210</v>
      </c>
      <c r="Y4" s="736"/>
      <c r="Z4" s="737"/>
      <c r="AA4" s="737">
        <v>0.5</v>
      </c>
      <c r="AB4" s="729"/>
      <c r="AC4" s="738" t="s">
        <v>228</v>
      </c>
    </row>
    <row r="5" spans="2:29">
      <c r="B5" s="691" t="s">
        <v>200</v>
      </c>
      <c r="C5" s="583" t="s">
        <v>237</v>
      </c>
      <c r="D5" s="602">
        <v>2</v>
      </c>
      <c r="E5" s="613">
        <f t="shared" si="0"/>
        <v>400</v>
      </c>
      <c r="F5" s="689">
        <v>4800</v>
      </c>
      <c r="G5" s="689">
        <v>4800</v>
      </c>
      <c r="H5" s="583">
        <v>12</v>
      </c>
      <c r="I5" s="712">
        <v>5</v>
      </c>
      <c r="J5" s="712" t="s">
        <v>445</v>
      </c>
      <c r="K5" s="614" t="s">
        <v>239</v>
      </c>
      <c r="L5" s="713"/>
      <c r="M5" s="713"/>
      <c r="N5" s="714" t="s">
        <v>238</v>
      </c>
      <c r="O5" s="614" t="s">
        <v>239</v>
      </c>
      <c r="P5" s="583" t="s">
        <v>240</v>
      </c>
      <c r="Q5" s="730" t="s">
        <v>241</v>
      </c>
      <c r="R5" s="728" t="s">
        <v>242</v>
      </c>
      <c r="S5" s="730" t="s">
        <v>180</v>
      </c>
      <c r="T5" s="727" t="s">
        <v>243</v>
      </c>
      <c r="U5" s="728" t="s">
        <v>244</v>
      </c>
      <c r="W5" s="729" t="s">
        <v>245</v>
      </c>
      <c r="X5" s="1278" t="s">
        <v>210</v>
      </c>
      <c r="Y5" s="737"/>
      <c r="Z5" s="737">
        <v>0.25</v>
      </c>
      <c r="AA5" s="739"/>
      <c r="AB5" s="729"/>
      <c r="AC5" s="738" t="s">
        <v>246</v>
      </c>
    </row>
    <row r="6" spans="2:29">
      <c r="B6" s="691" t="s">
        <v>200</v>
      </c>
      <c r="C6" s="583" t="s">
        <v>212</v>
      </c>
      <c r="D6" s="580">
        <v>2</v>
      </c>
      <c r="E6" s="613">
        <f t="shared" si="0"/>
        <v>373.333333333333</v>
      </c>
      <c r="F6" s="689">
        <v>2800</v>
      </c>
      <c r="G6" s="692">
        <v>2400</v>
      </c>
      <c r="H6" s="693">
        <v>7.5</v>
      </c>
      <c r="I6" s="715">
        <v>4</v>
      </c>
      <c r="J6" s="716" t="s">
        <v>74</v>
      </c>
      <c r="K6" s="716" t="s">
        <v>214</v>
      </c>
      <c r="L6" s="717"/>
      <c r="M6" s="717"/>
      <c r="N6" s="718" t="s">
        <v>213</v>
      </c>
      <c r="O6" s="615" t="s">
        <v>214</v>
      </c>
      <c r="P6" s="583" t="s">
        <v>215</v>
      </c>
      <c r="Q6" s="731" t="s">
        <v>216</v>
      </c>
      <c r="R6" s="731" t="s">
        <v>217</v>
      </c>
      <c r="S6" s="580" t="s">
        <v>206</v>
      </c>
      <c r="T6" s="728" t="s">
        <v>218</v>
      </c>
      <c r="U6" s="731" t="s">
        <v>208</v>
      </c>
      <c r="W6" s="729" t="s">
        <v>219</v>
      </c>
      <c r="X6" s="1278" t="s">
        <v>210</v>
      </c>
      <c r="Y6" s="737"/>
      <c r="Z6" s="737">
        <v>0.25</v>
      </c>
      <c r="AA6" s="736"/>
      <c r="AB6" s="729"/>
      <c r="AC6" s="740" t="s">
        <v>220</v>
      </c>
    </row>
    <row r="7" spans="2:29">
      <c r="B7" s="691" t="s">
        <v>200</v>
      </c>
      <c r="C7" s="583" t="s">
        <v>229</v>
      </c>
      <c r="D7" s="580">
        <v>2</v>
      </c>
      <c r="E7" s="694">
        <f t="shared" si="0"/>
        <v>342.857142857143</v>
      </c>
      <c r="F7" s="689">
        <v>7200</v>
      </c>
      <c r="G7" s="689">
        <v>7200</v>
      </c>
      <c r="H7" s="690">
        <v>21</v>
      </c>
      <c r="I7" s="708">
        <v>20</v>
      </c>
      <c r="J7" s="708" t="s">
        <v>460</v>
      </c>
      <c r="K7" s="710" t="s">
        <v>223</v>
      </c>
      <c r="L7" s="689"/>
      <c r="M7" s="689"/>
      <c r="N7" s="583" t="s">
        <v>230</v>
      </c>
      <c r="O7" s="594" t="s">
        <v>223</v>
      </c>
      <c r="P7" s="583" t="s">
        <v>231</v>
      </c>
      <c r="Q7" s="727" t="s">
        <v>216</v>
      </c>
      <c r="R7" s="727" t="s">
        <v>232</v>
      </c>
      <c r="S7" s="602" t="s">
        <v>233</v>
      </c>
      <c r="T7" s="728" t="s">
        <v>218</v>
      </c>
      <c r="U7" s="727" t="s">
        <v>234</v>
      </c>
      <c r="W7" s="729" t="s">
        <v>235</v>
      </c>
      <c r="X7" s="1278" t="s">
        <v>210</v>
      </c>
      <c r="Y7" s="736"/>
      <c r="Z7" s="737"/>
      <c r="AA7" s="741">
        <v>1</v>
      </c>
      <c r="AB7" s="742"/>
      <c r="AC7" s="738" t="s">
        <v>236</v>
      </c>
    </row>
    <row r="8" spans="2:29">
      <c r="B8" s="691" t="s">
        <v>200</v>
      </c>
      <c r="C8" s="583" t="s">
        <v>254</v>
      </c>
      <c r="D8" s="583">
        <v>2</v>
      </c>
      <c r="E8" s="694">
        <f t="shared" si="0"/>
        <v>339.393939393939</v>
      </c>
      <c r="F8" s="689">
        <v>2240</v>
      </c>
      <c r="G8" s="689">
        <v>1840</v>
      </c>
      <c r="H8" s="695">
        <v>6.6</v>
      </c>
      <c r="I8" s="689">
        <v>40</v>
      </c>
      <c r="J8" s="711" t="s">
        <v>446</v>
      </c>
      <c r="K8" s="583"/>
      <c r="L8" s="689"/>
      <c r="M8" s="689"/>
      <c r="N8" s="583" t="s">
        <v>255</v>
      </c>
      <c r="O8" s="583" t="s">
        <v>255</v>
      </c>
      <c r="P8" s="583" t="s">
        <v>256</v>
      </c>
      <c r="Q8" s="727" t="s">
        <v>204</v>
      </c>
      <c r="R8" s="727" t="s">
        <v>205</v>
      </c>
      <c r="S8" s="580" t="s">
        <v>206</v>
      </c>
      <c r="T8" s="1279" t="s">
        <v>207</v>
      </c>
      <c r="U8" s="727" t="s">
        <v>208</v>
      </c>
      <c r="W8" s="729" t="s">
        <v>257</v>
      </c>
      <c r="X8" s="1278" t="s">
        <v>210</v>
      </c>
      <c r="Y8" s="736"/>
      <c r="Z8" s="739">
        <v>-0.5</v>
      </c>
      <c r="AA8" s="737">
        <v>-0.25</v>
      </c>
      <c r="AB8" s="742"/>
      <c r="AC8" s="738" t="s">
        <v>258</v>
      </c>
    </row>
    <row r="9" spans="2:29">
      <c r="B9" s="691" t="s">
        <v>200</v>
      </c>
      <c r="C9" s="583" t="s">
        <v>247</v>
      </c>
      <c r="D9" s="596">
        <v>2</v>
      </c>
      <c r="E9" s="694">
        <f t="shared" si="0"/>
        <v>333.333333333333</v>
      </c>
      <c r="F9" s="689">
        <v>2000</v>
      </c>
      <c r="G9" s="689">
        <v>1600</v>
      </c>
      <c r="H9" s="695">
        <v>6</v>
      </c>
      <c r="I9" s="689">
        <v>20</v>
      </c>
      <c r="J9" s="711" t="s">
        <v>443</v>
      </c>
      <c r="K9" s="695" t="s">
        <v>248</v>
      </c>
      <c r="L9" s="689"/>
      <c r="M9" s="689"/>
      <c r="N9" s="583" t="s">
        <v>222</v>
      </c>
      <c r="O9" s="583" t="s">
        <v>248</v>
      </c>
      <c r="P9" s="583" t="s">
        <v>249</v>
      </c>
      <c r="Q9" s="727" t="s">
        <v>204</v>
      </c>
      <c r="R9" s="727" t="s">
        <v>250</v>
      </c>
      <c r="S9" s="583" t="s">
        <v>206</v>
      </c>
      <c r="T9" s="730" t="s">
        <v>218</v>
      </c>
      <c r="U9" s="727" t="s">
        <v>208</v>
      </c>
      <c r="W9" s="729" t="s">
        <v>251</v>
      </c>
      <c r="X9" s="1278" t="s">
        <v>210</v>
      </c>
      <c r="Y9" s="736"/>
      <c r="Z9" s="741">
        <v>0.2</v>
      </c>
      <c r="AA9" s="737">
        <v>1</v>
      </c>
      <c r="AB9" s="743" t="s">
        <v>252</v>
      </c>
      <c r="AC9" s="738" t="s">
        <v>253</v>
      </c>
    </row>
    <row r="10" spans="2:29">
      <c r="B10" s="691" t="s">
        <v>200</v>
      </c>
      <c r="C10" s="583" t="s">
        <v>266</v>
      </c>
      <c r="D10" s="602">
        <v>2</v>
      </c>
      <c r="E10" s="596">
        <f t="shared" si="0"/>
        <v>300</v>
      </c>
      <c r="F10" s="689">
        <v>2400</v>
      </c>
      <c r="G10" s="689">
        <v>2000</v>
      </c>
      <c r="H10" s="695">
        <v>8</v>
      </c>
      <c r="I10" s="689">
        <v>10</v>
      </c>
      <c r="J10" s="689" t="s">
        <v>54</v>
      </c>
      <c r="K10" s="689"/>
      <c r="L10" s="689"/>
      <c r="M10" s="689"/>
      <c r="N10" s="583" t="s">
        <v>260</v>
      </c>
      <c r="O10" s="583"/>
      <c r="P10" s="583" t="s">
        <v>267</v>
      </c>
      <c r="Q10" s="727" t="s">
        <v>204</v>
      </c>
      <c r="R10" s="727" t="s">
        <v>262</v>
      </c>
      <c r="S10" s="583" t="s">
        <v>206</v>
      </c>
      <c r="T10" s="727"/>
      <c r="U10" s="727" t="s">
        <v>234</v>
      </c>
      <c r="W10" s="729" t="s">
        <v>268</v>
      </c>
      <c r="X10" s="1278" t="s">
        <v>210</v>
      </c>
      <c r="Y10" s="736">
        <v>3.5</v>
      </c>
      <c r="Z10" s="737">
        <v>-0.9</v>
      </c>
      <c r="AA10" s="737"/>
      <c r="AB10" s="744"/>
      <c r="AC10" s="738"/>
    </row>
    <row r="11" spans="2:29">
      <c r="B11" s="691" t="s">
        <v>200</v>
      </c>
      <c r="C11" s="583" t="s">
        <v>259</v>
      </c>
      <c r="D11" s="602">
        <v>2</v>
      </c>
      <c r="E11" s="596">
        <f t="shared" si="0"/>
        <v>300</v>
      </c>
      <c r="F11" s="689">
        <v>1200</v>
      </c>
      <c r="G11" s="689">
        <v>800</v>
      </c>
      <c r="H11" s="696">
        <v>4</v>
      </c>
      <c r="I11" s="689">
        <v>10</v>
      </c>
      <c r="J11" s="689" t="s">
        <v>54</v>
      </c>
      <c r="K11" s="689"/>
      <c r="L11" s="689"/>
      <c r="M11" s="689"/>
      <c r="N11" s="583" t="s">
        <v>260</v>
      </c>
      <c r="O11" s="583"/>
      <c r="P11" s="583" t="s">
        <v>261</v>
      </c>
      <c r="Q11" s="730" t="s">
        <v>204</v>
      </c>
      <c r="R11" s="727" t="s">
        <v>262</v>
      </c>
      <c r="S11" s="602" t="s">
        <v>206</v>
      </c>
      <c r="T11" s="727" t="s">
        <v>263</v>
      </c>
      <c r="U11" s="731" t="s">
        <v>234</v>
      </c>
      <c r="W11" s="729" t="s">
        <v>264</v>
      </c>
      <c r="X11" s="1278" t="s">
        <v>210</v>
      </c>
      <c r="Y11" s="741">
        <v>-0.75</v>
      </c>
      <c r="Z11" s="737">
        <v>0.5</v>
      </c>
      <c r="AA11" s="737"/>
      <c r="AB11" s="729" t="s">
        <v>214</v>
      </c>
      <c r="AC11" s="738" t="s">
        <v>265</v>
      </c>
    </row>
    <row r="12" spans="2:29">
      <c r="B12" s="691" t="s">
        <v>200</v>
      </c>
      <c r="C12" s="583" t="s">
        <v>201</v>
      </c>
      <c r="D12" s="583">
        <v>2</v>
      </c>
      <c r="E12" s="596">
        <f t="shared" si="0"/>
        <v>283.333333333333</v>
      </c>
      <c r="F12" s="689">
        <v>850</v>
      </c>
      <c r="G12" s="689">
        <v>600</v>
      </c>
      <c r="H12" s="696">
        <v>3</v>
      </c>
      <c r="I12" s="689">
        <v>10</v>
      </c>
      <c r="J12" s="711" t="s">
        <v>22</v>
      </c>
      <c r="K12" s="689"/>
      <c r="L12" s="689"/>
      <c r="M12" s="689"/>
      <c r="N12" s="583" t="s">
        <v>202</v>
      </c>
      <c r="O12" s="583"/>
      <c r="P12" s="583" t="s">
        <v>203</v>
      </c>
      <c r="Q12" s="727" t="s">
        <v>204</v>
      </c>
      <c r="R12" s="727" t="s">
        <v>205</v>
      </c>
      <c r="S12" s="602" t="s">
        <v>206</v>
      </c>
      <c r="T12" s="731" t="s">
        <v>207</v>
      </c>
      <c r="U12" s="727" t="s">
        <v>208</v>
      </c>
      <c r="W12" s="732" t="s">
        <v>209</v>
      </c>
      <c r="X12" s="1280" t="s">
        <v>210</v>
      </c>
      <c r="Y12" s="745"/>
      <c r="Z12" s="745"/>
      <c r="AA12" s="745"/>
      <c r="AB12" s="732"/>
      <c r="AC12" s="746" t="s">
        <v>211</v>
      </c>
    </row>
    <row r="13" spans="2:29">
      <c r="B13" s="585" t="s">
        <v>306</v>
      </c>
      <c r="C13" s="583" t="s">
        <v>313</v>
      </c>
      <c r="D13" s="580">
        <v>2</v>
      </c>
      <c r="E13" s="596"/>
      <c r="F13" s="689"/>
      <c r="G13" s="689"/>
      <c r="H13" s="583" t="s">
        <v>180</v>
      </c>
      <c r="I13" s="689">
        <v>19</v>
      </c>
      <c r="J13" s="711" t="s">
        <v>443</v>
      </c>
      <c r="K13" s="711" t="s">
        <v>315</v>
      </c>
      <c r="L13" s="689"/>
      <c r="M13" s="689"/>
      <c r="N13" s="583" t="s">
        <v>314</v>
      </c>
      <c r="O13" s="583" t="s">
        <v>315</v>
      </c>
      <c r="P13" s="583" t="s">
        <v>316</v>
      </c>
      <c r="Q13" s="727" t="s">
        <v>216</v>
      </c>
      <c r="R13" s="727" t="s">
        <v>317</v>
      </c>
      <c r="S13" s="596" t="s">
        <v>233</v>
      </c>
      <c r="T13" s="727" t="s">
        <v>207</v>
      </c>
      <c r="U13" s="727" t="s">
        <v>180</v>
      </c>
      <c r="W13" s="733"/>
      <c r="X13" s="733"/>
      <c r="Y13" s="733"/>
      <c r="Z13" s="733"/>
      <c r="AA13" s="733"/>
      <c r="AB13" s="733"/>
      <c r="AC13" s="747"/>
    </row>
    <row r="14" spans="2:29">
      <c r="B14" s="585" t="s">
        <v>306</v>
      </c>
      <c r="C14" s="583" t="s">
        <v>313</v>
      </c>
      <c r="D14" s="583">
        <v>2</v>
      </c>
      <c r="E14" s="596"/>
      <c r="F14" s="689"/>
      <c r="G14" s="697"/>
      <c r="H14" s="580" t="s">
        <v>180</v>
      </c>
      <c r="I14" s="697" t="s">
        <v>484</v>
      </c>
      <c r="J14" s="719" t="s">
        <v>216</v>
      </c>
      <c r="K14" s="697"/>
      <c r="L14" s="697"/>
      <c r="M14" s="697"/>
      <c r="N14" s="580" t="s">
        <v>318</v>
      </c>
      <c r="O14" s="580"/>
      <c r="P14" s="583" t="s">
        <v>316</v>
      </c>
      <c r="Q14" s="727" t="s">
        <v>216</v>
      </c>
      <c r="R14" s="727" t="s">
        <v>317</v>
      </c>
      <c r="S14" s="583" t="s">
        <v>233</v>
      </c>
      <c r="T14" s="727" t="s">
        <v>207</v>
      </c>
      <c r="U14" s="727" t="s">
        <v>180</v>
      </c>
      <c r="W14" s="623"/>
      <c r="X14" s="623"/>
      <c r="Y14" s="623"/>
      <c r="Z14" s="623"/>
      <c r="AA14" s="648"/>
      <c r="AB14" s="623"/>
      <c r="AC14" s="748"/>
    </row>
    <row r="15" spans="2:29">
      <c r="B15" s="698" t="s">
        <v>350</v>
      </c>
      <c r="C15" s="583" t="s">
        <v>351</v>
      </c>
      <c r="D15" s="596">
        <v>2</v>
      </c>
      <c r="E15" s="596"/>
      <c r="F15" s="689"/>
      <c r="G15" s="689"/>
      <c r="H15" s="583" t="s">
        <v>180</v>
      </c>
      <c r="I15" s="689">
        <v>4</v>
      </c>
      <c r="J15" s="711" t="s">
        <v>77</v>
      </c>
      <c r="K15" s="689"/>
      <c r="L15" s="689"/>
      <c r="M15" s="689"/>
      <c r="N15" s="583" t="s">
        <v>352</v>
      </c>
      <c r="O15" s="583"/>
      <c r="P15" s="583" t="s">
        <v>353</v>
      </c>
      <c r="Q15" s="727" t="s">
        <v>354</v>
      </c>
      <c r="R15" s="727" t="s">
        <v>355</v>
      </c>
      <c r="S15" s="728" t="s">
        <v>180</v>
      </c>
      <c r="T15" s="728" t="s">
        <v>218</v>
      </c>
      <c r="U15" s="727" t="s">
        <v>180</v>
      </c>
      <c r="W15" s="733"/>
      <c r="X15" s="733"/>
      <c r="Y15" s="733"/>
      <c r="Z15" s="733"/>
      <c r="AA15" s="733"/>
      <c r="AB15" s="733"/>
      <c r="AC15" s="747"/>
    </row>
    <row r="16" spans="2:29">
      <c r="B16" s="699" t="s">
        <v>350</v>
      </c>
      <c r="C16" s="596" t="s">
        <v>356</v>
      </c>
      <c r="D16" s="602" t="s">
        <v>357</v>
      </c>
      <c r="E16" s="596"/>
      <c r="F16" s="692"/>
      <c r="G16" s="692"/>
      <c r="H16" s="596" t="s">
        <v>180</v>
      </c>
      <c r="I16" s="692">
        <v>30</v>
      </c>
      <c r="J16" s="692" t="s">
        <v>485</v>
      </c>
      <c r="K16" s="692"/>
      <c r="L16" s="692"/>
      <c r="M16" s="692"/>
      <c r="N16" s="583" t="s">
        <v>358</v>
      </c>
      <c r="O16" s="583"/>
      <c r="P16" s="596" t="s">
        <v>359</v>
      </c>
      <c r="Q16" s="728" t="s">
        <v>180</v>
      </c>
      <c r="R16" s="728" t="s">
        <v>360</v>
      </c>
      <c r="S16" s="730" t="s">
        <v>180</v>
      </c>
      <c r="T16" s="730" t="s">
        <v>361</v>
      </c>
      <c r="U16" s="728" t="s">
        <v>180</v>
      </c>
      <c r="W16" s="733"/>
      <c r="X16" s="733"/>
      <c r="Y16" s="733"/>
      <c r="Z16" s="733"/>
      <c r="AA16" s="733"/>
      <c r="AB16" s="733"/>
      <c r="AC16" s="747"/>
    </row>
    <row r="17" spans="2:29">
      <c r="B17" s="579" t="s">
        <v>336</v>
      </c>
      <c r="C17" s="580" t="s">
        <v>337</v>
      </c>
      <c r="D17" s="602">
        <v>2</v>
      </c>
      <c r="E17" s="596"/>
      <c r="F17" s="697"/>
      <c r="G17" s="697"/>
      <c r="H17" s="580">
        <v>12</v>
      </c>
      <c r="I17" s="720"/>
      <c r="J17" s="720"/>
      <c r="K17" s="721"/>
      <c r="L17" s="722"/>
      <c r="M17" s="722"/>
      <c r="N17" s="624"/>
      <c r="O17" s="594"/>
      <c r="P17" s="580" t="s">
        <v>338</v>
      </c>
      <c r="Q17" s="731" t="s">
        <v>329</v>
      </c>
      <c r="R17" s="731" t="s">
        <v>335</v>
      </c>
      <c r="S17" s="580" t="s">
        <v>206</v>
      </c>
      <c r="T17" s="731" t="s">
        <v>218</v>
      </c>
      <c r="U17" s="731" t="s">
        <v>208</v>
      </c>
      <c r="W17" s="733"/>
      <c r="X17" s="733"/>
      <c r="Y17" s="733"/>
      <c r="Z17" s="733"/>
      <c r="AA17" s="733"/>
      <c r="AB17" s="733"/>
      <c r="AC17" s="747"/>
    </row>
    <row r="18" spans="2:21">
      <c r="B18" s="585" t="s">
        <v>306</v>
      </c>
      <c r="C18" s="583" t="s">
        <v>307</v>
      </c>
      <c r="D18" s="602">
        <v>2</v>
      </c>
      <c r="E18" s="596"/>
      <c r="F18" s="689"/>
      <c r="G18" s="689"/>
      <c r="H18" s="583">
        <v>10</v>
      </c>
      <c r="I18" s="689">
        <v>65</v>
      </c>
      <c r="J18" s="711" t="s">
        <v>446</v>
      </c>
      <c r="K18" s="695" t="s">
        <v>309</v>
      </c>
      <c r="L18" s="689"/>
      <c r="M18" s="689"/>
      <c r="N18" s="583" t="s">
        <v>308</v>
      </c>
      <c r="O18" s="583" t="s">
        <v>309</v>
      </c>
      <c r="P18" s="583" t="s">
        <v>310</v>
      </c>
      <c r="Q18" s="727" t="s">
        <v>311</v>
      </c>
      <c r="R18" s="727" t="s">
        <v>312</v>
      </c>
      <c r="S18" s="583" t="s">
        <v>233</v>
      </c>
      <c r="T18" s="727" t="s">
        <v>207</v>
      </c>
      <c r="U18" s="727" t="s">
        <v>282</v>
      </c>
    </row>
    <row r="19" spans="2:29">
      <c r="B19" s="585" t="s">
        <v>324</v>
      </c>
      <c r="C19" s="583" t="s">
        <v>331</v>
      </c>
      <c r="D19" s="580">
        <v>3</v>
      </c>
      <c r="E19" s="596"/>
      <c r="F19" s="689"/>
      <c r="G19" s="700"/>
      <c r="H19" s="701">
        <v>8</v>
      </c>
      <c r="I19" s="700">
        <v>35</v>
      </c>
      <c r="J19" s="723" t="s">
        <v>446</v>
      </c>
      <c r="K19" s="695" t="s">
        <v>333</v>
      </c>
      <c r="L19" s="689"/>
      <c r="M19" s="689"/>
      <c r="N19" s="583" t="s">
        <v>332</v>
      </c>
      <c r="O19" s="583" t="s">
        <v>333</v>
      </c>
      <c r="P19" s="583" t="s">
        <v>334</v>
      </c>
      <c r="Q19" s="727" t="s">
        <v>180</v>
      </c>
      <c r="R19" s="727" t="s">
        <v>335</v>
      </c>
      <c r="S19" s="583" t="s">
        <v>206</v>
      </c>
      <c r="T19" s="727" t="s">
        <v>218</v>
      </c>
      <c r="U19" s="727" t="s">
        <v>234</v>
      </c>
      <c r="W19" s="733"/>
      <c r="X19" s="733"/>
      <c r="Y19" s="733"/>
      <c r="Z19" s="733"/>
      <c r="AA19" s="733"/>
      <c r="AB19" s="733"/>
      <c r="AC19" s="747"/>
    </row>
    <row r="20" spans="2:21">
      <c r="B20" s="585" t="s">
        <v>324</v>
      </c>
      <c r="C20" s="583" t="s">
        <v>325</v>
      </c>
      <c r="D20" s="583">
        <v>2</v>
      </c>
      <c r="E20" s="596"/>
      <c r="F20" s="689"/>
      <c r="G20" s="689"/>
      <c r="H20" s="695">
        <v>6</v>
      </c>
      <c r="I20" s="689">
        <v>3.6</v>
      </c>
      <c r="J20" s="689" t="s">
        <v>329</v>
      </c>
      <c r="K20" s="583" t="s">
        <v>327</v>
      </c>
      <c r="L20" s="689"/>
      <c r="M20" s="689"/>
      <c r="N20" s="583" t="s">
        <v>326</v>
      </c>
      <c r="O20" s="583" t="s">
        <v>327</v>
      </c>
      <c r="P20" s="583" t="s">
        <v>328</v>
      </c>
      <c r="Q20" s="727" t="s">
        <v>329</v>
      </c>
      <c r="R20" s="727" t="s">
        <v>330</v>
      </c>
      <c r="S20" s="596" t="s">
        <v>233</v>
      </c>
      <c r="T20" s="728" t="s">
        <v>207</v>
      </c>
      <c r="U20" s="727" t="s">
        <v>244</v>
      </c>
    </row>
    <row r="21" spans="2:29">
      <c r="B21" s="585" t="s">
        <v>300</v>
      </c>
      <c r="C21" s="583" t="s">
        <v>301</v>
      </c>
      <c r="D21" s="596" t="s">
        <v>302</v>
      </c>
      <c r="E21" s="596"/>
      <c r="F21" s="689"/>
      <c r="G21" s="689"/>
      <c r="H21" s="696">
        <v>4.5</v>
      </c>
      <c r="I21" s="708">
        <v>70</v>
      </c>
      <c r="J21" s="709" t="s">
        <v>446</v>
      </c>
      <c r="K21" s="709" t="s">
        <v>202</v>
      </c>
      <c r="L21" s="702"/>
      <c r="M21" s="702"/>
      <c r="N21" s="624" t="s">
        <v>303</v>
      </c>
      <c r="O21" s="594" t="s">
        <v>202</v>
      </c>
      <c r="P21" s="583" t="s">
        <v>304</v>
      </c>
      <c r="Q21" s="727" t="s">
        <v>180</v>
      </c>
      <c r="R21" s="727" t="s">
        <v>305</v>
      </c>
      <c r="S21" s="580" t="s">
        <v>206</v>
      </c>
      <c r="T21" s="727" t="s">
        <v>218</v>
      </c>
      <c r="U21" s="727" t="s">
        <v>234</v>
      </c>
      <c r="W21" s="732" t="s">
        <v>271</v>
      </c>
      <c r="X21" s="1280" t="s">
        <v>210</v>
      </c>
      <c r="Y21" s="745">
        <v>-0.5</v>
      </c>
      <c r="Z21" s="745">
        <v>0.25</v>
      </c>
      <c r="AA21" s="745"/>
      <c r="AB21" s="746" t="s">
        <v>272</v>
      </c>
      <c r="AC21" s="746"/>
    </row>
    <row r="22" spans="2:21">
      <c r="B22" s="585" t="s">
        <v>339</v>
      </c>
      <c r="C22" s="583" t="s">
        <v>340</v>
      </c>
      <c r="D22" s="583">
        <v>3</v>
      </c>
      <c r="E22" s="596"/>
      <c r="F22" s="689"/>
      <c r="G22" s="689"/>
      <c r="H22" s="696">
        <v>4</v>
      </c>
      <c r="I22" s="708">
        <v>0.5</v>
      </c>
      <c r="J22" s="708" t="s">
        <v>486</v>
      </c>
      <c r="K22" s="708"/>
      <c r="L22" s="702"/>
      <c r="M22" s="702"/>
      <c r="N22" s="624" t="s">
        <v>341</v>
      </c>
      <c r="O22" s="594"/>
      <c r="P22" s="583" t="s">
        <v>342</v>
      </c>
      <c r="Q22" s="727" t="s">
        <v>180</v>
      </c>
      <c r="R22" s="727" t="s">
        <v>343</v>
      </c>
      <c r="S22" s="602" t="s">
        <v>206</v>
      </c>
      <c r="T22" s="727" t="s">
        <v>285</v>
      </c>
      <c r="U22" s="728" t="s">
        <v>226</v>
      </c>
    </row>
    <row r="23" spans="2:21">
      <c r="B23" s="585" t="s">
        <v>344</v>
      </c>
      <c r="C23" s="583" t="s">
        <v>345</v>
      </c>
      <c r="D23" s="583">
        <v>3</v>
      </c>
      <c r="E23" s="596"/>
      <c r="F23" s="702"/>
      <c r="G23" s="702"/>
      <c r="H23" s="696">
        <v>2</v>
      </c>
      <c r="I23" s="724">
        <v>160</v>
      </c>
      <c r="J23" s="725" t="s">
        <v>446</v>
      </c>
      <c r="K23" s="625"/>
      <c r="L23" s="702"/>
      <c r="M23" s="702"/>
      <c r="N23" s="624" t="s">
        <v>346</v>
      </c>
      <c r="O23" s="594"/>
      <c r="P23" s="624" t="s">
        <v>347</v>
      </c>
      <c r="Q23" s="731" t="s">
        <v>348</v>
      </c>
      <c r="R23" s="727" t="s">
        <v>349</v>
      </c>
      <c r="S23" s="731" t="s">
        <v>180</v>
      </c>
      <c r="T23" s="727" t="s">
        <v>243</v>
      </c>
      <c r="U23" s="731" t="s">
        <v>208</v>
      </c>
    </row>
    <row r="26" spans="14:29">
      <c r="N26" s="685"/>
      <c r="P26" s="685"/>
      <c r="Q26" s="324"/>
      <c r="R26" s="324"/>
      <c r="T26" s="324"/>
      <c r="Y26" s="685"/>
      <c r="AC26" s="324"/>
    </row>
    <row r="27" spans="14:29">
      <c r="N27" s="685"/>
      <c r="P27" s="685"/>
      <c r="Q27" s="324"/>
      <c r="R27" s="324"/>
      <c r="T27" s="324"/>
      <c r="Y27" s="685"/>
      <c r="AC27" s="324"/>
    </row>
    <row r="28" spans="14:29">
      <c r="N28" s="685"/>
      <c r="P28" s="685"/>
      <c r="Q28" s="324"/>
      <c r="R28" s="324"/>
      <c r="T28" s="324"/>
      <c r="Y28" s="685"/>
      <c r="AC28" s="324"/>
    </row>
    <row r="29" spans="14:29">
      <c r="N29" s="685"/>
      <c r="P29" s="685"/>
      <c r="Q29" s="324"/>
      <c r="R29" s="324"/>
      <c r="T29" s="324"/>
      <c r="Y29" s="685"/>
      <c r="AC29" s="324"/>
    </row>
    <row r="30" spans="14:29">
      <c r="N30" s="685"/>
      <c r="P30" s="685"/>
      <c r="Q30" s="324"/>
      <c r="R30" s="324"/>
      <c r="T30" s="324"/>
      <c r="Y30" s="685"/>
      <c r="AC30" s="324"/>
    </row>
    <row r="31" spans="14:29">
      <c r="N31" s="685"/>
      <c r="P31" s="685"/>
      <c r="Q31" s="324"/>
      <c r="R31" s="324"/>
      <c r="T31" s="324"/>
      <c r="Y31" s="685"/>
      <c r="AC31" s="324"/>
    </row>
    <row r="32" spans="14:29">
      <c r="N32" s="685"/>
      <c r="P32" s="685"/>
      <c r="Q32" s="324"/>
      <c r="R32" s="324"/>
      <c r="T32" s="324"/>
      <c r="Y32" s="685"/>
      <c r="AC32" s="324"/>
    </row>
    <row r="33" spans="14:29">
      <c r="N33" s="685"/>
      <c r="P33" s="685"/>
      <c r="Q33" s="324"/>
      <c r="R33" s="324"/>
      <c r="T33" s="324"/>
      <c r="Y33" s="685"/>
      <c r="AC33" s="324"/>
    </row>
    <row r="34" spans="14:29">
      <c r="N34" s="685"/>
      <c r="P34" s="685"/>
      <c r="Q34" s="324"/>
      <c r="R34" s="324"/>
      <c r="T34" s="324"/>
      <c r="Y34" s="685"/>
      <c r="AC34" s="324"/>
    </row>
    <row r="35" spans="14:29">
      <c r="N35" s="685"/>
      <c r="P35" s="685"/>
      <c r="Q35" s="324"/>
      <c r="R35" s="324"/>
      <c r="T35" s="324"/>
      <c r="Y35" s="685"/>
      <c r="AC35" s="324"/>
    </row>
    <row r="36" spans="14:29">
      <c r="N36" s="685"/>
      <c r="P36" s="685"/>
      <c r="Q36" s="324"/>
      <c r="R36" s="324"/>
      <c r="T36" s="324"/>
      <c r="Y36" s="685"/>
      <c r="AC36" s="324"/>
    </row>
    <row r="37" spans="14:29">
      <c r="N37" s="685"/>
      <c r="P37" s="685"/>
      <c r="Q37" s="324"/>
      <c r="R37" s="324"/>
      <c r="T37" s="324"/>
      <c r="Y37" s="685"/>
      <c r="AC37" s="324"/>
    </row>
    <row r="38" spans="14:29">
      <c r="N38" s="685"/>
      <c r="P38" s="685"/>
      <c r="Q38" s="324"/>
      <c r="R38" s="324"/>
      <c r="T38" s="324"/>
      <c r="Y38" s="685"/>
      <c r="AC38" s="324"/>
    </row>
    <row r="39" spans="14:29">
      <c r="N39" s="685"/>
      <c r="P39" s="685"/>
      <c r="Q39" s="324"/>
      <c r="R39" s="324"/>
      <c r="T39" s="324"/>
      <c r="Y39" s="685"/>
      <c r="AC39" s="324"/>
    </row>
    <row r="40" spans="14:29">
      <c r="N40" s="685"/>
      <c r="P40" s="685"/>
      <c r="Q40" s="324"/>
      <c r="R40" s="324"/>
      <c r="T40" s="324"/>
      <c r="Y40" s="685"/>
      <c r="AC40" s="324"/>
    </row>
    <row r="41" spans="14:29">
      <c r="N41" s="685"/>
      <c r="P41" s="685"/>
      <c r="Q41" s="324"/>
      <c r="R41" s="324"/>
      <c r="T41" s="324"/>
      <c r="Y41" s="685"/>
      <c r="AC41" s="324"/>
    </row>
    <row r="42" spans="14:29">
      <c r="N42" s="685"/>
      <c r="P42" s="685"/>
      <c r="Q42" s="324"/>
      <c r="R42" s="324"/>
      <c r="T42" s="324"/>
      <c r="Y42" s="685"/>
      <c r="AC42" s="324"/>
    </row>
    <row r="43" spans="14:29">
      <c r="N43" s="685"/>
      <c r="P43" s="685"/>
      <c r="Q43" s="324"/>
      <c r="R43" s="324"/>
      <c r="T43" s="324"/>
      <c r="Y43" s="685"/>
      <c r="AC43" s="324"/>
    </row>
    <row r="44" spans="14:29">
      <c r="N44" s="685"/>
      <c r="P44" s="685"/>
      <c r="Q44" s="324"/>
      <c r="R44" s="324"/>
      <c r="T44" s="324"/>
      <c r="Y44" s="685"/>
      <c r="AC44" s="324"/>
    </row>
    <row r="45" spans="14:29">
      <c r="N45" s="685"/>
      <c r="P45" s="685"/>
      <c r="Q45" s="324"/>
      <c r="R45" s="324"/>
      <c r="T45" s="324"/>
      <c r="Y45" s="685"/>
      <c r="AC45" s="324"/>
    </row>
    <row r="46" spans="14:29">
      <c r="N46" s="685"/>
      <c r="P46" s="685"/>
      <c r="Q46" s="324"/>
      <c r="R46" s="324"/>
      <c r="T46" s="324"/>
      <c r="Y46" s="685"/>
      <c r="AC46" s="324"/>
    </row>
  </sheetData>
  <autoFilter ref="B2:AC46">
    <sortState ref="B2:AC46">
      <sortCondition ref="E2" descending="1"/>
    </sortState>
    <extLst/>
  </autoFilter>
  <pageMargins left="0.7" right="0.7" top="0.75" bottom="0.75" header="0.3" footer="0.3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R51"/>
  <sheetViews>
    <sheetView workbookViewId="0">
      <pane ySplit="2" topLeftCell="A3" activePane="bottomLeft" state="frozen"/>
      <selection/>
      <selection pane="bottomLeft" activeCell="D32" sqref="D32"/>
    </sheetView>
  </sheetViews>
  <sheetFormatPr defaultColWidth="9" defaultRowHeight="14"/>
  <cols>
    <col min="1" max="1" width="4.21666666666667" style="3" customWidth="1"/>
    <col min="2" max="2" width="9.10833333333333" style="3" customWidth="1"/>
    <col min="3" max="3" width="14.5583333333333" style="3" customWidth="1"/>
    <col min="4" max="4" width="12.6666666666667" style="3" customWidth="1"/>
    <col min="5" max="8" width="6.775" style="3" customWidth="1"/>
    <col min="9" max="10" width="7.775" style="3" customWidth="1"/>
    <col min="11" max="11" width="6.88333333333333" style="3" customWidth="1"/>
    <col min="12" max="12" width="5.10833333333333" style="3" customWidth="1"/>
    <col min="13" max="13" width="8.88333333333333" style="3"/>
    <col min="15" max="15" width="15.1083333333333" customWidth="1"/>
    <col min="16" max="16" width="13.3333333333333" style="3" customWidth="1"/>
    <col min="17" max="17" width="7.21666666666667" customWidth="1"/>
    <col min="18" max="18" width="5.55833333333333" customWidth="1"/>
    <col min="19" max="16384" width="8.88333333333333" style="3"/>
  </cols>
  <sheetData>
    <row r="2" ht="14.75" spans="2:18">
      <c r="B2" s="651" t="s">
        <v>487</v>
      </c>
      <c r="C2" s="652" t="s">
        <v>488</v>
      </c>
      <c r="D2" s="653" t="s">
        <v>489</v>
      </c>
      <c r="E2" s="651" t="s">
        <v>490</v>
      </c>
      <c r="F2" s="651"/>
      <c r="G2" s="651"/>
      <c r="H2" s="651"/>
      <c r="I2" s="651"/>
      <c r="J2" s="651"/>
      <c r="K2" s="668" t="s">
        <v>491</v>
      </c>
      <c r="L2" s="651" t="s">
        <v>480</v>
      </c>
      <c r="N2" s="652"/>
      <c r="O2" s="669"/>
      <c r="P2" s="653" t="s">
        <v>489</v>
      </c>
      <c r="Q2" s="668" t="s">
        <v>491</v>
      </c>
      <c r="R2" s="651" t="s">
        <v>480</v>
      </c>
    </row>
    <row r="3" ht="14.75" spans="2:18">
      <c r="B3" s="654" t="s">
        <v>492</v>
      </c>
      <c r="C3" s="373" t="s">
        <v>493</v>
      </c>
      <c r="D3" s="373">
        <v>800</v>
      </c>
      <c r="E3" s="373" t="s">
        <v>494</v>
      </c>
      <c r="F3" s="373"/>
      <c r="G3" s="373"/>
      <c r="H3" s="373" t="s">
        <v>495</v>
      </c>
      <c r="I3" s="373"/>
      <c r="J3" s="373"/>
      <c r="K3" s="361">
        <v>8</v>
      </c>
      <c r="L3" s="373">
        <v>-1</v>
      </c>
      <c r="N3" s="670" t="s">
        <v>496</v>
      </c>
      <c r="O3" s="671" t="s">
        <v>497</v>
      </c>
      <c r="P3" s="672">
        <v>800</v>
      </c>
      <c r="Q3" s="671" t="s">
        <v>498</v>
      </c>
      <c r="R3" s="672">
        <v>-1</v>
      </c>
    </row>
    <row r="4" spans="2:18">
      <c r="B4" s="655"/>
      <c r="C4" s="461" t="s">
        <v>499</v>
      </c>
      <c r="D4" s="461">
        <v>1700</v>
      </c>
      <c r="E4" s="461" t="s">
        <v>500</v>
      </c>
      <c r="F4" s="461"/>
      <c r="G4" s="461"/>
      <c r="H4" s="461" t="s">
        <v>501</v>
      </c>
      <c r="I4" s="461"/>
      <c r="J4" s="461"/>
      <c r="K4" s="373"/>
      <c r="L4" s="461">
        <v>0</v>
      </c>
      <c r="N4" s="673"/>
      <c r="O4" s="673" t="s">
        <v>502</v>
      </c>
      <c r="P4" s="674"/>
      <c r="Q4" s="673"/>
      <c r="R4" s="678"/>
    </row>
    <row r="5" spans="2:18">
      <c r="B5" s="655"/>
      <c r="C5" s="461" t="s">
        <v>503</v>
      </c>
      <c r="D5" s="461">
        <v>3600</v>
      </c>
      <c r="E5" s="461" t="s">
        <v>504</v>
      </c>
      <c r="F5" s="461"/>
      <c r="G5" s="461"/>
      <c r="H5" s="461"/>
      <c r="I5" s="461"/>
      <c r="J5" s="461"/>
      <c r="K5" s="675">
        <v>4</v>
      </c>
      <c r="L5" s="461">
        <v>2</v>
      </c>
      <c r="N5" s="673"/>
      <c r="O5" s="673" t="s">
        <v>505</v>
      </c>
      <c r="P5" s="673">
        <v>6400</v>
      </c>
      <c r="Q5" s="673"/>
      <c r="R5" s="678"/>
    </row>
    <row r="6" ht="14.75" spans="2:18">
      <c r="B6" s="656"/>
      <c r="C6" s="657" t="s">
        <v>506</v>
      </c>
      <c r="D6" s="377">
        <v>4000</v>
      </c>
      <c r="E6" s="377" t="s">
        <v>507</v>
      </c>
      <c r="F6" s="377"/>
      <c r="G6" s="377"/>
      <c r="H6" s="377" t="s">
        <v>508</v>
      </c>
      <c r="I6" s="377"/>
      <c r="J6" s="377"/>
      <c r="K6" s="676" t="s">
        <v>498</v>
      </c>
      <c r="L6" s="377">
        <v>3</v>
      </c>
      <c r="N6" s="673"/>
      <c r="O6" s="673" t="s">
        <v>509</v>
      </c>
      <c r="P6" s="673">
        <v>2400</v>
      </c>
      <c r="Q6" s="673"/>
      <c r="R6" s="678"/>
    </row>
    <row r="7" ht="14.75" spans="2:18">
      <c r="B7" s="658" t="s">
        <v>510</v>
      </c>
      <c r="C7" s="659" t="s">
        <v>511</v>
      </c>
      <c r="D7" s="660">
        <v>1050</v>
      </c>
      <c r="E7" s="217" t="s">
        <v>512</v>
      </c>
      <c r="F7" s="217"/>
      <c r="G7" s="217"/>
      <c r="H7" s="217"/>
      <c r="I7" s="217"/>
      <c r="J7" s="217"/>
      <c r="K7" s="660">
        <v>8</v>
      </c>
      <c r="L7" s="659">
        <v>0</v>
      </c>
      <c r="N7" s="673" t="s">
        <v>513</v>
      </c>
      <c r="O7" s="673" t="s">
        <v>219</v>
      </c>
      <c r="P7" s="673">
        <v>600</v>
      </c>
      <c r="Q7" s="677">
        <v>8</v>
      </c>
      <c r="R7" s="674"/>
    </row>
    <row r="8" spans="2:18">
      <c r="B8" s="216"/>
      <c r="C8" s="185" t="s">
        <v>514</v>
      </c>
      <c r="D8" s="232">
        <v>1800</v>
      </c>
      <c r="E8" s="185" t="s">
        <v>515</v>
      </c>
      <c r="F8" s="185"/>
      <c r="G8" s="185"/>
      <c r="H8" s="185"/>
      <c r="I8" s="185"/>
      <c r="J8" s="185"/>
      <c r="K8" s="232">
        <v>32</v>
      </c>
      <c r="L8" s="185">
        <v>-1</v>
      </c>
      <c r="N8" s="673"/>
      <c r="O8" s="673" t="s">
        <v>516</v>
      </c>
      <c r="P8" s="673">
        <v>2400</v>
      </c>
      <c r="Q8" s="678"/>
      <c r="R8" s="677">
        <v>0</v>
      </c>
    </row>
    <row r="9" spans="2:18">
      <c r="B9" s="216"/>
      <c r="C9" s="185" t="s">
        <v>517</v>
      </c>
      <c r="D9" s="215">
        <v>2800</v>
      </c>
      <c r="E9" s="185" t="s">
        <v>518</v>
      </c>
      <c r="F9" s="185"/>
      <c r="G9" s="185"/>
      <c r="H9" s="185"/>
      <c r="I9" s="185"/>
      <c r="J9" s="185"/>
      <c r="K9" s="232">
        <v>4</v>
      </c>
      <c r="L9" s="185">
        <v>2</v>
      </c>
      <c r="N9" s="673"/>
      <c r="O9" s="673" t="s">
        <v>519</v>
      </c>
      <c r="P9" s="673">
        <v>1600</v>
      </c>
      <c r="Q9" s="674"/>
      <c r="R9" s="678"/>
    </row>
    <row r="10" spans="2:18">
      <c r="B10" s="216"/>
      <c r="C10" s="185" t="s">
        <v>520</v>
      </c>
      <c r="D10" s="217"/>
      <c r="E10" s="185" t="s">
        <v>215</v>
      </c>
      <c r="F10" s="185"/>
      <c r="G10" s="185"/>
      <c r="H10" s="185"/>
      <c r="I10" s="185"/>
      <c r="J10" s="185"/>
      <c r="K10" s="236">
        <v>8</v>
      </c>
      <c r="L10" s="185">
        <v>1</v>
      </c>
      <c r="N10" s="673"/>
      <c r="O10" s="673" t="s">
        <v>521</v>
      </c>
      <c r="P10" s="673">
        <v>400</v>
      </c>
      <c r="Q10" s="673">
        <v>4</v>
      </c>
      <c r="R10" s="674"/>
    </row>
    <row r="11" spans="2:18">
      <c r="B11" s="216"/>
      <c r="C11" s="185" t="s">
        <v>522</v>
      </c>
      <c r="D11" s="232">
        <v>2000</v>
      </c>
      <c r="E11" s="185" t="s">
        <v>508</v>
      </c>
      <c r="F11" s="185"/>
      <c r="G11" s="185"/>
      <c r="H11" s="185"/>
      <c r="I11" s="185"/>
      <c r="J11" s="185"/>
      <c r="K11" s="238"/>
      <c r="L11" s="185"/>
      <c r="N11" s="677" t="s">
        <v>523</v>
      </c>
      <c r="O11" s="673" t="s">
        <v>524</v>
      </c>
      <c r="P11" s="673">
        <v>1600</v>
      </c>
      <c r="Q11" s="677">
        <v>8</v>
      </c>
      <c r="R11" s="673">
        <v>-1</v>
      </c>
    </row>
    <row r="12" spans="2:18">
      <c r="B12" s="216"/>
      <c r="C12" s="185" t="s">
        <v>525</v>
      </c>
      <c r="D12" s="232">
        <v>2240</v>
      </c>
      <c r="E12" s="185" t="s">
        <v>526</v>
      </c>
      <c r="F12" s="185"/>
      <c r="G12" s="185"/>
      <c r="H12" s="185"/>
      <c r="I12" s="185"/>
      <c r="J12" s="185"/>
      <c r="K12" s="238"/>
      <c r="L12" s="185"/>
      <c r="N12" s="678"/>
      <c r="O12" s="673" t="s">
        <v>527</v>
      </c>
      <c r="P12" s="677">
        <v>1000</v>
      </c>
      <c r="Q12" s="677">
        <v>4</v>
      </c>
      <c r="R12" s="677">
        <v>2</v>
      </c>
    </row>
    <row r="13" spans="2:18">
      <c r="B13" s="216"/>
      <c r="C13" s="185" t="s">
        <v>528</v>
      </c>
      <c r="D13" s="232">
        <v>1200</v>
      </c>
      <c r="E13" s="185" t="s">
        <v>261</v>
      </c>
      <c r="F13" s="185"/>
      <c r="G13" s="185"/>
      <c r="H13" s="185"/>
      <c r="I13" s="185"/>
      <c r="J13" s="185"/>
      <c r="K13" s="238"/>
      <c r="L13" s="185"/>
      <c r="N13" s="678"/>
      <c r="O13" s="673" t="s">
        <v>529</v>
      </c>
      <c r="P13" s="674"/>
      <c r="Q13" s="674"/>
      <c r="R13" s="674"/>
    </row>
    <row r="14" spans="2:18">
      <c r="B14" s="216"/>
      <c r="C14" s="185" t="s">
        <v>530</v>
      </c>
      <c r="D14" s="232">
        <v>1200</v>
      </c>
      <c r="E14" s="185" t="s">
        <v>531</v>
      </c>
      <c r="F14" s="185"/>
      <c r="G14" s="185"/>
      <c r="H14" s="185"/>
      <c r="I14" s="185"/>
      <c r="J14" s="185"/>
      <c r="K14" s="240"/>
      <c r="L14" s="185">
        <v>2</v>
      </c>
      <c r="N14" s="674"/>
      <c r="O14" s="673" t="s">
        <v>532</v>
      </c>
      <c r="P14" s="679" t="s">
        <v>180</v>
      </c>
      <c r="Q14" s="683"/>
      <c r="R14" s="684"/>
    </row>
    <row r="15" spans="2:18">
      <c r="B15" s="216"/>
      <c r="C15" s="185" t="s">
        <v>533</v>
      </c>
      <c r="D15" s="185">
        <v>2400</v>
      </c>
      <c r="E15" s="185" t="s">
        <v>267</v>
      </c>
      <c r="F15" s="185"/>
      <c r="G15" s="185"/>
      <c r="H15" s="185" t="s">
        <v>534</v>
      </c>
      <c r="I15" s="185"/>
      <c r="J15" s="185"/>
      <c r="K15" s="232">
        <v>32</v>
      </c>
      <c r="L15" s="215">
        <v>3</v>
      </c>
      <c r="N15" s="680" t="s">
        <v>535</v>
      </c>
      <c r="O15" s="673" t="s">
        <v>536</v>
      </c>
      <c r="P15" s="673">
        <v>1840</v>
      </c>
      <c r="Q15" s="673">
        <v>4</v>
      </c>
      <c r="R15" s="677">
        <v>0</v>
      </c>
    </row>
    <row r="16" spans="2:18">
      <c r="B16" s="216"/>
      <c r="C16" s="215" t="s">
        <v>537</v>
      </c>
      <c r="D16" s="215">
        <v>1600</v>
      </c>
      <c r="E16" s="185" t="s">
        <v>538</v>
      </c>
      <c r="F16" s="185"/>
      <c r="G16" s="185"/>
      <c r="H16" s="185"/>
      <c r="I16" s="185"/>
      <c r="J16" s="185"/>
      <c r="K16" s="681"/>
      <c r="L16" s="216"/>
      <c r="N16" s="680"/>
      <c r="O16" s="673" t="s">
        <v>539</v>
      </c>
      <c r="P16" s="673">
        <v>800</v>
      </c>
      <c r="Q16" s="674">
        <v>8</v>
      </c>
      <c r="R16" s="674"/>
    </row>
    <row r="17" ht="14.75" spans="2:18">
      <c r="B17" s="661"/>
      <c r="C17" s="662" t="s">
        <v>540</v>
      </c>
      <c r="D17" s="663">
        <v>4000</v>
      </c>
      <c r="E17" s="662" t="s">
        <v>541</v>
      </c>
      <c r="F17" s="662"/>
      <c r="G17" s="662"/>
      <c r="H17" s="662"/>
      <c r="I17" s="662"/>
      <c r="J17" s="662"/>
      <c r="K17" s="682">
        <v>4</v>
      </c>
      <c r="L17" s="661"/>
      <c r="N17" s="680"/>
      <c r="O17" s="673" t="s">
        <v>542</v>
      </c>
      <c r="P17" s="673">
        <v>250</v>
      </c>
      <c r="Q17" s="677">
        <v>4</v>
      </c>
      <c r="R17" s="677">
        <v>1</v>
      </c>
    </row>
    <row r="18" ht="14.75" spans="2:18">
      <c r="B18" s="664" t="s">
        <v>543</v>
      </c>
      <c r="C18" s="335" t="s">
        <v>544</v>
      </c>
      <c r="D18" s="335">
        <v>4400</v>
      </c>
      <c r="E18" s="335" t="s">
        <v>545</v>
      </c>
      <c r="F18" s="335"/>
      <c r="G18" s="335"/>
      <c r="H18" s="335" t="s">
        <v>546</v>
      </c>
      <c r="I18" s="335"/>
      <c r="J18" s="335"/>
      <c r="K18" s="682"/>
      <c r="L18" s="664">
        <v>4</v>
      </c>
      <c r="N18" s="680"/>
      <c r="O18" s="673" t="s">
        <v>547</v>
      </c>
      <c r="P18" s="673">
        <v>1200</v>
      </c>
      <c r="Q18" s="674"/>
      <c r="R18" s="674"/>
    </row>
    <row r="19" spans="2:18">
      <c r="B19" s="518"/>
      <c r="C19" s="329" t="s">
        <v>548</v>
      </c>
      <c r="D19" s="329">
        <v>4800</v>
      </c>
      <c r="E19" s="329" t="s">
        <v>549</v>
      </c>
      <c r="F19" s="329"/>
      <c r="G19" s="329"/>
      <c r="H19" s="329" t="s">
        <v>550</v>
      </c>
      <c r="I19" s="329"/>
      <c r="J19" s="329"/>
      <c r="K19" s="518"/>
      <c r="L19" s="518"/>
      <c r="N19" s="673" t="s">
        <v>551</v>
      </c>
      <c r="O19" s="673" t="s">
        <v>552</v>
      </c>
      <c r="P19" s="677" t="s">
        <v>180</v>
      </c>
      <c r="Q19" s="673">
        <v>8</v>
      </c>
      <c r="R19" s="673">
        <v>3</v>
      </c>
    </row>
    <row r="20" spans="2:18">
      <c r="B20" s="518"/>
      <c r="C20" s="329" t="s">
        <v>553</v>
      </c>
      <c r="D20" s="329">
        <v>6000</v>
      </c>
      <c r="E20" s="329" t="s">
        <v>554</v>
      </c>
      <c r="F20" s="329"/>
      <c r="G20" s="329"/>
      <c r="H20" s="329" t="s">
        <v>555</v>
      </c>
      <c r="I20" s="329"/>
      <c r="J20" s="329"/>
      <c r="K20" s="518"/>
      <c r="L20" s="518"/>
      <c r="N20" s="673"/>
      <c r="O20" s="673" t="s">
        <v>556</v>
      </c>
      <c r="P20" s="678"/>
      <c r="Q20" s="673">
        <v>16</v>
      </c>
      <c r="R20" s="677">
        <v>0</v>
      </c>
    </row>
    <row r="21" spans="2:18">
      <c r="B21" s="518"/>
      <c r="C21" s="333" t="s">
        <v>557</v>
      </c>
      <c r="D21" s="333">
        <v>4000</v>
      </c>
      <c r="E21" s="665" t="s">
        <v>558</v>
      </c>
      <c r="F21" s="666"/>
      <c r="G21" s="667"/>
      <c r="H21" s="665" t="s">
        <v>559</v>
      </c>
      <c r="I21" s="666"/>
      <c r="J21" s="667"/>
      <c r="K21" s="329">
        <v>16</v>
      </c>
      <c r="L21" s="335"/>
      <c r="N21" s="673"/>
      <c r="O21" s="673" t="s">
        <v>560</v>
      </c>
      <c r="P21" s="678"/>
      <c r="Q21" s="673">
        <v>4</v>
      </c>
      <c r="R21" s="674"/>
    </row>
    <row r="22" spans="2:18">
      <c r="B22" s="518"/>
      <c r="C22" s="329" t="s">
        <v>561</v>
      </c>
      <c r="D22" s="518"/>
      <c r="E22" s="329" t="s">
        <v>562</v>
      </c>
      <c r="F22" s="329"/>
      <c r="G22" s="329"/>
      <c r="H22" s="329" t="s">
        <v>563</v>
      </c>
      <c r="I22" s="329"/>
      <c r="J22" s="329"/>
      <c r="K22" s="329">
        <v>8</v>
      </c>
      <c r="L22" s="333">
        <v>5</v>
      </c>
      <c r="N22" s="673"/>
      <c r="O22" s="673" t="s">
        <v>564</v>
      </c>
      <c r="P22" s="674"/>
      <c r="Q22" s="673">
        <v>8</v>
      </c>
      <c r="R22" s="673">
        <v>-1</v>
      </c>
    </row>
    <row r="23" spans="2:12">
      <c r="B23" s="518"/>
      <c r="C23" s="329" t="s">
        <v>565</v>
      </c>
      <c r="D23" s="335"/>
      <c r="E23" s="329" t="s">
        <v>566</v>
      </c>
      <c r="F23" s="329"/>
      <c r="G23" s="329"/>
      <c r="H23" s="329"/>
      <c r="I23" s="329"/>
      <c r="J23" s="329"/>
      <c r="K23" s="518">
        <v>4</v>
      </c>
      <c r="L23" s="518"/>
    </row>
    <row r="24" spans="2:12">
      <c r="B24" s="518"/>
      <c r="C24" s="329" t="s">
        <v>567</v>
      </c>
      <c r="D24" s="329">
        <v>4200</v>
      </c>
      <c r="E24" s="329" t="s">
        <v>568</v>
      </c>
      <c r="F24" s="329"/>
      <c r="G24" s="329" t="s">
        <v>531</v>
      </c>
      <c r="H24" s="329"/>
      <c r="I24" s="329" t="s">
        <v>569</v>
      </c>
      <c r="J24" s="329"/>
      <c r="K24" s="518"/>
      <c r="L24" s="518"/>
    </row>
    <row r="25" spans="2:12">
      <c r="B25" s="335"/>
      <c r="C25" s="329" t="s">
        <v>570</v>
      </c>
      <c r="D25" s="329">
        <v>6000</v>
      </c>
      <c r="E25" s="329" t="s">
        <v>554</v>
      </c>
      <c r="F25" s="329"/>
      <c r="G25" s="329" t="s">
        <v>571</v>
      </c>
      <c r="H25" s="329"/>
      <c r="I25" s="329" t="s">
        <v>572</v>
      </c>
      <c r="J25" s="329"/>
      <c r="K25" s="335"/>
      <c r="L25" s="329">
        <v>6</v>
      </c>
    </row>
    <row r="26" spans="2:2">
      <c r="B26"/>
    </row>
    <row r="27" spans="13:18">
      <c r="M27"/>
      <c r="O27" s="3"/>
      <c r="P27"/>
      <c r="R27" s="3"/>
    </row>
    <row r="29" spans="13:18">
      <c r="M29"/>
      <c r="O29" s="3"/>
      <c r="P29"/>
      <c r="R29" s="3"/>
    </row>
    <row r="32" spans="13:18">
      <c r="M32"/>
      <c r="N32" s="3"/>
      <c r="O32" s="3"/>
      <c r="Q32" s="3"/>
      <c r="R32" s="3"/>
    </row>
    <row r="33" spans="13:18">
      <c r="M33"/>
      <c r="N33" s="3"/>
      <c r="O33" s="3"/>
      <c r="Q33" s="3"/>
      <c r="R33" s="3"/>
    </row>
    <row r="34" spans="13:18">
      <c r="M34"/>
      <c r="N34" s="3"/>
      <c r="O34" s="3"/>
      <c r="Q34" s="3"/>
      <c r="R34" s="3"/>
    </row>
    <row r="35" spans="13:18">
      <c r="M35"/>
      <c r="N35" s="3"/>
      <c r="O35" s="3"/>
      <c r="Q35" s="3"/>
      <c r="R35" s="3"/>
    </row>
    <row r="36" spans="13:18">
      <c r="M36"/>
      <c r="N36" s="3"/>
      <c r="O36" s="3"/>
      <c r="Q36" s="3"/>
      <c r="R36" s="3"/>
    </row>
    <row r="37" spans="13:18">
      <c r="M37"/>
      <c r="N37" s="3"/>
      <c r="O37" s="3"/>
      <c r="Q37" s="3"/>
      <c r="R37" s="3"/>
    </row>
    <row r="38" spans="13:18">
      <c r="M38"/>
      <c r="N38" s="3"/>
      <c r="O38" s="3"/>
      <c r="Q38" s="3"/>
      <c r="R38" s="3"/>
    </row>
    <row r="39" spans="13:18">
      <c r="M39"/>
      <c r="N39" s="3"/>
      <c r="O39" s="3"/>
      <c r="Q39" s="3"/>
      <c r="R39" s="3"/>
    </row>
    <row r="40" spans="13:18">
      <c r="M40"/>
      <c r="N40" s="3"/>
      <c r="O40" s="3"/>
      <c r="Q40" s="3"/>
      <c r="R40" s="3"/>
    </row>
    <row r="41" spans="13:18">
      <c r="M41"/>
      <c r="N41" s="3"/>
      <c r="O41" s="3"/>
      <c r="Q41" s="3"/>
      <c r="R41" s="3"/>
    </row>
    <row r="42" spans="13:18">
      <c r="M42"/>
      <c r="N42" s="3"/>
      <c r="O42" s="3"/>
      <c r="Q42" s="3"/>
      <c r="R42" s="3"/>
    </row>
    <row r="43" spans="13:18">
      <c r="M43"/>
      <c r="N43" s="3"/>
      <c r="O43" s="3"/>
      <c r="Q43" s="3"/>
      <c r="R43" s="3"/>
    </row>
    <row r="44" spans="13:18">
      <c r="M44"/>
      <c r="N44" s="3"/>
      <c r="O44" s="3"/>
      <c r="Q44" s="3"/>
      <c r="R44" s="3"/>
    </row>
    <row r="45" spans="13:18">
      <c r="M45"/>
      <c r="N45" s="3"/>
      <c r="O45" s="3"/>
      <c r="Q45" s="3"/>
      <c r="R45" s="3"/>
    </row>
    <row r="46" spans="13:18">
      <c r="M46"/>
      <c r="N46" s="3"/>
      <c r="O46" s="3"/>
      <c r="Q46" s="3"/>
      <c r="R46" s="3"/>
    </row>
    <row r="47" spans="13:18">
      <c r="M47"/>
      <c r="N47" s="3"/>
      <c r="O47" s="3"/>
      <c r="Q47" s="3"/>
      <c r="R47" s="3"/>
    </row>
    <row r="48" spans="13:18">
      <c r="M48"/>
      <c r="N48" s="3"/>
      <c r="O48" s="3"/>
      <c r="Q48" s="3"/>
      <c r="R48" s="3"/>
    </row>
    <row r="49" spans="13:18">
      <c r="M49"/>
      <c r="N49" s="3"/>
      <c r="O49" s="3"/>
      <c r="Q49" s="3"/>
      <c r="R49" s="3"/>
    </row>
    <row r="50" spans="13:18">
      <c r="M50"/>
      <c r="N50" s="3"/>
      <c r="O50" s="3"/>
      <c r="Q50" s="3"/>
      <c r="R50" s="3"/>
    </row>
    <row r="51" spans="13:18">
      <c r="M51"/>
      <c r="N51" s="3"/>
      <c r="O51" s="3"/>
      <c r="Q51" s="3"/>
      <c r="R51" s="3"/>
    </row>
  </sheetData>
  <mergeCells count="71">
    <mergeCell ref="E2:J2"/>
    <mergeCell ref="N2:O2"/>
    <mergeCell ref="E3:G3"/>
    <mergeCell ref="H3:J3"/>
    <mergeCell ref="E4:G4"/>
    <mergeCell ref="E5:G5"/>
    <mergeCell ref="E6:G6"/>
    <mergeCell ref="H6:J6"/>
    <mergeCell ref="E7:J7"/>
    <mergeCell ref="E8:J8"/>
    <mergeCell ref="E9:J9"/>
    <mergeCell ref="E10:J10"/>
    <mergeCell ref="E11:J11"/>
    <mergeCell ref="E12:J12"/>
    <mergeCell ref="E13:J13"/>
    <mergeCell ref="E14:J14"/>
    <mergeCell ref="P14:R14"/>
    <mergeCell ref="E15:G15"/>
    <mergeCell ref="H15:J15"/>
    <mergeCell ref="E16:J16"/>
    <mergeCell ref="E17:J17"/>
    <mergeCell ref="E18:G18"/>
    <mergeCell ref="H18:J18"/>
    <mergeCell ref="E19:G19"/>
    <mergeCell ref="H19:J19"/>
    <mergeCell ref="E20:G20"/>
    <mergeCell ref="H20:J20"/>
    <mergeCell ref="E21:G21"/>
    <mergeCell ref="H21:J21"/>
    <mergeCell ref="E22:G22"/>
    <mergeCell ref="E23:G23"/>
    <mergeCell ref="E24:F24"/>
    <mergeCell ref="G24:H24"/>
    <mergeCell ref="I24:J24"/>
    <mergeCell ref="E25:F25"/>
    <mergeCell ref="G25:H25"/>
    <mergeCell ref="I25:J25"/>
    <mergeCell ref="B3:B6"/>
    <mergeCell ref="B7:B17"/>
    <mergeCell ref="B18:B25"/>
    <mergeCell ref="D9:D10"/>
    <mergeCell ref="D21:D23"/>
    <mergeCell ref="K3:K4"/>
    <mergeCell ref="K10:K14"/>
    <mergeCell ref="K17:K18"/>
    <mergeCell ref="K19:K20"/>
    <mergeCell ref="K23:K25"/>
    <mergeCell ref="L10:L13"/>
    <mergeCell ref="L15:L17"/>
    <mergeCell ref="L18:L21"/>
    <mergeCell ref="L22:L24"/>
    <mergeCell ref="N3:N6"/>
    <mergeCell ref="N7:N10"/>
    <mergeCell ref="N11:N14"/>
    <mergeCell ref="N15:N18"/>
    <mergeCell ref="N19:N22"/>
    <mergeCell ref="P3:P4"/>
    <mergeCell ref="P12:P13"/>
    <mergeCell ref="P19:P22"/>
    <mergeCell ref="Q3:Q6"/>
    <mergeCell ref="Q7:Q9"/>
    <mergeCell ref="Q12:Q13"/>
    <mergeCell ref="Q17:Q18"/>
    <mergeCell ref="R3:R7"/>
    <mergeCell ref="R8:R10"/>
    <mergeCell ref="R12:R13"/>
    <mergeCell ref="R15:R16"/>
    <mergeCell ref="R17:R18"/>
    <mergeCell ref="R20:R21"/>
    <mergeCell ref="H4:J5"/>
    <mergeCell ref="H22:J23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24</vt:i4>
      </vt:variant>
    </vt:vector>
  </HeadingPairs>
  <TitlesOfParts>
    <vt:vector size="24" baseType="lpstr">
      <vt:lpstr>Sheet1</vt:lpstr>
      <vt:lpstr>动物产肉</vt:lpstr>
      <vt:lpstr>所有动物产肉</vt:lpstr>
      <vt:lpstr>植物</vt:lpstr>
      <vt:lpstr>物质属性3</vt:lpstr>
      <vt:lpstr>物质属性 (2)</vt:lpstr>
      <vt:lpstr>物质</vt:lpstr>
      <vt:lpstr>植物 (2)</vt:lpstr>
      <vt:lpstr>食物</vt:lpstr>
      <vt:lpstr>食物 (2)</vt:lpstr>
      <vt:lpstr>泉</vt:lpstr>
      <vt:lpstr>建筑</vt:lpstr>
      <vt:lpstr>食物配比</vt:lpstr>
      <vt:lpstr>士气建筑</vt:lpstr>
      <vt:lpstr>轻重器械</vt:lpstr>
      <vt:lpstr>抗压</vt:lpstr>
      <vt:lpstr>抗压计算器</vt:lpstr>
      <vt:lpstr>mod</vt:lpstr>
      <vt:lpstr>快捷键</vt:lpstr>
      <vt:lpstr>水发电</vt:lpstr>
      <vt:lpstr>白嫖乔木</vt:lpstr>
      <vt:lpstr>喜悦压力</vt:lpstr>
      <vt:lpstr>选人</vt:lpstr>
      <vt:lpstr>source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ZP EW</dc:creator>
  <cp:lastModifiedBy>www</cp:lastModifiedBy>
  <dcterms:created xsi:type="dcterms:W3CDTF">2015-06-05T18:19:00Z</dcterms:created>
  <dcterms:modified xsi:type="dcterms:W3CDTF">2023-05-20T00:36:07Z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6FB61A36D2DA4055B54BA099249C254B_12</vt:lpwstr>
  </property>
  <property fmtid="{D5CDD505-2E9C-101B-9397-08002B2CF9AE}" pid="3" name="KSOProductBuildVer">
    <vt:lpwstr>2052-11.1.0.14309</vt:lpwstr>
  </property>
</Properties>
</file>