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D:\Documents\transfer-work_PC-notebook\Thesis_UBC-forWater-MSc_HMc\R_UBC-forWater-MSc_HMc\R-inputs_UBC-forWater-MSc_HMc\"/>
    </mc:Choice>
  </mc:AlternateContent>
  <xr:revisionPtr revIDLastSave="0" documentId="8_{7D8B7BDF-B4E9-4B2B-8E9A-72116BDC0314}" xr6:coauthVersionLast="44" xr6:coauthVersionMax="44" xr10:uidLastSave="{00000000-0000-0000-0000-000000000000}"/>
  <bookViews>
    <workbookView xWindow="-108" yWindow="-108" windowWidth="23256" windowHeight="12576" activeTab="1" xr2:uid="{00000000-000D-0000-FFFF-FFFF00000000}"/>
  </bookViews>
  <sheets>
    <sheet name="wide" sheetId="1" r:id="rId1"/>
    <sheet name="lon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8" i="2" l="1"/>
  <c r="G108" i="2"/>
  <c r="H108" i="2"/>
  <c r="I108" i="2"/>
  <c r="J108" i="2"/>
  <c r="F109" i="2"/>
  <c r="G109" i="2"/>
  <c r="H109" i="2"/>
  <c r="I109" i="2"/>
  <c r="J109" i="2"/>
  <c r="F110" i="2"/>
  <c r="G110" i="2"/>
  <c r="H110" i="2"/>
  <c r="I110" i="2"/>
  <c r="J110" i="2"/>
  <c r="F111" i="2"/>
  <c r="F125" i="2" s="1"/>
  <c r="G111" i="2"/>
  <c r="H111" i="2"/>
  <c r="I111" i="2"/>
  <c r="J111" i="2"/>
  <c r="F112" i="2"/>
  <c r="G112" i="2"/>
  <c r="H112" i="2"/>
  <c r="I112" i="2"/>
  <c r="I124" i="2" s="1"/>
  <c r="J112" i="2"/>
  <c r="F113" i="2"/>
  <c r="G113" i="2"/>
  <c r="H113" i="2"/>
  <c r="I113" i="2"/>
  <c r="J113" i="2"/>
  <c r="F114" i="2"/>
  <c r="G114" i="2"/>
  <c r="G124" i="2" s="1"/>
  <c r="H114" i="2"/>
  <c r="I114" i="2"/>
  <c r="J114" i="2"/>
  <c r="F115" i="2"/>
  <c r="G115" i="2"/>
  <c r="H115" i="2"/>
  <c r="I115" i="2"/>
  <c r="J115" i="2"/>
  <c r="J125" i="2" s="1"/>
  <c r="F116" i="2"/>
  <c r="G116" i="2"/>
  <c r="H116" i="2"/>
  <c r="I116" i="2"/>
  <c r="J116" i="2"/>
  <c r="F117" i="2"/>
  <c r="G117" i="2"/>
  <c r="H117" i="2"/>
  <c r="I117" i="2"/>
  <c r="J117" i="2"/>
  <c r="F118" i="2"/>
  <c r="G118" i="2"/>
  <c r="H118" i="2"/>
  <c r="I118" i="2"/>
  <c r="J118" i="2"/>
  <c r="F119" i="2"/>
  <c r="G119" i="2"/>
  <c r="H119" i="2"/>
  <c r="I119" i="2"/>
  <c r="J119" i="2"/>
  <c r="F120" i="2"/>
  <c r="G120" i="2"/>
  <c r="H120" i="2"/>
  <c r="I120" i="2"/>
  <c r="J120" i="2"/>
  <c r="F121" i="2"/>
  <c r="G121" i="2"/>
  <c r="H121" i="2"/>
  <c r="I121" i="2"/>
  <c r="J121" i="2"/>
  <c r="F122" i="2"/>
  <c r="G122" i="2"/>
  <c r="H122" i="2"/>
  <c r="I122" i="2"/>
  <c r="J122" i="2"/>
  <c r="F123" i="2"/>
  <c r="G123" i="2"/>
  <c r="H123" i="2"/>
  <c r="I123" i="2"/>
  <c r="J123" i="2"/>
  <c r="F124" i="2"/>
  <c r="H124" i="2"/>
  <c r="J124" i="2"/>
  <c r="G125" i="2"/>
  <c r="H125" i="2"/>
  <c r="I125" i="2"/>
  <c r="E108" i="2"/>
  <c r="J40" i="2"/>
  <c r="J39" i="2"/>
  <c r="I40" i="2"/>
  <c r="I39" i="2"/>
  <c r="H40" i="2"/>
  <c r="H39" i="2"/>
  <c r="G40" i="2"/>
  <c r="G39" i="2"/>
  <c r="F40" i="2"/>
  <c r="F39" i="2"/>
  <c r="E121" i="2" l="1"/>
  <c r="E120" i="2"/>
  <c r="C122" i="2"/>
  <c r="C123" i="2"/>
  <c r="C108" i="2"/>
  <c r="D108" i="2"/>
  <c r="C109" i="2"/>
  <c r="D109" i="2"/>
  <c r="E109" i="2"/>
  <c r="C110" i="2"/>
  <c r="D110" i="2"/>
  <c r="E110" i="2"/>
  <c r="C111" i="2"/>
  <c r="D111" i="2"/>
  <c r="E111" i="2"/>
  <c r="C112" i="2"/>
  <c r="D112" i="2"/>
  <c r="E112" i="2"/>
  <c r="C113" i="2"/>
  <c r="D113" i="2"/>
  <c r="E113" i="2"/>
  <c r="C114" i="2"/>
  <c r="D114" i="2"/>
  <c r="E114" i="2"/>
  <c r="C115" i="2"/>
  <c r="D115" i="2"/>
  <c r="E115" i="2"/>
  <c r="C116" i="2"/>
  <c r="D116" i="2"/>
  <c r="E116" i="2"/>
  <c r="C117" i="2"/>
  <c r="D117" i="2"/>
  <c r="E117" i="2"/>
  <c r="C118" i="2"/>
  <c r="D118" i="2"/>
  <c r="E118" i="2"/>
  <c r="C119" i="2"/>
  <c r="D119" i="2"/>
  <c r="E119" i="2"/>
  <c r="C120" i="2"/>
  <c r="D120" i="2"/>
  <c r="C121" i="2"/>
  <c r="D121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24" i="2" s="1"/>
  <c r="B123" i="2"/>
  <c r="E40" i="2"/>
  <c r="E123" i="2" s="1"/>
  <c r="E39" i="2"/>
  <c r="E122" i="2" s="1"/>
  <c r="B40" i="2"/>
  <c r="B39" i="2"/>
  <c r="B122" i="2" s="1"/>
  <c r="D40" i="2"/>
  <c r="D123" i="2" s="1"/>
  <c r="D39" i="2"/>
  <c r="D122" i="2" s="1"/>
  <c r="C125" i="2" l="1"/>
  <c r="C124" i="2"/>
  <c r="B125" i="2"/>
  <c r="E125" i="2"/>
  <c r="E124" i="2"/>
  <c r="D125" i="2"/>
  <c r="D124" i="2"/>
  <c r="E30" i="2"/>
  <c r="B30" i="2"/>
  <c r="C30" i="2"/>
  <c r="D30" i="2"/>
  <c r="F30" i="2"/>
  <c r="I30" i="2"/>
  <c r="J30" i="2"/>
  <c r="E20" i="2"/>
  <c r="E27" i="2" l="1"/>
  <c r="C10" i="2"/>
  <c r="D10" i="2"/>
  <c r="F10" i="2"/>
  <c r="I10" i="2"/>
  <c r="J10" i="2"/>
  <c r="B10" i="2"/>
  <c r="J29" i="2"/>
  <c r="I29" i="2"/>
  <c r="F29" i="2"/>
  <c r="B29" i="2"/>
  <c r="I28" i="2"/>
  <c r="F28" i="2"/>
  <c r="D28" i="2"/>
  <c r="C28" i="2"/>
  <c r="B28" i="2"/>
  <c r="J27" i="2"/>
  <c r="I27" i="2"/>
  <c r="F27" i="2"/>
  <c r="D27" i="2"/>
  <c r="C27" i="2"/>
  <c r="B27" i="2"/>
  <c r="J26" i="2"/>
  <c r="I26" i="2"/>
  <c r="F26" i="2"/>
  <c r="D26" i="2"/>
  <c r="C26" i="2"/>
  <c r="B26" i="2"/>
  <c r="J25" i="2"/>
  <c r="I25" i="2"/>
  <c r="F25" i="2"/>
  <c r="D25" i="2"/>
  <c r="C25" i="2"/>
  <c r="B25" i="2"/>
  <c r="J24" i="2"/>
  <c r="I24" i="2"/>
  <c r="F24" i="2"/>
  <c r="D24" i="2"/>
  <c r="C24" i="2"/>
  <c r="B24" i="2"/>
  <c r="J23" i="2"/>
  <c r="I23" i="2"/>
  <c r="F23" i="2"/>
  <c r="D23" i="2"/>
  <c r="C23" i="2"/>
  <c r="B23" i="2"/>
  <c r="D21" i="2"/>
  <c r="D29" i="2" s="1"/>
  <c r="C21" i="2"/>
  <c r="C29" i="2" s="1"/>
  <c r="J20" i="2"/>
  <c r="J28" i="2" s="1"/>
  <c r="J11" i="2"/>
  <c r="I11" i="2"/>
  <c r="H11" i="2"/>
  <c r="G11" i="2"/>
  <c r="F11" i="2"/>
  <c r="E11" i="2"/>
  <c r="D11" i="2"/>
  <c r="C11" i="2"/>
  <c r="B11" i="2"/>
  <c r="H9" i="2"/>
  <c r="G9" i="2"/>
  <c r="Y3" i="1"/>
  <c r="Y4" i="1"/>
  <c r="Y5" i="1"/>
  <c r="Y6" i="1"/>
  <c r="Y9" i="1"/>
  <c r="Y10" i="1"/>
  <c r="U3" i="1"/>
  <c r="AB3" i="1" s="1"/>
  <c r="L3" i="1"/>
  <c r="AB2" i="1"/>
  <c r="AB5" i="1"/>
  <c r="AB6" i="1"/>
  <c r="AB9" i="1"/>
  <c r="AB10" i="1"/>
  <c r="U4" i="1"/>
  <c r="AB4" i="1" s="1"/>
  <c r="L4" i="1"/>
  <c r="Y2" i="1"/>
  <c r="L2" i="1"/>
  <c r="L5" i="1"/>
  <c r="Z2" i="1"/>
  <c r="AA2" i="1"/>
  <c r="Z3" i="1"/>
  <c r="AA3" i="1"/>
  <c r="Z4" i="1"/>
  <c r="AA4" i="1"/>
  <c r="Z5" i="1"/>
  <c r="AA5" i="1"/>
  <c r="Z6" i="1"/>
  <c r="AA6" i="1"/>
  <c r="Z9" i="1"/>
  <c r="AA9" i="1"/>
  <c r="Z10" i="1"/>
  <c r="T10" i="1"/>
  <c r="AA10" i="1" s="1"/>
  <c r="L10" i="1"/>
  <c r="L9" i="1"/>
  <c r="L8" i="1"/>
  <c r="K8" i="1"/>
  <c r="AB8" i="1" s="1"/>
  <c r="V9" i="1"/>
  <c r="W9" i="1"/>
  <c r="X9" i="1"/>
  <c r="V10" i="1"/>
  <c r="W10" i="1"/>
  <c r="X10" i="1"/>
  <c r="V2" i="1"/>
  <c r="W2" i="1"/>
  <c r="X2" i="1"/>
  <c r="V3" i="1"/>
  <c r="W3" i="1"/>
  <c r="X3" i="1"/>
  <c r="V4" i="1"/>
  <c r="W4" i="1"/>
  <c r="X4" i="1"/>
  <c r="V5" i="1"/>
  <c r="W5" i="1"/>
  <c r="X5" i="1"/>
  <c r="W6" i="1"/>
  <c r="X6" i="1"/>
  <c r="V6" i="1"/>
  <c r="L6" i="1"/>
  <c r="L7" i="1"/>
  <c r="K7" i="1"/>
  <c r="W7" i="1" s="1"/>
  <c r="G29" i="2" l="1"/>
  <c r="G30" i="2"/>
  <c r="H28" i="2"/>
  <c r="H30" i="2"/>
  <c r="G24" i="2"/>
  <c r="G25" i="2"/>
  <c r="G26" i="2"/>
  <c r="G27" i="2"/>
  <c r="H23" i="2"/>
  <c r="H24" i="2"/>
  <c r="H25" i="2"/>
  <c r="H26" i="2"/>
  <c r="H10" i="2"/>
  <c r="G10" i="2"/>
  <c r="H29" i="2"/>
  <c r="G23" i="2"/>
  <c r="E10" i="2"/>
  <c r="E23" i="2"/>
  <c r="E24" i="2"/>
  <c r="E29" i="2"/>
  <c r="E25" i="2"/>
  <c r="E26" i="2"/>
  <c r="E28" i="2"/>
  <c r="H27" i="2"/>
  <c r="G28" i="2"/>
  <c r="V7" i="1"/>
  <c r="AB7" i="1"/>
  <c r="Y8" i="1"/>
  <c r="Y7" i="1"/>
  <c r="AA8" i="1"/>
  <c r="X8" i="1"/>
  <c r="Z8" i="1"/>
  <c r="W8" i="1"/>
  <c r="AA7" i="1"/>
  <c r="V8" i="1"/>
  <c r="Z7" i="1"/>
  <c r="X7" i="1"/>
</calcChain>
</file>

<file path=xl/sharedStrings.xml><?xml version="1.0" encoding="utf-8"?>
<sst xmlns="http://schemas.openxmlformats.org/spreadsheetml/2006/main" count="251" uniqueCount="156">
  <si>
    <t>Weeks-crk</t>
  </si>
  <si>
    <t>Chris-crk</t>
  </si>
  <si>
    <t>Leech-head</t>
  </si>
  <si>
    <t>Cragg-crk</t>
  </si>
  <si>
    <t>West-Leech</t>
  </si>
  <si>
    <t>slope_mean_deg</t>
  </si>
  <si>
    <t>slope_stdev</t>
  </si>
  <si>
    <t>slope_med_deg</t>
  </si>
  <si>
    <t>slope_min_deg</t>
  </si>
  <si>
    <t>slope_max_deg</t>
  </si>
  <si>
    <t>Latitude</t>
  </si>
  <si>
    <t>Deception-Reservoir</t>
  </si>
  <si>
    <t>Judge-Creek</t>
  </si>
  <si>
    <t>Rithet-Creek</t>
  </si>
  <si>
    <t>Leech-Rv.-Tunnel</t>
  </si>
  <si>
    <t>DCP</t>
  </si>
  <si>
    <t>JDG</t>
  </si>
  <si>
    <t>RTH</t>
  </si>
  <si>
    <t>TUN</t>
  </si>
  <si>
    <t>NA</t>
  </si>
  <si>
    <t>Longitude</t>
  </si>
  <si>
    <t>Northing</t>
  </si>
  <si>
    <t>Easting</t>
  </si>
  <si>
    <t>catchment_name</t>
  </si>
  <si>
    <t>site-sample_code</t>
  </si>
  <si>
    <t>catchment_area (m^2)</t>
  </si>
  <si>
    <t>upland_percent</t>
  </si>
  <si>
    <t>wetland_percent</t>
  </si>
  <si>
    <t>geo-formation_Wark-Gneiss_m^2</t>
  </si>
  <si>
    <t>geo-formation_Chert-Argillite-Volcanic_m^2</t>
  </si>
  <si>
    <t>geo-formation_Wark-Gneiss_percent</t>
  </si>
  <si>
    <t>geo-formation_Argillite-Metagreywacke_percent</t>
  </si>
  <si>
    <t>geo-formation_Chert-Argillite-Volcanic_percent</t>
  </si>
  <si>
    <t>forest-cover_percent</t>
  </si>
  <si>
    <t>Metagreywacke</t>
  </si>
  <si>
    <t>Metchosin Volcanics</t>
  </si>
  <si>
    <t xml:space="preserve"> </t>
  </si>
  <si>
    <t>Colquitz Gneiss</t>
  </si>
  <si>
    <t>geo-formation_Argillite-Metagreywacke_m^2(LEECH FORMATION)</t>
  </si>
  <si>
    <t>Limestone</t>
  </si>
  <si>
    <t>Limestone_percent</t>
  </si>
  <si>
    <t>discharge_mean-cms_2019-11-12</t>
  </si>
  <si>
    <t>stdev_Q_cms_2019-11-12</t>
  </si>
  <si>
    <t>discharge_mean-cms_2020-02-18</t>
  </si>
  <si>
    <t>stdev_Q_cms_2020-02-18</t>
  </si>
  <si>
    <t>catchment_area (km^2)</t>
  </si>
  <si>
    <t>open-water_percent</t>
  </si>
  <si>
    <t>geo_Wark-Gneiss_m^2</t>
  </si>
  <si>
    <t>geo_Argillite-Metagreywacke_m^2</t>
  </si>
  <si>
    <t>geo_Chert-Argillite-Volcanic_m^2</t>
  </si>
  <si>
    <t>geo_Metagreywacke_m^2</t>
  </si>
  <si>
    <t>geo_Limestone_m^2</t>
  </si>
  <si>
    <t>geo_Wark-Gneiss_percent</t>
  </si>
  <si>
    <t>geo_Argillite-Metagreywacke_percent</t>
  </si>
  <si>
    <t>geo_Chert-Argillite-Volcanic_percent</t>
  </si>
  <si>
    <t>geo_Colquitz Gneiss_percent</t>
  </si>
  <si>
    <t>geo_Metagreywacke_percent</t>
  </si>
  <si>
    <t>geo_Metchosin Volcanics_percent</t>
  </si>
  <si>
    <t>geo_Limestone_percent</t>
  </si>
  <si>
    <t>slope_mean_degrees</t>
  </si>
  <si>
    <t>slope_stdev_degrees</t>
  </si>
  <si>
    <t>slope_min_degrees</t>
  </si>
  <si>
    <t>slope_med_degrees</t>
  </si>
  <si>
    <t>slope_max_degrees</t>
  </si>
  <si>
    <t>variable</t>
  </si>
  <si>
    <t>geo_Metchosin-Volcanics_m^2</t>
  </si>
  <si>
    <t>geo_Colquitz-Gneiss_m^2</t>
  </si>
  <si>
    <t>geo_Sooke-Gabbro_m^2</t>
  </si>
  <si>
    <t>geo_Sooke-Gabbro_percent</t>
  </si>
  <si>
    <t>disturbance_none-noted_percent</t>
  </si>
  <si>
    <t>logging_1979_percent</t>
  </si>
  <si>
    <t>logging_1981_percent</t>
  </si>
  <si>
    <t>logging_1983_percent</t>
  </si>
  <si>
    <t>logging_1987_percent</t>
  </si>
  <si>
    <t>logging_1989_percent</t>
  </si>
  <si>
    <t>logging_1990_percent</t>
  </si>
  <si>
    <t>logging_1991_percent</t>
  </si>
  <si>
    <t>logging_1984_percent</t>
  </si>
  <si>
    <t>logging_1988_percent</t>
  </si>
  <si>
    <t>logging_1995_area</t>
  </si>
  <si>
    <t>logging_1995_percent</t>
  </si>
  <si>
    <t>logging_pre-1979_percent</t>
  </si>
  <si>
    <t>logging_1980_percent</t>
  </si>
  <si>
    <t>disturbance_none-noted_area_m^2</t>
  </si>
  <si>
    <t>logging_pre-1979_area_m^2</t>
  </si>
  <si>
    <t>logging_1979_area_m^2</t>
  </si>
  <si>
    <t>logging_1980_area_m^2</t>
  </si>
  <si>
    <t>logging_1981_area_m^2</t>
  </si>
  <si>
    <t>logging_1983_area_m^2</t>
  </si>
  <si>
    <t>logging_1984_area_m^2</t>
  </si>
  <si>
    <t>logging_1987_area_m^2</t>
  </si>
  <si>
    <t>logging_1988_area_m^2</t>
  </si>
  <si>
    <t>logging_1989_area_m^2</t>
  </si>
  <si>
    <t>logging_1990_area_m^2</t>
  </si>
  <si>
    <t>logging_1991_area_m^2</t>
  </si>
  <si>
    <t>logging_1986_area_m^2</t>
  </si>
  <si>
    <t>logging_1986_percent</t>
  </si>
  <si>
    <t>logging_1992_area_m^2</t>
  </si>
  <si>
    <t>logging_1992_percent</t>
  </si>
  <si>
    <t>logging_1993_area_m^2</t>
  </si>
  <si>
    <t>logging_1993_percent</t>
  </si>
  <si>
    <t>logging_1994_area_m^2</t>
  </si>
  <si>
    <t>logging_1994_percent</t>
  </si>
  <si>
    <t>logging_1996_area</t>
  </si>
  <si>
    <t>logging_1996_percent</t>
  </si>
  <si>
    <t>logging_1997_area</t>
  </si>
  <si>
    <t>logging_1997_percent</t>
  </si>
  <si>
    <t>logging_1998_area</t>
  </si>
  <si>
    <t>logging_1998_percent</t>
  </si>
  <si>
    <t>logging_1999_area</t>
  </si>
  <si>
    <t>logging_1999_percent</t>
  </si>
  <si>
    <t>logging_2000_area</t>
  </si>
  <si>
    <t>logging_2000_percent</t>
  </si>
  <si>
    <t>logging_2001_area</t>
  </si>
  <si>
    <t>logging_2001_percent</t>
  </si>
  <si>
    <t>logging_2002_area</t>
  </si>
  <si>
    <t>logging_2002_percent</t>
  </si>
  <si>
    <t>logging_2003_area</t>
  </si>
  <si>
    <t>logging_2003_percent</t>
  </si>
  <si>
    <t>logging_2004_area</t>
  </si>
  <si>
    <t>logging_2004_percent</t>
  </si>
  <si>
    <t>logging_2010_area</t>
  </si>
  <si>
    <t>logging_2010_percent</t>
  </si>
  <si>
    <t>logging_2009_area</t>
  </si>
  <si>
    <t>logging_2009_percent</t>
  </si>
  <si>
    <t>logging_2005_area</t>
  </si>
  <si>
    <t>logging_2005_percent</t>
  </si>
  <si>
    <t>logging_2006_area</t>
  </si>
  <si>
    <t>logging_2006_percent</t>
  </si>
  <si>
    <t>logging_2007_area</t>
  </si>
  <si>
    <t>logging_2007_percent</t>
  </si>
  <si>
    <t>logging_2008_area</t>
  </si>
  <si>
    <t>logging_2008_percent</t>
  </si>
  <si>
    <t>logging_2011_area</t>
  </si>
  <si>
    <t>logging_2011_percent</t>
  </si>
  <si>
    <t>logging_1982_area_m^2</t>
  </si>
  <si>
    <t>logging_1982_percent</t>
  </si>
  <si>
    <t>logging_1985_area_m^2</t>
  </si>
  <si>
    <t>logging_1985_percent</t>
  </si>
  <si>
    <t>logging_pre1980_area</t>
  </si>
  <si>
    <t>logging_pre1980_percent</t>
  </si>
  <si>
    <t>logging_1980-1985_area_m^2</t>
  </si>
  <si>
    <t>logging_1980-1985_percent</t>
  </si>
  <si>
    <t>logging_2011_area_m^2</t>
  </si>
  <si>
    <t>logging_1986-1990_area_m^2</t>
  </si>
  <si>
    <t>logging_1986-1990_percent</t>
  </si>
  <si>
    <t>logging_1991-1995_area_m^2</t>
  </si>
  <si>
    <t>logging_1981-1995_percent</t>
  </si>
  <si>
    <t>logging_1996-2000_area_m^2</t>
  </si>
  <si>
    <t>logging_1996-2000_percent</t>
  </si>
  <si>
    <t>logging_2001-2005_area_m^2</t>
  </si>
  <si>
    <t>logging_2001-2005_percent</t>
  </si>
  <si>
    <t>logging_2006-2010_area_m^2</t>
  </si>
  <si>
    <t>logging_2006-2010_percent</t>
  </si>
  <si>
    <t>logging_post-1980_total-area_m^2</t>
  </si>
  <si>
    <t>logging_post-1980_total-percent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</si>
</sst>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0" fontId="0" fillId="0" borderId="0" xfId="0" applyFont="1" applyAlignment="1"/>
    <xf numFmtId="0" fontId="0" fillId="0" borderId="0" xfId="0" applyFill="1"/>
    <xf numFmtId="2" fontId="0" fillId="0" borderId="0" xfId="0" applyNumberFormat="1" applyFill="1"/>
    <xf numFmtId="165" fontId="0" fillId="0" borderId="0" xfId="0" applyNumberFormat="1" applyFill="1"/>
    <xf numFmtId="1" fontId="0" fillId="0" borderId="0" xfId="0" applyNumberFormat="1"/>
    <xf numFmtId="1" fontId="0" fillId="0" borderId="0" xfId="0" applyNumberFormat="1" applyFill="1"/>
    <xf numFmtId="166" fontId="0" fillId="0" borderId="0" xfId="0" applyNumberFormat="1"/>
    <xf numFmtId="166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6"/>
  <sheetViews>
    <sheetView workbookViewId="0">
      <selection activeCell="E22" sqref="E22"/>
    </sheetView>
  </sheetViews>
  <sheetFormatPr defaultRowHeight="14.4" x14ac:dyDescent="0.3"/>
  <cols>
    <col min="1" max="6" width="15.21875" customWidth="1"/>
    <col min="7" max="7" width="10.6640625" customWidth="1"/>
    <col min="8" max="8" width="13.44140625" customWidth="1"/>
    <col min="9" max="9" width="11.33203125" customWidth="1"/>
    <col min="10" max="10" width="9.88671875" customWidth="1"/>
    <col min="11" max="28" width="15.21875" customWidth="1"/>
    <col min="33" max="33" width="14.21875" bestFit="1" customWidth="1"/>
  </cols>
  <sheetData>
    <row r="1" spans="1:33" s="1" customFormat="1" x14ac:dyDescent="0.3">
      <c r="A1" s="5" t="s">
        <v>23</v>
      </c>
      <c r="B1" s="5" t="s">
        <v>24</v>
      </c>
      <c r="C1" t="s">
        <v>10</v>
      </c>
      <c r="D1" t="s">
        <v>20</v>
      </c>
      <c r="E1" t="s">
        <v>21</v>
      </c>
      <c r="F1" t="s">
        <v>22</v>
      </c>
      <c r="G1" t="s">
        <v>41</v>
      </c>
      <c r="H1" t="s">
        <v>42</v>
      </c>
      <c r="I1" t="s">
        <v>43</v>
      </c>
      <c r="J1" t="s">
        <v>44</v>
      </c>
      <c r="K1" t="s">
        <v>25</v>
      </c>
      <c r="L1" t="s">
        <v>33</v>
      </c>
      <c r="M1" t="s">
        <v>26</v>
      </c>
      <c r="N1" t="s">
        <v>27</v>
      </c>
      <c r="O1" t="s">
        <v>28</v>
      </c>
      <c r="P1" t="s">
        <v>38</v>
      </c>
      <c r="Q1" t="s">
        <v>29</v>
      </c>
      <c r="R1" t="s">
        <v>37</v>
      </c>
      <c r="S1" t="s">
        <v>34</v>
      </c>
      <c r="T1" t="s">
        <v>35</v>
      </c>
      <c r="U1" t="s">
        <v>39</v>
      </c>
      <c r="V1" t="s">
        <v>30</v>
      </c>
      <c r="W1" t="s">
        <v>31</v>
      </c>
      <c r="X1" t="s">
        <v>32</v>
      </c>
      <c r="Y1" t="s">
        <v>37</v>
      </c>
      <c r="Z1" t="s">
        <v>34</v>
      </c>
      <c r="AA1" t="s">
        <v>35</v>
      </c>
      <c r="AB1" t="s">
        <v>40</v>
      </c>
      <c r="AC1" s="5" t="s">
        <v>5</v>
      </c>
      <c r="AD1" s="5" t="s">
        <v>6</v>
      </c>
      <c r="AE1" s="5" t="s">
        <v>7</v>
      </c>
      <c r="AF1" s="5" t="s">
        <v>8</v>
      </c>
      <c r="AG1" s="5" t="s">
        <v>9</v>
      </c>
    </row>
    <row r="2" spans="1:33" x14ac:dyDescent="0.3">
      <c r="A2" t="s">
        <v>11</v>
      </c>
      <c r="B2" t="s">
        <v>15</v>
      </c>
      <c r="C2">
        <v>48.520147080000001</v>
      </c>
      <c r="D2">
        <v>-123.7106287</v>
      </c>
      <c r="E2">
        <v>6193829.1710000001</v>
      </c>
      <c r="F2">
        <v>-13771404.189999999</v>
      </c>
      <c r="G2" t="s">
        <v>19</v>
      </c>
      <c r="H2" t="s">
        <v>19</v>
      </c>
      <c r="I2" t="s">
        <v>19</v>
      </c>
      <c r="J2" t="s">
        <v>19</v>
      </c>
      <c r="K2">
        <v>7341754.9269211804</v>
      </c>
      <c r="L2" s="4">
        <f>100-12.3330954284708</f>
        <v>87.666904571529201</v>
      </c>
      <c r="M2" s="4">
        <v>90.701003334897806</v>
      </c>
      <c r="N2" s="4">
        <v>9.2989966665523305</v>
      </c>
      <c r="O2" s="4">
        <v>3220208.6795066399</v>
      </c>
      <c r="P2" s="4">
        <v>3797679.46772411</v>
      </c>
      <c r="Q2" s="4">
        <v>0</v>
      </c>
      <c r="R2" s="4">
        <v>323866.78393804602</v>
      </c>
      <c r="S2" s="4">
        <v>0</v>
      </c>
      <c r="T2" s="4">
        <v>0</v>
      </c>
      <c r="U2" s="4">
        <v>0</v>
      </c>
      <c r="V2" s="4">
        <f t="shared" ref="V2:V10" si="0">(O2/$K2)*100</f>
        <v>43.861565954736363</v>
      </c>
      <c r="W2" s="4">
        <f t="shared" ref="W2:W10" si="1">(P2/$K2)*100</f>
        <v>51.727134799863109</v>
      </c>
      <c r="X2" s="4">
        <f t="shared" ref="X2:X10" si="2">(Q2/$K2)*100</f>
        <v>0</v>
      </c>
      <c r="Y2" s="4">
        <f t="shared" ref="Y2:Y10" si="3">(R2/$K2)*100</f>
        <v>4.4112993032561212</v>
      </c>
      <c r="Z2" s="4">
        <f t="shared" ref="Z2:Z10" si="4">(S2/$K2)*100</f>
        <v>0</v>
      </c>
      <c r="AA2" s="4">
        <f t="shared" ref="AA2:AA10" si="5">(T2/$K2)*100</f>
        <v>0</v>
      </c>
      <c r="AB2" s="4">
        <f t="shared" ref="AB2:AB10" si="6">(U2/$K2)*100</f>
        <v>0</v>
      </c>
      <c r="AC2">
        <v>12.7</v>
      </c>
      <c r="AD2">
        <v>8.4</v>
      </c>
      <c r="AE2">
        <v>12</v>
      </c>
      <c r="AF2">
        <v>0</v>
      </c>
      <c r="AG2">
        <v>46</v>
      </c>
    </row>
    <row r="3" spans="1:33" x14ac:dyDescent="0.3">
      <c r="A3" t="s">
        <v>12</v>
      </c>
      <c r="B3" t="s">
        <v>16</v>
      </c>
      <c r="C3">
        <v>48.58569</v>
      </c>
      <c r="D3">
        <v>-123.67354</v>
      </c>
      <c r="E3">
        <v>6205239.1310000001</v>
      </c>
      <c r="F3">
        <v>-13767063.98</v>
      </c>
      <c r="G3" s="2">
        <v>4.7604166666666586E-2</v>
      </c>
      <c r="H3" s="2">
        <v>4.2906978126288709E-3</v>
      </c>
      <c r="I3" s="2">
        <v>0.164421052631579</v>
      </c>
      <c r="J3" s="2">
        <v>4.992715858742283E-3</v>
      </c>
      <c r="K3">
        <v>8326219.8524340196</v>
      </c>
      <c r="L3" s="4">
        <f>100-7.33623187929447</f>
        <v>92.663768120705527</v>
      </c>
      <c r="M3" s="4">
        <v>98.893351796406094</v>
      </c>
      <c r="N3" s="4">
        <v>1.1066482066022501</v>
      </c>
      <c r="O3" s="4">
        <v>2250947.37994271</v>
      </c>
      <c r="P3" s="4">
        <v>0</v>
      </c>
      <c r="Q3" s="4">
        <v>0</v>
      </c>
      <c r="R3" s="4">
        <v>6028398.0915926201</v>
      </c>
      <c r="S3" s="4">
        <v>0</v>
      </c>
      <c r="T3" s="4">
        <v>0</v>
      </c>
      <c r="U3" s="4">
        <f>30498.1099163298+16376.2723208422</f>
        <v>46874.382237172002</v>
      </c>
      <c r="V3" s="4">
        <f t="shared" si="0"/>
        <v>27.034445640835276</v>
      </c>
      <c r="W3" s="4">
        <f t="shared" si="1"/>
        <v>0</v>
      </c>
      <c r="X3" s="4">
        <f t="shared" si="2"/>
        <v>0</v>
      </c>
      <c r="Y3" s="4">
        <f t="shared" si="3"/>
        <v>72.402581224543667</v>
      </c>
      <c r="Z3" s="4">
        <f t="shared" si="4"/>
        <v>0</v>
      </c>
      <c r="AA3" s="4">
        <f t="shared" si="5"/>
        <v>0</v>
      </c>
      <c r="AB3" s="4">
        <f t="shared" si="6"/>
        <v>0.56297315069658083</v>
      </c>
      <c r="AC3">
        <v>9.1999999999999993</v>
      </c>
      <c r="AD3">
        <v>5.6</v>
      </c>
      <c r="AE3">
        <v>9</v>
      </c>
      <c r="AF3">
        <v>0</v>
      </c>
      <c r="AG3">
        <v>42</v>
      </c>
    </row>
    <row r="4" spans="1:33" x14ac:dyDescent="0.3">
      <c r="A4" t="s">
        <v>13</v>
      </c>
      <c r="B4" t="s">
        <v>17</v>
      </c>
      <c r="C4">
        <v>48.591225260000002</v>
      </c>
      <c r="D4">
        <v>-123.7249585</v>
      </c>
      <c r="E4">
        <v>6205842.2800000003</v>
      </c>
      <c r="F4">
        <v>-13773066.17</v>
      </c>
      <c r="G4" s="3">
        <v>0.11906249999999975</v>
      </c>
      <c r="H4" s="3">
        <v>1.2146311980880949E-2</v>
      </c>
      <c r="I4" s="3">
        <v>0.11906249999999975</v>
      </c>
      <c r="J4" s="3">
        <v>1.2146311980880949E-2</v>
      </c>
      <c r="K4">
        <v>11123748.463449501</v>
      </c>
      <c r="L4" s="4">
        <f>100-0.60514568076766</f>
        <v>99.394854319232337</v>
      </c>
      <c r="M4" s="4">
        <v>99.481700418045506</v>
      </c>
      <c r="N4" s="4">
        <v>0.51829962491749604</v>
      </c>
      <c r="O4" s="4">
        <v>8815384.6852541491</v>
      </c>
      <c r="P4" s="4">
        <v>0</v>
      </c>
      <c r="Q4" s="4">
        <v>0</v>
      </c>
      <c r="R4" s="4">
        <v>2263330.0019574999</v>
      </c>
      <c r="S4" s="4">
        <v>0</v>
      </c>
      <c r="T4" s="4">
        <v>0</v>
      </c>
      <c r="U4" s="4">
        <f>11167.5182194605+30314.2429717693+3552.06483869223</f>
        <v>45033.826029922035</v>
      </c>
      <c r="V4" s="4">
        <f t="shared" si="0"/>
        <v>79.248328153228286</v>
      </c>
      <c r="W4" s="4">
        <f t="shared" si="1"/>
        <v>0</v>
      </c>
      <c r="X4" s="4">
        <f t="shared" si="2"/>
        <v>0</v>
      </c>
      <c r="Y4" s="4">
        <f t="shared" si="3"/>
        <v>20.346828314163766</v>
      </c>
      <c r="Z4" s="4">
        <f t="shared" si="4"/>
        <v>0</v>
      </c>
      <c r="AA4" s="4">
        <f t="shared" si="5"/>
        <v>0</v>
      </c>
      <c r="AB4" s="4">
        <f t="shared" si="6"/>
        <v>0.40484398022747936</v>
      </c>
      <c r="AC4">
        <v>12.3</v>
      </c>
      <c r="AD4">
        <v>7.3</v>
      </c>
      <c r="AE4">
        <v>11</v>
      </c>
      <c r="AF4">
        <v>0</v>
      </c>
      <c r="AG4">
        <v>48</v>
      </c>
    </row>
    <row r="5" spans="1:33" x14ac:dyDescent="0.3">
      <c r="A5" t="s">
        <v>14</v>
      </c>
      <c r="B5" t="s">
        <v>18</v>
      </c>
      <c r="C5">
        <v>48.506899580000002</v>
      </c>
      <c r="D5">
        <v>-123.7679978</v>
      </c>
      <c r="E5">
        <v>6191603.0109999999</v>
      </c>
      <c r="F5">
        <v>-13777790.49</v>
      </c>
      <c r="G5" t="s">
        <v>19</v>
      </c>
      <c r="H5" t="s">
        <v>19</v>
      </c>
      <c r="I5" t="s">
        <v>19</v>
      </c>
      <c r="J5" t="s">
        <v>19</v>
      </c>
      <c r="L5" s="4">
        <f>100-2.3645333044905</f>
        <v>97.635466695509507</v>
      </c>
      <c r="M5" s="4">
        <v>98.858557344244801</v>
      </c>
      <c r="N5" s="4">
        <v>1.14144265575521</v>
      </c>
      <c r="O5" s="4"/>
      <c r="P5" s="4"/>
      <c r="Q5" s="4"/>
      <c r="R5" s="4"/>
      <c r="S5" s="4"/>
      <c r="T5" s="4"/>
      <c r="U5" s="4">
        <v>0</v>
      </c>
      <c r="V5" s="4" t="e">
        <f t="shared" si="0"/>
        <v>#DIV/0!</v>
      </c>
      <c r="W5" s="4" t="e">
        <f t="shared" si="1"/>
        <v>#DIV/0!</v>
      </c>
      <c r="X5" s="4" t="e">
        <f t="shared" si="2"/>
        <v>#DIV/0!</v>
      </c>
      <c r="Y5" s="4" t="e">
        <f t="shared" si="3"/>
        <v>#DIV/0!</v>
      </c>
      <c r="Z5" s="4" t="e">
        <f t="shared" si="4"/>
        <v>#DIV/0!</v>
      </c>
      <c r="AA5" s="4" t="e">
        <f t="shared" si="5"/>
        <v>#DIV/0!</v>
      </c>
      <c r="AB5" s="4" t="e">
        <f t="shared" si="6"/>
        <v>#DIV/0!</v>
      </c>
      <c r="AC5">
        <v>11.8</v>
      </c>
      <c r="AD5">
        <v>8.5</v>
      </c>
      <c r="AE5">
        <v>10</v>
      </c>
      <c r="AF5">
        <v>0</v>
      </c>
      <c r="AG5">
        <v>61</v>
      </c>
    </row>
    <row r="6" spans="1:33" x14ac:dyDescent="0.3">
      <c r="A6" t="s">
        <v>0</v>
      </c>
      <c r="B6" t="s">
        <v>19</v>
      </c>
      <c r="C6">
        <v>48.575924209999997</v>
      </c>
      <c r="D6">
        <v>-123.84397269999999</v>
      </c>
      <c r="E6">
        <v>6203208.5640000002</v>
      </c>
      <c r="F6">
        <v>-13786247.98</v>
      </c>
      <c r="G6" t="s">
        <v>19</v>
      </c>
      <c r="H6" t="s">
        <v>19</v>
      </c>
      <c r="I6" t="s">
        <v>19</v>
      </c>
      <c r="J6" t="s">
        <v>19</v>
      </c>
      <c r="K6">
        <v>11520714.991936</v>
      </c>
      <c r="L6" s="4">
        <f>100-5.53232069621823</f>
        <v>94.467679303781765</v>
      </c>
      <c r="M6" s="4">
        <v>95.817541899475003</v>
      </c>
      <c r="N6" s="4">
        <v>4.1824581005255297</v>
      </c>
      <c r="O6" s="4">
        <v>1572444.3802656101</v>
      </c>
      <c r="P6" s="4">
        <v>7390976.2767670201</v>
      </c>
      <c r="Q6" s="4">
        <v>2557294.3387900302</v>
      </c>
      <c r="R6" s="4">
        <v>0</v>
      </c>
      <c r="S6" s="4">
        <v>0</v>
      </c>
      <c r="T6" s="4">
        <v>0</v>
      </c>
      <c r="U6" s="4">
        <v>0</v>
      </c>
      <c r="V6" s="4">
        <f t="shared" si="0"/>
        <v>13.648843681718128</v>
      </c>
      <c r="W6" s="4">
        <f t="shared" si="1"/>
        <v>64.153798457303935</v>
      </c>
      <c r="X6" s="4">
        <f t="shared" si="2"/>
        <v>22.197357894714216</v>
      </c>
      <c r="Y6" s="4">
        <f t="shared" si="3"/>
        <v>0</v>
      </c>
      <c r="Z6" s="4">
        <f t="shared" si="4"/>
        <v>0</v>
      </c>
      <c r="AA6" s="4">
        <f t="shared" si="5"/>
        <v>0</v>
      </c>
      <c r="AB6" s="4">
        <f t="shared" si="6"/>
        <v>0</v>
      </c>
      <c r="AC6">
        <v>9.1</v>
      </c>
      <c r="AD6">
        <v>7</v>
      </c>
      <c r="AE6">
        <v>8</v>
      </c>
      <c r="AF6">
        <v>0</v>
      </c>
      <c r="AG6">
        <v>44</v>
      </c>
    </row>
    <row r="7" spans="1:33" x14ac:dyDescent="0.3">
      <c r="A7" t="s">
        <v>1</v>
      </c>
      <c r="B7" t="s">
        <v>19</v>
      </c>
      <c r="C7">
        <v>48.576911350000003</v>
      </c>
      <c r="D7">
        <v>-123.83994730000001</v>
      </c>
      <c r="E7">
        <v>6203374.6540000001</v>
      </c>
      <c r="F7">
        <v>-13785799.880000001</v>
      </c>
      <c r="G7" t="s">
        <v>19</v>
      </c>
      <c r="H7" t="s">
        <v>19</v>
      </c>
      <c r="I7" t="s">
        <v>19</v>
      </c>
      <c r="J7" t="s">
        <v>19</v>
      </c>
      <c r="K7">
        <f>273.868214345394+5902173.65814095</f>
        <v>5902447.5263552954</v>
      </c>
      <c r="L7" s="4">
        <f>100-1.04934093503786</f>
        <v>98.950659064962139</v>
      </c>
      <c r="M7" s="4">
        <v>99.232973404846703</v>
      </c>
      <c r="N7" s="4">
        <v>0.76702659515329397</v>
      </c>
      <c r="O7" s="4">
        <v>2650913.3611522801</v>
      </c>
      <c r="P7" s="4">
        <v>9.3479039675026201E-2</v>
      </c>
      <c r="Q7" s="4">
        <v>3251534.0560526201</v>
      </c>
      <c r="R7" s="4">
        <v>0</v>
      </c>
      <c r="S7" s="4">
        <v>0</v>
      </c>
      <c r="T7" s="4">
        <v>0</v>
      </c>
      <c r="U7" s="4">
        <v>0</v>
      </c>
      <c r="V7" s="4">
        <f t="shared" si="0"/>
        <v>44.912103823296398</v>
      </c>
      <c r="W7" s="4">
        <f t="shared" si="1"/>
        <v>1.5837335149127299E-6</v>
      </c>
      <c r="X7" s="4">
        <f t="shared" si="2"/>
        <v>55.087894327464035</v>
      </c>
      <c r="Y7" s="4">
        <f t="shared" si="3"/>
        <v>0</v>
      </c>
      <c r="Z7" s="4">
        <f t="shared" si="4"/>
        <v>0</v>
      </c>
      <c r="AA7" s="4">
        <f t="shared" si="5"/>
        <v>0</v>
      </c>
      <c r="AB7" s="4">
        <f t="shared" si="6"/>
        <v>0</v>
      </c>
      <c r="AC7">
        <v>10.5</v>
      </c>
      <c r="AD7">
        <v>6.2</v>
      </c>
      <c r="AE7">
        <v>10</v>
      </c>
      <c r="AF7">
        <v>0</v>
      </c>
      <c r="AG7">
        <v>38</v>
      </c>
    </row>
    <row r="8" spans="1:33" x14ac:dyDescent="0.3">
      <c r="A8" t="s">
        <v>2</v>
      </c>
      <c r="B8" t="s">
        <v>19</v>
      </c>
      <c r="C8">
        <v>48.566598239999998</v>
      </c>
      <c r="D8">
        <v>-123.8256854</v>
      </c>
      <c r="E8">
        <v>6201639.6040000003</v>
      </c>
      <c r="F8">
        <v>-13784212.25</v>
      </c>
      <c r="G8" t="s">
        <v>19</v>
      </c>
      <c r="H8" t="s">
        <v>19</v>
      </c>
      <c r="I8" t="s">
        <v>19</v>
      </c>
      <c r="J8" t="s">
        <v>19</v>
      </c>
      <c r="K8">
        <f>273.868022492794+20585419.2009202</f>
        <v>20585693.068942696</v>
      </c>
      <c r="L8" s="4">
        <f>100-3.38308175344884</f>
        <v>96.616918246551165</v>
      </c>
      <c r="M8" s="4">
        <v>97.449863246015298</v>
      </c>
      <c r="N8" s="4">
        <v>2.5501367441242202</v>
      </c>
      <c r="O8" s="4">
        <v>4225053.0936664101</v>
      </c>
      <c r="P8" s="4">
        <v>8656853.7940974906</v>
      </c>
      <c r="Q8" s="4">
        <v>7703786.1838170197</v>
      </c>
      <c r="R8" s="4">
        <v>0</v>
      </c>
      <c r="S8" s="4">
        <v>0</v>
      </c>
      <c r="T8" s="4">
        <v>0</v>
      </c>
      <c r="U8" s="4">
        <v>0</v>
      </c>
      <c r="V8" s="4">
        <f t="shared" si="0"/>
        <v>20.524220775644807</v>
      </c>
      <c r="W8" s="4">
        <f t="shared" si="1"/>
        <v>42.052768226482243</v>
      </c>
      <c r="X8" s="4">
        <f t="shared" si="2"/>
        <v>37.423011010688768</v>
      </c>
      <c r="Y8" s="4">
        <f t="shared" si="3"/>
        <v>0</v>
      </c>
      <c r="Z8" s="4">
        <f t="shared" si="4"/>
        <v>0</v>
      </c>
      <c r="AA8" s="4">
        <f t="shared" si="5"/>
        <v>0</v>
      </c>
      <c r="AB8" s="4">
        <f t="shared" si="6"/>
        <v>0</v>
      </c>
      <c r="AC8">
        <v>10.199999999999999</v>
      </c>
      <c r="AD8">
        <v>7.1</v>
      </c>
      <c r="AE8">
        <v>9</v>
      </c>
      <c r="AF8">
        <v>0</v>
      </c>
      <c r="AG8">
        <v>50</v>
      </c>
    </row>
    <row r="9" spans="1:33" x14ac:dyDescent="0.3">
      <c r="A9" t="s">
        <v>3</v>
      </c>
      <c r="B9" t="s">
        <v>19</v>
      </c>
      <c r="C9">
        <v>48.548558460000002</v>
      </c>
      <c r="D9">
        <v>-123.77141</v>
      </c>
      <c r="E9">
        <v>6198605.4919999996</v>
      </c>
      <c r="F9">
        <v>-13778170.34</v>
      </c>
      <c r="G9" t="s">
        <v>19</v>
      </c>
      <c r="H9" t="s">
        <v>19</v>
      </c>
      <c r="I9" t="s">
        <v>19</v>
      </c>
      <c r="J9" t="s">
        <v>19</v>
      </c>
      <c r="K9">
        <v>28060975.6705686</v>
      </c>
      <c r="L9" s="4">
        <f>100-2.17754324666302</f>
        <v>97.822456753336979</v>
      </c>
      <c r="M9" s="4">
        <v>98.388576920579595</v>
      </c>
      <c r="N9" s="4">
        <v>1.6114230775715099</v>
      </c>
      <c r="O9" s="4">
        <v>21780254.500854898</v>
      </c>
      <c r="P9" s="4">
        <v>0</v>
      </c>
      <c r="Q9" s="4">
        <v>6280721.1754908497</v>
      </c>
      <c r="R9" s="4">
        <v>0</v>
      </c>
      <c r="S9" s="4">
        <v>0</v>
      </c>
      <c r="T9" s="4">
        <v>0</v>
      </c>
      <c r="U9" s="4">
        <v>0</v>
      </c>
      <c r="V9" s="4">
        <f t="shared" si="0"/>
        <v>77.617595184685058</v>
      </c>
      <c r="W9" s="4">
        <f t="shared" si="1"/>
        <v>0</v>
      </c>
      <c r="X9" s="4">
        <f t="shared" si="2"/>
        <v>22.382404835902783</v>
      </c>
      <c r="Y9" s="4">
        <f t="shared" si="3"/>
        <v>0</v>
      </c>
      <c r="Z9" s="4">
        <f t="shared" si="4"/>
        <v>0</v>
      </c>
      <c r="AA9" s="4">
        <f t="shared" si="5"/>
        <v>0</v>
      </c>
      <c r="AB9" s="4">
        <f t="shared" si="6"/>
        <v>0</v>
      </c>
      <c r="AC9">
        <v>9.4600000000000009</v>
      </c>
      <c r="AD9">
        <v>6.1</v>
      </c>
      <c r="AE9">
        <v>9</v>
      </c>
      <c r="AF9">
        <v>0</v>
      </c>
      <c r="AG9">
        <v>40</v>
      </c>
    </row>
    <row r="10" spans="1:33" x14ac:dyDescent="0.3">
      <c r="A10" t="s">
        <v>4</v>
      </c>
      <c r="B10" t="s">
        <v>19</v>
      </c>
      <c r="C10">
        <v>48.506352370000002</v>
      </c>
      <c r="D10">
        <v>-123.78617850000001</v>
      </c>
      <c r="E10">
        <v>6191511.068</v>
      </c>
      <c r="F10">
        <v>-13779814.35</v>
      </c>
      <c r="G10" t="s">
        <v>19</v>
      </c>
      <c r="H10" t="s">
        <v>19</v>
      </c>
      <c r="I10" t="s">
        <v>19</v>
      </c>
      <c r="J10" t="s">
        <v>19</v>
      </c>
      <c r="K10">
        <v>20853881.191113502</v>
      </c>
      <c r="L10" s="4">
        <f>100-1.49338246180058</f>
        <v>98.506617538199421</v>
      </c>
      <c r="M10" s="4">
        <v>99.624003555491598</v>
      </c>
      <c r="N10" s="4">
        <v>0.37599644179024799</v>
      </c>
      <c r="O10" s="4">
        <v>0</v>
      </c>
      <c r="P10" s="4">
        <v>16025898.8376018</v>
      </c>
      <c r="Q10" s="4">
        <v>0</v>
      </c>
      <c r="R10" s="4">
        <v>0</v>
      </c>
      <c r="S10" s="4">
        <v>1492055.04489555</v>
      </c>
      <c r="T10" s="4">
        <f>3063620.08557585+272307.226082605</f>
        <v>3335927.3116584551</v>
      </c>
      <c r="U10" s="4">
        <v>0</v>
      </c>
      <c r="V10" s="4">
        <f t="shared" si="0"/>
        <v>0</v>
      </c>
      <c r="W10" s="4">
        <f t="shared" si="1"/>
        <v>76.848518943471021</v>
      </c>
      <c r="X10" s="4">
        <f t="shared" si="2"/>
        <v>0</v>
      </c>
      <c r="Y10" s="4">
        <f t="shared" si="3"/>
        <v>0</v>
      </c>
      <c r="Z10" s="4">
        <f t="shared" si="4"/>
        <v>7.1548074491349922</v>
      </c>
      <c r="AA10" s="4">
        <f t="shared" si="5"/>
        <v>15.996673621982652</v>
      </c>
      <c r="AB10" s="4">
        <f t="shared" si="6"/>
        <v>0</v>
      </c>
      <c r="AC10">
        <v>11.3</v>
      </c>
      <c r="AD10">
        <v>7.9</v>
      </c>
      <c r="AE10">
        <v>9</v>
      </c>
      <c r="AF10">
        <v>0</v>
      </c>
      <c r="AG10">
        <v>56</v>
      </c>
    </row>
    <row r="12" spans="1:33" x14ac:dyDescent="0.3">
      <c r="T12" t="s">
        <v>36</v>
      </c>
    </row>
    <row r="16" spans="1:33" x14ac:dyDescent="0.3">
      <c r="K16" t="s">
        <v>36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3E085-4DA9-4953-B941-5B4B1BE14F39}">
  <dimension ref="A1:J125"/>
  <sheetViews>
    <sheetView tabSelected="1" zoomScaleNormal="100" workbookViewId="0">
      <pane ySplit="1" topLeftCell="A2" activePane="bottomLeft" state="frozen"/>
      <selection pane="bottomLeft" activeCell="L45" sqref="L45"/>
    </sheetView>
  </sheetViews>
  <sheetFormatPr defaultRowHeight="14.4" x14ac:dyDescent="0.3"/>
  <cols>
    <col min="1" max="1" width="32.5546875" bestFit="1" customWidth="1"/>
    <col min="2" max="2" width="18.21875" bestFit="1" customWidth="1"/>
    <col min="3" max="4" width="15.6640625" bestFit="1" customWidth="1"/>
    <col min="5" max="5" width="16.6640625" style="6" bestFit="1" customWidth="1"/>
    <col min="6" max="8" width="15.6640625" style="6" bestFit="1" customWidth="1"/>
    <col min="9" max="10" width="16.6640625" style="6" bestFit="1" customWidth="1"/>
  </cols>
  <sheetData>
    <row r="1" spans="1:10" x14ac:dyDescent="0.3">
      <c r="A1" t="s">
        <v>64</v>
      </c>
      <c r="B1" t="s">
        <v>11</v>
      </c>
      <c r="C1" t="s">
        <v>12</v>
      </c>
      <c r="D1" t="s">
        <v>13</v>
      </c>
      <c r="E1" s="6" t="s">
        <v>14</v>
      </c>
      <c r="F1" s="6" t="s">
        <v>0</v>
      </c>
      <c r="G1" s="6" t="s">
        <v>1</v>
      </c>
      <c r="H1" s="6" t="s">
        <v>2</v>
      </c>
      <c r="I1" s="6" t="s">
        <v>3</v>
      </c>
      <c r="J1" s="6" t="s">
        <v>4</v>
      </c>
    </row>
    <row r="2" spans="1:10" x14ac:dyDescent="0.3">
      <c r="A2" t="s">
        <v>24</v>
      </c>
      <c r="B2" t="s">
        <v>15</v>
      </c>
      <c r="C2" t="s">
        <v>16</v>
      </c>
      <c r="D2" t="s">
        <v>17</v>
      </c>
      <c r="E2" s="6" t="s">
        <v>18</v>
      </c>
      <c r="F2" s="6" t="s">
        <v>19</v>
      </c>
      <c r="G2" s="6" t="s">
        <v>19</v>
      </c>
      <c r="H2" s="6" t="s">
        <v>19</v>
      </c>
      <c r="I2" s="6" t="s">
        <v>19</v>
      </c>
      <c r="J2" s="6" t="s">
        <v>19</v>
      </c>
    </row>
    <row r="3" spans="1:10" x14ac:dyDescent="0.3">
      <c r="A3" t="s">
        <v>10</v>
      </c>
      <c r="B3" s="11">
        <v>48.514159999999997</v>
      </c>
      <c r="C3" s="11">
        <v>48.58569</v>
      </c>
      <c r="D3" s="11">
        <v>48.591225260000002</v>
      </c>
      <c r="E3" s="12">
        <v>48.506899580000002</v>
      </c>
      <c r="F3" s="12">
        <v>48.575924209999997</v>
      </c>
      <c r="G3" s="12">
        <v>48.576911350000003</v>
      </c>
      <c r="H3" s="12">
        <v>48.566598239999998</v>
      </c>
      <c r="I3" s="12">
        <v>48.548558460000002</v>
      </c>
      <c r="J3" s="12">
        <v>48.506352370000002</v>
      </c>
    </row>
    <row r="4" spans="1:10" x14ac:dyDescent="0.3">
      <c r="A4" t="s">
        <v>20</v>
      </c>
      <c r="B4" s="11">
        <v>-123.71023</v>
      </c>
      <c r="C4" s="11">
        <v>-123.67354</v>
      </c>
      <c r="D4" s="11">
        <v>-123.7249585</v>
      </c>
      <c r="E4" s="12">
        <v>-123.7679978</v>
      </c>
      <c r="F4" s="12">
        <v>-123.84397269999999</v>
      </c>
      <c r="G4" s="12">
        <v>-123.83994730000001</v>
      </c>
      <c r="H4" s="12">
        <v>-123.8256854</v>
      </c>
      <c r="I4" s="12">
        <v>-123.77141</v>
      </c>
      <c r="J4" s="12">
        <v>-123.78617850000001</v>
      </c>
    </row>
    <row r="5" spans="1:10" x14ac:dyDescent="0.3">
      <c r="A5" t="s">
        <v>41</v>
      </c>
      <c r="B5" t="s">
        <v>19</v>
      </c>
      <c r="C5" s="2">
        <v>4.7604166666666586E-2</v>
      </c>
      <c r="D5" s="3">
        <v>0.11906249999999975</v>
      </c>
      <c r="E5" s="6" t="s">
        <v>19</v>
      </c>
      <c r="F5" s="6" t="s">
        <v>19</v>
      </c>
      <c r="G5" s="6" t="s">
        <v>19</v>
      </c>
      <c r="H5" s="6" t="s">
        <v>19</v>
      </c>
      <c r="I5" s="6" t="s">
        <v>19</v>
      </c>
      <c r="J5" s="6" t="s">
        <v>19</v>
      </c>
    </row>
    <row r="6" spans="1:10" x14ac:dyDescent="0.3">
      <c r="A6" t="s">
        <v>42</v>
      </c>
      <c r="B6" t="s">
        <v>19</v>
      </c>
      <c r="C6" s="2">
        <v>4.2906978126288709E-3</v>
      </c>
      <c r="D6" s="3">
        <v>1.2146311980880949E-2</v>
      </c>
      <c r="E6" s="6" t="s">
        <v>19</v>
      </c>
      <c r="F6" s="6" t="s">
        <v>19</v>
      </c>
      <c r="G6" s="6" t="s">
        <v>19</v>
      </c>
      <c r="H6" s="6" t="s">
        <v>19</v>
      </c>
      <c r="I6" s="6" t="s">
        <v>19</v>
      </c>
      <c r="J6" s="6" t="s">
        <v>19</v>
      </c>
    </row>
    <row r="7" spans="1:10" x14ac:dyDescent="0.3">
      <c r="A7" t="s">
        <v>43</v>
      </c>
      <c r="B7" t="s">
        <v>19</v>
      </c>
      <c r="C7" s="2">
        <v>0.164421052631579</v>
      </c>
      <c r="D7" s="3">
        <v>0.11906249999999975</v>
      </c>
      <c r="E7" s="6" t="s">
        <v>19</v>
      </c>
      <c r="F7" s="6" t="s">
        <v>19</v>
      </c>
      <c r="G7" s="6" t="s">
        <v>19</v>
      </c>
      <c r="H7" s="6" t="s">
        <v>19</v>
      </c>
      <c r="I7" s="6" t="s">
        <v>19</v>
      </c>
      <c r="J7" s="6" t="s">
        <v>19</v>
      </c>
    </row>
    <row r="8" spans="1:10" x14ac:dyDescent="0.3">
      <c r="A8" t="s">
        <v>44</v>
      </c>
      <c r="B8" t="s">
        <v>19</v>
      </c>
      <c r="C8" s="2">
        <v>4.992715858742283E-3</v>
      </c>
      <c r="D8" s="3">
        <v>1.2146311980880949E-2</v>
      </c>
      <c r="E8" s="6" t="s">
        <v>19</v>
      </c>
      <c r="F8" s="6" t="s">
        <v>19</v>
      </c>
      <c r="G8" s="6" t="s">
        <v>19</v>
      </c>
      <c r="H8" s="6" t="s">
        <v>19</v>
      </c>
      <c r="I8" s="6" t="s">
        <v>19</v>
      </c>
      <c r="J8" s="6" t="s">
        <v>19</v>
      </c>
    </row>
    <row r="9" spans="1:10" x14ac:dyDescent="0.3">
      <c r="A9" t="s">
        <v>25</v>
      </c>
      <c r="B9" s="9">
        <v>7341754.9269211804</v>
      </c>
      <c r="C9" s="9">
        <v>8326219.8524340196</v>
      </c>
      <c r="D9" s="9">
        <v>11123748.463449501</v>
      </c>
      <c r="E9" s="10">
        <v>95307416.838539004</v>
      </c>
      <c r="F9" s="10">
        <v>11520714.991936</v>
      </c>
      <c r="G9" s="10">
        <f>273.868214345394+5902173.65814095</f>
        <v>5902447.5263552954</v>
      </c>
      <c r="H9" s="10">
        <f>273.868022492794+20585419.2009202</f>
        <v>20585693.068942696</v>
      </c>
      <c r="I9" s="10">
        <v>28060975.6705686</v>
      </c>
      <c r="J9" s="10">
        <v>20853881.191113502</v>
      </c>
    </row>
    <row r="10" spans="1:10" x14ac:dyDescent="0.3">
      <c r="A10" t="s">
        <v>45</v>
      </c>
      <c r="B10" s="3">
        <f>B9/1000^2</f>
        <v>7.3417549269211806</v>
      </c>
      <c r="C10" s="3">
        <f t="shared" ref="C10:J10" si="0">C9/1000^2</f>
        <v>8.3262198524340203</v>
      </c>
      <c r="D10" s="3">
        <f t="shared" si="0"/>
        <v>11.1237484634495</v>
      </c>
      <c r="E10" s="7">
        <f t="shared" si="0"/>
        <v>95.307416838538998</v>
      </c>
      <c r="F10" s="7">
        <f t="shared" si="0"/>
        <v>11.520714991936</v>
      </c>
      <c r="G10" s="7">
        <f t="shared" si="0"/>
        <v>5.9024475263552958</v>
      </c>
      <c r="H10" s="7">
        <f t="shared" si="0"/>
        <v>20.585693068942696</v>
      </c>
      <c r="I10" s="7">
        <f t="shared" si="0"/>
        <v>28.060975670568599</v>
      </c>
      <c r="J10" s="7">
        <f t="shared" si="0"/>
        <v>20.853881191113501</v>
      </c>
    </row>
    <row r="11" spans="1:10" x14ac:dyDescent="0.3">
      <c r="A11" t="s">
        <v>33</v>
      </c>
      <c r="B11" s="4">
        <f>100-12.3330954284708</f>
        <v>87.666904571529201</v>
      </c>
      <c r="C11" s="4">
        <f>100-7.33623187929447</f>
        <v>92.663768120705527</v>
      </c>
      <c r="D11" s="4">
        <f>100-0.60514568076766</f>
        <v>99.394854319232337</v>
      </c>
      <c r="E11" s="8">
        <f>100-2.3645333044905</f>
        <v>97.635466695509507</v>
      </c>
      <c r="F11" s="8">
        <f>100-5.53232069621823</f>
        <v>94.467679303781765</v>
      </c>
      <c r="G11" s="8">
        <f>100-1.04934093503786</f>
        <v>98.950659064962139</v>
      </c>
      <c r="H11" s="8">
        <f>100-3.38308175344884</f>
        <v>96.616918246551165</v>
      </c>
      <c r="I11" s="8">
        <f>100-2.17754324666302</f>
        <v>97.822456753336979</v>
      </c>
      <c r="J11" s="8">
        <f>100-1.49338246180058</f>
        <v>98.506617538199421</v>
      </c>
    </row>
    <row r="12" spans="1:10" x14ac:dyDescent="0.3">
      <c r="A12" t="s">
        <v>26</v>
      </c>
      <c r="B12" s="3">
        <v>90.701003334897806</v>
      </c>
      <c r="C12" s="3">
        <v>98.893351796406094</v>
      </c>
      <c r="D12" s="3">
        <v>99.481700418045506</v>
      </c>
      <c r="E12" s="7">
        <v>98.858557344244801</v>
      </c>
      <c r="F12" s="7">
        <v>95.817541899475003</v>
      </c>
      <c r="G12" s="7">
        <v>99.232973404846703</v>
      </c>
      <c r="H12" s="7">
        <v>97.449863246015298</v>
      </c>
      <c r="I12" s="7">
        <v>98.388576920579595</v>
      </c>
      <c r="J12" s="7">
        <v>99.624003555491598</v>
      </c>
    </row>
    <row r="13" spans="1:10" x14ac:dyDescent="0.3">
      <c r="A13" t="s">
        <v>27</v>
      </c>
      <c r="B13" s="3">
        <v>9.2989966665523305</v>
      </c>
      <c r="C13" s="3">
        <v>1.1066482066022501</v>
      </c>
      <c r="D13" s="3">
        <v>0.51829962491749604</v>
      </c>
      <c r="E13" s="7">
        <v>1.14144265575521</v>
      </c>
      <c r="F13" s="7">
        <v>4.1824581005255297</v>
      </c>
      <c r="G13" s="7">
        <v>0.76702659515329397</v>
      </c>
      <c r="H13" s="7">
        <v>2.5501367441242202</v>
      </c>
      <c r="I13" s="7">
        <v>1.6114230775715099</v>
      </c>
      <c r="J13" s="7">
        <v>0.37599644179024799</v>
      </c>
    </row>
    <row r="14" spans="1:10" x14ac:dyDescent="0.3">
      <c r="A14" t="s">
        <v>46</v>
      </c>
      <c r="B14" s="3">
        <v>8.7279676609633476</v>
      </c>
      <c r="C14" s="3">
        <v>2.9085E-2</v>
      </c>
      <c r="D14" s="3">
        <v>4.3246955819111137E-2</v>
      </c>
      <c r="E14" s="7">
        <v>0.72176102907493878</v>
      </c>
      <c r="F14" s="7">
        <v>2.9498158900154534</v>
      </c>
      <c r="G14" s="7">
        <v>0.58855902130207371</v>
      </c>
      <c r="H14" s="7">
        <v>1.8196098525678175</v>
      </c>
      <c r="I14" s="7">
        <v>0.88188221813643386</v>
      </c>
      <c r="J14" s="7">
        <v>0.30401209054197342</v>
      </c>
    </row>
    <row r="15" spans="1:10" x14ac:dyDescent="0.3">
      <c r="A15" t="s">
        <v>47</v>
      </c>
      <c r="B15" s="4">
        <v>3220208.6795066399</v>
      </c>
      <c r="C15" s="4">
        <v>2250947.37994271</v>
      </c>
      <c r="D15" s="4">
        <v>8815384.6852541491</v>
      </c>
      <c r="E15" s="8">
        <v>29189021.766499899</v>
      </c>
      <c r="F15" s="8">
        <v>1572444.3802656101</v>
      </c>
      <c r="G15" s="8">
        <v>2650913.3611522801</v>
      </c>
      <c r="H15" s="8">
        <v>4225053.0936664101</v>
      </c>
      <c r="I15" s="8">
        <v>21780254.500854898</v>
      </c>
      <c r="J15" s="8">
        <v>0</v>
      </c>
    </row>
    <row r="16" spans="1:10" x14ac:dyDescent="0.3">
      <c r="A16" t="s">
        <v>48</v>
      </c>
      <c r="B16" s="4">
        <v>3797679.46772411</v>
      </c>
      <c r="C16" s="4">
        <v>0</v>
      </c>
      <c r="D16" s="4">
        <v>0</v>
      </c>
      <c r="E16" s="8">
        <v>42952221.2795</v>
      </c>
      <c r="F16" s="8">
        <v>7390976.2767670201</v>
      </c>
      <c r="G16" s="8">
        <v>9.3479039675026201E-2</v>
      </c>
      <c r="H16" s="8">
        <v>8656853.7940974906</v>
      </c>
      <c r="I16" s="8">
        <v>0</v>
      </c>
      <c r="J16" s="8">
        <v>16025898.8376018</v>
      </c>
    </row>
    <row r="17" spans="1:10" x14ac:dyDescent="0.3">
      <c r="A17" t="s">
        <v>49</v>
      </c>
      <c r="B17" s="4">
        <v>0</v>
      </c>
      <c r="C17" s="4">
        <v>0</v>
      </c>
      <c r="D17" s="4">
        <v>0</v>
      </c>
      <c r="E17" s="8">
        <v>17012979.073800001</v>
      </c>
      <c r="F17" s="8">
        <v>2557294.3387900302</v>
      </c>
      <c r="G17" s="8">
        <v>3251534.0560526201</v>
      </c>
      <c r="H17" s="8">
        <v>7703786.1838170197</v>
      </c>
      <c r="I17" s="8">
        <v>6280721.1754908497</v>
      </c>
      <c r="J17" s="8">
        <v>0</v>
      </c>
    </row>
    <row r="18" spans="1:10" x14ac:dyDescent="0.3">
      <c r="A18" t="s">
        <v>66</v>
      </c>
      <c r="B18" s="4">
        <v>323866.78393804602</v>
      </c>
      <c r="C18" s="4">
        <v>6028398.0915926201</v>
      </c>
      <c r="D18" s="4">
        <v>2263330.0019574999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</row>
    <row r="19" spans="1:10" x14ac:dyDescent="0.3">
      <c r="A19" t="s">
        <v>50</v>
      </c>
      <c r="B19" s="4">
        <v>0</v>
      </c>
      <c r="C19" s="4">
        <v>0</v>
      </c>
      <c r="D19" s="4">
        <v>0</v>
      </c>
      <c r="E19" s="8">
        <v>1492011.8211099899</v>
      </c>
      <c r="F19" s="8">
        <v>0</v>
      </c>
      <c r="G19" s="8">
        <v>0</v>
      </c>
      <c r="H19" s="8">
        <v>0</v>
      </c>
      <c r="I19" s="8">
        <v>0</v>
      </c>
      <c r="J19" s="8">
        <v>1492055.04489555</v>
      </c>
    </row>
    <row r="20" spans="1:10" x14ac:dyDescent="0.3">
      <c r="A20" t="s">
        <v>65</v>
      </c>
      <c r="B20" s="4">
        <v>0</v>
      </c>
      <c r="C20" s="4">
        <v>0</v>
      </c>
      <c r="D20" s="4">
        <v>0</v>
      </c>
      <c r="E20" s="8">
        <f>3746994.39373+272244.258514999</f>
        <v>4019238.6522449991</v>
      </c>
      <c r="F20" s="8">
        <v>0</v>
      </c>
      <c r="G20" s="8">
        <v>0</v>
      </c>
      <c r="H20" s="8">
        <v>0</v>
      </c>
      <c r="I20" s="8">
        <v>0</v>
      </c>
      <c r="J20" s="8">
        <f>3063620.08557585+272307.226082605</f>
        <v>3335927.3116584551</v>
      </c>
    </row>
    <row r="21" spans="1:10" x14ac:dyDescent="0.3">
      <c r="A21" t="s">
        <v>51</v>
      </c>
      <c r="B21" s="4">
        <v>0</v>
      </c>
      <c r="C21" s="4">
        <f>30498.1099163298+16376.2723208422</f>
        <v>46874.382237172002</v>
      </c>
      <c r="D21" s="4">
        <f>11167.5182194605+30314.2429717693+3552.06483869223</f>
        <v>45033.826029922035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</row>
    <row r="22" spans="1:10" x14ac:dyDescent="0.3">
      <c r="A22" t="s">
        <v>67</v>
      </c>
      <c r="B22" s="4">
        <v>0</v>
      </c>
      <c r="C22" s="4">
        <v>0</v>
      </c>
      <c r="D22" s="4">
        <v>0</v>
      </c>
      <c r="E22" s="8">
        <v>641944.23374099901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</row>
    <row r="23" spans="1:10" x14ac:dyDescent="0.3">
      <c r="A23" t="s">
        <v>52</v>
      </c>
      <c r="B23" s="3">
        <f t="shared" ref="B23:J23" si="1">(B15/B$9)*100</f>
        <v>43.861565954736363</v>
      </c>
      <c r="C23" s="3">
        <f t="shared" si="1"/>
        <v>27.034445640835276</v>
      </c>
      <c r="D23" s="3">
        <f t="shared" si="1"/>
        <v>79.248328153228286</v>
      </c>
      <c r="E23" s="7">
        <f t="shared" si="1"/>
        <v>30.626180768228391</v>
      </c>
      <c r="F23" s="7">
        <f t="shared" si="1"/>
        <v>13.648843681718128</v>
      </c>
      <c r="G23" s="7">
        <f t="shared" si="1"/>
        <v>44.912103823296398</v>
      </c>
      <c r="H23" s="7">
        <f t="shared" si="1"/>
        <v>20.524220775644807</v>
      </c>
      <c r="I23" s="7">
        <f t="shared" si="1"/>
        <v>77.617595184685058</v>
      </c>
      <c r="J23" s="7">
        <f t="shared" si="1"/>
        <v>0</v>
      </c>
    </row>
    <row r="24" spans="1:10" x14ac:dyDescent="0.3">
      <c r="A24" t="s">
        <v>53</v>
      </c>
      <c r="B24" s="3">
        <f t="shared" ref="B24:J24" si="2">(B16/B$9)*100</f>
        <v>51.727134799863109</v>
      </c>
      <c r="C24" s="3">
        <f t="shared" si="2"/>
        <v>0</v>
      </c>
      <c r="D24" s="3">
        <f t="shared" si="2"/>
        <v>0</v>
      </c>
      <c r="E24" s="7">
        <f t="shared" si="2"/>
        <v>45.067029098339404</v>
      </c>
      <c r="F24" s="7">
        <f t="shared" si="2"/>
        <v>64.153798457303935</v>
      </c>
      <c r="G24" s="7">
        <f t="shared" si="2"/>
        <v>1.5837335149127299E-6</v>
      </c>
      <c r="H24" s="7">
        <f t="shared" si="2"/>
        <v>42.052768226482243</v>
      </c>
      <c r="I24" s="7">
        <f t="shared" si="2"/>
        <v>0</v>
      </c>
      <c r="J24" s="7">
        <f t="shared" si="2"/>
        <v>76.848518943471021</v>
      </c>
    </row>
    <row r="25" spans="1:10" x14ac:dyDescent="0.3">
      <c r="A25" t="s">
        <v>54</v>
      </c>
      <c r="B25" s="3">
        <f t="shared" ref="B25:J25" si="3">(B17/B$9)*100</f>
        <v>0</v>
      </c>
      <c r="C25" s="3">
        <f t="shared" si="3"/>
        <v>0</v>
      </c>
      <c r="D25" s="3">
        <f t="shared" si="3"/>
        <v>0</v>
      </c>
      <c r="E25" s="7">
        <f t="shared" si="3"/>
        <v>17.850634964351006</v>
      </c>
      <c r="F25" s="7">
        <f t="shared" si="3"/>
        <v>22.197357894714216</v>
      </c>
      <c r="G25" s="7">
        <f t="shared" si="3"/>
        <v>55.087894327464035</v>
      </c>
      <c r="H25" s="7">
        <f t="shared" si="3"/>
        <v>37.423011010688768</v>
      </c>
      <c r="I25" s="7">
        <f t="shared" si="3"/>
        <v>22.382404835902783</v>
      </c>
      <c r="J25" s="7">
        <f t="shared" si="3"/>
        <v>0</v>
      </c>
    </row>
    <row r="26" spans="1:10" x14ac:dyDescent="0.3">
      <c r="A26" t="s">
        <v>55</v>
      </c>
      <c r="B26" s="3">
        <f t="shared" ref="B26:J26" si="4">(B18/B$9)*100</f>
        <v>4.4112993032561212</v>
      </c>
      <c r="C26" s="3">
        <f t="shared" si="4"/>
        <v>72.402581224543667</v>
      </c>
      <c r="D26" s="3">
        <f t="shared" si="4"/>
        <v>20.346828314163766</v>
      </c>
      <c r="E26" s="7">
        <f t="shared" si="4"/>
        <v>0</v>
      </c>
      <c r="F26" s="7">
        <f t="shared" si="4"/>
        <v>0</v>
      </c>
      <c r="G26" s="7">
        <f t="shared" si="4"/>
        <v>0</v>
      </c>
      <c r="H26" s="7">
        <f t="shared" si="4"/>
        <v>0</v>
      </c>
      <c r="I26" s="7">
        <f t="shared" si="4"/>
        <v>0</v>
      </c>
      <c r="J26" s="7">
        <f t="shared" si="4"/>
        <v>0</v>
      </c>
    </row>
    <row r="27" spans="1:10" x14ac:dyDescent="0.3">
      <c r="A27" t="s">
        <v>56</v>
      </c>
      <c r="B27" s="3">
        <f t="shared" ref="B27:J27" si="5">(B19/B$9)*100</f>
        <v>0</v>
      </c>
      <c r="C27" s="3">
        <f t="shared" si="5"/>
        <v>0</v>
      </c>
      <c r="D27" s="3">
        <f t="shared" si="5"/>
        <v>0</v>
      </c>
      <c r="E27" s="7">
        <f t="shared" si="5"/>
        <v>1.5654729407236143</v>
      </c>
      <c r="F27" s="7">
        <f t="shared" si="5"/>
        <v>0</v>
      </c>
      <c r="G27" s="7">
        <f t="shared" si="5"/>
        <v>0</v>
      </c>
      <c r="H27" s="7">
        <f t="shared" si="5"/>
        <v>0</v>
      </c>
      <c r="I27" s="7">
        <f t="shared" si="5"/>
        <v>0</v>
      </c>
      <c r="J27" s="7">
        <f t="shared" si="5"/>
        <v>7.1548074491349922</v>
      </c>
    </row>
    <row r="28" spans="1:10" x14ac:dyDescent="0.3">
      <c r="A28" t="s">
        <v>57</v>
      </c>
      <c r="B28" s="3">
        <f t="shared" ref="B28:J28" si="6">(B20/B$9)*100</f>
        <v>0</v>
      </c>
      <c r="C28" s="3">
        <f t="shared" si="6"/>
        <v>0</v>
      </c>
      <c r="D28" s="3">
        <f t="shared" si="6"/>
        <v>0</v>
      </c>
      <c r="E28" s="7">
        <f t="shared" si="6"/>
        <v>4.2171310329961216</v>
      </c>
      <c r="F28" s="7">
        <f t="shared" si="6"/>
        <v>0</v>
      </c>
      <c r="G28" s="7">
        <f t="shared" si="6"/>
        <v>0</v>
      </c>
      <c r="H28" s="7">
        <f t="shared" si="6"/>
        <v>0</v>
      </c>
      <c r="I28" s="7">
        <f t="shared" si="6"/>
        <v>0</v>
      </c>
      <c r="J28" s="7">
        <f t="shared" si="6"/>
        <v>15.996673621982652</v>
      </c>
    </row>
    <row r="29" spans="1:10" x14ac:dyDescent="0.3">
      <c r="A29" t="s">
        <v>58</v>
      </c>
      <c r="B29" s="3">
        <f t="shared" ref="B29:J29" si="7">(B21/B$9)*100</f>
        <v>0</v>
      </c>
      <c r="C29" s="3">
        <f t="shared" si="7"/>
        <v>0.56297315069658083</v>
      </c>
      <c r="D29" s="3">
        <f t="shared" si="7"/>
        <v>0.40484398022747936</v>
      </c>
      <c r="E29" s="7">
        <f t="shared" si="7"/>
        <v>0</v>
      </c>
      <c r="F29" s="7">
        <f t="shared" si="7"/>
        <v>0</v>
      </c>
      <c r="G29" s="7">
        <f t="shared" si="7"/>
        <v>0</v>
      </c>
      <c r="H29" s="7">
        <f t="shared" si="7"/>
        <v>0</v>
      </c>
      <c r="I29" s="7">
        <f t="shared" si="7"/>
        <v>0</v>
      </c>
      <c r="J29" s="7">
        <f t="shared" si="7"/>
        <v>0</v>
      </c>
    </row>
    <row r="30" spans="1:10" x14ac:dyDescent="0.3">
      <c r="A30" t="s">
        <v>68</v>
      </c>
      <c r="B30" s="3">
        <f t="shared" ref="B30:J30" si="8">(B22/B$9)*100</f>
        <v>0</v>
      </c>
      <c r="C30" s="3">
        <f t="shared" si="8"/>
        <v>0</v>
      </c>
      <c r="D30" s="3">
        <f t="shared" si="8"/>
        <v>0</v>
      </c>
      <c r="E30" s="7">
        <f t="shared" si="8"/>
        <v>0.67355118314508666</v>
      </c>
      <c r="F30" s="7">
        <f t="shared" si="8"/>
        <v>0</v>
      </c>
      <c r="G30" s="7">
        <f t="shared" si="8"/>
        <v>0</v>
      </c>
      <c r="H30" s="7">
        <f t="shared" si="8"/>
        <v>0</v>
      </c>
      <c r="I30" s="7">
        <f t="shared" si="8"/>
        <v>0</v>
      </c>
      <c r="J30" s="7">
        <f t="shared" si="8"/>
        <v>0</v>
      </c>
    </row>
    <row r="31" spans="1:10" x14ac:dyDescent="0.3">
      <c r="A31" t="s">
        <v>59</v>
      </c>
      <c r="B31" s="4">
        <v>12.7</v>
      </c>
      <c r="C31" s="4">
        <v>9.1999999999999993</v>
      </c>
      <c r="D31" s="4">
        <v>12.3</v>
      </c>
      <c r="E31" s="8">
        <v>11.8</v>
      </c>
      <c r="F31" s="8">
        <v>9.1</v>
      </c>
      <c r="G31" s="8">
        <v>10.5</v>
      </c>
      <c r="H31" s="8">
        <v>10.199999999999999</v>
      </c>
      <c r="I31" s="8">
        <v>9.4600000000000009</v>
      </c>
      <c r="J31" s="8">
        <v>11.3</v>
      </c>
    </row>
    <row r="32" spans="1:10" x14ac:dyDescent="0.3">
      <c r="A32" t="s">
        <v>60</v>
      </c>
      <c r="B32" s="4">
        <v>8.4</v>
      </c>
      <c r="C32" s="4">
        <v>5.6</v>
      </c>
      <c r="D32" s="4">
        <v>7.3</v>
      </c>
      <c r="E32" s="8">
        <v>8.5</v>
      </c>
      <c r="F32" s="8">
        <v>7</v>
      </c>
      <c r="G32" s="8">
        <v>6.2</v>
      </c>
      <c r="H32" s="8">
        <v>7.1</v>
      </c>
      <c r="I32" s="8">
        <v>6.1</v>
      </c>
      <c r="J32" s="8">
        <v>7.9</v>
      </c>
    </row>
    <row r="33" spans="1:10" x14ac:dyDescent="0.3">
      <c r="A33" t="s">
        <v>61</v>
      </c>
      <c r="B33" s="4">
        <v>12</v>
      </c>
      <c r="C33" s="4">
        <v>9</v>
      </c>
      <c r="D33" s="4">
        <v>11</v>
      </c>
      <c r="E33" s="8">
        <v>10</v>
      </c>
      <c r="F33" s="8">
        <v>8</v>
      </c>
      <c r="G33" s="8">
        <v>10</v>
      </c>
      <c r="H33" s="8">
        <v>9</v>
      </c>
      <c r="I33" s="8">
        <v>9</v>
      </c>
      <c r="J33" s="8">
        <v>9</v>
      </c>
    </row>
    <row r="34" spans="1:10" x14ac:dyDescent="0.3">
      <c r="A34" t="s">
        <v>62</v>
      </c>
      <c r="B34" s="4">
        <v>0</v>
      </c>
      <c r="C34" s="4">
        <v>0</v>
      </c>
      <c r="D34" s="4">
        <v>0</v>
      </c>
      <c r="E34" s="8">
        <v>0</v>
      </c>
      <c r="F34" s="8">
        <v>0</v>
      </c>
      <c r="G34" s="8">
        <v>0</v>
      </c>
      <c r="H34" s="8">
        <v>0</v>
      </c>
      <c r="I34" s="8">
        <v>0</v>
      </c>
      <c r="J34" s="8">
        <v>0</v>
      </c>
    </row>
    <row r="35" spans="1:10" x14ac:dyDescent="0.3">
      <c r="A35" t="s">
        <v>63</v>
      </c>
      <c r="B35" s="4">
        <v>46</v>
      </c>
      <c r="C35" s="4">
        <v>42</v>
      </c>
      <c r="D35" s="4">
        <v>48</v>
      </c>
      <c r="E35" s="8">
        <v>61</v>
      </c>
      <c r="F35" s="8">
        <v>44</v>
      </c>
      <c r="G35" s="8">
        <v>38</v>
      </c>
      <c r="H35" s="8">
        <v>50</v>
      </c>
      <c r="I35" s="8">
        <v>40</v>
      </c>
      <c r="J35" s="8">
        <v>56</v>
      </c>
    </row>
    <row r="37" spans="1:10" x14ac:dyDescent="0.3">
      <c r="A37" t="s">
        <v>83</v>
      </c>
      <c r="B37" s="3">
        <v>3436344.56783651</v>
      </c>
      <c r="C37" s="3">
        <v>7121102.66552178</v>
      </c>
      <c r="D37" s="3">
        <v>7848171.9270884097</v>
      </c>
      <c r="E37" s="7">
        <v>35031720.015089899</v>
      </c>
      <c r="F37" s="7">
        <v>6415932.94930695</v>
      </c>
      <c r="G37" s="7">
        <v>900416.11378576898</v>
      </c>
      <c r="H37" s="7">
        <v>8250905.1922859801</v>
      </c>
      <c r="I37" s="7">
        <v>11579024.7520863</v>
      </c>
      <c r="J37" s="7">
        <v>4003728.0182212102</v>
      </c>
    </row>
    <row r="38" spans="1:10" x14ac:dyDescent="0.3">
      <c r="A38" t="s">
        <v>69</v>
      </c>
      <c r="B38" s="3">
        <v>46.805492725121297</v>
      </c>
      <c r="C38" s="3">
        <v>85.8184150543768</v>
      </c>
      <c r="D38" s="3">
        <v>73.086807045705697</v>
      </c>
      <c r="E38" s="7">
        <v>37.045889285990199</v>
      </c>
      <c r="F38" s="7">
        <v>56.333957449706297</v>
      </c>
      <c r="G38" s="7">
        <v>15.256041131140501</v>
      </c>
      <c r="H38" s="7">
        <v>40.338098264624598</v>
      </c>
      <c r="I38" s="7">
        <v>41.925701042354</v>
      </c>
      <c r="J38" s="7">
        <v>19.345200027710099</v>
      </c>
    </row>
    <row r="39" spans="1:10" x14ac:dyDescent="0.3">
      <c r="A39" t="s">
        <v>84</v>
      </c>
      <c r="B39" s="3">
        <f>369236.869689005+59506.8872630367+258274.266954537</f>
        <v>687018.02390657866</v>
      </c>
      <c r="C39" s="3"/>
      <c r="D39" s="3">
        <f>145885.965048044+113728.829692385+444953.069088053+129928.631504146+96669.9437600299+92880.0318958667+420649.02136542</f>
        <v>1444695.4923539446</v>
      </c>
      <c r="E39" s="7">
        <f>78844.6796562089+502639.957884137+152459.119554677+475953.484138289+290677.250078873+601634.046224078+437113.281703622+3419398.56054857+688782.755314006+1450669.72502223+870090.457259888+832174.282147223+1595924.4449862+3388979.44336741+2456294.03430031+3240132.05399347+3028016.3282975+3873227.07525024</f>
        <v>27383010.979726933</v>
      </c>
      <c r="F39" s="7">
        <f>13054.6588986214+188397.156731382+980464.677990237+75498.4545412815+212912.100437609+96314.937320055+160680.225725026+246.159386236069</f>
        <v>1727568.3710304478</v>
      </c>
      <c r="G39" s="7">
        <f>281975.457567663+331126.798044114+396113.286058137+202263.308540814</f>
        <v>1211478.8502107281</v>
      </c>
      <c r="H39" s="7">
        <f>129104.071610191+43125.0155704353+69389.2981569009+188418.649022405+1314259.24408815+75487.8807351277+513425.704091972+415180.005401982+38852.5919149444+96314.937320055+442709.744403836</f>
        <v>3326267.1423159991</v>
      </c>
      <c r="I39" s="7">
        <f>220495.10787237+17519.6227879692+726494.711535301+278664.429547205+302502.026131056+342069.658175405+1779240.70480004+434167.582738531+127994.869624085+175675.072765116+187575.233740065</f>
        <v>4592399.0197171429</v>
      </c>
      <c r="J39" s="7">
        <f>1809507.99241425+8.74317483747211+231369.195207981+437321.71256686+233410.761747658+680937.565864733+2470095.65721184+496093.826417273+1920506.96957615+1267631.95922253+928258.187020064+78844.6796562089+21247.8040168439+98441.8676368069</f>
        <v>10673676.921734037</v>
      </c>
    </row>
    <row r="40" spans="1:10" x14ac:dyDescent="0.3">
      <c r="A40" t="s">
        <v>81</v>
      </c>
      <c r="B40" s="3">
        <f>5.02927261131908+0.810526745470767+3.5178818900101</f>
        <v>9.3576812467999471</v>
      </c>
      <c r="C40" s="3"/>
      <c r="D40" s="3">
        <f>1.35857617254042+1.05910995687693+4.14366548120434+1.2099720684864+0.900247547116325+0.864953651963458+3.91733185054026</f>
        <v>13.453856728728132</v>
      </c>
      <c r="E40" s="7">
        <f>0.0833779007161255+0.531539536810342+0.161224845974712+0.50331870861817+0.307389908909397+0.636225348270051+0.462245365984112+3.61599888455923+0.728384723458359+1.53407683095669+0.920116817974163+0.880020630154469+1.68768305616444+3.58383080241009+2.59752009919384+3.42642534515934+3.2021139015144+4.09592053565776</f>
        <v>28.957413242485693</v>
      </c>
      <c r="F40" s="7">
        <f>0.114624109186616+1.65418770657474+8.60879561666996+0.662900744015189+1.86943680698463+0.845676166448281+1.41082412651781+0.00216135868308388</f>
        <v>15.168606635080311</v>
      </c>
      <c r="G40" s="7">
        <f>4.77760128096503+5.61038832295463+6.7114753858481+3.42701258582029</f>
        <v>20.52647757558805</v>
      </c>
      <c r="H40" s="7">
        <f>0.631180774182686+0.210835184165014+0.339239424321988+0.92116559359566+6.42532150081958+0.369054967899612+2.51010234884398+2.0297860010645+0.189947603805415+0.470876990514919+2.16437696910696</f>
        <v>16.261887358320312</v>
      </c>
      <c r="I40" s="7">
        <f>0.798375698462243+0.0634356073252941+2.63051515449882+1.00899702820214+1.09530895596295+1.2385766963438+6.44233132487197+1.57204779037174+0.463447894249257+0.636089890041641+0.679178371332059</f>
        <v>16.628304411661912</v>
      </c>
      <c r="J40" s="7">
        <f>8.74317483747211+3.32693814651809+1.11792892553607+2.11304962963626+1.12779336010809+3.29015191793366+11.9350001695597+2.39702453834965+9.2794993346147+6.12493998120608+4.48515489152552+0.380961466944934+0.102665070400573+0.475651096145505</f>
        <v>54.899933365950943</v>
      </c>
    </row>
    <row r="41" spans="1:10" x14ac:dyDescent="0.3">
      <c r="A41" t="s">
        <v>85</v>
      </c>
      <c r="B41" s="3"/>
      <c r="C41" s="3">
        <v>345185.64421884698</v>
      </c>
      <c r="D41" s="3"/>
      <c r="E41" s="7">
        <v>136773.358713783</v>
      </c>
      <c r="F41" s="7">
        <v>43722.066568789502</v>
      </c>
      <c r="G41" s="7">
        <v>93060.691803751804</v>
      </c>
      <c r="H41" s="7">
        <v>136773.35454684499</v>
      </c>
      <c r="I41" s="7"/>
      <c r="J41" s="7"/>
    </row>
    <row r="42" spans="1:10" x14ac:dyDescent="0.3">
      <c r="A42" t="s">
        <v>70</v>
      </c>
      <c r="B42" s="3"/>
      <c r="C42" s="3">
        <v>4.1599294769070498</v>
      </c>
      <c r="D42" s="3"/>
      <c r="E42" s="7">
        <v>0.14463722312239399</v>
      </c>
      <c r="F42" s="7">
        <v>0.38389382450847997</v>
      </c>
      <c r="G42" s="7">
        <v>1.5767573681919</v>
      </c>
      <c r="H42" s="7">
        <v>0.66867536192891197</v>
      </c>
      <c r="I42" s="7"/>
      <c r="J42" s="7"/>
    </row>
    <row r="43" spans="1:10" x14ac:dyDescent="0.3">
      <c r="A43" t="s">
        <v>86</v>
      </c>
      <c r="B43" s="3">
        <v>176630.13514883001</v>
      </c>
      <c r="C43" s="3"/>
      <c r="D43" s="3">
        <v>46359.225663452802</v>
      </c>
      <c r="E43" s="7">
        <v>132766.36827483299</v>
      </c>
      <c r="F43" s="7">
        <v>59041.387264009601</v>
      </c>
      <c r="G43" s="7"/>
      <c r="H43" s="7">
        <v>59041.387264009601</v>
      </c>
      <c r="I43" s="7">
        <v>12831.054243656399</v>
      </c>
      <c r="J43" s="7"/>
    </row>
    <row r="44" spans="1:10" x14ac:dyDescent="0.3">
      <c r="A44" t="s">
        <v>82</v>
      </c>
      <c r="B44" s="3">
        <v>2.4058298993429301</v>
      </c>
      <c r="C44" s="3"/>
      <c r="D44" s="3">
        <v>0.431724459190093</v>
      </c>
      <c r="E44" s="7">
        <v>0.14039984842005501</v>
      </c>
      <c r="F44" s="7">
        <v>0.51840239356953299</v>
      </c>
      <c r="G44" s="7"/>
      <c r="H44" s="7">
        <v>0.28864921189035397</v>
      </c>
      <c r="I44" s="7">
        <v>4.6459089240726698E-2</v>
      </c>
      <c r="J44" s="7"/>
    </row>
    <row r="45" spans="1:10" x14ac:dyDescent="0.3">
      <c r="A45" t="s">
        <v>87</v>
      </c>
      <c r="B45" s="3"/>
      <c r="C45" s="3">
        <v>129210.073613848</v>
      </c>
      <c r="D45" s="3">
        <v>57599.600966314298</v>
      </c>
      <c r="E45" s="7">
        <v>851886.93235208699</v>
      </c>
      <c r="F45" s="7">
        <v>31519.581939770502</v>
      </c>
      <c r="G45" s="7">
        <v>7230.52187570763</v>
      </c>
      <c r="H45" s="7">
        <v>38832.291872269998</v>
      </c>
      <c r="I45" s="7">
        <v>812649.01022623701</v>
      </c>
      <c r="J45" s="7"/>
    </row>
    <row r="46" spans="1:10" x14ac:dyDescent="0.3">
      <c r="A46" t="s">
        <v>71</v>
      </c>
      <c r="B46" s="3"/>
      <c r="C46" s="3">
        <v>1.5571470104324501</v>
      </c>
      <c r="D46" s="3">
        <v>0.53640146531504995</v>
      </c>
      <c r="E46" s="7">
        <v>0.900866670734499</v>
      </c>
      <c r="F46" s="7">
        <v>0.27675207983889</v>
      </c>
      <c r="G46" s="7">
        <v>0.12250906824803</v>
      </c>
      <c r="H46" s="7">
        <v>0.18984835831694</v>
      </c>
      <c r="I46" s="7">
        <v>2.9424653789578401</v>
      </c>
      <c r="J46" s="7"/>
    </row>
    <row r="47" spans="1:10" x14ac:dyDescent="0.3">
      <c r="A47" t="s">
        <v>135</v>
      </c>
      <c r="B47" s="3"/>
      <c r="C47" s="3"/>
      <c r="D47" s="3"/>
      <c r="E47" s="7">
        <v>585531.43816005299</v>
      </c>
      <c r="F47" s="7"/>
      <c r="G47" s="7"/>
      <c r="H47" s="7"/>
      <c r="I47" s="7">
        <v>360401.8859242</v>
      </c>
      <c r="J47" s="7"/>
    </row>
    <row r="48" spans="1:10" x14ac:dyDescent="0.3">
      <c r="A48" t="s">
        <v>136</v>
      </c>
      <c r="B48" s="3"/>
      <c r="C48" s="3"/>
      <c r="D48" s="3"/>
      <c r="E48" s="7">
        <v>0.61919691131923504</v>
      </c>
      <c r="F48" s="7"/>
      <c r="G48" s="7"/>
      <c r="H48" s="7"/>
      <c r="I48" s="7">
        <v>1.3049546095525799</v>
      </c>
      <c r="J48" s="7"/>
    </row>
    <row r="49" spans="1:10" x14ac:dyDescent="0.3">
      <c r="A49" t="s">
        <v>88</v>
      </c>
      <c r="B49" s="3"/>
      <c r="C49" s="3">
        <v>57598.065243614903</v>
      </c>
      <c r="D49" s="3"/>
      <c r="E49" s="7">
        <v>1742496.8315558</v>
      </c>
      <c r="F49" s="7"/>
      <c r="G49" s="7">
        <v>105737.50226335799</v>
      </c>
      <c r="H49" s="7">
        <v>105737.558213989</v>
      </c>
      <c r="I49" s="7">
        <v>1499481.86056956</v>
      </c>
      <c r="J49" s="7">
        <v>79052.441221443107</v>
      </c>
    </row>
    <row r="50" spans="1:10" x14ac:dyDescent="0.3">
      <c r="A50" t="s">
        <v>72</v>
      </c>
      <c r="B50" s="3"/>
      <c r="C50" s="3">
        <v>0.69413051623844901</v>
      </c>
      <c r="D50" s="3"/>
      <c r="E50" s="7">
        <v>1.84268270799147</v>
      </c>
      <c r="F50" s="7"/>
      <c r="G50" s="7">
        <v>1.7915446635572501</v>
      </c>
      <c r="H50" s="7">
        <v>0.51694352487349704</v>
      </c>
      <c r="I50" s="7">
        <v>5.4293716051815402</v>
      </c>
      <c r="J50" s="7">
        <v>0.38196532860068</v>
      </c>
    </row>
    <row r="51" spans="1:10" x14ac:dyDescent="0.3">
      <c r="A51" t="s">
        <v>89</v>
      </c>
      <c r="B51" s="3"/>
      <c r="C51" s="3"/>
      <c r="D51" s="3">
        <v>98994.812363123798</v>
      </c>
      <c r="E51" s="7">
        <v>3540446.9312428501</v>
      </c>
      <c r="F51" s="7">
        <v>395007.59966539399</v>
      </c>
      <c r="G51" s="7">
        <v>2867029.7923856699</v>
      </c>
      <c r="H51" s="7">
        <v>3263370.8849084699</v>
      </c>
      <c r="I51" s="7">
        <v>203163.52081635501</v>
      </c>
      <c r="J51" s="7"/>
    </row>
    <row r="52" spans="1:10" x14ac:dyDescent="0.3">
      <c r="A52" t="s">
        <v>77</v>
      </c>
      <c r="B52" s="3"/>
      <c r="C52" s="3"/>
      <c r="D52" s="3">
        <v>0.92189809511393594</v>
      </c>
      <c r="E52" s="7">
        <v>3.7440070022610801</v>
      </c>
      <c r="F52" s="7">
        <v>3.46829393132368</v>
      </c>
      <c r="G52" s="7">
        <v>48.577012080492104</v>
      </c>
      <c r="H52" s="7">
        <v>15.954391955979</v>
      </c>
      <c r="I52" s="7">
        <v>0.73562093689485897</v>
      </c>
      <c r="J52" s="7"/>
    </row>
    <row r="53" spans="1:10" x14ac:dyDescent="0.3">
      <c r="A53" t="s">
        <v>137</v>
      </c>
      <c r="B53" s="3"/>
      <c r="C53" s="3"/>
      <c r="D53" s="3"/>
      <c r="E53" s="7">
        <v>1359253.2153239599</v>
      </c>
      <c r="F53" s="7">
        <v>463671.49924494303</v>
      </c>
      <c r="G53" s="7">
        <v>85632.584494928597</v>
      </c>
      <c r="H53" s="7">
        <v>549492.76125989703</v>
      </c>
      <c r="I53" s="7">
        <v>337808.14047047298</v>
      </c>
      <c r="J53" s="7">
        <v>355235.91230078001</v>
      </c>
    </row>
    <row r="54" spans="1:10" x14ac:dyDescent="0.3">
      <c r="A54" t="s">
        <v>138</v>
      </c>
      <c r="B54" s="3"/>
      <c r="C54" s="3"/>
      <c r="D54" s="3"/>
      <c r="E54" s="7">
        <v>1.43740427546313</v>
      </c>
      <c r="F54" s="7">
        <v>4.07118508180913</v>
      </c>
      <c r="G54" s="7">
        <v>1.45090054611275</v>
      </c>
      <c r="H54" s="7">
        <v>2.6864316681428799</v>
      </c>
      <c r="I54" s="7">
        <v>1.2231464575189399</v>
      </c>
      <c r="J54" s="7">
        <v>1.7164277266610699</v>
      </c>
    </row>
    <row r="55" spans="1:10" x14ac:dyDescent="0.3">
      <c r="A55" t="s">
        <v>95</v>
      </c>
      <c r="B55" s="3">
        <v>584528.34843313205</v>
      </c>
      <c r="C55" s="3"/>
      <c r="D55" s="3"/>
      <c r="E55" s="7">
        <v>3178209.0480739698</v>
      </c>
      <c r="F55" s="7"/>
      <c r="G55" s="7"/>
      <c r="H55" s="7"/>
      <c r="I55" s="7">
        <v>638885.51430712698</v>
      </c>
      <c r="J55" s="7">
        <v>497097.50987181201</v>
      </c>
    </row>
    <row r="56" spans="1:10" x14ac:dyDescent="0.3">
      <c r="A56" t="s">
        <v>96</v>
      </c>
      <c r="B56" s="3">
        <v>7.9616979089611997</v>
      </c>
      <c r="C56" s="3"/>
      <c r="D56" s="3"/>
      <c r="E56" s="7">
        <v>3.3609420397275498</v>
      </c>
      <c r="F56" s="7"/>
      <c r="G56" s="7"/>
      <c r="H56" s="7"/>
      <c r="I56" s="7">
        <v>2.3132969871495201</v>
      </c>
      <c r="J56" s="7">
        <v>2.4018741328036599</v>
      </c>
    </row>
    <row r="57" spans="1:10" x14ac:dyDescent="0.3">
      <c r="A57" t="s">
        <v>90</v>
      </c>
      <c r="B57" s="3"/>
      <c r="C57" s="3">
        <v>17384.366503439702</v>
      </c>
      <c r="D57" s="3"/>
      <c r="E57" s="7">
        <v>1735220.7314321101</v>
      </c>
      <c r="F57" s="7"/>
      <c r="G57" s="7">
        <v>183304.92368808601</v>
      </c>
      <c r="H57" s="7">
        <v>619639.26639799494</v>
      </c>
      <c r="I57" s="7">
        <v>366683.55546790198</v>
      </c>
      <c r="J57" s="7"/>
    </row>
    <row r="58" spans="1:10" x14ac:dyDescent="0.3">
      <c r="A58" t="s">
        <v>73</v>
      </c>
      <c r="B58" s="3"/>
      <c r="C58" s="3">
        <v>0.209503899904844</v>
      </c>
      <c r="D58" s="3"/>
      <c r="E58" s="7">
        <v>1.8349882642273601</v>
      </c>
      <c r="F58" s="7"/>
      <c r="G58" s="7">
        <v>3.1057945459996201</v>
      </c>
      <c r="H58" s="7">
        <v>3.0293730244229198</v>
      </c>
      <c r="I58" s="7">
        <v>1.32769947839731</v>
      </c>
      <c r="J58" s="7"/>
    </row>
    <row r="59" spans="1:10" x14ac:dyDescent="0.3">
      <c r="A59" t="s">
        <v>91</v>
      </c>
      <c r="B59" s="3"/>
      <c r="C59" s="3"/>
      <c r="D59" s="3">
        <v>162641.760690072</v>
      </c>
      <c r="E59" s="7">
        <v>6880784.7765990403</v>
      </c>
      <c r="F59" s="7">
        <v>326122.81475405197</v>
      </c>
      <c r="G59" s="7">
        <v>74063.141663738599</v>
      </c>
      <c r="H59" s="7">
        <v>1210903.9643723101</v>
      </c>
      <c r="I59" s="7">
        <v>2946450.8026370201</v>
      </c>
      <c r="J59" s="7">
        <v>2055921.6922218299</v>
      </c>
    </row>
    <row r="60" spans="1:10" x14ac:dyDescent="0.3">
      <c r="A60" t="s">
        <v>78</v>
      </c>
      <c r="B60" s="3"/>
      <c r="C60" s="3"/>
      <c r="D60" s="3">
        <v>1.5146160267081501</v>
      </c>
      <c r="E60" s="7">
        <v>7.2763995294782697</v>
      </c>
      <c r="F60" s="7">
        <v>2.8634633364922699</v>
      </c>
      <c r="G60" s="7">
        <v>1.2548757382548501</v>
      </c>
      <c r="H60" s="7">
        <v>5.9200247688630903</v>
      </c>
      <c r="I60" s="7">
        <v>2946450.8026370201</v>
      </c>
      <c r="J60" s="7">
        <v>9.9337957514430908</v>
      </c>
    </row>
    <row r="61" spans="1:10" x14ac:dyDescent="0.3">
      <c r="A61" t="s">
        <v>92</v>
      </c>
      <c r="B61" s="3"/>
      <c r="C61" s="3">
        <v>88207.551114952104</v>
      </c>
      <c r="D61" s="3"/>
      <c r="E61" s="7">
        <v>2866340.50249882</v>
      </c>
      <c r="F61" s="7"/>
      <c r="G61" s="7"/>
      <c r="H61" s="7"/>
      <c r="I61" s="7">
        <v>1384513.5226785699</v>
      </c>
      <c r="J61" s="7">
        <v>1478761.9416008999</v>
      </c>
    </row>
    <row r="62" spans="1:10" x14ac:dyDescent="0.3">
      <c r="A62" t="s">
        <v>74</v>
      </c>
      <c r="B62" s="3"/>
      <c r="C62" s="3">
        <v>1.0630140566802799</v>
      </c>
      <c r="D62" s="3"/>
      <c r="E62" s="7">
        <v>3.0311424293691802</v>
      </c>
      <c r="F62" s="7"/>
      <c r="G62" s="7"/>
      <c r="H62" s="7"/>
      <c r="I62" s="7">
        <v>5.0130905912830697</v>
      </c>
      <c r="J62" s="7">
        <v>7.1450771439624701</v>
      </c>
    </row>
    <row r="63" spans="1:10" x14ac:dyDescent="0.3">
      <c r="A63" t="s">
        <v>93</v>
      </c>
      <c r="B63" s="3"/>
      <c r="C63" s="3">
        <v>187156.09894502</v>
      </c>
      <c r="D63" s="3">
        <v>877820.19310589298</v>
      </c>
      <c r="E63" s="7">
        <v>490160.230568567</v>
      </c>
      <c r="F63" s="7"/>
      <c r="G63" s="7"/>
      <c r="H63" s="7"/>
      <c r="I63" s="7">
        <v>90713.082515114103</v>
      </c>
      <c r="J63" s="7">
        <v>346129.42089730501</v>
      </c>
    </row>
    <row r="64" spans="1:10" x14ac:dyDescent="0.3">
      <c r="A64" t="s">
        <v>75</v>
      </c>
      <c r="B64" s="3"/>
      <c r="C64" s="3">
        <v>2.25547089174635</v>
      </c>
      <c r="D64" s="3">
        <v>8.1747795117628392</v>
      </c>
      <c r="E64" s="7">
        <v>0.51834228025962703</v>
      </c>
      <c r="F64" s="7"/>
      <c r="G64" s="7"/>
      <c r="H64" s="7"/>
      <c r="I64" s="7">
        <v>0.32845681390168602</v>
      </c>
      <c r="J64" s="7">
        <v>1.6724270110907</v>
      </c>
    </row>
    <row r="65" spans="1:10" x14ac:dyDescent="0.3">
      <c r="A65" t="s">
        <v>94</v>
      </c>
      <c r="B65" s="3"/>
      <c r="C65" s="3">
        <v>352028.03808812599</v>
      </c>
      <c r="D65" s="3">
        <v>188470.276461587</v>
      </c>
      <c r="E65" s="7"/>
      <c r="F65" s="7"/>
      <c r="G65" s="7"/>
      <c r="H65" s="7"/>
      <c r="I65" s="7"/>
      <c r="J65" s="7"/>
    </row>
    <row r="66" spans="1:10" x14ac:dyDescent="0.3">
      <c r="A66" t="s">
        <v>76</v>
      </c>
      <c r="B66" s="3"/>
      <c r="C66" s="3">
        <v>4.2423890937136504</v>
      </c>
      <c r="D66" s="3">
        <v>1.7551464032094799</v>
      </c>
      <c r="E66" s="7"/>
      <c r="F66" s="7"/>
      <c r="G66" s="7"/>
      <c r="H66" s="7"/>
      <c r="I66" s="7"/>
      <c r="J66" s="7"/>
    </row>
    <row r="67" spans="1:10" x14ac:dyDescent="0.3">
      <c r="A67" t="s">
        <v>97</v>
      </c>
      <c r="B67" s="3">
        <v>304046.37556152901</v>
      </c>
      <c r="C67" s="3"/>
      <c r="D67" s="3"/>
      <c r="E67" s="7">
        <v>205517.64844237801</v>
      </c>
      <c r="F67" s="7"/>
      <c r="G67" s="7"/>
      <c r="H67" s="7"/>
      <c r="I67" s="7"/>
      <c r="J67" s="7"/>
    </row>
    <row r="68" spans="1:10" x14ac:dyDescent="0.3">
      <c r="A68" t="s">
        <v>98</v>
      </c>
      <c r="B68" s="3">
        <v>4.1413310389896001</v>
      </c>
      <c r="C68" s="3"/>
      <c r="D68" s="3" t="s">
        <v>36</v>
      </c>
      <c r="E68" s="7">
        <v>0.21733400607317699</v>
      </c>
      <c r="F68" s="7"/>
      <c r="G68" s="7"/>
      <c r="H68" s="7"/>
      <c r="I68" s="7"/>
      <c r="J68" s="7"/>
    </row>
    <row r="69" spans="1:10" x14ac:dyDescent="0.3">
      <c r="A69" t="s">
        <v>99</v>
      </c>
      <c r="B69" s="3">
        <v>483680.62723980099</v>
      </c>
      <c r="C69" s="3"/>
      <c r="D69" s="3"/>
      <c r="E69" s="7">
        <v>96052.084326909899</v>
      </c>
      <c r="F69" s="7"/>
      <c r="G69" s="7"/>
      <c r="H69" s="7"/>
      <c r="I69" s="7"/>
      <c r="J69" s="7"/>
    </row>
    <row r="70" spans="1:10" x14ac:dyDescent="0.3">
      <c r="A70" t="s">
        <v>100</v>
      </c>
      <c r="B70" s="3">
        <v>6.5880791732733304</v>
      </c>
      <c r="C70" s="3"/>
      <c r="D70" s="3"/>
      <c r="E70" s="7">
        <v>0.101574655201929</v>
      </c>
      <c r="F70" s="7"/>
      <c r="G70" s="7"/>
      <c r="H70" s="7"/>
      <c r="I70" s="7"/>
      <c r="J70" s="7"/>
    </row>
    <row r="71" spans="1:10" x14ac:dyDescent="0.3">
      <c r="A71" t="s">
        <v>101</v>
      </c>
      <c r="B71" s="3">
        <v>76711.228496262993</v>
      </c>
      <c r="C71" s="3"/>
      <c r="D71" s="3"/>
      <c r="E71" s="7">
        <v>1419178.03254217</v>
      </c>
      <c r="F71" s="7">
        <v>192032.73201563401</v>
      </c>
      <c r="G71" s="7"/>
      <c r="H71" s="7">
        <v>267333.50039739901</v>
      </c>
      <c r="I71" s="7">
        <v>1151881.6196890101</v>
      </c>
      <c r="J71" s="7"/>
    </row>
    <row r="72" spans="1:10" x14ac:dyDescent="0.3">
      <c r="A72" t="s">
        <v>102</v>
      </c>
      <c r="B72" s="3">
        <v>1.04486228794498</v>
      </c>
      <c r="C72" s="3"/>
      <c r="D72" s="3"/>
      <c r="E72" s="7">
        <v>1.5007745051633199</v>
      </c>
      <c r="F72" s="7">
        <v>1.68610922835285</v>
      </c>
      <c r="G72" s="7"/>
      <c r="H72" s="7">
        <v>1.3069747812080501</v>
      </c>
      <c r="I72" s="7">
        <v>4.1707695991030702</v>
      </c>
      <c r="J72" s="7"/>
    </row>
    <row r="73" spans="1:10" x14ac:dyDescent="0.3">
      <c r="A73" t="s">
        <v>79</v>
      </c>
      <c r="B73" s="3">
        <v>418822.73376981099</v>
      </c>
      <c r="C73" s="3"/>
      <c r="D73" s="3">
        <v>13398.019764905601</v>
      </c>
      <c r="E73" s="7">
        <v>1032434.69248333</v>
      </c>
      <c r="F73" s="7">
        <v>54096.945689188797</v>
      </c>
      <c r="G73" s="7"/>
      <c r="H73" s="7">
        <v>54096.945689188797</v>
      </c>
      <c r="I73" s="7">
        <v>711462.73443014198</v>
      </c>
      <c r="J73" s="7">
        <v>267154.05852004199</v>
      </c>
    </row>
    <row r="74" spans="1:10" x14ac:dyDescent="0.3">
      <c r="A74" t="s">
        <v>80</v>
      </c>
      <c r="B74" s="3">
        <v>5.7046678619077698</v>
      </c>
      <c r="C74" s="3"/>
      <c r="D74" s="3">
        <v>0.124770264266559</v>
      </c>
      <c r="E74" s="7">
        <v>1.0917951301357001</v>
      </c>
      <c r="F74" s="7">
        <v>0.47498860425949901</v>
      </c>
      <c r="G74" s="7"/>
      <c r="H74" s="7">
        <v>0.26447618293647701</v>
      </c>
      <c r="I74" s="7">
        <v>2.5760868937704799</v>
      </c>
      <c r="J74" s="7">
        <v>1.29083411179886</v>
      </c>
    </row>
    <row r="75" spans="1:10" x14ac:dyDescent="0.3">
      <c r="A75" t="s">
        <v>103</v>
      </c>
      <c r="B75" s="3"/>
      <c r="C75" s="3"/>
      <c r="D75" s="3"/>
      <c r="E75" s="7">
        <v>268714.126981362</v>
      </c>
      <c r="F75" s="7"/>
      <c r="G75" s="7"/>
      <c r="H75" s="7"/>
      <c r="I75" s="7"/>
      <c r="J75" s="7">
        <v>57.835162884533702</v>
      </c>
    </row>
    <row r="76" spans="1:10" x14ac:dyDescent="0.3">
      <c r="A76" t="s">
        <v>104</v>
      </c>
      <c r="B76" s="3"/>
      <c r="C76" s="3"/>
      <c r="D76" s="3"/>
      <c r="E76" s="7">
        <v>0.284164003178977</v>
      </c>
      <c r="F76" s="7"/>
      <c r="G76" s="7"/>
      <c r="H76" s="7"/>
      <c r="I76" s="7"/>
      <c r="J76" s="7">
        <v>2.7944775208121599E-4</v>
      </c>
    </row>
    <row r="77" spans="1:10" x14ac:dyDescent="0.3">
      <c r="A77" t="s">
        <v>105</v>
      </c>
      <c r="B77" s="3">
        <v>19968.320079358298</v>
      </c>
      <c r="C77" s="3"/>
      <c r="D77" s="3"/>
      <c r="E77" s="7">
        <v>442680.68757680501</v>
      </c>
      <c r="F77" s="7"/>
      <c r="G77" s="7"/>
      <c r="H77" s="7"/>
      <c r="I77" s="7">
        <v>442597.95421035099</v>
      </c>
      <c r="J77" s="7"/>
    </row>
    <row r="78" spans="1:10" x14ac:dyDescent="0.3">
      <c r="A78" t="s">
        <v>106</v>
      </c>
      <c r="B78" s="3">
        <v>0.27198292888181702</v>
      </c>
      <c r="C78" s="3"/>
      <c r="D78" s="3"/>
      <c r="E78" s="7">
        <v>0.46813287312048202</v>
      </c>
      <c r="F78" s="7"/>
      <c r="G78" s="7"/>
      <c r="H78" s="7"/>
      <c r="I78" s="7">
        <v>1.60257274748783</v>
      </c>
      <c r="J78" s="7"/>
    </row>
    <row r="79" spans="1:10" x14ac:dyDescent="0.3">
      <c r="A79" t="s">
        <v>107</v>
      </c>
      <c r="B79" s="3">
        <v>31927.233382897801</v>
      </c>
      <c r="C79" s="3"/>
      <c r="D79" s="3"/>
      <c r="E79" s="7">
        <v>1099389.36679747</v>
      </c>
      <c r="F79" s="7">
        <v>977503.08035327599</v>
      </c>
      <c r="G79" s="7"/>
      <c r="H79" s="7">
        <v>1099277.7561140801</v>
      </c>
      <c r="I79" s="7"/>
      <c r="J79" s="7"/>
    </row>
    <row r="80" spans="1:10" x14ac:dyDescent="0.3">
      <c r="A80" t="s">
        <v>108</v>
      </c>
      <c r="B80" s="3">
        <v>0.434871957784291</v>
      </c>
      <c r="C80" s="3"/>
      <c r="D80" s="3"/>
      <c r="E80" s="7">
        <v>1.1625994026850699</v>
      </c>
      <c r="F80" s="7">
        <v>8.5827918356794193</v>
      </c>
      <c r="G80" s="7"/>
      <c r="H80" s="7">
        <v>5.3742920458840304</v>
      </c>
      <c r="I80" s="7"/>
      <c r="J80" s="7"/>
    </row>
    <row r="81" spans="1:10" x14ac:dyDescent="0.3">
      <c r="A81" t="s">
        <v>109</v>
      </c>
      <c r="B81" s="3">
        <v>12580.935147320601</v>
      </c>
      <c r="C81" s="3"/>
      <c r="D81" s="3"/>
      <c r="E81" s="7">
        <v>552411.49437836302</v>
      </c>
      <c r="F81" s="7">
        <v>113087.34671160999</v>
      </c>
      <c r="G81" s="7">
        <v>176090.893496037</v>
      </c>
      <c r="H81" s="7">
        <v>552411.58654692199</v>
      </c>
      <c r="I81" s="7"/>
      <c r="J81" s="7"/>
    </row>
    <row r="82" spans="1:10" x14ac:dyDescent="0.3">
      <c r="A82" t="s">
        <v>110</v>
      </c>
      <c r="B82" s="3">
        <v>0.17136141527387</v>
      </c>
      <c r="C82" s="3"/>
      <c r="D82" s="3"/>
      <c r="E82" s="7">
        <v>0.58417271696148698</v>
      </c>
      <c r="F82" s="7">
        <v>0.99294332220853099</v>
      </c>
      <c r="G82" s="7">
        <v>2.9835649016761101</v>
      </c>
      <c r="H82" s="7">
        <v>2.70070160077469</v>
      </c>
      <c r="I82" s="7"/>
      <c r="J82" s="7"/>
    </row>
    <row r="83" spans="1:10" x14ac:dyDescent="0.3">
      <c r="A83" t="s">
        <v>111</v>
      </c>
      <c r="B83" s="3">
        <v>381219.14495226898</v>
      </c>
      <c r="C83" s="3"/>
      <c r="D83" s="3"/>
      <c r="E83" s="7">
        <v>732984.16300264199</v>
      </c>
      <c r="F83" s="7">
        <v>441700.688831329</v>
      </c>
      <c r="G83" s="7">
        <v>158770.248527941</v>
      </c>
      <c r="H83" s="7">
        <v>732993.59075485496</v>
      </c>
      <c r="I83" s="7"/>
      <c r="J83" s="7"/>
    </row>
    <row r="84" spans="1:10" x14ac:dyDescent="0.3">
      <c r="A84" t="s">
        <v>112</v>
      </c>
      <c r="B84" s="3">
        <v>5.1924798469712998</v>
      </c>
      <c r="C84" s="3"/>
      <c r="D84" s="3"/>
      <c r="E84" s="7">
        <v>0.77512751698413496</v>
      </c>
      <c r="F84" s="7">
        <v>3.8782742910082799</v>
      </c>
      <c r="G84" s="7">
        <v>2.6900956178578399</v>
      </c>
      <c r="H84" s="7">
        <v>3.5835543861118402</v>
      </c>
      <c r="I84" s="7"/>
      <c r="J84" s="7"/>
    </row>
    <row r="85" spans="1:10" x14ac:dyDescent="0.3">
      <c r="A85" t="s">
        <v>113</v>
      </c>
      <c r="B85" s="3">
        <v>384249.925498784</v>
      </c>
      <c r="C85" s="3"/>
      <c r="D85" s="3"/>
      <c r="E85" s="7">
        <v>272009.71857385302</v>
      </c>
      <c r="F85" s="7">
        <v>3961.5135627439399</v>
      </c>
      <c r="G85" s="7"/>
      <c r="H85" s="7">
        <v>3939.01196158729</v>
      </c>
      <c r="I85" s="7"/>
      <c r="J85" s="7">
        <v>151711.92865829699</v>
      </c>
    </row>
    <row r="86" spans="1:10" x14ac:dyDescent="0.3">
      <c r="A86" t="s">
        <v>114</v>
      </c>
      <c r="B86" s="3">
        <v>5.2337612650657199</v>
      </c>
      <c r="C86" s="3"/>
      <c r="D86" s="3"/>
      <c r="E86" s="7">
        <v>0.28764907674130002</v>
      </c>
      <c r="F86" s="7">
        <v>3.4783364826803297E-2</v>
      </c>
      <c r="G86" s="7"/>
      <c r="H86" s="7">
        <v>1.9257553913065498E-2</v>
      </c>
      <c r="I86" s="7"/>
      <c r="J86" s="7">
        <v>0.73304120387986904</v>
      </c>
    </row>
    <row r="87" spans="1:10" x14ac:dyDescent="0.3">
      <c r="A87" t="s">
        <v>115</v>
      </c>
      <c r="B87" s="3">
        <v>132856.89990327699</v>
      </c>
      <c r="C87" s="3"/>
      <c r="D87" s="3"/>
      <c r="E87" s="7">
        <v>34168.371423777498</v>
      </c>
      <c r="F87" s="7"/>
      <c r="G87" s="7"/>
      <c r="H87" s="7"/>
      <c r="I87" s="7"/>
      <c r="J87" s="7"/>
    </row>
    <row r="88" spans="1:10" x14ac:dyDescent="0.3">
      <c r="A88" t="s">
        <v>116</v>
      </c>
      <c r="B88" s="3">
        <v>1.8096068479593801</v>
      </c>
      <c r="C88" s="3"/>
      <c r="D88" s="3"/>
      <c r="E88" s="7">
        <v>3.6132901961496801E-2</v>
      </c>
      <c r="F88" s="7"/>
      <c r="G88" s="7"/>
      <c r="H88" s="7"/>
      <c r="I88" s="7"/>
      <c r="J88" s="7"/>
    </row>
    <row r="89" spans="1:10" x14ac:dyDescent="0.3">
      <c r="A89" t="s">
        <v>117</v>
      </c>
      <c r="B89" s="3"/>
      <c r="C89" s="3"/>
      <c r="D89" s="3"/>
      <c r="E89" s="7">
        <v>71381.682029343094</v>
      </c>
      <c r="F89" s="7">
        <v>61808.749958219698</v>
      </c>
      <c r="G89" s="7"/>
      <c r="H89" s="7">
        <v>61815.835793745799</v>
      </c>
      <c r="I89" s="7"/>
      <c r="J89" s="7"/>
    </row>
    <row r="90" spans="1:10" x14ac:dyDescent="0.3">
      <c r="A90" t="s">
        <v>118</v>
      </c>
      <c r="B90" s="3"/>
      <c r="C90" s="3"/>
      <c r="D90" s="3"/>
      <c r="E90" s="7">
        <v>7.5485813667377E-2</v>
      </c>
      <c r="F90" s="7">
        <v>0.54270072921226598</v>
      </c>
      <c r="G90" s="7"/>
      <c r="H90" s="7">
        <v>0.302213296656141</v>
      </c>
      <c r="I90" s="7"/>
      <c r="J90" s="7"/>
    </row>
    <row r="91" spans="1:10" x14ac:dyDescent="0.3">
      <c r="A91" t="s">
        <v>119</v>
      </c>
      <c r="B91" s="3">
        <v>72031.628005671097</v>
      </c>
      <c r="C91" s="3"/>
      <c r="D91" s="3"/>
      <c r="E91" s="7">
        <v>227390.29360377099</v>
      </c>
      <c r="F91" s="7"/>
      <c r="G91" s="7"/>
      <c r="H91" s="7"/>
      <c r="I91" s="7"/>
      <c r="J91" s="7"/>
    </row>
    <row r="92" spans="1:10" x14ac:dyDescent="0.3">
      <c r="A92" t="s">
        <v>120</v>
      </c>
      <c r="B92" s="3">
        <v>0.98112275240219304</v>
      </c>
      <c r="C92" s="3"/>
      <c r="D92" s="3"/>
      <c r="E92" s="7">
        <v>0.24046423178552201</v>
      </c>
      <c r="F92" s="7"/>
      <c r="G92" s="7"/>
      <c r="H92" s="7"/>
      <c r="I92" s="7"/>
      <c r="J92" s="7"/>
    </row>
    <row r="93" spans="1:10" x14ac:dyDescent="0.3">
      <c r="A93" t="s">
        <v>125</v>
      </c>
      <c r="B93" s="3"/>
      <c r="C93" s="3"/>
      <c r="D93" s="3"/>
      <c r="E93" s="7">
        <v>254757.20847968099</v>
      </c>
      <c r="F93" s="7"/>
      <c r="G93" s="7"/>
      <c r="H93" s="7"/>
      <c r="I93" s="7"/>
      <c r="J93" s="7"/>
    </row>
    <row r="94" spans="1:10" x14ac:dyDescent="0.3">
      <c r="A94" t="s">
        <v>126</v>
      </c>
      <c r="B94" s="3"/>
      <c r="C94" s="3"/>
      <c r="D94" s="3"/>
      <c r="E94" s="7">
        <v>0.26940462346926902</v>
      </c>
      <c r="F94" s="7"/>
      <c r="G94" s="7"/>
      <c r="H94" s="7"/>
      <c r="I94" s="7"/>
      <c r="J94" s="7"/>
    </row>
    <row r="95" spans="1:10" x14ac:dyDescent="0.3">
      <c r="A95" t="s">
        <v>127</v>
      </c>
      <c r="B95" s="3"/>
      <c r="C95" s="3"/>
      <c r="D95" s="3"/>
      <c r="E95" s="7"/>
      <c r="F95" s="7"/>
      <c r="G95" s="7"/>
      <c r="H95" s="7"/>
      <c r="I95" s="7"/>
      <c r="J95" s="7"/>
    </row>
    <row r="96" spans="1:10" x14ac:dyDescent="0.3">
      <c r="A96" t="s">
        <v>128</v>
      </c>
      <c r="B96" s="3"/>
      <c r="C96" s="3"/>
      <c r="D96" s="3"/>
      <c r="E96" s="7"/>
      <c r="F96" s="7"/>
      <c r="G96" s="7"/>
      <c r="H96" s="7"/>
      <c r="I96" s="7"/>
      <c r="J96" s="7"/>
    </row>
    <row r="97" spans="1:10" x14ac:dyDescent="0.3">
      <c r="A97" t="s">
        <v>129</v>
      </c>
      <c r="B97" s="3"/>
      <c r="C97" s="3"/>
      <c r="D97" s="3"/>
      <c r="E97" s="7">
        <v>39803.392690616602</v>
      </c>
      <c r="F97" s="7"/>
      <c r="G97" s="7"/>
      <c r="H97" s="7"/>
      <c r="I97" s="7">
        <v>39803.373301748601</v>
      </c>
      <c r="J97" s="7"/>
    </row>
    <row r="98" spans="1:10" x14ac:dyDescent="0.3">
      <c r="A98" t="s">
        <v>130</v>
      </c>
      <c r="B98" s="3"/>
      <c r="C98" s="3"/>
      <c r="D98" s="3"/>
      <c r="E98" s="7">
        <v>4.2091912078202502E-2</v>
      </c>
      <c r="F98" s="7"/>
      <c r="G98" s="7"/>
      <c r="H98" s="7"/>
      <c r="I98" s="7">
        <v>0.14412131982234799</v>
      </c>
      <c r="J98" s="7"/>
    </row>
    <row r="99" spans="1:10" x14ac:dyDescent="0.3">
      <c r="A99" t="s">
        <v>131</v>
      </c>
      <c r="B99" s="3"/>
      <c r="C99" s="3"/>
      <c r="D99" s="3"/>
      <c r="E99" s="7">
        <v>692189.49092743604</v>
      </c>
      <c r="F99" s="7"/>
      <c r="G99" s="7"/>
      <c r="H99" s="7"/>
      <c r="I99" s="7">
        <v>210676.754783012</v>
      </c>
      <c r="J99" s="7">
        <v>51892.972494036701</v>
      </c>
    </row>
    <row r="100" spans="1:10" x14ac:dyDescent="0.3">
      <c r="A100" t="s">
        <v>132</v>
      </c>
      <c r="B100" s="3"/>
      <c r="C100" s="3"/>
      <c r="D100" s="3"/>
      <c r="E100" s="7">
        <v>0.73198733133223404</v>
      </c>
      <c r="F100" s="7"/>
      <c r="G100" s="7"/>
      <c r="H100" s="7"/>
      <c r="I100" s="7">
        <v>0.762825093366721</v>
      </c>
      <c r="J100" s="7">
        <v>0.25073629586247598</v>
      </c>
    </row>
    <row r="101" spans="1:10" x14ac:dyDescent="0.3">
      <c r="A101" t="s">
        <v>123</v>
      </c>
      <c r="B101" s="3"/>
      <c r="C101" s="3"/>
      <c r="D101" s="3"/>
      <c r="E101" s="7">
        <v>382465.91695105197</v>
      </c>
      <c r="F101" s="7">
        <v>9754.7607545677893</v>
      </c>
      <c r="G101" s="7">
        <v>39214.666412181497</v>
      </c>
      <c r="H101" s="7">
        <v>48969.427166778201</v>
      </c>
      <c r="I101" s="7">
        <v>45239.214866952098</v>
      </c>
      <c r="J101" s="7">
        <v>19373.896329874398</v>
      </c>
    </row>
    <row r="102" spans="1:10" x14ac:dyDescent="0.3">
      <c r="A102" t="s">
        <v>124</v>
      </c>
      <c r="B102" s="3"/>
      <c r="C102" s="3"/>
      <c r="D102" s="3"/>
      <c r="E102" s="7">
        <v>0.404456018971669</v>
      </c>
      <c r="F102" s="7">
        <v>8.5649940799217103E-2</v>
      </c>
      <c r="G102" s="7">
        <v>0.664426762880588</v>
      </c>
      <c r="H102" s="7">
        <v>0.239408103593612</v>
      </c>
      <c r="I102" s="7">
        <v>0.16380358782469001</v>
      </c>
      <c r="J102" s="7">
        <v>9.3610729328226006E-2</v>
      </c>
    </row>
    <row r="103" spans="1:10" x14ac:dyDescent="0.3">
      <c r="A103" t="s">
        <v>121</v>
      </c>
      <c r="B103" s="3">
        <v>139138.79874766601</v>
      </c>
      <c r="C103" s="3"/>
      <c r="D103" s="3"/>
      <c r="E103" s="7">
        <v>804621.00820385094</v>
      </c>
      <c r="F103" s="7">
        <v>72571.820120802906</v>
      </c>
      <c r="G103" s="7"/>
      <c r="H103" s="7">
        <v>72571.820120802906</v>
      </c>
      <c r="I103" s="7">
        <v>191295.98654836201</v>
      </c>
      <c r="J103" s="7">
        <v>7606.3325875644596</v>
      </c>
    </row>
    <row r="104" spans="1:10" x14ac:dyDescent="0.3">
      <c r="A104" t="s">
        <v>122</v>
      </c>
      <c r="B104" s="3">
        <v>1.89517084332034</v>
      </c>
      <c r="C104" s="3"/>
      <c r="D104" s="3"/>
      <c r="E104" s="7">
        <v>0.85088316457947</v>
      </c>
      <c r="F104" s="7">
        <v>0.63720395132475105</v>
      </c>
      <c r="G104" s="7"/>
      <c r="H104" s="7">
        <v>0.35479855155923101</v>
      </c>
      <c r="I104" s="7">
        <v>0.69265059142253704</v>
      </c>
      <c r="J104" s="7">
        <v>3.6752253078644097E-2</v>
      </c>
    </row>
    <row r="105" spans="1:10" x14ac:dyDescent="0.3">
      <c r="A105" t="s">
        <v>133</v>
      </c>
      <c r="B105" s="3"/>
      <c r="C105" s="3"/>
      <c r="D105" s="3"/>
      <c r="E105" s="7">
        <v>20291.7206875048</v>
      </c>
      <c r="F105" s="7"/>
      <c r="G105" s="7"/>
      <c r="H105" s="7"/>
      <c r="I105" s="7"/>
      <c r="J105" s="7">
        <v>20291.7206875048</v>
      </c>
    </row>
    <row r="106" spans="1:10" x14ac:dyDescent="0.3">
      <c r="A106" t="s">
        <v>134</v>
      </c>
      <c r="B106" s="3"/>
      <c r="C106" s="3"/>
      <c r="D106" s="3"/>
      <c r="E106" s="7">
        <v>2.1458405059407101E-2</v>
      </c>
      <c r="F106" s="7"/>
      <c r="G106" s="7"/>
      <c r="H106" s="7"/>
      <c r="I106" s="7"/>
      <c r="J106" s="7">
        <v>9.8045470076812496E-2</v>
      </c>
    </row>
    <row r="108" spans="1:10" x14ac:dyDescent="0.3">
      <c r="A108" t="s">
        <v>141</v>
      </c>
      <c r="B108" s="3">
        <f>SUM(B43,B45,B47,B49,B51,B53)</f>
        <v>176630.13514883001</v>
      </c>
      <c r="C108" s="3">
        <f t="shared" ref="C108:D108" si="9">SUM(C43,C45,C47,C49,C51,C53)</f>
        <v>186808.13885746291</v>
      </c>
      <c r="D108" s="3">
        <f t="shared" si="9"/>
        <v>202953.63899289089</v>
      </c>
      <c r="E108" s="3">
        <f>SUM(E43,E45,E47,E49,E51,E53)</f>
        <v>8212381.7169095837</v>
      </c>
      <c r="F108" s="3">
        <f t="shared" ref="F108:J108" si="10">SUM(F43,F45,F47,F49,F51,F53)</f>
        <v>949240.06811411714</v>
      </c>
      <c r="G108" s="3">
        <f t="shared" si="10"/>
        <v>3065630.4010196645</v>
      </c>
      <c r="H108" s="3">
        <f t="shared" si="10"/>
        <v>4016474.8835186358</v>
      </c>
      <c r="I108" s="3">
        <f t="shared" si="10"/>
        <v>3226335.4722504816</v>
      </c>
      <c r="J108" s="3">
        <f t="shared" si="10"/>
        <v>434288.35352222313</v>
      </c>
    </row>
    <row r="109" spans="1:10" x14ac:dyDescent="0.3">
      <c r="A109" t="s">
        <v>142</v>
      </c>
      <c r="B109" s="3">
        <f>SUM(B44,B46,B48,B50,B52,B54)</f>
        <v>2.4058298993429301</v>
      </c>
      <c r="C109" s="3">
        <f t="shared" ref="C109:E109" si="11">SUM(C44,C46,C48,C50,C52,C54)</f>
        <v>2.2512775266708989</v>
      </c>
      <c r="D109" s="3">
        <f t="shared" si="11"/>
        <v>1.890024019619079</v>
      </c>
      <c r="E109" s="3">
        <f t="shared" si="11"/>
        <v>8.6845574161894685</v>
      </c>
      <c r="F109" s="3">
        <f t="shared" ref="F109:J109" si="12">SUM(F44,F46,F48,F50,F52,F54)</f>
        <v>8.3346334865412324</v>
      </c>
      <c r="G109" s="3">
        <f t="shared" si="12"/>
        <v>51.941966358410134</v>
      </c>
      <c r="H109" s="3">
        <f t="shared" si="12"/>
        <v>19.636264719202671</v>
      </c>
      <c r="I109" s="3">
        <f t="shared" si="12"/>
        <v>11.682018077346486</v>
      </c>
      <c r="J109" s="3">
        <f t="shared" si="12"/>
        <v>2.09839305526175</v>
      </c>
    </row>
    <row r="110" spans="1:10" x14ac:dyDescent="0.3">
      <c r="A110" t="s">
        <v>144</v>
      </c>
      <c r="B110" s="3">
        <f>SUM(B75,B77,B79,B81,B83)</f>
        <v>445695.63356184569</v>
      </c>
      <c r="C110" s="3">
        <f t="shared" ref="C110:E110" si="13">SUM(C75,C77,C79,C81,C83)</f>
        <v>0</v>
      </c>
      <c r="D110" s="3">
        <f t="shared" si="13"/>
        <v>0</v>
      </c>
      <c r="E110" s="3">
        <f t="shared" si="13"/>
        <v>3096179.8387366422</v>
      </c>
      <c r="F110" s="3">
        <f t="shared" ref="F110:J110" si="14">SUM(F75,F77,F79,F81,F83)</f>
        <v>1532291.1158962152</v>
      </c>
      <c r="G110" s="3">
        <f t="shared" si="14"/>
        <v>334861.142023978</v>
      </c>
      <c r="H110" s="3">
        <f t="shared" si="14"/>
        <v>2384682.9334158571</v>
      </c>
      <c r="I110" s="3">
        <f t="shared" si="14"/>
        <v>442597.95421035099</v>
      </c>
      <c r="J110" s="3">
        <f t="shared" si="14"/>
        <v>57.835162884533702</v>
      </c>
    </row>
    <row r="111" spans="1:10" x14ac:dyDescent="0.3">
      <c r="A111" t="s">
        <v>145</v>
      </c>
      <c r="B111" s="3">
        <f>SUM(B76,B78,B80,B82,B84)</f>
        <v>6.0706961489112778</v>
      </c>
      <c r="C111" s="3">
        <f t="shared" ref="C111:E111" si="15">SUM(C76,C78,C80,C82,C84)</f>
        <v>0</v>
      </c>
      <c r="D111" s="3">
        <f t="shared" si="15"/>
        <v>0</v>
      </c>
      <c r="E111" s="3">
        <f t="shared" si="15"/>
        <v>3.2741965129301507</v>
      </c>
      <c r="F111" s="3">
        <f t="shared" ref="F111:J111" si="16">SUM(F76,F78,F80,F82,F84)</f>
        <v>13.45400944889623</v>
      </c>
      <c r="G111" s="3">
        <f t="shared" si="16"/>
        <v>5.67366051953395</v>
      </c>
      <c r="H111" s="3">
        <f t="shared" si="16"/>
        <v>11.658548032770561</v>
      </c>
      <c r="I111" s="3">
        <f t="shared" si="16"/>
        <v>1.60257274748783</v>
      </c>
      <c r="J111" s="3">
        <f t="shared" si="16"/>
        <v>2.7944775208121599E-4</v>
      </c>
    </row>
    <row r="112" spans="1:10" x14ac:dyDescent="0.3">
      <c r="A112" t="s">
        <v>146</v>
      </c>
      <c r="B112" s="3">
        <f>SUM(B65,B67,B69,B71,B73)</f>
        <v>1283260.9650674041</v>
      </c>
      <c r="C112" s="3">
        <f t="shared" ref="C112:E112" si="17">SUM(C65,C67,C69,C71,C73)</f>
        <v>352028.03808812599</v>
      </c>
      <c r="D112" s="3">
        <f t="shared" si="17"/>
        <v>201868.29622649259</v>
      </c>
      <c r="E112" s="3">
        <f t="shared" si="17"/>
        <v>2753182.4577947878</v>
      </c>
      <c r="F112" s="3">
        <f t="shared" ref="F112:J112" si="18">SUM(F65,F67,F69,F71,F73)</f>
        <v>246129.6777048228</v>
      </c>
      <c r="G112" s="3">
        <f t="shared" si="18"/>
        <v>0</v>
      </c>
      <c r="H112" s="3">
        <f t="shared" si="18"/>
        <v>321430.44608658779</v>
      </c>
      <c r="I112" s="3">
        <f t="shared" si="18"/>
        <v>1863344.3541191521</v>
      </c>
      <c r="J112" s="3">
        <f t="shared" si="18"/>
        <v>267154.05852004199</v>
      </c>
    </row>
    <row r="113" spans="1:10" x14ac:dyDescent="0.3">
      <c r="A113" t="s">
        <v>147</v>
      </c>
      <c r="B113" s="3">
        <f>SUM(B66,B68,B70,B72,B74)</f>
        <v>17.478940362115679</v>
      </c>
      <c r="C113" s="3">
        <f t="shared" ref="C113:E113" si="19">SUM(C66,C68,C70,C72,C74)</f>
        <v>4.2423890937136504</v>
      </c>
      <c r="D113" s="3">
        <f t="shared" si="19"/>
        <v>1.8799166674760388</v>
      </c>
      <c r="E113" s="3">
        <f t="shared" si="19"/>
        <v>2.9114782965741259</v>
      </c>
      <c r="F113" s="3">
        <f t="shared" ref="F113:J113" si="20">SUM(F66,F68,F70,F72,F74)</f>
        <v>2.1610978326123491</v>
      </c>
      <c r="G113" s="3">
        <f t="shared" si="20"/>
        <v>0</v>
      </c>
      <c r="H113" s="3">
        <f t="shared" si="20"/>
        <v>1.5714509641445271</v>
      </c>
      <c r="I113" s="3">
        <f t="shared" si="20"/>
        <v>6.7468564928735502</v>
      </c>
      <c r="J113" s="3">
        <f t="shared" si="20"/>
        <v>1.29083411179886</v>
      </c>
    </row>
    <row r="114" spans="1:10" ht="13.8" customHeight="1" x14ac:dyDescent="0.3">
      <c r="A114" t="s">
        <v>148</v>
      </c>
      <c r="B114" s="3">
        <f>SUM(B75,B77,B79,B81,B83)</f>
        <v>445695.63356184569</v>
      </c>
      <c r="C114" s="3">
        <f t="shared" ref="C114:E114" si="21">SUM(C75,C77,C79,C81,C83)</f>
        <v>0</v>
      </c>
      <c r="D114" s="3">
        <f t="shared" si="21"/>
        <v>0</v>
      </c>
      <c r="E114" s="3">
        <f t="shared" si="21"/>
        <v>3096179.8387366422</v>
      </c>
      <c r="F114" s="3">
        <f t="shared" ref="F114:J114" si="22">SUM(F75,F77,F79,F81,F83)</f>
        <v>1532291.1158962152</v>
      </c>
      <c r="G114" s="3">
        <f t="shared" si="22"/>
        <v>334861.142023978</v>
      </c>
      <c r="H114" s="3">
        <f t="shared" si="22"/>
        <v>2384682.9334158571</v>
      </c>
      <c r="I114" s="3">
        <f t="shared" si="22"/>
        <v>442597.95421035099</v>
      </c>
      <c r="J114" s="3">
        <f t="shared" si="22"/>
        <v>57.835162884533702</v>
      </c>
    </row>
    <row r="115" spans="1:10" x14ac:dyDescent="0.3">
      <c r="A115" t="s">
        <v>149</v>
      </c>
      <c r="B115" s="3">
        <f>SUM(B76,B78,B80,B82,B84)</f>
        <v>6.0706961489112778</v>
      </c>
      <c r="C115" s="3">
        <f t="shared" ref="C115:E115" si="23">SUM(C76,C78,C80,C82,C84)</f>
        <v>0</v>
      </c>
      <c r="D115" s="3">
        <f t="shared" si="23"/>
        <v>0</v>
      </c>
      <c r="E115" s="3">
        <f t="shared" si="23"/>
        <v>3.2741965129301507</v>
      </c>
      <c r="F115" s="3">
        <f t="shared" ref="F115:J115" si="24">SUM(F76,F78,F80,F82,F84)</f>
        <v>13.45400944889623</v>
      </c>
      <c r="G115" s="3">
        <f t="shared" si="24"/>
        <v>5.67366051953395</v>
      </c>
      <c r="H115" s="3">
        <f t="shared" si="24"/>
        <v>11.658548032770561</v>
      </c>
      <c r="I115" s="3">
        <f t="shared" si="24"/>
        <v>1.60257274748783</v>
      </c>
      <c r="J115" s="3">
        <f t="shared" si="24"/>
        <v>2.7944775208121599E-4</v>
      </c>
    </row>
    <row r="116" spans="1:10" x14ac:dyDescent="0.3">
      <c r="A116" t="s">
        <v>150</v>
      </c>
      <c r="B116" s="3">
        <f>SUM(B85,B87,B89,B91,B93)</f>
        <v>589138.45340773207</v>
      </c>
      <c r="C116" s="3">
        <f t="shared" ref="C116:E116" si="25">SUM(C85,C87,C89,C91,C93)</f>
        <v>0</v>
      </c>
      <c r="D116" s="3">
        <f t="shared" si="25"/>
        <v>0</v>
      </c>
      <c r="E116" s="3">
        <f t="shared" si="25"/>
        <v>859707.2741104255</v>
      </c>
      <c r="F116" s="3">
        <f t="shared" ref="F116:J116" si="26">SUM(F85,F87,F89,F91,F93)</f>
        <v>65770.263520963636</v>
      </c>
      <c r="G116" s="3">
        <f t="shared" si="26"/>
        <v>0</v>
      </c>
      <c r="H116" s="3">
        <f t="shared" si="26"/>
        <v>65754.847755333089</v>
      </c>
      <c r="I116" s="3">
        <f t="shared" si="26"/>
        <v>0</v>
      </c>
      <c r="J116" s="3">
        <f t="shared" si="26"/>
        <v>151711.92865829699</v>
      </c>
    </row>
    <row r="117" spans="1:10" x14ac:dyDescent="0.3">
      <c r="A117" t="s">
        <v>151</v>
      </c>
      <c r="B117" s="3">
        <f>SUM(B86,B88,B90,B92,B94)</f>
        <v>8.0244908654272926</v>
      </c>
      <c r="C117" s="3">
        <f t="shared" ref="C117:E117" si="27">SUM(C86,C88,C90,C92,C94)</f>
        <v>0</v>
      </c>
      <c r="D117" s="3">
        <f t="shared" si="27"/>
        <v>0</v>
      </c>
      <c r="E117" s="3">
        <f t="shared" si="27"/>
        <v>0.90913664762496493</v>
      </c>
      <c r="F117" s="3">
        <f t="shared" ref="F117:J117" si="28">SUM(F86,F88,F90,F92,F94)</f>
        <v>0.57748409403906931</v>
      </c>
      <c r="G117" s="3">
        <f t="shared" si="28"/>
        <v>0</v>
      </c>
      <c r="H117" s="3">
        <f t="shared" si="28"/>
        <v>0.32147085056920649</v>
      </c>
      <c r="I117" s="3">
        <f t="shared" si="28"/>
        <v>0</v>
      </c>
      <c r="J117" s="3">
        <f t="shared" si="28"/>
        <v>0.73304120387986904</v>
      </c>
    </row>
    <row r="118" spans="1:10" x14ac:dyDescent="0.3">
      <c r="A118" t="s">
        <v>152</v>
      </c>
      <c r="B118" s="3">
        <f>SUM(B95,B97,B99,B101,B103)</f>
        <v>139138.79874766601</v>
      </c>
      <c r="C118" s="3">
        <f t="shared" ref="C118:E118" si="29">SUM(C95,C97,C99,C101,C103)</f>
        <v>0</v>
      </c>
      <c r="D118" s="3">
        <f t="shared" si="29"/>
        <v>0</v>
      </c>
      <c r="E118" s="3">
        <f t="shared" si="29"/>
        <v>1919079.8087729556</v>
      </c>
      <c r="F118" s="3">
        <f t="shared" ref="F118:J118" si="30">SUM(F95,F97,F99,F101,F103)</f>
        <v>82326.580875370695</v>
      </c>
      <c r="G118" s="3">
        <f t="shared" si="30"/>
        <v>39214.666412181497</v>
      </c>
      <c r="H118" s="3">
        <f t="shared" si="30"/>
        <v>121541.24728758111</v>
      </c>
      <c r="I118" s="3">
        <f t="shared" si="30"/>
        <v>487015.32950007467</v>
      </c>
      <c r="J118" s="3">
        <f t="shared" si="30"/>
        <v>78873.201411475558</v>
      </c>
    </row>
    <row r="119" spans="1:10" x14ac:dyDescent="0.3">
      <c r="A119" t="s">
        <v>153</v>
      </c>
      <c r="B119" s="3">
        <f>SUM(B96,B98,B100,B102,B104)</f>
        <v>1.89517084332034</v>
      </c>
      <c r="C119" s="3">
        <f t="shared" ref="C119:E119" si="31">SUM(C96,C98,C100,C102,C104)</f>
        <v>0</v>
      </c>
      <c r="D119" s="3">
        <f t="shared" si="31"/>
        <v>0</v>
      </c>
      <c r="E119" s="3">
        <f t="shared" si="31"/>
        <v>2.0294184269615756</v>
      </c>
      <c r="F119" s="3">
        <f t="shared" ref="F119:J119" si="32">SUM(F96,F98,F100,F102,F104)</f>
        <v>0.72285389212396811</v>
      </c>
      <c r="G119" s="3">
        <f t="shared" si="32"/>
        <v>0.664426762880588</v>
      </c>
      <c r="H119" s="3">
        <f t="shared" si="32"/>
        <v>0.59420665515284299</v>
      </c>
      <c r="I119" s="3">
        <f t="shared" si="32"/>
        <v>1.7634005924362959</v>
      </c>
      <c r="J119" s="3">
        <f t="shared" si="32"/>
        <v>0.38109927826934609</v>
      </c>
    </row>
    <row r="120" spans="1:10" x14ac:dyDescent="0.3">
      <c r="A120" t="s">
        <v>143</v>
      </c>
      <c r="B120" s="3">
        <f>B105</f>
        <v>0</v>
      </c>
      <c r="C120" s="3">
        <f t="shared" ref="C120:D120" si="33">C105</f>
        <v>0</v>
      </c>
      <c r="D120" s="3">
        <f t="shared" si="33"/>
        <v>0</v>
      </c>
      <c r="E120" s="3">
        <f>E105</f>
        <v>20291.7206875048</v>
      </c>
      <c r="F120" s="3">
        <f t="shared" ref="F120:J120" si="34">F105</f>
        <v>0</v>
      </c>
      <c r="G120" s="3">
        <f t="shared" si="34"/>
        <v>0</v>
      </c>
      <c r="H120" s="3">
        <f t="shared" si="34"/>
        <v>0</v>
      </c>
      <c r="I120" s="3">
        <f t="shared" si="34"/>
        <v>0</v>
      </c>
      <c r="J120" s="3">
        <f t="shared" si="34"/>
        <v>20291.7206875048</v>
      </c>
    </row>
    <row r="121" spans="1:10" x14ac:dyDescent="0.3">
      <c r="A121" t="s">
        <v>134</v>
      </c>
      <c r="B121" s="3">
        <f>B106</f>
        <v>0</v>
      </c>
      <c r="C121" s="3">
        <f t="shared" ref="C121:D121" si="35">C106</f>
        <v>0</v>
      </c>
      <c r="D121" s="3">
        <f t="shared" si="35"/>
        <v>0</v>
      </c>
      <c r="E121" s="3">
        <f>E106</f>
        <v>2.1458405059407101E-2</v>
      </c>
      <c r="F121" s="3">
        <f t="shared" ref="F121:J121" si="36">F106</f>
        <v>0</v>
      </c>
      <c r="G121" s="3">
        <f t="shared" si="36"/>
        <v>0</v>
      </c>
      <c r="H121" s="3">
        <f t="shared" si="36"/>
        <v>0</v>
      </c>
      <c r="I121" s="3">
        <f t="shared" si="36"/>
        <v>0</v>
      </c>
      <c r="J121" s="3">
        <f t="shared" si="36"/>
        <v>9.8045470076812496E-2</v>
      </c>
    </row>
    <row r="122" spans="1:10" x14ac:dyDescent="0.3">
      <c r="A122" t="s">
        <v>139</v>
      </c>
      <c r="B122" s="4">
        <f t="shared" ref="B122:E122" si="37">SUM(B39,B41)</f>
        <v>687018.02390657866</v>
      </c>
      <c r="C122" s="4">
        <f t="shared" si="37"/>
        <v>345185.64421884698</v>
      </c>
      <c r="D122" s="4">
        <f t="shared" si="37"/>
        <v>1444695.4923539446</v>
      </c>
      <c r="E122" s="4">
        <f t="shared" si="37"/>
        <v>27519784.338440716</v>
      </c>
      <c r="F122" s="4">
        <f t="shared" ref="F122:J122" si="38">SUM(F39,F41)</f>
        <v>1771290.4375992373</v>
      </c>
      <c r="G122" s="4">
        <f t="shared" si="38"/>
        <v>1304539.5420144799</v>
      </c>
      <c r="H122" s="4">
        <f t="shared" si="38"/>
        <v>3463040.4968628441</v>
      </c>
      <c r="I122" s="4">
        <f t="shared" si="38"/>
        <v>4592399.0197171429</v>
      </c>
      <c r="J122" s="4">
        <f t="shared" si="38"/>
        <v>10673676.921734037</v>
      </c>
    </row>
    <row r="123" spans="1:10" x14ac:dyDescent="0.3">
      <c r="A123" t="s">
        <v>140</v>
      </c>
      <c r="B123" s="4">
        <f t="shared" ref="B123:E123" si="39">SUM(B40,B42)</f>
        <v>9.3576812467999471</v>
      </c>
      <c r="C123" s="4">
        <f t="shared" si="39"/>
        <v>4.1599294769070498</v>
      </c>
      <c r="D123" s="4">
        <f t="shared" si="39"/>
        <v>13.453856728728132</v>
      </c>
      <c r="E123" s="4">
        <f t="shared" si="39"/>
        <v>29.102050465608087</v>
      </c>
      <c r="F123" s="4">
        <f t="shared" ref="F123:J123" si="40">SUM(F40,F42)</f>
        <v>15.55250045958879</v>
      </c>
      <c r="G123" s="4">
        <f t="shared" si="40"/>
        <v>22.103234943779949</v>
      </c>
      <c r="H123" s="4">
        <f t="shared" si="40"/>
        <v>16.930562720249224</v>
      </c>
      <c r="I123" s="4">
        <f t="shared" si="40"/>
        <v>16.628304411661912</v>
      </c>
      <c r="J123" s="4">
        <f t="shared" si="40"/>
        <v>54.899933365950943</v>
      </c>
    </row>
    <row r="124" spans="1:10" x14ac:dyDescent="0.3">
      <c r="A124" t="s">
        <v>154</v>
      </c>
      <c r="B124" s="4">
        <f t="shared" ref="B124:E125" si="41">SUM(B108,B110,B112,B114,B116,B118)</f>
        <v>3079559.6194953239</v>
      </c>
      <c r="C124" s="4">
        <f t="shared" si="41"/>
        <v>538836.1769455889</v>
      </c>
      <c r="D124" s="4">
        <f t="shared" si="41"/>
        <v>404821.93521938345</v>
      </c>
      <c r="E124" s="4">
        <f t="shared" si="41"/>
        <v>19936710.935061038</v>
      </c>
      <c r="F124" s="4">
        <f t="shared" ref="F124:J124" si="42">SUM(F108,F110,F112,F114,F116,F118)</f>
        <v>4408048.8220077045</v>
      </c>
      <c r="G124" s="4">
        <f t="shared" si="42"/>
        <v>3774567.3514798018</v>
      </c>
      <c r="H124" s="4">
        <f t="shared" si="42"/>
        <v>9294567.2914798521</v>
      </c>
      <c r="I124" s="4">
        <f t="shared" si="42"/>
        <v>6461891.0642904099</v>
      </c>
      <c r="J124" s="4">
        <f t="shared" si="42"/>
        <v>932143.21243780677</v>
      </c>
    </row>
    <row r="125" spans="1:10" x14ac:dyDescent="0.3">
      <c r="A125" t="s">
        <v>155</v>
      </c>
      <c r="B125" s="4">
        <f t="shared" si="41"/>
        <v>41.945824268028801</v>
      </c>
      <c r="C125" s="4">
        <f t="shared" si="41"/>
        <v>6.4936666203845492</v>
      </c>
      <c r="D125" s="4">
        <f t="shared" si="41"/>
        <v>3.7699406870951178</v>
      </c>
      <c r="E125" s="4">
        <f t="shared" si="41"/>
        <v>21.08298381321044</v>
      </c>
      <c r="F125" s="4">
        <f t="shared" ref="F125:J125" si="43">SUM(F109,F111,F113,F115,F117,F119)</f>
        <v>38.704088203109073</v>
      </c>
      <c r="G125" s="4">
        <f t="shared" si="43"/>
        <v>63.953714160358622</v>
      </c>
      <c r="H125" s="4">
        <f t="shared" si="43"/>
        <v>45.44048925461037</v>
      </c>
      <c r="I125" s="4">
        <f t="shared" si="43"/>
        <v>23.39742065763199</v>
      </c>
      <c r="J125" s="4">
        <f t="shared" si="43"/>
        <v>4.5039265447139876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wide</vt:lpstr>
      <vt:lpstr>long</vt:lpstr>
    </vt:vector>
  </TitlesOfParts>
  <Company>Vancouver Island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 Bishop</dc:creator>
  <cp:lastModifiedBy>Hannah McSorley</cp:lastModifiedBy>
  <dcterms:created xsi:type="dcterms:W3CDTF">2020-04-06T18:20:02Z</dcterms:created>
  <dcterms:modified xsi:type="dcterms:W3CDTF">2020-04-15T21:40:29Z</dcterms:modified>
</cp:coreProperties>
</file>