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Winter 2023\PHYS 4007\Xray Diffraction\Part 1\"/>
    </mc:Choice>
  </mc:AlternateContent>
  <xr:revisionPtr revIDLastSave="0" documentId="13_ncr:1_{61C51026-1D1F-4CC1-BA5A-0F8150F4B675}" xr6:coauthVersionLast="47" xr6:coauthVersionMax="47" xr10:uidLastSave="{00000000-0000-0000-0000-000000000000}"/>
  <bookViews>
    <workbookView xWindow="-96" yWindow="-96" windowWidth="23232" windowHeight="12432" activeTab="3" xr2:uid="{06F90142-56DC-4F1B-B138-9817B46EFDA3}"/>
  </bookViews>
  <sheets>
    <sheet name="Part1" sheetId="1" r:id="rId1"/>
    <sheet name="Part 2" sheetId="2" r:id="rId2"/>
    <sheet name="Part3" sheetId="3" r:id="rId3"/>
    <sheet name="Sheet1" sheetId="4" r:id="rId4"/>
    <sheet name="Sheet2" sheetId="5" r:id="rId5"/>
    <sheet name="S= The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0" i="6" l="1"/>
  <c r="F52" i="6"/>
  <c r="F61" i="6"/>
  <c r="D83" i="6"/>
  <c r="F79" i="4"/>
  <c r="F70" i="4"/>
  <c r="F52" i="4"/>
  <c r="D56" i="4"/>
  <c r="D65" i="4"/>
  <c r="D83" i="4"/>
  <c r="D74" i="4"/>
  <c r="D92" i="4"/>
  <c r="D47" i="4"/>
  <c r="D38" i="4"/>
  <c r="D29" i="4"/>
  <c r="D20" i="4"/>
  <c r="N1" i="5"/>
  <c r="N2" i="5" s="1"/>
  <c r="M1" i="5"/>
  <c r="M19" i="5" s="1"/>
  <c r="L1" i="5"/>
  <c r="L21" i="5" s="1"/>
  <c r="I1" i="5"/>
  <c r="I16" i="5" s="1"/>
  <c r="H1" i="5"/>
  <c r="H17" i="5" s="1"/>
  <c r="G1" i="5"/>
  <c r="D54" i="6"/>
  <c r="D63" i="6"/>
  <c r="D72" i="6"/>
  <c r="D81" i="6"/>
  <c r="C83" i="6"/>
  <c r="E83" i="6" s="1"/>
  <c r="E81" i="6" s="1"/>
  <c r="C82" i="6"/>
  <c r="B82" i="6"/>
  <c r="C73" i="6"/>
  <c r="B73" i="6"/>
  <c r="C64" i="6"/>
  <c r="C65" i="6" s="1"/>
  <c r="E65" i="6" s="1"/>
  <c r="E63" i="6" s="1"/>
  <c r="B64" i="6"/>
  <c r="B65" i="6" s="1"/>
  <c r="D65" i="6" s="1"/>
  <c r="B56" i="6"/>
  <c r="D56" i="6" s="1"/>
  <c r="C55" i="6"/>
  <c r="C56" i="6" s="1"/>
  <c r="E56" i="6" s="1"/>
  <c r="E54" i="6" s="1"/>
  <c r="B55" i="6"/>
  <c r="C46" i="6"/>
  <c r="B46" i="6"/>
  <c r="C37" i="6"/>
  <c r="C38" i="6" s="1"/>
  <c r="E38" i="6" s="1"/>
  <c r="E36" i="6" s="1"/>
  <c r="B37" i="6"/>
  <c r="B38" i="6" s="1"/>
  <c r="D38" i="6" s="1"/>
  <c r="D36" i="6" s="1"/>
  <c r="B29" i="6"/>
  <c r="D29" i="6" s="1"/>
  <c r="D27" i="6" s="1"/>
  <c r="C28" i="6"/>
  <c r="C29" i="6" s="1"/>
  <c r="E29" i="6" s="1"/>
  <c r="E27" i="6" s="1"/>
  <c r="E25" i="6" s="1"/>
  <c r="B28" i="6"/>
  <c r="C19" i="6"/>
  <c r="B19" i="6"/>
  <c r="C11" i="6"/>
  <c r="B11" i="6"/>
  <c r="B83" i="6" s="1"/>
  <c r="C9" i="6"/>
  <c r="B9" i="6"/>
  <c r="B92" i="4"/>
  <c r="B91" i="4"/>
  <c r="D91" i="4"/>
  <c r="T6" i="2"/>
  <c r="T5" i="2"/>
  <c r="T4" i="2"/>
  <c r="T3" i="2"/>
  <c r="T2" i="2"/>
  <c r="B9" i="3"/>
  <c r="B11" i="3" s="1"/>
  <c r="C9" i="3"/>
  <c r="C11" i="3" s="1"/>
  <c r="M22" i="5"/>
  <c r="K22" i="5"/>
  <c r="J22" i="5"/>
  <c r="H22" i="5"/>
  <c r="G22" i="5"/>
  <c r="F22" i="5"/>
  <c r="E22" i="5"/>
  <c r="D22" i="5"/>
  <c r="C22" i="5"/>
  <c r="K21" i="5"/>
  <c r="J21" i="5"/>
  <c r="G21" i="5"/>
  <c r="F21" i="5"/>
  <c r="E21" i="5"/>
  <c r="D21" i="5"/>
  <c r="C21" i="5"/>
  <c r="N20" i="5"/>
  <c r="M20" i="5"/>
  <c r="L20" i="5"/>
  <c r="K20" i="5"/>
  <c r="J20" i="5"/>
  <c r="G20" i="5"/>
  <c r="F20" i="5"/>
  <c r="E20" i="5"/>
  <c r="D20" i="5"/>
  <c r="L19" i="5"/>
  <c r="K19" i="5"/>
  <c r="J19" i="5"/>
  <c r="H19" i="5"/>
  <c r="G19" i="5"/>
  <c r="F19" i="5"/>
  <c r="E19" i="5"/>
  <c r="D19" i="5"/>
  <c r="M18" i="5"/>
  <c r="L18" i="5"/>
  <c r="K18" i="5"/>
  <c r="J18" i="5"/>
  <c r="G18" i="5"/>
  <c r="F18" i="5"/>
  <c r="E18" i="5"/>
  <c r="D18" i="5"/>
  <c r="N17" i="5"/>
  <c r="K17" i="5"/>
  <c r="J17" i="5"/>
  <c r="G17" i="5"/>
  <c r="F17" i="5"/>
  <c r="E17" i="5"/>
  <c r="D17" i="5"/>
  <c r="N16" i="5"/>
  <c r="M16" i="5"/>
  <c r="L16" i="5"/>
  <c r="K16" i="5"/>
  <c r="J16" i="5"/>
  <c r="H16" i="5"/>
  <c r="G16" i="5"/>
  <c r="F16" i="5"/>
  <c r="E16" i="5"/>
  <c r="D16" i="5"/>
  <c r="N15" i="5"/>
  <c r="M15" i="5"/>
  <c r="L15" i="5"/>
  <c r="K15" i="5"/>
  <c r="J15" i="5"/>
  <c r="H15" i="5"/>
  <c r="G15" i="5"/>
  <c r="F15" i="5"/>
  <c r="E15" i="5"/>
  <c r="D15" i="5"/>
  <c r="L14" i="5"/>
  <c r="K14" i="5"/>
  <c r="J14" i="5"/>
  <c r="H14" i="5"/>
  <c r="G14" i="5"/>
  <c r="F14" i="5"/>
  <c r="E14" i="5"/>
  <c r="D14" i="5"/>
  <c r="N13" i="5"/>
  <c r="M13" i="5"/>
  <c r="L13" i="5"/>
  <c r="K13" i="5"/>
  <c r="J13" i="5"/>
  <c r="H13" i="5"/>
  <c r="G13" i="5"/>
  <c r="F13" i="5"/>
  <c r="E13" i="5"/>
  <c r="D13" i="5"/>
  <c r="N12" i="5"/>
  <c r="L12" i="5"/>
  <c r="K12" i="5"/>
  <c r="J12" i="5"/>
  <c r="H12" i="5"/>
  <c r="G12" i="5"/>
  <c r="F12" i="5"/>
  <c r="E12" i="5"/>
  <c r="D12" i="5"/>
  <c r="N11" i="5"/>
  <c r="K11" i="5"/>
  <c r="J11" i="5"/>
  <c r="G11" i="5"/>
  <c r="F11" i="5"/>
  <c r="E11" i="5"/>
  <c r="D11" i="5"/>
  <c r="M10" i="5"/>
  <c r="L10" i="5"/>
  <c r="K10" i="5"/>
  <c r="J10" i="5"/>
  <c r="H10" i="5"/>
  <c r="G10" i="5"/>
  <c r="F10" i="5"/>
  <c r="E10" i="5"/>
  <c r="D10" i="5"/>
  <c r="N9" i="5"/>
  <c r="L9" i="5"/>
  <c r="K9" i="5"/>
  <c r="J9" i="5"/>
  <c r="G9" i="5"/>
  <c r="F9" i="5"/>
  <c r="E9" i="5"/>
  <c r="D9" i="5"/>
  <c r="N8" i="5"/>
  <c r="L8" i="5"/>
  <c r="K8" i="5"/>
  <c r="J8" i="5"/>
  <c r="G8" i="5"/>
  <c r="F8" i="5"/>
  <c r="E8" i="5"/>
  <c r="D8" i="5"/>
  <c r="N7" i="5"/>
  <c r="K7" i="5"/>
  <c r="J7" i="5"/>
  <c r="G7" i="5"/>
  <c r="F7" i="5"/>
  <c r="E7" i="5"/>
  <c r="D7" i="5"/>
  <c r="N6" i="5"/>
  <c r="M6" i="5"/>
  <c r="L6" i="5"/>
  <c r="K6" i="5"/>
  <c r="J6" i="5"/>
  <c r="H6" i="5"/>
  <c r="G6" i="5"/>
  <c r="F6" i="5"/>
  <c r="E6" i="5"/>
  <c r="D6" i="5"/>
  <c r="N5" i="5"/>
  <c r="L5" i="5"/>
  <c r="K5" i="5"/>
  <c r="J5" i="5"/>
  <c r="H5" i="5"/>
  <c r="G5" i="5"/>
  <c r="F5" i="5"/>
  <c r="E5" i="5"/>
  <c r="D5" i="5"/>
  <c r="M4" i="5"/>
  <c r="L4" i="5"/>
  <c r="K4" i="5"/>
  <c r="J4" i="5"/>
  <c r="H4" i="5"/>
  <c r="G4" i="5"/>
  <c r="F4" i="5"/>
  <c r="E4" i="5"/>
  <c r="D4" i="5"/>
  <c r="N3" i="5"/>
  <c r="L3" i="5"/>
  <c r="K3" i="5"/>
  <c r="J3" i="5"/>
  <c r="H3" i="5"/>
  <c r="G3" i="5"/>
  <c r="F3" i="5"/>
  <c r="E3" i="5"/>
  <c r="D3" i="5"/>
  <c r="L2" i="5"/>
  <c r="K2" i="5"/>
  <c r="J2" i="5"/>
  <c r="G2" i="5"/>
  <c r="F2" i="5"/>
  <c r="E2" i="5"/>
  <c r="D2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2" i="4"/>
  <c r="B82" i="4"/>
  <c r="C73" i="4"/>
  <c r="B73" i="4"/>
  <c r="C64" i="4"/>
  <c r="B64" i="4"/>
  <c r="C55" i="4"/>
  <c r="B55" i="4"/>
  <c r="C46" i="4"/>
  <c r="B46" i="4"/>
  <c r="C37" i="4"/>
  <c r="B37" i="4"/>
  <c r="C28" i="4"/>
  <c r="B28" i="4"/>
  <c r="C19" i="4"/>
  <c r="B19" i="4"/>
  <c r="C9" i="4"/>
  <c r="B9" i="4"/>
  <c r="C82" i="3"/>
  <c r="B82" i="3"/>
  <c r="C73" i="3"/>
  <c r="B73" i="3"/>
  <c r="C64" i="3"/>
  <c r="B64" i="3"/>
  <c r="C55" i="3"/>
  <c r="B55" i="3"/>
  <c r="C46" i="3"/>
  <c r="B46" i="3"/>
  <c r="C37" i="3"/>
  <c r="B37" i="3"/>
  <c r="C28" i="3"/>
  <c r="B28" i="3"/>
  <c r="C19" i="3"/>
  <c r="B19" i="3"/>
  <c r="S14" i="2"/>
  <c r="M21" i="1"/>
  <c r="L21" i="1"/>
  <c r="Q18" i="2"/>
  <c r="Q17" i="2"/>
  <c r="Q16" i="2"/>
  <c r="Q15" i="2"/>
  <c r="Q14" i="2"/>
  <c r="C55" i="2"/>
  <c r="C46" i="2"/>
  <c r="C37" i="2"/>
  <c r="C28" i="2"/>
  <c r="C19" i="2"/>
  <c r="C9" i="2"/>
  <c r="E54" i="2"/>
  <c r="E53" i="2"/>
  <c r="E52" i="2"/>
  <c r="E51" i="2"/>
  <c r="E36" i="2"/>
  <c r="E35" i="2"/>
  <c r="E34" i="2"/>
  <c r="E33" i="2"/>
  <c r="E37" i="2" s="1"/>
  <c r="E42" i="2"/>
  <c r="E44" i="2"/>
  <c r="E43" i="2"/>
  <c r="E45" i="2"/>
  <c r="E27" i="2"/>
  <c r="E26" i="2"/>
  <c r="E25" i="2"/>
  <c r="E24" i="2"/>
  <c r="E28" i="2" s="1"/>
  <c r="B28" i="2"/>
  <c r="B55" i="2"/>
  <c r="B46" i="2"/>
  <c r="B37" i="2"/>
  <c r="B19" i="2"/>
  <c r="B9" i="2"/>
  <c r="B11" i="2" s="1"/>
  <c r="L17" i="1"/>
  <c r="L16" i="1"/>
  <c r="L12" i="1"/>
  <c r="L11" i="1"/>
  <c r="L7" i="1"/>
  <c r="L6" i="1"/>
  <c r="K17" i="1"/>
  <c r="K16" i="1"/>
  <c r="K12" i="1"/>
  <c r="K11" i="1"/>
  <c r="K7" i="1"/>
  <c r="K6" i="1"/>
  <c r="N4" i="5" l="1"/>
  <c r="N19" i="5"/>
  <c r="N14" i="5"/>
  <c r="N18" i="5"/>
  <c r="N10" i="5"/>
  <c r="M5" i="5"/>
  <c r="M9" i="5"/>
  <c r="M14" i="5"/>
  <c r="M8" i="5"/>
  <c r="M3" i="5"/>
  <c r="M12" i="5"/>
  <c r="M17" i="5"/>
  <c r="M21" i="5"/>
  <c r="M2" i="5"/>
  <c r="M7" i="5"/>
  <c r="M11" i="5"/>
  <c r="L7" i="5"/>
  <c r="L17" i="5"/>
  <c r="L22" i="5"/>
  <c r="L11" i="5"/>
  <c r="I21" i="5"/>
  <c r="I14" i="5"/>
  <c r="I22" i="5"/>
  <c r="I7" i="5"/>
  <c r="I13" i="5"/>
  <c r="I15" i="5"/>
  <c r="I12" i="5"/>
  <c r="I4" i="5"/>
  <c r="I3" i="5"/>
  <c r="I19" i="5"/>
  <c r="I2" i="5"/>
  <c r="I9" i="5"/>
  <c r="I17" i="5"/>
  <c r="I20" i="5"/>
  <c r="I8" i="5"/>
  <c r="H2" i="5"/>
  <c r="H11" i="5"/>
  <c r="H20" i="5"/>
  <c r="H21" i="5"/>
  <c r="H8" i="5"/>
  <c r="H9" i="5"/>
  <c r="H18" i="5"/>
  <c r="H7" i="5"/>
  <c r="I11" i="5"/>
  <c r="I10" i="5"/>
  <c r="I18" i="5"/>
  <c r="I6" i="5"/>
  <c r="I5" i="5"/>
  <c r="E52" i="6"/>
  <c r="E61" i="6"/>
  <c r="G38" i="6"/>
  <c r="G34" i="6"/>
  <c r="D34" i="6"/>
  <c r="D52" i="6"/>
  <c r="G56" i="6" s="1"/>
  <c r="D61" i="6"/>
  <c r="G65" i="6" s="1"/>
  <c r="D79" i="6"/>
  <c r="G83" i="6" s="1"/>
  <c r="G79" i="6"/>
  <c r="D25" i="6"/>
  <c r="E34" i="6"/>
  <c r="E79" i="6"/>
  <c r="B20" i="6"/>
  <c r="D20" i="6" s="1"/>
  <c r="D18" i="6" s="1"/>
  <c r="B47" i="6"/>
  <c r="D47" i="6" s="1"/>
  <c r="D45" i="6" s="1"/>
  <c r="B74" i="6"/>
  <c r="D74" i="6" s="1"/>
  <c r="C20" i="6"/>
  <c r="E20" i="6" s="1"/>
  <c r="E18" i="6" s="1"/>
  <c r="E16" i="6" s="1"/>
  <c r="C47" i="6"/>
  <c r="E47" i="6" s="1"/>
  <c r="E45" i="6" s="1"/>
  <c r="E43" i="6" s="1"/>
  <c r="C74" i="6"/>
  <c r="E74" i="6" s="1"/>
  <c r="E72" i="6" s="1"/>
  <c r="E70" i="6" s="1"/>
  <c r="B56" i="3"/>
  <c r="D56" i="3" s="1"/>
  <c r="D54" i="3" s="1"/>
  <c r="D52" i="3" s="1"/>
  <c r="F52" i="3" s="1"/>
  <c r="F54" i="3" s="1"/>
  <c r="B65" i="3"/>
  <c r="D65" i="3" s="1"/>
  <c r="D63" i="3" s="1"/>
  <c r="D61" i="3" s="1"/>
  <c r="F61" i="3" s="1"/>
  <c r="F63" i="3" s="1"/>
  <c r="B47" i="3"/>
  <c r="D47" i="3" s="1"/>
  <c r="D45" i="3" s="1"/>
  <c r="D43" i="3" s="1"/>
  <c r="F43" i="3" s="1"/>
  <c r="F45" i="3" s="1"/>
  <c r="B20" i="3"/>
  <c r="D20" i="3" s="1"/>
  <c r="D18" i="3" s="1"/>
  <c r="D16" i="3" s="1"/>
  <c r="F16" i="3" s="1"/>
  <c r="F18" i="3" s="1"/>
  <c r="B74" i="3"/>
  <c r="D74" i="3" s="1"/>
  <c r="D72" i="3" s="1"/>
  <c r="D70" i="3" s="1"/>
  <c r="F70" i="3" s="1"/>
  <c r="F72" i="3" s="1"/>
  <c r="B29" i="3"/>
  <c r="D29" i="3" s="1"/>
  <c r="D27" i="3" s="1"/>
  <c r="D25" i="3" s="1"/>
  <c r="F25" i="3" s="1"/>
  <c r="F27" i="3" s="1"/>
  <c r="B83" i="3"/>
  <c r="D83" i="3" s="1"/>
  <c r="C83" i="3"/>
  <c r="E83" i="3" s="1"/>
  <c r="E81" i="3" s="1"/>
  <c r="B38" i="3"/>
  <c r="D38" i="3" s="1"/>
  <c r="D36" i="3" s="1"/>
  <c r="D34" i="3" s="1"/>
  <c r="F34" i="3" s="1"/>
  <c r="F36" i="3" s="1"/>
  <c r="D81" i="3"/>
  <c r="C11" i="4"/>
  <c r="B11" i="4"/>
  <c r="B47" i="4" s="1"/>
  <c r="C74" i="3"/>
  <c r="E74" i="3" s="1"/>
  <c r="E72" i="3" s="1"/>
  <c r="E70" i="3" s="1"/>
  <c r="C65" i="3"/>
  <c r="E65" i="3" s="1"/>
  <c r="E63" i="3" s="1"/>
  <c r="G61" i="3" s="1"/>
  <c r="G63" i="3" s="1"/>
  <c r="C56" i="3"/>
  <c r="E56" i="3" s="1"/>
  <c r="E54" i="3" s="1"/>
  <c r="C47" i="3"/>
  <c r="E47" i="3" s="1"/>
  <c r="E45" i="3" s="1"/>
  <c r="C38" i="3"/>
  <c r="E38" i="3" s="1"/>
  <c r="E36" i="3" s="1"/>
  <c r="C29" i="3"/>
  <c r="E29" i="3" s="1"/>
  <c r="E27" i="3" s="1"/>
  <c r="C20" i="3"/>
  <c r="E20" i="3" s="1"/>
  <c r="E18" i="3" s="1"/>
  <c r="B20" i="2"/>
  <c r="C11" i="2"/>
  <c r="C38" i="2" s="1"/>
  <c r="I16" i="2" s="1"/>
  <c r="B56" i="2"/>
  <c r="B38" i="2"/>
  <c r="B47" i="2"/>
  <c r="B29" i="2"/>
  <c r="E55" i="2"/>
  <c r="E46" i="2"/>
  <c r="G52" i="6" l="1"/>
  <c r="G61" i="6"/>
  <c r="G63" i="6" s="1"/>
  <c r="D43" i="6"/>
  <c r="G43" i="6" s="1"/>
  <c r="F29" i="6"/>
  <c r="F25" i="6"/>
  <c r="F27" i="6" s="1"/>
  <c r="G25" i="6"/>
  <c r="G27" i="6" s="1"/>
  <c r="F83" i="6"/>
  <c r="F79" i="6"/>
  <c r="F81" i="6" s="1"/>
  <c r="F65" i="6"/>
  <c r="F63" i="6"/>
  <c r="D16" i="6"/>
  <c r="D70" i="6"/>
  <c r="G74" i="6" s="1"/>
  <c r="G70" i="6"/>
  <c r="F56" i="6"/>
  <c r="F54" i="6"/>
  <c r="G29" i="6"/>
  <c r="F38" i="6"/>
  <c r="F34" i="6"/>
  <c r="F36" i="6" s="1"/>
  <c r="G36" i="6"/>
  <c r="R7" i="2"/>
  <c r="E25" i="3"/>
  <c r="E16" i="3"/>
  <c r="E43" i="3"/>
  <c r="E61" i="3"/>
  <c r="E52" i="3"/>
  <c r="E79" i="3"/>
  <c r="G52" i="3"/>
  <c r="G54" i="3" s="1"/>
  <c r="G43" i="3"/>
  <c r="G45" i="3" s="1"/>
  <c r="G34" i="3"/>
  <c r="G36" i="3" s="1"/>
  <c r="E34" i="3"/>
  <c r="D79" i="3"/>
  <c r="F79" i="3" s="1"/>
  <c r="F81" i="3" s="1"/>
  <c r="J6" i="4"/>
  <c r="K6" i="4"/>
  <c r="K14" i="4" s="1"/>
  <c r="B38" i="4"/>
  <c r="B65" i="4"/>
  <c r="B20" i="4"/>
  <c r="B29" i="4"/>
  <c r="B74" i="4"/>
  <c r="B83" i="4"/>
  <c r="B56" i="4"/>
  <c r="C83" i="4"/>
  <c r="C65" i="4"/>
  <c r="C38" i="4"/>
  <c r="D45" i="4"/>
  <c r="C47" i="4"/>
  <c r="C74" i="4"/>
  <c r="C20" i="4"/>
  <c r="C56" i="4"/>
  <c r="C29" i="4"/>
  <c r="G16" i="3"/>
  <c r="G18" i="3" s="1"/>
  <c r="G25" i="3"/>
  <c r="G27" i="3" s="1"/>
  <c r="G70" i="3"/>
  <c r="G72" i="3" s="1"/>
  <c r="C29" i="2"/>
  <c r="I14" i="2" s="1"/>
  <c r="K16" i="2"/>
  <c r="C47" i="2"/>
  <c r="I17" i="2" s="1"/>
  <c r="C20" i="2"/>
  <c r="I15" i="2" s="1"/>
  <c r="C56" i="2"/>
  <c r="I18" i="2" s="1"/>
  <c r="G45" i="6" l="1"/>
  <c r="F20" i="6"/>
  <c r="F16" i="6"/>
  <c r="F18" i="6" s="1"/>
  <c r="G20" i="6"/>
  <c r="G54" i="6"/>
  <c r="F72" i="6"/>
  <c r="F74" i="6"/>
  <c r="G81" i="6"/>
  <c r="F43" i="6"/>
  <c r="F45" i="6" s="1"/>
  <c r="F47" i="6"/>
  <c r="G16" i="6"/>
  <c r="G47" i="6"/>
  <c r="J16" i="2"/>
  <c r="S16" i="2"/>
  <c r="R16" i="2"/>
  <c r="G79" i="3"/>
  <c r="G81" i="3" s="1"/>
  <c r="E38" i="4"/>
  <c r="E36" i="4" s="1"/>
  <c r="J5" i="4"/>
  <c r="E65" i="4"/>
  <c r="E63" i="4" s="1"/>
  <c r="E56" i="4"/>
  <c r="E54" i="4" s="1"/>
  <c r="J9" i="4"/>
  <c r="E74" i="4"/>
  <c r="E72" i="4" s="1"/>
  <c r="J7" i="4"/>
  <c r="D43" i="4"/>
  <c r="E83" i="4"/>
  <c r="E81" i="4" s="1"/>
  <c r="E29" i="4"/>
  <c r="E27" i="4" s="1"/>
  <c r="J2" i="4"/>
  <c r="J3" i="4"/>
  <c r="J8" i="4"/>
  <c r="E20" i="4"/>
  <c r="E18" i="4" s="1"/>
  <c r="J4" i="4"/>
  <c r="E47" i="4"/>
  <c r="E45" i="4" s="1"/>
  <c r="H16" i="2"/>
  <c r="G16" i="2"/>
  <c r="K14" i="2"/>
  <c r="K18" i="2"/>
  <c r="K15" i="2"/>
  <c r="K17" i="2"/>
  <c r="G18" i="6" l="1"/>
  <c r="G72" i="6"/>
  <c r="J15" i="2"/>
  <c r="S15" i="2"/>
  <c r="R15" i="2"/>
  <c r="J14" i="2"/>
  <c r="R14" i="2"/>
  <c r="J17" i="2"/>
  <c r="S17" i="2"/>
  <c r="R17" i="2"/>
  <c r="J18" i="2"/>
  <c r="S18" i="2"/>
  <c r="R18" i="2"/>
  <c r="G47" i="4"/>
  <c r="E43" i="4"/>
  <c r="G43" i="4"/>
  <c r="K9" i="4"/>
  <c r="K17" i="4" s="1"/>
  <c r="D18" i="4"/>
  <c r="E16" i="4" s="1"/>
  <c r="K3" i="4"/>
  <c r="K11" i="4" s="1"/>
  <c r="D72" i="4"/>
  <c r="E70" i="4" s="1"/>
  <c r="K2" i="4"/>
  <c r="K10" i="4" s="1"/>
  <c r="D81" i="4"/>
  <c r="E79" i="4" s="1"/>
  <c r="K4" i="4"/>
  <c r="K12" i="4" s="1"/>
  <c r="D63" i="4"/>
  <c r="E61" i="4" s="1"/>
  <c r="K8" i="4"/>
  <c r="K16" i="4" s="1"/>
  <c r="D27" i="4"/>
  <c r="E25" i="4" s="1"/>
  <c r="K7" i="4"/>
  <c r="K15" i="4" s="1"/>
  <c r="D36" i="4"/>
  <c r="E34" i="4" s="1"/>
  <c r="F43" i="4"/>
  <c r="M6" i="4"/>
  <c r="F47" i="4"/>
  <c r="K5" i="4"/>
  <c r="K13" i="4" s="1"/>
  <c r="D54" i="4"/>
  <c r="G15" i="2"/>
  <c r="P16" i="2"/>
  <c r="H14" i="2"/>
  <c r="H17" i="2"/>
  <c r="G17" i="2"/>
  <c r="H15" i="2"/>
  <c r="G18" i="2"/>
  <c r="H18" i="2"/>
  <c r="G14" i="2"/>
  <c r="R19" i="2" l="1"/>
  <c r="D34" i="4"/>
  <c r="G34" i="4" s="1"/>
  <c r="N6" i="4"/>
  <c r="F45" i="4"/>
  <c r="P6" i="4" s="1"/>
  <c r="G45" i="4"/>
  <c r="D52" i="4"/>
  <c r="D70" i="4"/>
  <c r="D16" i="4"/>
  <c r="G16" i="4" s="1"/>
  <c r="G20" i="4"/>
  <c r="D25" i="4"/>
  <c r="G29" i="4" s="1"/>
  <c r="D61" i="4"/>
  <c r="D79" i="4"/>
  <c r="E52" i="4"/>
  <c r="P15" i="2"/>
  <c r="P17" i="2"/>
  <c r="P14" i="2"/>
  <c r="P18" i="2"/>
  <c r="N22" i="5"/>
  <c r="N21" i="5"/>
  <c r="G65" i="4" l="1"/>
  <c r="F61" i="4"/>
  <c r="G83" i="4"/>
  <c r="G70" i="4"/>
  <c r="G74" i="4"/>
  <c r="G61" i="4"/>
  <c r="G38" i="4"/>
  <c r="G25" i="4"/>
  <c r="G27" i="4" s="1"/>
  <c r="F83" i="4"/>
  <c r="M2" i="4"/>
  <c r="M5" i="4"/>
  <c r="F56" i="4"/>
  <c r="M4" i="4"/>
  <c r="F65" i="4"/>
  <c r="G79" i="4"/>
  <c r="G52" i="4"/>
  <c r="F74" i="4"/>
  <c r="M3" i="4"/>
  <c r="G56" i="4"/>
  <c r="F25" i="4"/>
  <c r="F29" i="4"/>
  <c r="M8" i="4"/>
  <c r="F16" i="4"/>
  <c r="F20" i="4"/>
  <c r="M9" i="4"/>
  <c r="F34" i="4"/>
  <c r="F38" i="4"/>
  <c r="M7" i="4"/>
  <c r="G63" i="4" l="1"/>
  <c r="G54" i="4"/>
  <c r="G81" i="4"/>
  <c r="F18" i="4"/>
  <c r="P9" i="4" s="1"/>
  <c r="N9" i="4"/>
  <c r="G18" i="4"/>
  <c r="F72" i="4"/>
  <c r="P3" i="4" s="1"/>
  <c r="N3" i="4"/>
  <c r="F54" i="4"/>
  <c r="P5" i="4" s="1"/>
  <c r="N5" i="4"/>
  <c r="N7" i="4"/>
  <c r="F36" i="4"/>
  <c r="P7" i="4" s="1"/>
  <c r="G72" i="4"/>
  <c r="F63" i="4"/>
  <c r="P4" i="4" s="1"/>
  <c r="N4" i="4"/>
  <c r="F27" i="4"/>
  <c r="P8" i="4" s="1"/>
  <c r="N8" i="4"/>
  <c r="G36" i="4"/>
  <c r="F81" i="4"/>
  <c r="P2" i="4" s="1"/>
  <c r="N2" i="4"/>
</calcChain>
</file>

<file path=xl/sharedStrings.xml><?xml version="1.0" encoding="utf-8"?>
<sst xmlns="http://schemas.openxmlformats.org/spreadsheetml/2006/main" count="696" uniqueCount="185">
  <si>
    <t>This Table is for the d Value for NaCl Crystal of various miller indicis and and specifications</t>
  </si>
  <si>
    <t>(100) crystal</t>
  </si>
  <si>
    <t>hkl</t>
  </si>
  <si>
    <t>n=1</t>
  </si>
  <si>
    <t>n=2</t>
  </si>
  <si>
    <t>"002"</t>
  </si>
  <si>
    <t>Theta(alpha)(degree)</t>
  </si>
  <si>
    <t>d-Theat-alpha (Amstrong)</t>
  </si>
  <si>
    <t>Theta(beta) (degree)</t>
  </si>
  <si>
    <t>d-Theat-beta (Amstrong)</t>
  </si>
  <si>
    <t>d-avg (Amstrong)</t>
  </si>
  <si>
    <t>(110) Crystal</t>
  </si>
  <si>
    <t>"022"</t>
  </si>
  <si>
    <t>a-alpha-Amstrong</t>
  </si>
  <si>
    <t>a-beta (Amstrong)</t>
  </si>
  <si>
    <t>(111) Crystal</t>
  </si>
  <si>
    <t>"111"</t>
  </si>
  <si>
    <t>Error (Theta-alpha)</t>
  </si>
  <si>
    <t>error-(Theat-beta)</t>
  </si>
  <si>
    <t>a-avg (Amstrong)</t>
  </si>
  <si>
    <t>Error d (Amstrong)</t>
  </si>
  <si>
    <t>Error a (Amstrong)</t>
  </si>
  <si>
    <t>Caliberation: Dime</t>
  </si>
  <si>
    <t>Length</t>
  </si>
  <si>
    <t>Standard Deviation</t>
  </si>
  <si>
    <t>Average</t>
  </si>
  <si>
    <t>18+/- 0.02</t>
  </si>
  <si>
    <t>pixels</t>
  </si>
  <si>
    <t>mm</t>
  </si>
  <si>
    <t>pixel/mm</t>
  </si>
  <si>
    <t>Point 2</t>
  </si>
  <si>
    <t>Angle</t>
  </si>
  <si>
    <t>Quadrant</t>
  </si>
  <si>
    <t>Avergae</t>
  </si>
  <si>
    <t>In mm</t>
  </si>
  <si>
    <t>Point 1</t>
  </si>
  <si>
    <t>Point 3</t>
  </si>
  <si>
    <t>Point 4</t>
  </si>
  <si>
    <t>Point 5</t>
  </si>
  <si>
    <t>Image 1 used</t>
  </si>
  <si>
    <t>Spot No.</t>
  </si>
  <si>
    <t>y(mm)</t>
  </si>
  <si>
    <t>x(mm)</t>
  </si>
  <si>
    <t>L(mm)</t>
  </si>
  <si>
    <t xml:space="preserve"> h k l</t>
  </si>
  <si>
    <t>k/l</t>
  </si>
  <si>
    <t>y/x</t>
  </si>
  <si>
    <t>Angle wrt x axis</t>
  </si>
  <si>
    <t>Theta(exp)(Degree)</t>
  </si>
  <si>
    <t>Theta(exp)(Radian)</t>
  </si>
  <si>
    <t>Theta (cal) (Degree)</t>
  </si>
  <si>
    <t>Theta (cal) (radians)</t>
  </si>
  <si>
    <t>D</t>
  </si>
  <si>
    <t>a</t>
  </si>
  <si>
    <t>Amstrong</t>
  </si>
  <si>
    <t>d (Amstrong)</t>
  </si>
  <si>
    <t>Error on the values above</t>
  </si>
  <si>
    <t>err_y</t>
  </si>
  <si>
    <t>err_x</t>
  </si>
  <si>
    <t>err_L</t>
  </si>
  <si>
    <t>err_Theta(exp)(Degree)</t>
  </si>
  <si>
    <t>err_Theta(exp)(Radian)</t>
  </si>
  <si>
    <t>err_Theta (cal) (Degree)</t>
  </si>
  <si>
    <t>err_Theta (cal) (radians)</t>
  </si>
  <si>
    <t>err_k/l</t>
  </si>
  <si>
    <t>err_y/x</t>
  </si>
  <si>
    <t>NA</t>
  </si>
  <si>
    <t>err_d (Amstrong)</t>
  </si>
  <si>
    <t>Error</t>
  </si>
  <si>
    <t>Wavelength (exp) (Amstrong)</t>
  </si>
  <si>
    <t>Wavelength (cal) (Amstrong)</t>
  </si>
  <si>
    <t>err_wavelngth (exp)(Asmtrong)</t>
  </si>
  <si>
    <t>err_wavelngth (cal)(Asmtrong)</t>
  </si>
  <si>
    <t>Line 1</t>
  </si>
  <si>
    <t>measurement</t>
  </si>
  <si>
    <t>Angle (degree)</t>
  </si>
  <si>
    <t>err angle (degree)</t>
  </si>
  <si>
    <t>Angle (radians)</t>
  </si>
  <si>
    <t>err angle (radians)</t>
  </si>
  <si>
    <t>line 2</t>
  </si>
  <si>
    <t>line 3</t>
  </si>
  <si>
    <t>line 4</t>
  </si>
  <si>
    <t>line 5</t>
  </si>
  <si>
    <t>line 6</t>
  </si>
  <si>
    <t>line 7</t>
  </si>
  <si>
    <t>line 8</t>
  </si>
  <si>
    <t>sin theta</t>
  </si>
  <si>
    <t>err_sin theta</t>
  </si>
  <si>
    <t>d</t>
  </si>
  <si>
    <t>err_d</t>
  </si>
  <si>
    <t>Average error</t>
  </si>
  <si>
    <t>Q</t>
  </si>
  <si>
    <t>err_ Q</t>
  </si>
  <si>
    <t>line 1</t>
  </si>
  <si>
    <t>Line 8</t>
  </si>
  <si>
    <t>Line No.</t>
  </si>
  <si>
    <t>Arc length (S) (mm)</t>
  </si>
  <si>
    <t>Theta (Degree)</t>
  </si>
  <si>
    <t>Sin Theta</t>
  </si>
  <si>
    <t>Wavelnegth alpha</t>
  </si>
  <si>
    <t>Wavelngth beta</t>
  </si>
  <si>
    <t>Angstrom</t>
  </si>
  <si>
    <t>d_alpha</t>
  </si>
  <si>
    <t>err_d_alpha</t>
  </si>
  <si>
    <t>d_beta</t>
  </si>
  <si>
    <t>err_d_beta</t>
  </si>
  <si>
    <t>d_alpha (Angstorm)</t>
  </si>
  <si>
    <t>d_beta (Angstrom)</t>
  </si>
  <si>
    <t>Theta radians</t>
  </si>
  <si>
    <t>15.65+/- 0.13</t>
  </si>
  <si>
    <t>32.94+/- 0.16</t>
  </si>
  <si>
    <t>22.57+/- 0.16</t>
  </si>
  <si>
    <t>50.51+/-0.20</t>
  </si>
  <si>
    <t>12.84+/-0.25</t>
  </si>
  <si>
    <t>27.33+/-0.21</t>
  </si>
  <si>
    <t>2.007+/-0.010</t>
  </si>
  <si>
    <t>5.677+/-0.028</t>
  </si>
  <si>
    <t>14.07+/-0.19</t>
  </si>
  <si>
    <t>29.36+/-0.14</t>
  </si>
  <si>
    <t>20.27+/-0.16</t>
  </si>
  <si>
    <t>44.12+/-0.20</t>
  </si>
  <si>
    <t>11.56+/-0.26</t>
  </si>
  <si>
    <t>24.39+/-0.25</t>
  </si>
  <si>
    <t>2.862+/-0.002</t>
  </si>
  <si>
    <t>2.8386+/-0.0086</t>
  </si>
  <si>
    <t>1.9997+/-0.0047</t>
  </si>
  <si>
    <t>3.473+/-0.050</t>
  </si>
  <si>
    <t>3.366+/-0.020</t>
  </si>
  <si>
    <t>5.723+/-0.044</t>
  </si>
  <si>
    <t>5.677+/-0.017</t>
  </si>
  <si>
    <t>5.656+/-0.013</t>
  </si>
  <si>
    <t>6.018+/-0.087</t>
  </si>
  <si>
    <t>5.830+/-0.035</t>
  </si>
  <si>
    <t>6.26+/-0.35</t>
  </si>
  <si>
    <t>17.54+/-0.61</t>
  </si>
  <si>
    <t>13.38+/-0.55</t>
  </si>
  <si>
    <t>3.45+/-0.22</t>
  </si>
  <si>
    <t>8.02+/-0.41</t>
  </si>
  <si>
    <t>18.64+/-0.20</t>
  </si>
  <si>
    <t>33.39+/-0.37</t>
  </si>
  <si>
    <t>28.44+/-0.31</t>
  </si>
  <si>
    <t>13.62+/-0.16</t>
  </si>
  <si>
    <t>21.32+/-0.22</t>
  </si>
  <si>
    <t>19.67+/-0.17</t>
  </si>
  <si>
    <t>37.72+/-0.22</t>
  </si>
  <si>
    <t>31.43+/-0.12</t>
  </si>
  <si>
    <t>14.05+/-0.15</t>
  </si>
  <si>
    <t>22.78+/-0.16</t>
  </si>
  <si>
    <t>18.5+/-1.1</t>
  </si>
  <si>
    <t>27.7+/-1.0</t>
  </si>
  <si>
    <t>25.2+/-1.1</t>
  </si>
  <si>
    <t>14.20+/-0.93</t>
  </si>
  <si>
    <t>20.6+/-1.1</t>
  </si>
  <si>
    <t>0.336+/-0.019</t>
  </si>
  <si>
    <t>0.525+/-0.019</t>
  </si>
  <si>
    <t>0.471+/-0.020</t>
  </si>
  <si>
    <t>0.253+/-0.017</t>
  </si>
  <si>
    <t>0.376+/-0.020</t>
  </si>
  <si>
    <t>d (A)</t>
  </si>
  <si>
    <t>1.59+/-0.35</t>
  </si>
  <si>
    <t>1.18+/-0.26</t>
  </si>
  <si>
    <t>1.08+/-0.24</t>
  </si>
  <si>
    <t>1.21+/-0.27</t>
  </si>
  <si>
    <t>0.88+/-0.20</t>
  </si>
  <si>
    <t>T(exp) (Degree)</t>
  </si>
  <si>
    <t>T(cal) (Degree)</t>
  </si>
  <si>
    <t>1.01+/-0.23</t>
  </si>
  <si>
    <t>1.10+/-0.25</t>
  </si>
  <si>
    <t>0.92+/-0.21</t>
  </si>
  <si>
    <t>0.59+/-0.14</t>
  </si>
  <si>
    <t>0.62+/-0.14</t>
  </si>
  <si>
    <t>W(exp) (A)</t>
  </si>
  <si>
    <t>W(cal) (A)</t>
  </si>
  <si>
    <t>0.96+/-0.21</t>
  </si>
  <si>
    <t>1.06+/-0.11</t>
  </si>
  <si>
    <t>0.75+/-0.39</t>
  </si>
  <si>
    <t>0.56+/-0.47</t>
  </si>
  <si>
    <t>0.59+/-0.34</t>
  </si>
  <si>
    <t>T- Test</t>
  </si>
  <si>
    <t>T-Test</t>
  </si>
  <si>
    <t>Angle Caliberation</t>
  </si>
  <si>
    <t>std</t>
  </si>
  <si>
    <t>length</t>
  </si>
  <si>
    <t>average</t>
  </si>
  <si>
    <t>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</si>
</sst>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4DDE8-6462-4430-8B39-26E9C699701F}">
  <dimension ref="A1:N39"/>
  <sheetViews>
    <sheetView topLeftCell="A13" zoomScale="84" workbookViewId="0">
      <selection activeCell="E6" sqref="E6"/>
    </sheetView>
  </sheetViews>
  <sheetFormatPr defaultRowHeight="14.4" x14ac:dyDescent="0.55000000000000004"/>
  <cols>
    <col min="1" max="1" width="11.3671875" customWidth="1"/>
    <col min="3" max="4" width="19.1015625" customWidth="1"/>
    <col min="5" max="6" width="21.1015625" customWidth="1"/>
    <col min="7" max="8" width="18.734375" customWidth="1"/>
    <col min="9" max="10" width="20.83984375" customWidth="1"/>
    <col min="11" max="11" width="14.62890625" customWidth="1"/>
    <col min="12" max="12" width="17.7890625" customWidth="1"/>
    <col min="13" max="13" width="16.5234375" customWidth="1"/>
    <col min="14" max="14" width="15.89453125" customWidth="1"/>
  </cols>
  <sheetData>
    <row r="1" spans="1:14" x14ac:dyDescent="0.55000000000000004">
      <c r="A1" t="s">
        <v>0</v>
      </c>
    </row>
    <row r="3" spans="1:14" x14ac:dyDescent="0.55000000000000004">
      <c r="B3" t="s">
        <v>2</v>
      </c>
      <c r="C3" t="s">
        <v>6</v>
      </c>
      <c r="D3" t="s">
        <v>17</v>
      </c>
      <c r="E3" t="s">
        <v>7</v>
      </c>
      <c r="F3" t="s">
        <v>13</v>
      </c>
      <c r="G3" t="s">
        <v>8</v>
      </c>
      <c r="H3" t="s">
        <v>18</v>
      </c>
      <c r="I3" t="s">
        <v>9</v>
      </c>
      <c r="J3" t="s">
        <v>14</v>
      </c>
      <c r="K3" t="s">
        <v>10</v>
      </c>
      <c r="L3" t="s">
        <v>19</v>
      </c>
      <c r="M3" t="s">
        <v>20</v>
      </c>
      <c r="N3" t="s">
        <v>21</v>
      </c>
    </row>
    <row r="4" spans="1:14" x14ac:dyDescent="0.55000000000000004">
      <c r="A4" t="s">
        <v>1</v>
      </c>
    </row>
    <row r="6" spans="1:14" x14ac:dyDescent="0.55000000000000004">
      <c r="A6" t="s">
        <v>3</v>
      </c>
      <c r="B6" t="s">
        <v>5</v>
      </c>
      <c r="C6">
        <v>15.65</v>
      </c>
      <c r="D6">
        <v>0.13450000000000001</v>
      </c>
      <c r="E6">
        <v>2.8588</v>
      </c>
      <c r="F6">
        <v>5.7175000000000002</v>
      </c>
      <c r="G6">
        <v>14.07</v>
      </c>
      <c r="H6">
        <v>0.18579999999999999</v>
      </c>
      <c r="I6">
        <v>2.8647999999999998</v>
      </c>
      <c r="J6">
        <v>5.7297000000000002</v>
      </c>
      <c r="K6">
        <f>(I6+E6)/2</f>
        <v>2.8617999999999997</v>
      </c>
      <c r="L6">
        <f>(J6+F6)/2</f>
        <v>5.7236000000000002</v>
      </c>
      <c r="M6">
        <v>2.2074E-2</v>
      </c>
      <c r="N6">
        <v>4.4148E-2</v>
      </c>
    </row>
    <row r="7" spans="1:14" x14ac:dyDescent="0.55000000000000004">
      <c r="A7" t="s">
        <v>4</v>
      </c>
      <c r="B7" t="s">
        <v>5</v>
      </c>
      <c r="C7">
        <v>32.94</v>
      </c>
      <c r="D7">
        <v>0.15920000000000001</v>
      </c>
      <c r="E7">
        <v>2.8369</v>
      </c>
      <c r="F7">
        <v>5.6738</v>
      </c>
      <c r="G7">
        <v>29.36</v>
      </c>
      <c r="H7">
        <v>0.13700000000000001</v>
      </c>
      <c r="I7">
        <v>2.8403</v>
      </c>
      <c r="J7">
        <v>5.6806999999999999</v>
      </c>
      <c r="K7">
        <f>(I7+E7)/2</f>
        <v>2.8386</v>
      </c>
      <c r="L7">
        <f>(J7+F7)/2</f>
        <v>5.6772499999999999</v>
      </c>
      <c r="M7">
        <v>8.5681999999999998E-3</v>
      </c>
      <c r="N7">
        <v>1.7135999999999998E-2</v>
      </c>
    </row>
    <row r="9" spans="1:14" x14ac:dyDescent="0.55000000000000004">
      <c r="A9" t="s">
        <v>11</v>
      </c>
    </row>
    <row r="11" spans="1:14" x14ac:dyDescent="0.55000000000000004">
      <c r="A11" t="s">
        <v>3</v>
      </c>
      <c r="B11" t="s">
        <v>12</v>
      </c>
      <c r="C11">
        <v>22.57</v>
      </c>
      <c r="D11">
        <v>0.1593</v>
      </c>
      <c r="E11">
        <v>2.0072000000000001</v>
      </c>
      <c r="F11">
        <v>5.6764999999999999</v>
      </c>
      <c r="G11">
        <v>20.27</v>
      </c>
      <c r="H11">
        <v>0.15740000000000001</v>
      </c>
      <c r="I11">
        <v>2.0068999999999999</v>
      </c>
      <c r="J11">
        <v>5.6764999999999999</v>
      </c>
      <c r="K11">
        <f>(I11+E11)/2</f>
        <v>2.00705</v>
      </c>
      <c r="L11">
        <f>(J11+F11)/2</f>
        <v>5.6764999999999999</v>
      </c>
      <c r="M11">
        <v>1.0024E-2</v>
      </c>
      <c r="N11">
        <v>2.8351999999999999E-2</v>
      </c>
    </row>
    <row r="12" spans="1:14" x14ac:dyDescent="0.55000000000000004">
      <c r="A12" t="s">
        <v>4</v>
      </c>
      <c r="B12" t="s">
        <v>12</v>
      </c>
      <c r="C12">
        <v>50.51</v>
      </c>
      <c r="D12">
        <v>0.20300000000000001</v>
      </c>
      <c r="E12">
        <v>1.9991000000000001</v>
      </c>
      <c r="F12">
        <v>5.6543000000000001</v>
      </c>
      <c r="G12">
        <v>44.12</v>
      </c>
      <c r="H12">
        <v>0.2016</v>
      </c>
      <c r="I12">
        <v>2.0003000000000002</v>
      </c>
      <c r="J12">
        <v>5.6576000000000004</v>
      </c>
      <c r="K12">
        <f>(I12+E12)/2</f>
        <v>1.9997000000000003</v>
      </c>
      <c r="L12">
        <f>(J12+F12)/2</f>
        <v>5.6559500000000007</v>
      </c>
      <c r="M12">
        <v>4.6566999999999997E-3</v>
      </c>
      <c r="N12">
        <v>1.3171E-2</v>
      </c>
    </row>
    <row r="14" spans="1:14" x14ac:dyDescent="0.55000000000000004">
      <c r="A14" t="s">
        <v>15</v>
      </c>
    </row>
    <row r="16" spans="1:14" x14ac:dyDescent="0.55000000000000004">
      <c r="A16" t="s">
        <v>3</v>
      </c>
      <c r="B16" t="s">
        <v>16</v>
      </c>
      <c r="C16">
        <v>12.84</v>
      </c>
      <c r="D16">
        <v>0.2495</v>
      </c>
      <c r="E16">
        <v>3.4716999999999998</v>
      </c>
      <c r="F16">
        <v>6.0186000000000002</v>
      </c>
      <c r="G16">
        <v>11.56</v>
      </c>
      <c r="H16">
        <v>0.25679999999999997</v>
      </c>
      <c r="I16">
        <v>3.4748000000000001</v>
      </c>
      <c r="J16">
        <v>6.0186000000000002</v>
      </c>
      <c r="K16">
        <f>(I16+E16)/2</f>
        <v>3.4732500000000002</v>
      </c>
      <c r="L16">
        <f>(J16+F16)/2</f>
        <v>6.0186000000000002</v>
      </c>
      <c r="M16">
        <v>5.0488999999999999E-2</v>
      </c>
      <c r="N16">
        <v>8.7448999999999999E-2</v>
      </c>
    </row>
    <row r="17" spans="1:14" x14ac:dyDescent="0.55000000000000004">
      <c r="A17" t="s">
        <v>4</v>
      </c>
      <c r="B17" t="s">
        <v>16</v>
      </c>
      <c r="C17">
        <v>27.33</v>
      </c>
      <c r="D17">
        <v>0.2137</v>
      </c>
      <c r="E17">
        <v>3.3601999999999999</v>
      </c>
      <c r="F17">
        <v>5.8201000000000001</v>
      </c>
      <c r="G17">
        <v>24.39</v>
      </c>
      <c r="H17">
        <v>0.24759999999999999</v>
      </c>
      <c r="I17">
        <v>3.3717000000000001</v>
      </c>
      <c r="J17">
        <v>5.84</v>
      </c>
      <c r="K17">
        <f>(I17+E17)/2</f>
        <v>3.3659499999999998</v>
      </c>
      <c r="L17">
        <f>(J17+F17)/2</f>
        <v>5.83005</v>
      </c>
      <c r="M17">
        <v>2.0126000000000002E-2</v>
      </c>
      <c r="N17">
        <v>3.4860000000000002E-2</v>
      </c>
    </row>
    <row r="20" spans="1:14" x14ac:dyDescent="0.55000000000000004">
      <c r="M20" t="s">
        <v>68</v>
      </c>
    </row>
    <row r="21" spans="1:14" x14ac:dyDescent="0.55000000000000004">
      <c r="K21" t="s">
        <v>53</v>
      </c>
      <c r="L21">
        <f>(F6+F7+F11+F12+F16+F17+F6+F7+F11+F12+F16+F17)/12</f>
        <v>5.7601333333333331</v>
      </c>
      <c r="M21">
        <f>(SQRT((M6*M6)+(M12*M12)+(M17*M17)+(M11*M11)+(M7*M7)+(M16*M16)))/12</f>
        <v>5.0256536025523315E-3</v>
      </c>
    </row>
    <row r="25" spans="1:14" x14ac:dyDescent="0.55000000000000004">
      <c r="B25" t="s">
        <v>2</v>
      </c>
      <c r="C25" t="s">
        <v>6</v>
      </c>
      <c r="D25" t="s">
        <v>7</v>
      </c>
      <c r="E25" t="s">
        <v>13</v>
      </c>
      <c r="F25" t="s">
        <v>8</v>
      </c>
      <c r="G25" t="s">
        <v>9</v>
      </c>
      <c r="H25" t="s">
        <v>14</v>
      </c>
      <c r="I25" t="s">
        <v>10</v>
      </c>
      <c r="J25" t="s">
        <v>19</v>
      </c>
    </row>
    <row r="26" spans="1:14" x14ac:dyDescent="0.55000000000000004">
      <c r="A26" t="s">
        <v>1</v>
      </c>
    </row>
    <row r="28" spans="1:14" x14ac:dyDescent="0.55000000000000004">
      <c r="A28" t="s">
        <v>3</v>
      </c>
      <c r="B28" t="s">
        <v>5</v>
      </c>
      <c r="C28" t="s">
        <v>109</v>
      </c>
      <c r="D28">
        <v>2.8588</v>
      </c>
      <c r="E28">
        <v>5.7175000000000002</v>
      </c>
      <c r="F28" t="s">
        <v>117</v>
      </c>
      <c r="G28">
        <v>2.8647999999999998</v>
      </c>
      <c r="H28">
        <v>5.7297000000000002</v>
      </c>
      <c r="I28" t="s">
        <v>123</v>
      </c>
      <c r="J28" t="s">
        <v>128</v>
      </c>
    </row>
    <row r="29" spans="1:14" x14ac:dyDescent="0.55000000000000004">
      <c r="A29" t="s">
        <v>4</v>
      </c>
      <c r="B29" t="s">
        <v>5</v>
      </c>
      <c r="C29" t="s">
        <v>110</v>
      </c>
      <c r="D29">
        <v>2.8369</v>
      </c>
      <c r="E29">
        <v>5.6738</v>
      </c>
      <c r="F29" t="s">
        <v>118</v>
      </c>
      <c r="G29">
        <v>2.8403</v>
      </c>
      <c r="H29">
        <v>5.6806999999999999</v>
      </c>
      <c r="I29" t="s">
        <v>124</v>
      </c>
      <c r="J29" t="s">
        <v>129</v>
      </c>
    </row>
    <row r="31" spans="1:14" x14ac:dyDescent="0.55000000000000004">
      <c r="A31" t="s">
        <v>11</v>
      </c>
    </row>
    <row r="33" spans="1:10" x14ac:dyDescent="0.55000000000000004">
      <c r="A33" t="s">
        <v>3</v>
      </c>
      <c r="B33" t="s">
        <v>12</v>
      </c>
      <c r="C33" t="s">
        <v>111</v>
      </c>
      <c r="D33">
        <v>2.0072000000000001</v>
      </c>
      <c r="E33">
        <v>5.6764999999999999</v>
      </c>
      <c r="F33" t="s">
        <v>119</v>
      </c>
      <c r="G33">
        <v>2.0068999999999999</v>
      </c>
      <c r="H33">
        <v>5.6764999999999999</v>
      </c>
      <c r="I33" t="s">
        <v>115</v>
      </c>
      <c r="J33" t="s">
        <v>116</v>
      </c>
    </row>
    <row r="34" spans="1:10" x14ac:dyDescent="0.55000000000000004">
      <c r="A34" t="s">
        <v>4</v>
      </c>
      <c r="B34" t="s">
        <v>12</v>
      </c>
      <c r="C34" t="s">
        <v>112</v>
      </c>
      <c r="D34">
        <v>1.9991000000000001</v>
      </c>
      <c r="E34">
        <v>5.6543000000000001</v>
      </c>
      <c r="F34" t="s">
        <v>120</v>
      </c>
      <c r="G34">
        <v>2.0003000000000002</v>
      </c>
      <c r="H34">
        <v>5.6576000000000004</v>
      </c>
      <c r="I34" t="s">
        <v>125</v>
      </c>
      <c r="J34" t="s">
        <v>130</v>
      </c>
    </row>
    <row r="36" spans="1:10" x14ac:dyDescent="0.55000000000000004">
      <c r="A36" t="s">
        <v>15</v>
      </c>
    </row>
    <row r="38" spans="1:10" x14ac:dyDescent="0.55000000000000004">
      <c r="A38" t="s">
        <v>3</v>
      </c>
      <c r="B38" t="s">
        <v>16</v>
      </c>
      <c r="C38" t="s">
        <v>113</v>
      </c>
      <c r="D38">
        <v>3.4716999999999998</v>
      </c>
      <c r="E38">
        <v>6.0186000000000002</v>
      </c>
      <c r="F38" t="s">
        <v>121</v>
      </c>
      <c r="G38">
        <v>3.4748000000000001</v>
      </c>
      <c r="H38">
        <v>6.0186000000000002</v>
      </c>
      <c r="I38" t="s">
        <v>126</v>
      </c>
      <c r="J38" t="s">
        <v>131</v>
      </c>
    </row>
    <row r="39" spans="1:10" x14ac:dyDescent="0.55000000000000004">
      <c r="A39" t="s">
        <v>4</v>
      </c>
      <c r="B39" t="s">
        <v>16</v>
      </c>
      <c r="C39" t="s">
        <v>114</v>
      </c>
      <c r="D39">
        <v>3.3601999999999999</v>
      </c>
      <c r="E39">
        <v>5.8201000000000001</v>
      </c>
      <c r="F39" t="s">
        <v>122</v>
      </c>
      <c r="G39">
        <v>3.3717000000000001</v>
      </c>
      <c r="H39">
        <v>5.84</v>
      </c>
      <c r="I39" t="s">
        <v>127</v>
      </c>
      <c r="J39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F8DB-5834-4C95-9476-D851C11E6E21}">
  <dimension ref="A1:T56"/>
  <sheetViews>
    <sheetView zoomScale="96" workbookViewId="0">
      <selection activeCell="Q3" sqref="Q3"/>
    </sheetView>
  </sheetViews>
  <sheetFormatPr defaultRowHeight="14.4" x14ac:dyDescent="0.55000000000000004"/>
  <cols>
    <col min="1" max="1" width="14.47265625" customWidth="1"/>
    <col min="2" max="2" width="8.89453125" bestFit="1" customWidth="1"/>
    <col min="3" max="3" width="15.89453125" customWidth="1"/>
    <col min="4" max="4" width="8.89453125" bestFit="1" customWidth="1"/>
    <col min="5" max="5" width="13.62890625" customWidth="1"/>
    <col min="6" max="6" width="5.15625" customWidth="1"/>
    <col min="7" max="7" width="7.26171875" customWidth="1"/>
    <col min="8" max="8" width="6.89453125" customWidth="1"/>
    <col min="9" max="9" width="7.5234375" customWidth="1"/>
    <col min="10" max="10" width="7.734375" customWidth="1"/>
    <col min="11" max="11" width="10" customWidth="1"/>
    <col min="12" max="12" width="7.41796875" customWidth="1"/>
    <col min="13" max="13" width="5.05078125" customWidth="1"/>
    <col min="14" max="14" width="6.83984375" customWidth="1"/>
    <col min="15" max="15" width="6.5234375" customWidth="1"/>
    <col min="16" max="16" width="6.26171875" customWidth="1"/>
    <col min="17" max="17" width="6.47265625" customWidth="1"/>
    <col min="18" max="18" width="27" customWidth="1"/>
    <col min="19" max="19" width="26.47265625" customWidth="1"/>
    <col min="20" max="20" width="15.3125" customWidth="1"/>
  </cols>
  <sheetData>
    <row r="1" spans="1:20" ht="72" x14ac:dyDescent="0.55000000000000004">
      <c r="A1" t="s">
        <v>39</v>
      </c>
      <c r="B1" t="s">
        <v>22</v>
      </c>
      <c r="D1" t="s">
        <v>26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48</v>
      </c>
      <c r="K1" s="4" t="s">
        <v>49</v>
      </c>
      <c r="L1" s="4" t="s">
        <v>44</v>
      </c>
      <c r="M1" s="4" t="s">
        <v>50</v>
      </c>
      <c r="N1" s="4" t="s">
        <v>51</v>
      </c>
      <c r="O1" s="4" t="s">
        <v>45</v>
      </c>
      <c r="P1" s="4" t="s">
        <v>46</v>
      </c>
      <c r="Q1" s="4" t="s">
        <v>55</v>
      </c>
      <c r="R1" s="4" t="s">
        <v>69</v>
      </c>
      <c r="S1" s="4" t="s">
        <v>70</v>
      </c>
      <c r="T1" s="4" t="s">
        <v>179</v>
      </c>
    </row>
    <row r="2" spans="1:20" x14ac:dyDescent="0.55000000000000004">
      <c r="F2" s="4">
        <v>1</v>
      </c>
      <c r="G2" s="4">
        <v>6.2569364583579254</v>
      </c>
      <c r="H2" s="4">
        <v>18.64412174086846</v>
      </c>
      <c r="I2" s="4">
        <v>19.666024746558534</v>
      </c>
      <c r="J2" s="4">
        <v>18.551667559415034</v>
      </c>
      <c r="K2" s="4">
        <v>0.32378768064721308</v>
      </c>
      <c r="L2" s="4">
        <v>113</v>
      </c>
      <c r="M2" s="4">
        <v>17.5484006137923</v>
      </c>
      <c r="N2" s="4">
        <v>0.30627736916966947</v>
      </c>
      <c r="O2" s="4">
        <v>0.33333333333333331</v>
      </c>
      <c r="P2" s="4">
        <v>0.3355983481186211</v>
      </c>
      <c r="Q2" s="4">
        <v>1.591045214202401</v>
      </c>
      <c r="R2" s="4">
        <v>1.0124129239063415</v>
      </c>
      <c r="S2" s="4">
        <v>0.95943636363636375</v>
      </c>
      <c r="T2">
        <f>(ABS(R2-S2))/SQRT((R14*R14)+(S14*S14))</f>
        <v>0.16741610279194527</v>
      </c>
    </row>
    <row r="3" spans="1:20" x14ac:dyDescent="0.55000000000000004">
      <c r="B3" t="s">
        <v>23</v>
      </c>
      <c r="C3" t="s">
        <v>24</v>
      </c>
      <c r="F3" s="4">
        <v>2</v>
      </c>
      <c r="G3" s="4">
        <v>17.537103687180796</v>
      </c>
      <c r="H3" s="4">
        <v>33.390082626904785</v>
      </c>
      <c r="I3" s="4">
        <v>37.715349972742651</v>
      </c>
      <c r="J3" s="4">
        <v>27.709305640981565</v>
      </c>
      <c r="K3" s="4">
        <v>0.4836186168765661</v>
      </c>
      <c r="L3" s="4">
        <v>204</v>
      </c>
      <c r="M3" s="4">
        <v>26.56505117707799</v>
      </c>
      <c r="N3" s="4">
        <v>0.46364760900080609</v>
      </c>
      <c r="O3" s="4">
        <v>0</v>
      </c>
      <c r="P3" s="4">
        <v>0.52521893650691043</v>
      </c>
      <c r="Q3" s="4">
        <v>1.1799507110468641</v>
      </c>
      <c r="R3" s="4">
        <v>1.0973207450200828</v>
      </c>
      <c r="S3" s="4">
        <v>1.05538</v>
      </c>
      <c r="T3">
        <f t="shared" ref="T3:T6" si="0">(ABS(R3-S3))/SQRT((R15*R15)+(S15*S15))</f>
        <v>0.15364154543988831</v>
      </c>
    </row>
    <row r="4" spans="1:20" x14ac:dyDescent="0.55000000000000004">
      <c r="B4">
        <v>496.63299999999998</v>
      </c>
      <c r="C4">
        <v>0</v>
      </c>
      <c r="F4" s="4">
        <v>3</v>
      </c>
      <c r="G4" s="4">
        <v>13.379972271929192</v>
      </c>
      <c r="H4" s="4">
        <v>28.435379510595766</v>
      </c>
      <c r="I4" s="4">
        <v>31.426015749840186</v>
      </c>
      <c r="J4" s="4">
        <v>25.198842506745052</v>
      </c>
      <c r="K4" s="4">
        <v>0.43980276943420255</v>
      </c>
      <c r="L4" s="4">
        <v>224</v>
      </c>
      <c r="M4" s="4">
        <v>24.094842552110705</v>
      </c>
      <c r="N4" s="4">
        <v>0.42053433528396522</v>
      </c>
      <c r="O4" s="4">
        <v>0.5</v>
      </c>
      <c r="P4" s="4">
        <v>0.47053960601944717</v>
      </c>
      <c r="Q4" s="4">
        <v>1.0771427019743796</v>
      </c>
      <c r="R4" s="4">
        <v>0.91721073393793984</v>
      </c>
      <c r="S4" s="4">
        <v>0.74889942825053823</v>
      </c>
      <c r="T4">
        <f t="shared" si="0"/>
        <v>0.37992516246407937</v>
      </c>
    </row>
    <row r="5" spans="1:20" x14ac:dyDescent="0.55000000000000004">
      <c r="B5">
        <v>506.23500000000001</v>
      </c>
      <c r="C5">
        <v>6.3929999999999998</v>
      </c>
      <c r="F5" s="4">
        <v>4</v>
      </c>
      <c r="G5" s="4">
        <v>3.4467741216834296</v>
      </c>
      <c r="H5" s="4">
        <v>13.624931036144233</v>
      </c>
      <c r="I5" s="4">
        <v>14.054145210064998</v>
      </c>
      <c r="J5" s="4">
        <v>14.196587439064805</v>
      </c>
      <c r="K5" s="4">
        <v>0.24777719335895071</v>
      </c>
      <c r="L5" s="4">
        <v>133</v>
      </c>
      <c r="M5" s="4">
        <v>13.262676008304846</v>
      </c>
      <c r="N5" s="4">
        <v>0.23147736397017837</v>
      </c>
      <c r="O5" s="4">
        <v>1</v>
      </c>
      <c r="P5" s="4">
        <v>0.252975527915688</v>
      </c>
      <c r="Q5" s="4">
        <v>1.2106038860615673</v>
      </c>
      <c r="R5" s="4">
        <v>0.59380034626340783</v>
      </c>
      <c r="S5" s="4">
        <v>0.55546315789473688</v>
      </c>
      <c r="T5">
        <f t="shared" si="0"/>
        <v>7.8245183530885387E-2</v>
      </c>
    </row>
    <row r="6" spans="1:20" x14ac:dyDescent="0.55000000000000004">
      <c r="B6">
        <v>505.65</v>
      </c>
      <c r="C6">
        <v>5.077</v>
      </c>
      <c r="F6" s="4">
        <v>5</v>
      </c>
      <c r="G6" s="4">
        <v>8.0175183056221222</v>
      </c>
      <c r="H6" s="4">
        <v>21.31921765020331</v>
      </c>
      <c r="I6" s="4">
        <v>22.776954164192503</v>
      </c>
      <c r="J6" s="4">
        <v>20.609774745088981</v>
      </c>
      <c r="K6" s="4">
        <v>0.35970842739617775</v>
      </c>
      <c r="L6" s="4">
        <v>244</v>
      </c>
      <c r="M6" s="4">
        <v>19.471220634490692</v>
      </c>
      <c r="N6" s="4">
        <v>0.33983690945412193</v>
      </c>
      <c r="O6" s="4">
        <v>1</v>
      </c>
      <c r="P6" s="4">
        <v>0.37607000581213462</v>
      </c>
      <c r="Q6" s="4">
        <v>0.87948333333333339</v>
      </c>
      <c r="R6" s="4">
        <v>0.61915861740415001</v>
      </c>
      <c r="S6" s="4">
        <v>0.58632222222222219</v>
      </c>
      <c r="T6">
        <f t="shared" si="0"/>
        <v>8.9151015668981745E-2</v>
      </c>
    </row>
    <row r="7" spans="1:20" x14ac:dyDescent="0.55000000000000004">
      <c r="B7">
        <v>500.34</v>
      </c>
      <c r="C7">
        <v>7.9980000000000002</v>
      </c>
      <c r="Q7" t="s">
        <v>33</v>
      </c>
      <c r="R7">
        <f>AVERAGE(R2:R6)</f>
        <v>0.84798067330638438</v>
      </c>
    </row>
    <row r="8" spans="1:20" x14ac:dyDescent="0.55000000000000004">
      <c r="B8">
        <v>498.72300000000001</v>
      </c>
      <c r="C8">
        <v>4.4660000000000002</v>
      </c>
      <c r="G8" t="s">
        <v>52</v>
      </c>
      <c r="H8">
        <v>26</v>
      </c>
      <c r="I8">
        <v>2</v>
      </c>
      <c r="J8" t="s">
        <v>28</v>
      </c>
    </row>
    <row r="9" spans="1:20" x14ac:dyDescent="0.55000000000000004">
      <c r="A9" t="s">
        <v>25</v>
      </c>
      <c r="B9">
        <f>AVERAGE(B4:B8)</f>
        <v>501.51620000000003</v>
      </c>
      <c r="C9" s="2">
        <f>SQRT((C4*C4)+(C5*C5)+(C6*C6)+(C7*C7)+(C8*C8))/5</f>
        <v>2.4540540988331943</v>
      </c>
      <c r="D9" t="s">
        <v>27</v>
      </c>
      <c r="G9" t="s">
        <v>53</v>
      </c>
      <c r="H9">
        <v>5.2769000000000004</v>
      </c>
      <c r="I9">
        <v>1.17815</v>
      </c>
      <c r="J9" t="s">
        <v>54</v>
      </c>
    </row>
    <row r="10" spans="1:20" x14ac:dyDescent="0.55000000000000004">
      <c r="B10">
        <v>18</v>
      </c>
      <c r="C10">
        <v>0.02</v>
      </c>
      <c r="D10" t="s">
        <v>28</v>
      </c>
    </row>
    <row r="11" spans="1:20" x14ac:dyDescent="0.55000000000000004">
      <c r="A11" t="s">
        <v>29</v>
      </c>
      <c r="B11">
        <f>B9/B10</f>
        <v>27.862011111111112</v>
      </c>
      <c r="C11" s="3">
        <f>SQRT(POWER((C9/B10),2)+POWER(((B9*C10)/(B10*B10)),2))</f>
        <v>0.139806945654637</v>
      </c>
      <c r="F11" t="s">
        <v>56</v>
      </c>
    </row>
    <row r="13" spans="1:20" x14ac:dyDescent="0.55000000000000004">
      <c r="A13" t="s">
        <v>30</v>
      </c>
      <c r="F13" t="s">
        <v>40</v>
      </c>
      <c r="G13" t="s">
        <v>57</v>
      </c>
      <c r="H13" t="s">
        <v>58</v>
      </c>
      <c r="I13" t="s">
        <v>59</v>
      </c>
      <c r="J13" t="s">
        <v>60</v>
      </c>
      <c r="K13" t="s">
        <v>61</v>
      </c>
      <c r="M13" t="s">
        <v>62</v>
      </c>
      <c r="N13" t="s">
        <v>63</v>
      </c>
      <c r="O13" t="s">
        <v>64</v>
      </c>
      <c r="P13" t="s">
        <v>65</v>
      </c>
      <c r="Q13" t="s">
        <v>67</v>
      </c>
      <c r="R13" t="s">
        <v>71</v>
      </c>
      <c r="S13" t="s">
        <v>72</v>
      </c>
    </row>
    <row r="14" spans="1:20" x14ac:dyDescent="0.55000000000000004">
      <c r="A14" t="s">
        <v>32</v>
      </c>
      <c r="B14" t="s">
        <v>23</v>
      </c>
      <c r="C14" t="s">
        <v>24</v>
      </c>
      <c r="D14" t="s">
        <v>31</v>
      </c>
      <c r="F14">
        <v>1</v>
      </c>
      <c r="G14">
        <f>SQRT((POWER($I14*SIN($K2),2))+((POWER(($K14*$I2*COS($K2)),2))))</f>
        <v>0.35106348300855367</v>
      </c>
      <c r="H14">
        <f>SQRT((POWER($I14*COS($K2),2))+((POWER(($K14*$I2*SIN($K2)),2))))</f>
        <v>0.19569921870970627</v>
      </c>
      <c r="I14">
        <f>C29</f>
        <v>0.16588124642533542</v>
      </c>
      <c r="J14">
        <f>(K14*180)/PI()</f>
        <v>1.0666021809475421</v>
      </c>
      <c r="K14">
        <f>(SQRT(($H$8*$H$8*I14*I14)+(I2*I2*$I$8*$I$8)))/(2*((I2*I2)+($H$8*$H$8)))</f>
        <v>1.8615719866486941E-2</v>
      </c>
      <c r="M14" t="s">
        <v>66</v>
      </c>
      <c r="N14" t="s">
        <v>66</v>
      </c>
      <c r="O14" t="s">
        <v>66</v>
      </c>
      <c r="P14">
        <f>SQRT(POWER((G14/H2),2)+POWER(((H14*G2)/(H2*H2)),2))</f>
        <v>1.9156384161696238E-2</v>
      </c>
      <c r="Q14">
        <f>$I$9/(SQRT(1+1+9))</f>
        <v>0.35522559061429221</v>
      </c>
      <c r="R14">
        <f>SQRT((POWER((2*$Q14*SIN(K2)),2))+ (POWER((2*$K14*$Q2*COS(K2)),2)))</f>
        <v>0.23290878839867996</v>
      </c>
      <c r="S14">
        <f>SQRT((POWER((2*$Q14*SIN(N2)),2)))</f>
        <v>0.2142090909090909</v>
      </c>
    </row>
    <row r="15" spans="1:20" x14ac:dyDescent="0.55000000000000004">
      <c r="A15">
        <v>1</v>
      </c>
      <c r="B15">
        <v>1141.627</v>
      </c>
      <c r="C15">
        <v>6.76</v>
      </c>
      <c r="D15">
        <v>-146.86699999999999</v>
      </c>
      <c r="F15">
        <v>2</v>
      </c>
      <c r="G15">
        <f t="shared" ref="G15:G18" si="1">SQRT((POWER($I15*SIN($K3),2))+((POWER(($K15*$I3*COS($K3)),2))))</f>
        <v>0.61067966248306915</v>
      </c>
      <c r="H15">
        <f t="shared" ref="H15:H18" si="2">SQRT((POWER($I15*COS($K3),2))+((POWER(($K15*$I3*SIN($K3)),2))))</f>
        <v>0.3723237015198107</v>
      </c>
      <c r="I15">
        <f>C20</f>
        <v>0.2221917871883988</v>
      </c>
      <c r="J15">
        <f t="shared" ref="J15:J18" si="3">(K15*180)/PI()</f>
        <v>1.0327913714557504</v>
      </c>
      <c r="K15">
        <f t="shared" ref="K15:K18" si="4">(SQRT(($H$8*$H$8*I15*I15)+(I3*I3*$I$8*$I$8)))/(2*((I3*I3)+($H$8*$H$8)))</f>
        <v>1.8025609918090626E-2</v>
      </c>
      <c r="M15" t="s">
        <v>66</v>
      </c>
      <c r="N15" t="s">
        <v>66</v>
      </c>
      <c r="O15" t="s">
        <v>66</v>
      </c>
      <c r="P15">
        <f t="shared" ref="P15:P18" si="5">SQRT(POWER((G15/H3),2)+POWER(((H15*G3)/(H3*H3)),2))</f>
        <v>1.9204067704087887E-2</v>
      </c>
      <c r="Q15">
        <f>$I$9/(SQRT(4+0+16))</f>
        <v>0.26344234876913769</v>
      </c>
      <c r="R15">
        <f t="shared" ref="R15:R18" si="6">SQRT((POWER((2*$Q15*SIN(K3)),2))+ (POWER((2*$K15*$Q3*COS(K3)),2)))</f>
        <v>0.24787157350431993</v>
      </c>
      <c r="S15">
        <f t="shared" ref="S15:S18" si="7">SQRT((POWER((2*$Q15*SIN(L3)),2))+ (POWER((2*$K15*$Q3*COS(L3)),2)))</f>
        <v>0.11435301455466204</v>
      </c>
    </row>
    <row r="16" spans="1:20" x14ac:dyDescent="0.55000000000000004">
      <c r="A16">
        <v>2</v>
      </c>
      <c r="B16">
        <v>1022.9059999999999</v>
      </c>
      <c r="C16">
        <v>4.8150000000000004</v>
      </c>
      <c r="D16">
        <v>-56.807000000000002</v>
      </c>
      <c r="F16">
        <v>3</v>
      </c>
      <c r="G16">
        <f t="shared" si="1"/>
        <v>0.54546350552421097</v>
      </c>
      <c r="H16">
        <f t="shared" si="2"/>
        <v>0.31021578897344698</v>
      </c>
      <c r="I16">
        <f>C38</f>
        <v>0.19746223484362549</v>
      </c>
      <c r="J16">
        <f t="shared" si="3"/>
        <v>1.0859468014576625</v>
      </c>
      <c r="K16">
        <f t="shared" si="4"/>
        <v>1.8953347186937367E-2</v>
      </c>
      <c r="M16" t="s">
        <v>66</v>
      </c>
      <c r="N16" t="s">
        <v>66</v>
      </c>
      <c r="O16" t="s">
        <v>66</v>
      </c>
      <c r="P16">
        <f t="shared" si="5"/>
        <v>1.9857544912431111E-2</v>
      </c>
      <c r="Q16">
        <f>$I$9/(SQRT(4+4+16))</f>
        <v>0.24048886170500014</v>
      </c>
      <c r="R16">
        <f t="shared" si="6"/>
        <v>0.20808758095858368</v>
      </c>
      <c r="S16">
        <f t="shared" si="7"/>
        <v>0.39109967614948149</v>
      </c>
    </row>
    <row r="17" spans="1:19" x14ac:dyDescent="0.55000000000000004">
      <c r="A17">
        <v>3</v>
      </c>
      <c r="B17">
        <v>995.697</v>
      </c>
      <c r="C17">
        <v>10.753</v>
      </c>
      <c r="D17">
        <v>-146.05500000000001</v>
      </c>
      <c r="F17">
        <v>4</v>
      </c>
      <c r="G17">
        <f t="shared" si="1"/>
        <v>0.2243261168935575</v>
      </c>
      <c r="H17">
        <f t="shared" si="2"/>
        <v>0.15550804234994656</v>
      </c>
      <c r="I17">
        <f>C47</f>
        <v>0.14965139142071496</v>
      </c>
      <c r="J17">
        <f t="shared" si="3"/>
        <v>0.93062842078331653</v>
      </c>
      <c r="K17">
        <f t="shared" si="4"/>
        <v>1.62425300553041E-2</v>
      </c>
      <c r="M17" t="s">
        <v>66</v>
      </c>
      <c r="N17" t="s">
        <v>66</v>
      </c>
      <c r="O17" t="s">
        <v>66</v>
      </c>
      <c r="P17">
        <f t="shared" si="5"/>
        <v>1.6715642025908785E-2</v>
      </c>
      <c r="Q17">
        <f>$I$9/(SQRT(1+9+9))</f>
        <v>0.27028614685960234</v>
      </c>
      <c r="R17">
        <f t="shared" si="6"/>
        <v>0.13794828037030774</v>
      </c>
      <c r="S17">
        <f t="shared" si="7"/>
        <v>0.47014179334301065</v>
      </c>
    </row>
    <row r="18" spans="1:19" x14ac:dyDescent="0.55000000000000004">
      <c r="A18">
        <v>4</v>
      </c>
      <c r="B18">
        <v>1043.0719999999999</v>
      </c>
      <c r="C18">
        <v>8.8620000000000001</v>
      </c>
      <c r="D18">
        <v>122.471</v>
      </c>
      <c r="F18">
        <v>5</v>
      </c>
      <c r="G18">
        <f t="shared" si="1"/>
        <v>0.4123013107207773</v>
      </c>
      <c r="H18">
        <f t="shared" si="2"/>
        <v>0.2174935878260828</v>
      </c>
      <c r="I18">
        <f>C56</f>
        <v>0.16460091414756028</v>
      </c>
      <c r="J18">
        <f t="shared" si="3"/>
        <v>1.0970715362855841</v>
      </c>
      <c r="K18">
        <f t="shared" si="4"/>
        <v>1.9147510438095882E-2</v>
      </c>
      <c r="M18" t="s">
        <v>66</v>
      </c>
      <c r="N18" t="s">
        <v>66</v>
      </c>
      <c r="O18" t="s">
        <v>66</v>
      </c>
      <c r="P18">
        <f t="shared" si="5"/>
        <v>1.9716300335913949E-2</v>
      </c>
      <c r="Q18">
        <f>$I$9/(SQRT(4+16+16))</f>
        <v>0.19635833333333333</v>
      </c>
      <c r="R18">
        <f t="shared" si="6"/>
        <v>0.14178572713588383</v>
      </c>
      <c r="S18">
        <f t="shared" si="7"/>
        <v>0.33993948248364803</v>
      </c>
    </row>
    <row r="19" spans="1:19" x14ac:dyDescent="0.55000000000000004">
      <c r="A19" t="s">
        <v>33</v>
      </c>
      <c r="B19">
        <f>AVERAGE(B15:B18)</f>
        <v>1050.8254999999999</v>
      </c>
      <c r="C19" s="2">
        <f>SQRT((C15*C15)+(C16*C16)+(C17*C17)+(C18*C18))/5</f>
        <v>3.2437255001001546</v>
      </c>
      <c r="Q19" t="s">
        <v>90</v>
      </c>
      <c r="R19">
        <f>SQRT((R14*R14)+(R15*R15)+(R16*R16)+(R17*R17)+(R18*R18))/5</f>
        <v>8.9021386754109824E-2</v>
      </c>
    </row>
    <row r="20" spans="1:19" x14ac:dyDescent="0.55000000000000004">
      <c r="A20" t="s">
        <v>34</v>
      </c>
      <c r="B20">
        <f>B19/$B$11</f>
        <v>37.715349972742651</v>
      </c>
      <c r="C20">
        <f>SQRT(POWER((C19/$B$11),2)+POWER(((B19*$C$11)/($B$11*$B$11)),2))</f>
        <v>0.2221917871883988</v>
      </c>
    </row>
    <row r="22" spans="1:19" ht="43.2" x14ac:dyDescent="0.55000000000000004">
      <c r="A22" t="s">
        <v>35</v>
      </c>
      <c r="F22" s="4" t="s">
        <v>40</v>
      </c>
      <c r="G22" s="4" t="s">
        <v>41</v>
      </c>
      <c r="H22" s="4" t="s">
        <v>42</v>
      </c>
      <c r="I22" s="4" t="s">
        <v>43</v>
      </c>
      <c r="J22" s="4" t="s">
        <v>164</v>
      </c>
      <c r="K22" s="4" t="s">
        <v>44</v>
      </c>
      <c r="L22" s="4" t="s">
        <v>165</v>
      </c>
      <c r="M22" s="4" t="s">
        <v>45</v>
      </c>
      <c r="N22" s="4" t="s">
        <v>46</v>
      </c>
      <c r="O22" s="4" t="s">
        <v>158</v>
      </c>
      <c r="P22" s="4" t="s">
        <v>171</v>
      </c>
      <c r="Q22" s="4" t="s">
        <v>172</v>
      </c>
      <c r="R22" s="4" t="s">
        <v>178</v>
      </c>
      <c r="S22" s="4"/>
    </row>
    <row r="23" spans="1:19" ht="28.8" x14ac:dyDescent="0.55000000000000004">
      <c r="A23" t="s">
        <v>32</v>
      </c>
      <c r="B23" t="s">
        <v>23</v>
      </c>
      <c r="C23" t="s">
        <v>24</v>
      </c>
      <c r="D23" t="s">
        <v>31</v>
      </c>
      <c r="E23" t="s">
        <v>47</v>
      </c>
      <c r="F23" s="4">
        <v>1</v>
      </c>
      <c r="G23" s="4" t="s">
        <v>133</v>
      </c>
      <c r="H23" s="4" t="s">
        <v>138</v>
      </c>
      <c r="I23" s="4" t="s">
        <v>143</v>
      </c>
      <c r="J23" s="4" t="s">
        <v>148</v>
      </c>
      <c r="K23" s="4">
        <v>113</v>
      </c>
      <c r="L23" s="4">
        <v>17.5484006137923</v>
      </c>
      <c r="M23" s="4">
        <v>0.33333333333333331</v>
      </c>
      <c r="N23" s="4" t="s">
        <v>153</v>
      </c>
      <c r="O23" s="4" t="s">
        <v>159</v>
      </c>
      <c r="P23" s="4" t="s">
        <v>166</v>
      </c>
      <c r="Q23" s="4" t="s">
        <v>173</v>
      </c>
      <c r="R23" s="4"/>
      <c r="S23" s="4"/>
    </row>
    <row r="24" spans="1:19" ht="28.8" x14ac:dyDescent="0.55000000000000004">
      <c r="A24">
        <v>1</v>
      </c>
      <c r="B24">
        <v>580.97799999999995</v>
      </c>
      <c r="C24">
        <v>6.8879999999999999</v>
      </c>
      <c r="D24">
        <v>-128.29</v>
      </c>
      <c r="E24">
        <f>D24-D15</f>
        <v>18.576999999999998</v>
      </c>
      <c r="F24" s="4">
        <v>2</v>
      </c>
      <c r="G24" s="4" t="s">
        <v>134</v>
      </c>
      <c r="H24" s="4" t="s">
        <v>139</v>
      </c>
      <c r="I24" s="4" t="s">
        <v>144</v>
      </c>
      <c r="J24" s="4" t="s">
        <v>149</v>
      </c>
      <c r="K24" s="4">
        <v>204</v>
      </c>
      <c r="L24" s="4">
        <v>26.56505117707799</v>
      </c>
      <c r="M24" s="4">
        <v>0</v>
      </c>
      <c r="N24" s="4" t="s">
        <v>154</v>
      </c>
      <c r="O24" s="4" t="s">
        <v>160</v>
      </c>
      <c r="P24" s="4" t="s">
        <v>167</v>
      </c>
      <c r="Q24" s="4" t="s">
        <v>174</v>
      </c>
      <c r="R24" s="4"/>
      <c r="S24" s="4"/>
    </row>
    <row r="25" spans="1:19" ht="28.8" x14ac:dyDescent="0.55000000000000004">
      <c r="A25">
        <v>2</v>
      </c>
      <c r="B25">
        <v>543.25300000000004</v>
      </c>
      <c r="C25">
        <v>7.0709999999999997</v>
      </c>
      <c r="D25">
        <v>-37.670999999999999</v>
      </c>
      <c r="E25">
        <f t="shared" ref="E25:E26" si="8">D25-D16</f>
        <v>19.136000000000003</v>
      </c>
      <c r="F25" s="4">
        <v>3</v>
      </c>
      <c r="G25" s="4" t="s">
        <v>135</v>
      </c>
      <c r="H25" s="4" t="s">
        <v>140</v>
      </c>
      <c r="I25" s="4" t="s">
        <v>145</v>
      </c>
      <c r="J25" s="4" t="s">
        <v>150</v>
      </c>
      <c r="K25" s="4">
        <v>224</v>
      </c>
      <c r="L25" s="4">
        <v>24.094842552110705</v>
      </c>
      <c r="M25" s="4">
        <v>0.5</v>
      </c>
      <c r="N25" s="4" t="s">
        <v>155</v>
      </c>
      <c r="O25" s="4" t="s">
        <v>161</v>
      </c>
      <c r="P25" s="4" t="s">
        <v>168</v>
      </c>
      <c r="Q25" s="4" t="s">
        <v>175</v>
      </c>
      <c r="R25" s="4"/>
      <c r="S25" s="4"/>
    </row>
    <row r="26" spans="1:19" ht="28.8" x14ac:dyDescent="0.55000000000000004">
      <c r="A26">
        <v>3</v>
      </c>
      <c r="B26">
        <v>508.62700000000001</v>
      </c>
      <c r="C26">
        <v>11.397</v>
      </c>
      <c r="D26">
        <v>-126.28400000000001</v>
      </c>
      <c r="E26">
        <f t="shared" si="8"/>
        <v>19.771000000000001</v>
      </c>
      <c r="F26" s="4">
        <v>4</v>
      </c>
      <c r="G26" s="4" t="s">
        <v>136</v>
      </c>
      <c r="H26" s="4" t="s">
        <v>141</v>
      </c>
      <c r="I26" s="4" t="s">
        <v>146</v>
      </c>
      <c r="J26" s="4" t="s">
        <v>151</v>
      </c>
      <c r="K26" s="4">
        <v>133</v>
      </c>
      <c r="L26" s="4">
        <v>13.262676008304846</v>
      </c>
      <c r="M26" s="4">
        <v>1</v>
      </c>
      <c r="N26" s="4" t="s">
        <v>156</v>
      </c>
      <c r="O26" s="4" t="s">
        <v>162</v>
      </c>
      <c r="P26" s="4" t="s">
        <v>169</v>
      </c>
      <c r="Q26" s="4" t="s">
        <v>176</v>
      </c>
      <c r="R26" s="4"/>
      <c r="S26" s="4"/>
    </row>
    <row r="27" spans="1:19" ht="28.8" x14ac:dyDescent="0.55000000000000004">
      <c r="A27">
        <v>4</v>
      </c>
      <c r="B27">
        <v>558.88199999999995</v>
      </c>
      <c r="C27">
        <v>10.849</v>
      </c>
      <c r="D27">
        <v>-39.701000000000001</v>
      </c>
      <c r="E27">
        <f>180+D27-D18</f>
        <v>17.828000000000003</v>
      </c>
      <c r="F27" s="4">
        <v>5</v>
      </c>
      <c r="G27" s="4" t="s">
        <v>137</v>
      </c>
      <c r="H27" s="4" t="s">
        <v>142</v>
      </c>
      <c r="I27" s="4" t="s">
        <v>147</v>
      </c>
      <c r="J27" s="4" t="s">
        <v>152</v>
      </c>
      <c r="K27" s="4">
        <v>244</v>
      </c>
      <c r="L27" s="4">
        <v>19.471220634490692</v>
      </c>
      <c r="M27" s="4">
        <v>1</v>
      </c>
      <c r="N27" s="4" t="s">
        <v>157</v>
      </c>
      <c r="O27" s="4" t="s">
        <v>163</v>
      </c>
      <c r="P27" s="4" t="s">
        <v>170</v>
      </c>
      <c r="Q27" s="4" t="s">
        <v>177</v>
      </c>
      <c r="R27" s="4"/>
      <c r="S27" s="4"/>
    </row>
    <row r="28" spans="1:19" x14ac:dyDescent="0.55000000000000004">
      <c r="A28" t="s">
        <v>33</v>
      </c>
      <c r="B28">
        <f>AVERAGE(B24:B27)</f>
        <v>547.93499999999995</v>
      </c>
      <c r="C28" s="2">
        <f>SQRT((C24*C24)+(C25*C25)+(C26*C26)+(C27*C27))/5</f>
        <v>3.7150289097125482</v>
      </c>
      <c r="E28">
        <f>AVERAGE(E24:E27)</f>
        <v>18.828000000000003</v>
      </c>
    </row>
    <row r="29" spans="1:19" x14ac:dyDescent="0.55000000000000004">
      <c r="A29" t="s">
        <v>34</v>
      </c>
      <c r="B29">
        <f>B28/B11</f>
        <v>19.666024746558534</v>
      </c>
      <c r="C29">
        <f>SQRT(POWER((C28/$B$11),2)+POWER(((B28*$C$11)/($B$11*$B$11)),2))</f>
        <v>0.16588124642533542</v>
      </c>
    </row>
    <row r="31" spans="1:19" x14ac:dyDescent="0.55000000000000004">
      <c r="A31" t="s">
        <v>36</v>
      </c>
    </row>
    <row r="32" spans="1:19" x14ac:dyDescent="0.55000000000000004">
      <c r="A32" t="s">
        <v>32</v>
      </c>
      <c r="B32" t="s">
        <v>23</v>
      </c>
      <c r="C32" t="s">
        <v>24</v>
      </c>
      <c r="D32" t="s">
        <v>31</v>
      </c>
      <c r="E32" t="s">
        <v>47</v>
      </c>
      <c r="F32" s="1"/>
    </row>
    <row r="33" spans="1:5" x14ac:dyDescent="0.55000000000000004">
      <c r="A33">
        <v>1</v>
      </c>
      <c r="B33">
        <v>912.16</v>
      </c>
      <c r="C33">
        <v>5.282</v>
      </c>
      <c r="D33">
        <v>-119.994</v>
      </c>
      <c r="E33">
        <f>D33-D15</f>
        <v>26.87299999999999</v>
      </c>
    </row>
    <row r="34" spans="1:5" x14ac:dyDescent="0.55000000000000004">
      <c r="A34">
        <v>2</v>
      </c>
      <c r="B34">
        <v>866.02099999999996</v>
      </c>
      <c r="C34">
        <v>7.4850000000000003</v>
      </c>
      <c r="D34">
        <v>-29.466000000000001</v>
      </c>
      <c r="E34">
        <f>D34-D16</f>
        <v>27.341000000000001</v>
      </c>
    </row>
    <row r="35" spans="1:5" x14ac:dyDescent="0.55000000000000004">
      <c r="A35">
        <v>3</v>
      </c>
      <c r="B35">
        <v>832.54100000000005</v>
      </c>
      <c r="C35">
        <v>10.385</v>
      </c>
      <c r="D35">
        <v>-120.13800000000001</v>
      </c>
      <c r="E35">
        <f>D35-D17</f>
        <v>25.917000000000002</v>
      </c>
    </row>
    <row r="36" spans="1:5" x14ac:dyDescent="0.55000000000000004">
      <c r="A36">
        <v>4</v>
      </c>
      <c r="B36">
        <v>891.64599999999996</v>
      </c>
      <c r="C36">
        <v>9.0749999999999993</v>
      </c>
      <c r="D36">
        <v>-30.533999999999999</v>
      </c>
      <c r="E36">
        <f>180+D36-D18</f>
        <v>26.995000000000005</v>
      </c>
    </row>
    <row r="37" spans="1:5" x14ac:dyDescent="0.55000000000000004">
      <c r="A37" t="s">
        <v>33</v>
      </c>
      <c r="B37">
        <f>AVERAGE(B33:B36)</f>
        <v>875.5920000000001</v>
      </c>
      <c r="C37" s="2">
        <f>SQRT((C33*C33)+(C34*C34)+(C35*C35)+(C36*C36))/5</f>
        <v>3.3113658752846988</v>
      </c>
      <c r="E37">
        <f>AVERAGE(E33:E36)</f>
        <v>26.781500000000001</v>
      </c>
    </row>
    <row r="38" spans="1:5" x14ac:dyDescent="0.55000000000000004">
      <c r="A38" t="s">
        <v>34</v>
      </c>
      <c r="B38">
        <f>B37/$B$11</f>
        <v>31.426015749840186</v>
      </c>
      <c r="C38">
        <f>SQRT(POWER((C37/$B$11),2)+POWER(((B37*$C$11)/($B$11*$B$11)),2))</f>
        <v>0.19746223484362549</v>
      </c>
    </row>
    <row r="40" spans="1:5" x14ac:dyDescent="0.55000000000000004">
      <c r="A40" t="s">
        <v>37</v>
      </c>
    </row>
    <row r="41" spans="1:5" x14ac:dyDescent="0.55000000000000004">
      <c r="A41" t="s">
        <v>32</v>
      </c>
      <c r="B41" t="s">
        <v>23</v>
      </c>
      <c r="C41" t="s">
        <v>24</v>
      </c>
      <c r="D41" t="s">
        <v>31</v>
      </c>
      <c r="E41" t="s">
        <v>47</v>
      </c>
    </row>
    <row r="42" spans="1:5" x14ac:dyDescent="0.55000000000000004">
      <c r="A42">
        <v>1</v>
      </c>
      <c r="B42">
        <v>409.14100000000002</v>
      </c>
      <c r="C42">
        <v>6.1340000000000003</v>
      </c>
      <c r="D42">
        <v>-102.134</v>
      </c>
      <c r="E42">
        <f>D42-D15</f>
        <v>44.73299999999999</v>
      </c>
    </row>
    <row r="43" spans="1:5" x14ac:dyDescent="0.55000000000000004">
      <c r="A43">
        <v>2</v>
      </c>
      <c r="B43">
        <v>373.80700000000002</v>
      </c>
      <c r="C43">
        <v>9.298</v>
      </c>
      <c r="D43">
        <v>-11.731</v>
      </c>
      <c r="E43">
        <f>D43-D16</f>
        <v>45.076000000000001</v>
      </c>
    </row>
    <row r="44" spans="1:5" x14ac:dyDescent="0.55000000000000004">
      <c r="A44">
        <v>3</v>
      </c>
      <c r="B44">
        <v>373.28</v>
      </c>
      <c r="C44">
        <v>10.523</v>
      </c>
      <c r="D44">
        <v>-103.47799999999999</v>
      </c>
      <c r="E44">
        <f>D44-D17</f>
        <v>42.577000000000012</v>
      </c>
    </row>
    <row r="45" spans="1:5" x14ac:dyDescent="0.55000000000000004">
      <c r="A45">
        <v>4</v>
      </c>
      <c r="B45">
        <v>410.07900000000001</v>
      </c>
      <c r="C45">
        <v>10.164</v>
      </c>
      <c r="D45">
        <v>168.608</v>
      </c>
      <c r="E45">
        <f>D45-D18</f>
        <v>46.137</v>
      </c>
    </row>
    <row r="46" spans="1:5" x14ac:dyDescent="0.55000000000000004">
      <c r="A46" t="s">
        <v>33</v>
      </c>
      <c r="B46">
        <f>AVERAGE(B42:B45)</f>
        <v>391.57675</v>
      </c>
      <c r="C46" s="2">
        <f>SQRT((C42*C42)+(C43*C43)+(C44*C44)+(C45*C45))/5</f>
        <v>3.6776034859674582</v>
      </c>
      <c r="E46">
        <f>AVERAGE(E42:E45)</f>
        <v>44.630750000000006</v>
      </c>
    </row>
    <row r="47" spans="1:5" x14ac:dyDescent="0.55000000000000004">
      <c r="A47" t="s">
        <v>34</v>
      </c>
      <c r="B47">
        <f>B46/$B$11</f>
        <v>14.054145210064998</v>
      </c>
      <c r="C47">
        <f>SQRT(POWER((C46/$B$11),2)+POWER(((B46*$C$11)/($B$11*$B$11)),2))</f>
        <v>0.14965139142071496</v>
      </c>
    </row>
    <row r="49" spans="1:5" x14ac:dyDescent="0.55000000000000004">
      <c r="A49" t="s">
        <v>38</v>
      </c>
    </row>
    <row r="50" spans="1:5" x14ac:dyDescent="0.55000000000000004">
      <c r="A50" t="s">
        <v>32</v>
      </c>
      <c r="B50" t="s">
        <v>23</v>
      </c>
      <c r="C50" t="s">
        <v>24</v>
      </c>
      <c r="D50" t="s">
        <v>31</v>
      </c>
      <c r="E50" t="s">
        <v>47</v>
      </c>
    </row>
    <row r="51" spans="1:5" x14ac:dyDescent="0.55000000000000004">
      <c r="A51">
        <v>1</v>
      </c>
      <c r="B51">
        <v>653.471</v>
      </c>
      <c r="C51">
        <v>5.1150000000000002</v>
      </c>
      <c r="D51">
        <v>-101.654</v>
      </c>
      <c r="E51">
        <f>D51-D15</f>
        <v>45.212999999999994</v>
      </c>
    </row>
    <row r="52" spans="1:5" x14ac:dyDescent="0.55000000000000004">
      <c r="A52">
        <v>2</v>
      </c>
      <c r="B52">
        <v>612.07899999999995</v>
      </c>
      <c r="C52">
        <v>8.3109999999999999</v>
      </c>
      <c r="D52">
        <v>168.59800000000001</v>
      </c>
      <c r="E52">
        <f>D52-D16-180</f>
        <v>45.40500000000003</v>
      </c>
    </row>
    <row r="53" spans="1:5" x14ac:dyDescent="0.55000000000000004">
      <c r="A53">
        <v>3</v>
      </c>
      <c r="B53">
        <v>609.94600000000003</v>
      </c>
      <c r="C53">
        <v>9.8279999999999994</v>
      </c>
      <c r="D53">
        <v>78.174000000000007</v>
      </c>
      <c r="E53">
        <f>D53-D17-180</f>
        <v>44.229000000000013</v>
      </c>
    </row>
    <row r="54" spans="1:5" x14ac:dyDescent="0.55000000000000004">
      <c r="A54">
        <v>4</v>
      </c>
      <c r="B54">
        <v>662.95100000000002</v>
      </c>
      <c r="C54">
        <v>8.9710000000000001</v>
      </c>
      <c r="D54">
        <v>-12.191000000000001</v>
      </c>
      <c r="E54">
        <f>180-D18+D54</f>
        <v>45.337999999999994</v>
      </c>
    </row>
    <row r="55" spans="1:5" x14ac:dyDescent="0.55000000000000004">
      <c r="A55" t="s">
        <v>33</v>
      </c>
      <c r="B55">
        <f>AVERAGE(B51:B54)</f>
        <v>634.61175000000003</v>
      </c>
      <c r="C55" s="2">
        <f>SQRT((C51*C51)+(C52*C52)+(C53*C53)+(C54*C54))/5</f>
        <v>3.3003295047616077</v>
      </c>
      <c r="E55">
        <f>AVERAGE(E51:E54)</f>
        <v>45.046250000000008</v>
      </c>
    </row>
    <row r="56" spans="1:5" x14ac:dyDescent="0.55000000000000004">
      <c r="A56" t="s">
        <v>34</v>
      </c>
      <c r="B56">
        <f>B55/$B$11</f>
        <v>22.776954164192503</v>
      </c>
      <c r="C56">
        <f>SQRT(POWER((C55/$B$11),2)+POWER(((B55*$C$11)/($B$11*$B$11)),2))</f>
        <v>0.16460091414756028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EE9-58F3-4941-BB68-141C75ADD3C4}">
  <dimension ref="A1:G83"/>
  <sheetViews>
    <sheetView topLeftCell="A37" workbookViewId="0">
      <selection activeCell="D56" sqref="D56"/>
    </sheetView>
  </sheetViews>
  <sheetFormatPr defaultRowHeight="14.4" x14ac:dyDescent="0.55000000000000004"/>
  <cols>
    <col min="3" max="3" width="20.26171875" customWidth="1"/>
    <col min="4" max="4" width="16.47265625" customWidth="1"/>
    <col min="5" max="5" width="14.41796875" customWidth="1"/>
  </cols>
  <sheetData>
    <row r="1" spans="1:7" x14ac:dyDescent="0.55000000000000004">
      <c r="B1" t="s">
        <v>22</v>
      </c>
      <c r="D1" t="s">
        <v>26</v>
      </c>
      <c r="E1" t="s">
        <v>99</v>
      </c>
      <c r="F1">
        <v>1.5418000000000001</v>
      </c>
      <c r="G1" t="s">
        <v>101</v>
      </c>
    </row>
    <row r="2" spans="1:7" x14ac:dyDescent="0.55000000000000004">
      <c r="E2" t="s">
        <v>100</v>
      </c>
      <c r="F2">
        <v>1.3921699999999999</v>
      </c>
      <c r="G2" t="s">
        <v>101</v>
      </c>
    </row>
    <row r="3" spans="1:7" x14ac:dyDescent="0.55000000000000004">
      <c r="B3" t="s">
        <v>23</v>
      </c>
      <c r="C3" t="s">
        <v>24</v>
      </c>
    </row>
    <row r="4" spans="1:7" x14ac:dyDescent="0.55000000000000004">
      <c r="B4">
        <v>252.38900000000001</v>
      </c>
      <c r="C4">
        <v>14.964</v>
      </c>
    </row>
    <row r="5" spans="1:7" x14ac:dyDescent="0.55000000000000004">
      <c r="B5">
        <v>253.12899999999999</v>
      </c>
      <c r="C5">
        <v>10.313000000000001</v>
      </c>
    </row>
    <row r="6" spans="1:7" x14ac:dyDescent="0.55000000000000004">
      <c r="B6">
        <v>252.85</v>
      </c>
      <c r="C6">
        <v>13.301</v>
      </c>
    </row>
    <row r="7" spans="1:7" x14ac:dyDescent="0.55000000000000004">
      <c r="B7">
        <v>252.61</v>
      </c>
      <c r="C7">
        <v>15.099</v>
      </c>
    </row>
    <row r="8" spans="1:7" x14ac:dyDescent="0.55000000000000004">
      <c r="B8">
        <v>252.488</v>
      </c>
      <c r="C8">
        <v>15.039</v>
      </c>
    </row>
    <row r="9" spans="1:7" x14ac:dyDescent="0.55000000000000004">
      <c r="A9" t="s">
        <v>25</v>
      </c>
      <c r="B9">
        <f>AVERAGE(B4:B8)</f>
        <v>252.69320000000002</v>
      </c>
      <c r="C9" s="2">
        <f>SQRT((C4*C4)+(C5*C5)+(C6*C6)+(C7*C7)+(C8*C8))/5</f>
        <v>6.201119860154293</v>
      </c>
      <c r="D9" t="s">
        <v>27</v>
      </c>
    </row>
    <row r="10" spans="1:7" x14ac:dyDescent="0.55000000000000004">
      <c r="B10">
        <v>18</v>
      </c>
      <c r="C10">
        <v>0.02</v>
      </c>
      <c r="D10" t="s">
        <v>28</v>
      </c>
    </row>
    <row r="11" spans="1:7" x14ac:dyDescent="0.55000000000000004">
      <c r="A11" t="s">
        <v>29</v>
      </c>
      <c r="B11">
        <f>B9/B10</f>
        <v>14.038511111111113</v>
      </c>
      <c r="C11" s="3">
        <f>SQRT(POWER((C9/B10),2)+POWER(((B9*C10)/(B10*B10)),2))</f>
        <v>0.3448596039152938</v>
      </c>
    </row>
    <row r="13" spans="1:7" x14ac:dyDescent="0.55000000000000004">
      <c r="A13" t="s">
        <v>73</v>
      </c>
    </row>
    <row r="14" spans="1:7" x14ac:dyDescent="0.55000000000000004">
      <c r="A14" t="s">
        <v>74</v>
      </c>
      <c r="B14" t="s">
        <v>23</v>
      </c>
      <c r="C14" t="s">
        <v>24</v>
      </c>
    </row>
    <row r="15" spans="1:7" x14ac:dyDescent="0.55000000000000004">
      <c r="A15">
        <v>1</v>
      </c>
      <c r="B15">
        <v>708.72299999999996</v>
      </c>
      <c r="C15">
        <v>78.869</v>
      </c>
      <c r="D15" t="s">
        <v>86</v>
      </c>
      <c r="E15" t="s">
        <v>87</v>
      </c>
      <c r="F15" t="s">
        <v>88</v>
      </c>
      <c r="G15" t="s">
        <v>89</v>
      </c>
    </row>
    <row r="16" spans="1:7" x14ac:dyDescent="0.55000000000000004">
      <c r="A16">
        <v>2</v>
      </c>
      <c r="B16">
        <v>696.41399999999999</v>
      </c>
      <c r="C16">
        <v>72.944999999999993</v>
      </c>
      <c r="D16">
        <f>SIN(D18)</f>
        <v>0.21778417706340117</v>
      </c>
      <c r="E16">
        <f>E18*COS(D18)</f>
        <v>1.0799583141385715E-2</v>
      </c>
      <c r="F16">
        <f>$F$1/(2*D16)</f>
        <v>3.5397429252887194</v>
      </c>
      <c r="G16">
        <f>($F$1*COS(D18)*E18)/(2*D16*D16)</f>
        <v>0.17553041977727596</v>
      </c>
    </row>
    <row r="17" spans="1:7" x14ac:dyDescent="0.55000000000000004">
      <c r="A17">
        <v>3</v>
      </c>
      <c r="B17">
        <v>712.28099999999995</v>
      </c>
      <c r="C17">
        <v>79.546000000000006</v>
      </c>
      <c r="D17" t="s">
        <v>77</v>
      </c>
      <c r="E17" t="s">
        <v>78</v>
      </c>
      <c r="F17" t="s">
        <v>91</v>
      </c>
      <c r="G17" t="s">
        <v>92</v>
      </c>
    </row>
    <row r="18" spans="1:7" x14ac:dyDescent="0.55000000000000004">
      <c r="A18">
        <v>4</v>
      </c>
      <c r="B18">
        <v>708.01099999999997</v>
      </c>
      <c r="C18">
        <v>79.308000000000007</v>
      </c>
      <c r="D18">
        <f>(PI()*D20)/180</f>
        <v>0.21954357570859528</v>
      </c>
      <c r="E18">
        <f>(PI()*E20)/180</f>
        <v>1.1065181206193564E-2</v>
      </c>
      <c r="F18">
        <f>1/(F16*F16)</f>
        <v>7.9809861132847396E-2</v>
      </c>
      <c r="G18">
        <f>(2*G16)/(POWER(F16,3))</f>
        <v>7.9152970838254622E-3</v>
      </c>
    </row>
    <row r="19" spans="1:7" x14ac:dyDescent="0.55000000000000004">
      <c r="A19" t="s">
        <v>33</v>
      </c>
      <c r="B19">
        <f>AVERAGE(B15:B18)</f>
        <v>706.35724999999991</v>
      </c>
      <c r="C19" s="2">
        <f>SQRT((C15*C15)+(C16*C16)+(C17*C17)+(C18*C18))/5</f>
        <v>31.086085096711685</v>
      </c>
      <c r="D19" t="s">
        <v>75</v>
      </c>
      <c r="E19" t="s">
        <v>76</v>
      </c>
    </row>
    <row r="20" spans="1:7" x14ac:dyDescent="0.55000000000000004">
      <c r="A20" t="s">
        <v>34</v>
      </c>
      <c r="B20">
        <f>B19/$B$11</f>
        <v>50.315681229253485</v>
      </c>
      <c r="C20">
        <f>SQRT(POWER((C19/$B$11),2)+POWER(((B19*$C$11)/($B$11*$B$11)),2))</f>
        <v>2.5359527306494751</v>
      </c>
      <c r="D20">
        <f>B20/4</f>
        <v>12.578920307313371</v>
      </c>
      <c r="E20">
        <f>C20/4</f>
        <v>0.63398818266236878</v>
      </c>
    </row>
    <row r="22" spans="1:7" x14ac:dyDescent="0.55000000000000004">
      <c r="A22" t="s">
        <v>79</v>
      </c>
    </row>
    <row r="23" spans="1:7" x14ac:dyDescent="0.55000000000000004">
      <c r="A23" t="s">
        <v>74</v>
      </c>
      <c r="B23" t="s">
        <v>23</v>
      </c>
      <c r="C23" t="s">
        <v>24</v>
      </c>
    </row>
    <row r="24" spans="1:7" x14ac:dyDescent="0.55000000000000004">
      <c r="A24">
        <v>1</v>
      </c>
      <c r="B24">
        <v>928.21500000000003</v>
      </c>
      <c r="C24">
        <v>71.042000000000002</v>
      </c>
      <c r="D24" t="s">
        <v>86</v>
      </c>
      <c r="E24" t="s">
        <v>87</v>
      </c>
      <c r="F24" t="s">
        <v>88</v>
      </c>
      <c r="G24" t="s">
        <v>89</v>
      </c>
    </row>
    <row r="25" spans="1:7" x14ac:dyDescent="0.55000000000000004">
      <c r="A25">
        <v>2</v>
      </c>
      <c r="B25">
        <v>912.14</v>
      </c>
      <c r="C25">
        <v>71.540000000000006</v>
      </c>
      <c r="D25">
        <f>SIN(D27)</f>
        <v>0.281244746232378</v>
      </c>
      <c r="E25">
        <f>E27*COS(D27)</f>
        <v>1.0849755723202154E-2</v>
      </c>
      <c r="F25">
        <f>$F$1/(2*D25)</f>
        <v>2.7410289803708729</v>
      </c>
      <c r="G25">
        <f>($F$1*COS(D27)*E27)/(2*D25*D25)</f>
        <v>0.10574240146932253</v>
      </c>
    </row>
    <row r="26" spans="1:7" x14ac:dyDescent="0.55000000000000004">
      <c r="A26">
        <v>3</v>
      </c>
      <c r="B26">
        <v>916.07899999999995</v>
      </c>
      <c r="C26">
        <v>71.415999999999997</v>
      </c>
      <c r="D26" t="s">
        <v>77</v>
      </c>
      <c r="E26" t="s">
        <v>78</v>
      </c>
      <c r="F26" t="s">
        <v>91</v>
      </c>
      <c r="G26" t="s">
        <v>92</v>
      </c>
    </row>
    <row r="27" spans="1:7" x14ac:dyDescent="0.55000000000000004">
      <c r="A27">
        <v>4</v>
      </c>
      <c r="B27">
        <v>912.56100000000004</v>
      </c>
      <c r="C27">
        <v>71.572999999999993</v>
      </c>
      <c r="D27">
        <f>(PI()*D29)/180</f>
        <v>0.28509096549832169</v>
      </c>
      <c r="E27">
        <f>(PI()*E29)/180</f>
        <v>1.1306114919808393E-2</v>
      </c>
      <c r="F27">
        <f>1/(F25*F25)</f>
        <v>0.13309837262468385</v>
      </c>
      <c r="G27">
        <f>(2*G25)/(POWER(F25,3))</f>
        <v>1.0269239510987233E-2</v>
      </c>
    </row>
    <row r="28" spans="1:7" x14ac:dyDescent="0.55000000000000004">
      <c r="A28" t="s">
        <v>33</v>
      </c>
      <c r="B28">
        <f>AVERAGE(B24:B27)</f>
        <v>917.24875000000009</v>
      </c>
      <c r="C28" s="2">
        <f>SQRT((C24*C24)+(C25*C25)+(C26*C26)+(C27*C27))/5</f>
        <v>28.557224479280194</v>
      </c>
      <c r="D28" t="s">
        <v>75</v>
      </c>
      <c r="E28" t="s">
        <v>76</v>
      </c>
    </row>
    <row r="29" spans="1:7" x14ac:dyDescent="0.55000000000000004">
      <c r="A29" t="s">
        <v>34</v>
      </c>
      <c r="B29">
        <f>B28/$B$11</f>
        <v>65.338036401454403</v>
      </c>
      <c r="C29">
        <f>SQRT(POWER((C28/$B$11),2)+POWER(((B28*$C$11)/($B$11*$B$11)),2))</f>
        <v>2.5911706703796487</v>
      </c>
      <c r="D29">
        <f>B29/4</f>
        <v>16.334509100363601</v>
      </c>
      <c r="E29">
        <f>C29/4</f>
        <v>0.64779266759491216</v>
      </c>
    </row>
    <row r="31" spans="1:7" x14ac:dyDescent="0.55000000000000004">
      <c r="A31" t="s">
        <v>80</v>
      </c>
    </row>
    <row r="32" spans="1:7" x14ac:dyDescent="0.55000000000000004">
      <c r="A32" t="s">
        <v>74</v>
      </c>
      <c r="B32" t="s">
        <v>23</v>
      </c>
      <c r="C32" t="s">
        <v>24</v>
      </c>
    </row>
    <row r="33" spans="1:7" x14ac:dyDescent="0.55000000000000004">
      <c r="A33">
        <v>1</v>
      </c>
      <c r="B33">
        <v>1408.1420000000001</v>
      </c>
      <c r="C33">
        <v>60.308999999999997</v>
      </c>
      <c r="D33" t="s">
        <v>86</v>
      </c>
      <c r="E33" t="s">
        <v>87</v>
      </c>
      <c r="F33" t="s">
        <v>88</v>
      </c>
      <c r="G33" t="s">
        <v>89</v>
      </c>
    </row>
    <row r="34" spans="1:7" x14ac:dyDescent="0.55000000000000004">
      <c r="A34">
        <v>2</v>
      </c>
      <c r="B34">
        <v>1412.6849999999999</v>
      </c>
      <c r="C34">
        <v>60.183999999999997</v>
      </c>
      <c r="D34">
        <f>SIN(D36)</f>
        <v>0.42500605702461275</v>
      </c>
      <c r="E34">
        <f>E36*COS(D36)</f>
        <v>1.1892589243899333E-2</v>
      </c>
      <c r="F34">
        <f>$F$1/(2*D34)</f>
        <v>1.8138565021800526</v>
      </c>
      <c r="G34">
        <f>($F$1*COS(D36)*E36)/(2*D34*D34)</f>
        <v>5.0755630352237839E-2</v>
      </c>
    </row>
    <row r="35" spans="1:7" x14ac:dyDescent="0.55000000000000004">
      <c r="A35">
        <v>3</v>
      </c>
      <c r="B35">
        <v>1408.364</v>
      </c>
      <c r="C35">
        <v>60.027000000000001</v>
      </c>
      <c r="D35" t="s">
        <v>77</v>
      </c>
      <c r="E35" t="s">
        <v>78</v>
      </c>
      <c r="F35" t="s">
        <v>91</v>
      </c>
      <c r="G35" t="s">
        <v>92</v>
      </c>
    </row>
    <row r="36" spans="1:7" x14ac:dyDescent="0.55000000000000004">
      <c r="A36">
        <v>4</v>
      </c>
      <c r="B36">
        <v>1420.1410000000001</v>
      </c>
      <c r="C36">
        <v>60.954999999999998</v>
      </c>
      <c r="D36">
        <f>(PI()*D38)/180</f>
        <v>0.4389685770355547</v>
      </c>
      <c r="E36">
        <f>(PI()*E38)/180</f>
        <v>1.3138216949758976E-2</v>
      </c>
      <c r="F36">
        <f>1/(F34*F34)</f>
        <v>0.30394440103358239</v>
      </c>
      <c r="G36">
        <f>(2*G34)/(POWER(F34,3))</f>
        <v>1.701004423222173E-2</v>
      </c>
    </row>
    <row r="37" spans="1:7" x14ac:dyDescent="0.55000000000000004">
      <c r="A37" t="s">
        <v>33</v>
      </c>
      <c r="B37">
        <f>AVERAGE(B33:B36)</f>
        <v>1412.3330000000001</v>
      </c>
      <c r="C37" s="2">
        <f>SQRT((C33*C33)+(C34*C34)+(C35*C35)+(C36*C36))/5</f>
        <v>24.147912614551181</v>
      </c>
      <c r="D37" t="s">
        <v>75</v>
      </c>
      <c r="E37" t="s">
        <v>76</v>
      </c>
    </row>
    <row r="38" spans="1:7" x14ac:dyDescent="0.55000000000000004">
      <c r="A38" t="s">
        <v>34</v>
      </c>
      <c r="B38">
        <f>B37/$B$11</f>
        <v>100.60418721200253</v>
      </c>
      <c r="C38">
        <f>SQRT(POWER((C37/$B$11),2)+POWER(((B37*$C$11)/($B$11*$B$11)),2))</f>
        <v>3.0110575261937251</v>
      </c>
      <c r="D38">
        <f>B38/4</f>
        <v>25.151046803000632</v>
      </c>
      <c r="E38">
        <f>C38/4</f>
        <v>0.75276438154843128</v>
      </c>
    </row>
    <row r="40" spans="1:7" x14ac:dyDescent="0.55000000000000004">
      <c r="A40" t="s">
        <v>81</v>
      </c>
    </row>
    <row r="41" spans="1:7" x14ac:dyDescent="0.55000000000000004">
      <c r="A41" t="s">
        <v>74</v>
      </c>
      <c r="B41" t="s">
        <v>23</v>
      </c>
      <c r="C41" t="s">
        <v>24</v>
      </c>
    </row>
    <row r="42" spans="1:7" x14ac:dyDescent="0.55000000000000004">
      <c r="A42">
        <v>1</v>
      </c>
      <c r="B42">
        <v>1936.0039999999999</v>
      </c>
      <c r="C42">
        <v>50.427999999999997</v>
      </c>
      <c r="D42" t="s">
        <v>86</v>
      </c>
      <c r="E42" t="s">
        <v>87</v>
      </c>
      <c r="F42" t="s">
        <v>88</v>
      </c>
      <c r="G42" t="s">
        <v>89</v>
      </c>
    </row>
    <row r="43" spans="1:7" x14ac:dyDescent="0.55000000000000004">
      <c r="A43">
        <v>2</v>
      </c>
      <c r="B43">
        <v>1948.4110000000001</v>
      </c>
      <c r="C43">
        <v>51.158000000000001</v>
      </c>
      <c r="D43">
        <f>SIN(D45)</f>
        <v>0.56790426555112461</v>
      </c>
      <c r="E43">
        <f>E45*COS(D45)</f>
        <v>1.328648285992432E-2</v>
      </c>
      <c r="F43">
        <f>$F$1/(2*D43)</f>
        <v>1.3574471029054123</v>
      </c>
      <c r="G43">
        <f>($F$1*COS(D45)*E45)/(2*D43*D43)</f>
        <v>3.1758341607988939E-2</v>
      </c>
    </row>
    <row r="44" spans="1:7" x14ac:dyDescent="0.55000000000000004">
      <c r="A44">
        <v>3</v>
      </c>
      <c r="B44">
        <v>1948.1479999999999</v>
      </c>
      <c r="C44">
        <v>51.826999999999998</v>
      </c>
      <c r="D44" t="s">
        <v>77</v>
      </c>
      <c r="E44" t="s">
        <v>78</v>
      </c>
      <c r="F44" t="s">
        <v>91</v>
      </c>
      <c r="G44" t="s">
        <v>92</v>
      </c>
    </row>
    <row r="45" spans="1:7" x14ac:dyDescent="0.55000000000000004">
      <c r="A45">
        <v>4</v>
      </c>
      <c r="B45">
        <v>1940.1030000000001</v>
      </c>
      <c r="C45">
        <v>51.204000000000001</v>
      </c>
      <c r="D45">
        <f>(PI()*D47)/180</f>
        <v>0.60395744732167211</v>
      </c>
      <c r="E45">
        <f>(PI()*E47)/180</f>
        <v>1.6142108839628008E-2</v>
      </c>
      <c r="F45">
        <f>1/(F43*F43)</f>
        <v>0.54269293782771699</v>
      </c>
      <c r="G45">
        <f>(2*G43)/(POWER(F43,3))</f>
        <v>2.5393295504313563E-2</v>
      </c>
    </row>
    <row r="46" spans="1:7" x14ac:dyDescent="0.55000000000000004">
      <c r="A46" t="s">
        <v>33</v>
      </c>
      <c r="B46">
        <f>AVERAGE(B42:B45)</f>
        <v>1943.1665</v>
      </c>
      <c r="C46" s="2">
        <f>SQRT((C42*C42)+(C43*C43)+(C44*C44)+(C45*C45))/5</f>
        <v>20.462660328510559</v>
      </c>
      <c r="D46" t="s">
        <v>75</v>
      </c>
      <c r="E46" t="s">
        <v>76</v>
      </c>
    </row>
    <row r="47" spans="1:7" x14ac:dyDescent="0.55000000000000004">
      <c r="A47" t="s">
        <v>34</v>
      </c>
      <c r="B47">
        <f>B46/$B$11</f>
        <v>138.41685094810623</v>
      </c>
      <c r="C47">
        <f>SQRT(POWER((C46/$B$11),2)+POWER(((B46*$C$11)/($B$11*$B$11)),2))</f>
        <v>3.6994988358060144</v>
      </c>
      <c r="D47">
        <f>B47/4</f>
        <v>34.604212737026558</v>
      </c>
      <c r="E47">
        <f>C47/4</f>
        <v>0.92487470895150359</v>
      </c>
    </row>
    <row r="49" spans="1:7" x14ac:dyDescent="0.55000000000000004">
      <c r="A49" t="s">
        <v>82</v>
      </c>
    </row>
    <row r="50" spans="1:7" x14ac:dyDescent="0.55000000000000004">
      <c r="A50" t="s">
        <v>74</v>
      </c>
      <c r="B50" t="s">
        <v>23</v>
      </c>
      <c r="C50" t="s">
        <v>24</v>
      </c>
    </row>
    <row r="51" spans="1:7" x14ac:dyDescent="0.55000000000000004">
      <c r="A51">
        <v>1</v>
      </c>
      <c r="B51">
        <v>2064.19</v>
      </c>
      <c r="C51">
        <v>49.65</v>
      </c>
      <c r="D51" t="s">
        <v>86</v>
      </c>
      <c r="E51" t="s">
        <v>87</v>
      </c>
      <c r="F51" t="s">
        <v>88</v>
      </c>
      <c r="G51" t="s">
        <v>89</v>
      </c>
    </row>
    <row r="52" spans="1:7" x14ac:dyDescent="0.55000000000000004">
      <c r="A52">
        <v>2</v>
      </c>
      <c r="B52">
        <v>2068.1390000000001</v>
      </c>
      <c r="C52">
        <v>49.69</v>
      </c>
      <c r="D52">
        <f>SIN(D54)</f>
        <v>0.59868474103836622</v>
      </c>
      <c r="E52">
        <f>E54*COS(D54)</f>
        <v>1.356780979727929E-2</v>
      </c>
      <c r="F52">
        <f>$F$1/(2*D52)</f>
        <v>1.2876560018265064</v>
      </c>
      <c r="G52">
        <f>($F$1*COS(D54)*E54)/(2*D52*D52)</f>
        <v>2.9181755470843979E-2</v>
      </c>
    </row>
    <row r="53" spans="1:7" x14ac:dyDescent="0.55000000000000004">
      <c r="A53">
        <v>3</v>
      </c>
      <c r="B53">
        <v>2064.0970000000002</v>
      </c>
      <c r="C53">
        <v>49.482999999999997</v>
      </c>
      <c r="D53" t="s">
        <v>77</v>
      </c>
      <c r="E53" t="s">
        <v>78</v>
      </c>
      <c r="F53" t="s">
        <v>91</v>
      </c>
      <c r="G53" t="s">
        <v>92</v>
      </c>
    </row>
    <row r="54" spans="1:7" x14ac:dyDescent="0.55000000000000004">
      <c r="A54">
        <v>4</v>
      </c>
      <c r="B54">
        <v>2064.0039999999999</v>
      </c>
      <c r="C54">
        <v>50.328000000000003</v>
      </c>
      <c r="D54">
        <f>(PI()*D56)/180</f>
        <v>0.64185804672159585</v>
      </c>
      <c r="E54">
        <f>(PI()*E56)/180</f>
        <v>1.6938911358485527E-2</v>
      </c>
      <c r="F54">
        <f>1/(F52*F52)</f>
        <v>0.60311521831045789</v>
      </c>
      <c r="G54">
        <f>(2*G52)/(POWER(F52,3))</f>
        <v>2.7336432706429943E-2</v>
      </c>
    </row>
    <row r="55" spans="1:7" x14ac:dyDescent="0.55000000000000004">
      <c r="A55" t="s">
        <v>33</v>
      </c>
      <c r="B55">
        <f>AVERAGE(B51:B54)</f>
        <v>2065.1075000000001</v>
      </c>
      <c r="C55" s="2">
        <f>SQRT((C51*C51)+(C52*C52)+(C53*C53)+(C54*C54))/5</f>
        <v>19.915515030247146</v>
      </c>
      <c r="D55" t="s">
        <v>75</v>
      </c>
      <c r="E55" t="s">
        <v>76</v>
      </c>
    </row>
    <row r="56" spans="1:7" x14ac:dyDescent="0.55000000000000004">
      <c r="A56" t="s">
        <v>34</v>
      </c>
      <c r="B56">
        <f>B55/$B$11</f>
        <v>147.10302849463301</v>
      </c>
      <c r="C56">
        <f>SQRT(POWER((C55/$B$11),2)+POWER(((B55*$C$11)/($B$11*$B$11)),2))</f>
        <v>3.8821125215497303</v>
      </c>
      <c r="D56">
        <f>B56/4</f>
        <v>36.775757123658252</v>
      </c>
      <c r="E56">
        <f>C56/4</f>
        <v>0.97052813038743257</v>
      </c>
    </row>
    <row r="58" spans="1:7" x14ac:dyDescent="0.55000000000000004">
      <c r="A58" t="s">
        <v>83</v>
      </c>
    </row>
    <row r="59" spans="1:7" x14ac:dyDescent="0.55000000000000004">
      <c r="A59" t="s">
        <v>74</v>
      </c>
      <c r="B59" t="s">
        <v>23</v>
      </c>
      <c r="C59" t="s">
        <v>24</v>
      </c>
    </row>
    <row r="60" spans="1:7" x14ac:dyDescent="0.55000000000000004">
      <c r="A60">
        <v>1</v>
      </c>
      <c r="B60">
        <v>2440.0129999999999</v>
      </c>
      <c r="C60">
        <v>45.374000000000002</v>
      </c>
      <c r="D60" t="s">
        <v>86</v>
      </c>
      <c r="E60" t="s">
        <v>87</v>
      </c>
      <c r="F60" t="s">
        <v>88</v>
      </c>
      <c r="G60" t="s">
        <v>89</v>
      </c>
    </row>
    <row r="61" spans="1:7" x14ac:dyDescent="0.55000000000000004">
      <c r="A61">
        <v>2</v>
      </c>
      <c r="B61">
        <v>2440.328</v>
      </c>
      <c r="C61">
        <v>45.048000000000002</v>
      </c>
      <c r="D61">
        <f>SIN(D63)</f>
        <v>0.68822111012616349</v>
      </c>
      <c r="E61">
        <f>E63*COS(D63)</f>
        <v>1.4139238927876698E-2</v>
      </c>
      <c r="F61">
        <f>$F$1/(2*D61)</f>
        <v>1.1201341962013922</v>
      </c>
      <c r="G61">
        <f>($F$1*COS(D63)*E63)/(2*D61*D61)</f>
        <v>2.3012727738725182E-2</v>
      </c>
    </row>
    <row r="62" spans="1:7" x14ac:dyDescent="0.55000000000000004">
      <c r="A62">
        <v>3</v>
      </c>
      <c r="B62">
        <v>2452.0129999999999</v>
      </c>
      <c r="C62">
        <v>46.548999999999999</v>
      </c>
      <c r="D62" t="s">
        <v>77</v>
      </c>
      <c r="E62" t="s">
        <v>78</v>
      </c>
      <c r="F62" t="s">
        <v>91</v>
      </c>
      <c r="G62" t="s">
        <v>92</v>
      </c>
    </row>
    <row r="63" spans="1:7" x14ac:dyDescent="0.55000000000000004">
      <c r="A63">
        <v>4</v>
      </c>
      <c r="B63">
        <v>2436.0819999999999</v>
      </c>
      <c r="C63">
        <v>45.444000000000003</v>
      </c>
      <c r="D63">
        <f>(PI()*D65)/180</f>
        <v>0.7590342452493295</v>
      </c>
      <c r="E63">
        <f>(PI()*E65)/180</f>
        <v>1.9488930950172907E-2</v>
      </c>
      <c r="F63">
        <f>1/(F61*F61)</f>
        <v>0.79700287546898252</v>
      </c>
      <c r="G63">
        <f>(2*G61)/(POWER(F61,3))</f>
        <v>3.2748237206484079E-2</v>
      </c>
    </row>
    <row r="64" spans="1:7" x14ac:dyDescent="0.55000000000000004">
      <c r="A64" t="s">
        <v>33</v>
      </c>
      <c r="B64">
        <f>AVERAGE(B60:B63)</f>
        <v>2442.1089999999999</v>
      </c>
      <c r="C64" s="2">
        <f>SQRT((C60*C60)+(C61*C61)+(C62*C62)+(C63*C63))/5</f>
        <v>18.242904063772304</v>
      </c>
      <c r="D64" t="s">
        <v>75</v>
      </c>
      <c r="E64" t="s">
        <v>76</v>
      </c>
    </row>
    <row r="65" spans="1:7" x14ac:dyDescent="0.55000000000000004">
      <c r="A65" t="s">
        <v>34</v>
      </c>
      <c r="B65">
        <f>B64/$B$11</f>
        <v>173.95783503473774</v>
      </c>
      <c r="C65">
        <f>SQRT(POWER((C64/$B$11),2)+POWER(((B64*$C$11)/($B$11*$B$11)),2))</f>
        <v>4.4665339626671718</v>
      </c>
      <c r="D65">
        <f>B65/4</f>
        <v>43.489458758684435</v>
      </c>
      <c r="E65">
        <f>C65/4</f>
        <v>1.116633490666793</v>
      </c>
    </row>
    <row r="67" spans="1:7" x14ac:dyDescent="0.55000000000000004">
      <c r="A67" t="s">
        <v>84</v>
      </c>
    </row>
    <row r="68" spans="1:7" x14ac:dyDescent="0.55000000000000004">
      <c r="A68" t="s">
        <v>74</v>
      </c>
      <c r="B68" t="s">
        <v>23</v>
      </c>
      <c r="C68" t="s">
        <v>24</v>
      </c>
    </row>
    <row r="69" spans="1:7" x14ac:dyDescent="0.55000000000000004">
      <c r="A69">
        <v>1</v>
      </c>
      <c r="B69">
        <v>3000.0059999999999</v>
      </c>
      <c r="C69">
        <v>40.731000000000002</v>
      </c>
      <c r="D69" t="s">
        <v>86</v>
      </c>
      <c r="E69" t="s">
        <v>87</v>
      </c>
      <c r="F69" t="s">
        <v>88</v>
      </c>
      <c r="G69" t="s">
        <v>89</v>
      </c>
    </row>
    <row r="70" spans="1:7" x14ac:dyDescent="0.55000000000000004">
      <c r="A70">
        <v>2</v>
      </c>
      <c r="B70">
        <v>3000.15</v>
      </c>
      <c r="C70">
        <v>41.232999999999997</v>
      </c>
      <c r="D70">
        <f>SIN(D72)</f>
        <v>0.80335835658464683</v>
      </c>
      <c r="E70">
        <f>E72*COS(D72)</f>
        <v>1.3984254447403035E-2</v>
      </c>
      <c r="F70">
        <f>$F$1/(2*D70)</f>
        <v>0.95959666527570775</v>
      </c>
      <c r="G70">
        <f>($F$1*COS(D72)*E72)/(2*D70*D70)</f>
        <v>1.6703932714591738E-2</v>
      </c>
    </row>
    <row r="71" spans="1:7" x14ac:dyDescent="0.55000000000000004">
      <c r="A71">
        <v>3</v>
      </c>
      <c r="B71">
        <v>3000.0059999999999</v>
      </c>
      <c r="C71">
        <v>41.258000000000003</v>
      </c>
      <c r="D71" t="s">
        <v>77</v>
      </c>
      <c r="E71" t="s">
        <v>78</v>
      </c>
      <c r="F71" t="s">
        <v>91</v>
      </c>
      <c r="G71" t="s">
        <v>92</v>
      </c>
    </row>
    <row r="72" spans="1:7" x14ac:dyDescent="0.55000000000000004">
      <c r="A72">
        <v>4</v>
      </c>
      <c r="B72">
        <v>3006.0239999999999</v>
      </c>
      <c r="C72">
        <v>41.671999999999997</v>
      </c>
      <c r="D72">
        <f>(PI()*D74)/180</f>
        <v>0.9329135522649753</v>
      </c>
      <c r="E72">
        <f>(PI()*E74)/180</f>
        <v>2.3483377069604874E-2</v>
      </c>
      <c r="F72">
        <f>1/(F70*F70)</f>
        <v>1.0859817822549092</v>
      </c>
      <c r="G72">
        <f>(2*G70)/(POWER(F70,3))</f>
        <v>3.7807898415000124E-2</v>
      </c>
    </row>
    <row r="73" spans="1:7" x14ac:dyDescent="0.55000000000000004">
      <c r="A73" t="s">
        <v>33</v>
      </c>
      <c r="B73">
        <f>AVERAGE(B69:B72)</f>
        <v>3001.5464999999999</v>
      </c>
      <c r="C73" s="2">
        <f>SQRT((C69*C69)+(C70*C70)+(C71*C71)+(C72*C72))/5</f>
        <v>16.489939718507159</v>
      </c>
      <c r="D73" t="s">
        <v>75</v>
      </c>
      <c r="E73" t="s">
        <v>76</v>
      </c>
    </row>
    <row r="74" spans="1:7" x14ac:dyDescent="0.55000000000000004">
      <c r="A74" t="s">
        <v>34</v>
      </c>
      <c r="B74">
        <f>B73/$B$11</f>
        <v>213.80803678136172</v>
      </c>
      <c r="C74">
        <f>SQRT(POWER((C73/$B$11),2)+POWER(((B73*$C$11)/($B$11*$B$11)),2))</f>
        <v>5.3819935792106168</v>
      </c>
      <c r="D74">
        <f>B74/4</f>
        <v>53.45200919534043</v>
      </c>
      <c r="E74">
        <f>C74/4</f>
        <v>1.3454983948026542</v>
      </c>
    </row>
    <row r="76" spans="1:7" x14ac:dyDescent="0.55000000000000004">
      <c r="A76" t="s">
        <v>85</v>
      </c>
    </row>
    <row r="77" spans="1:7" x14ac:dyDescent="0.55000000000000004">
      <c r="A77" t="s">
        <v>74</v>
      </c>
      <c r="B77" t="s">
        <v>23</v>
      </c>
      <c r="C77" t="s">
        <v>24</v>
      </c>
    </row>
    <row r="78" spans="1:7" x14ac:dyDescent="0.55000000000000004">
      <c r="A78">
        <v>1</v>
      </c>
      <c r="B78">
        <v>3168.0509999999999</v>
      </c>
      <c r="C78">
        <v>39.905000000000001</v>
      </c>
      <c r="D78" t="s">
        <v>86</v>
      </c>
      <c r="E78" t="s">
        <v>87</v>
      </c>
      <c r="F78" t="s">
        <v>88</v>
      </c>
      <c r="G78" t="s">
        <v>89</v>
      </c>
    </row>
    <row r="79" spans="1:7" x14ac:dyDescent="0.55000000000000004">
      <c r="A79">
        <v>2</v>
      </c>
      <c r="B79">
        <v>3168.1419999999998</v>
      </c>
      <c r="C79">
        <v>39.906999999999996</v>
      </c>
      <c r="D79">
        <f>SIN(D81)</f>
        <v>0.83361978098305578</v>
      </c>
      <c r="E79">
        <f>E81*COS(D81)</f>
        <v>1.3654014447012613E-2</v>
      </c>
      <c r="F79">
        <f>$F$1/(2*D79)</f>
        <v>0.9247621248753326</v>
      </c>
      <c r="G79">
        <f>($F$1*COS(D81)*E81)/(2*D79*D79)</f>
        <v>1.5146851959544043E-2</v>
      </c>
    </row>
    <row r="80" spans="1:7" x14ac:dyDescent="0.55000000000000004">
      <c r="A80">
        <v>3</v>
      </c>
      <c r="B80">
        <v>3162.279</v>
      </c>
      <c r="C80">
        <v>39.856000000000002</v>
      </c>
      <c r="D80" t="s">
        <v>77</v>
      </c>
      <c r="E80" t="s">
        <v>78</v>
      </c>
      <c r="F80" t="s">
        <v>91</v>
      </c>
      <c r="G80" t="s">
        <v>92</v>
      </c>
    </row>
    <row r="81" spans="1:7" x14ac:dyDescent="0.55000000000000004">
      <c r="A81">
        <v>4</v>
      </c>
      <c r="B81">
        <v>3186.1410000000001</v>
      </c>
      <c r="C81">
        <v>40.756999999999998</v>
      </c>
      <c r="D81">
        <f>(PI()*D83)/180</f>
        <v>0.98562918923099185</v>
      </c>
      <c r="E81">
        <f>(PI()*E83)/180</f>
        <v>2.4720364464401727E-2</v>
      </c>
      <c r="F81">
        <f>1/(F79*F79)</f>
        <v>1.1693376456499813</v>
      </c>
      <c r="G81">
        <f>(2*G79)/(POWER(F79,3))</f>
        <v>3.8305600398091062E-2</v>
      </c>
    </row>
    <row r="82" spans="1:7" x14ac:dyDescent="0.55000000000000004">
      <c r="A82" t="s">
        <v>33</v>
      </c>
      <c r="B82">
        <f>AVERAGE(B78:B81)</f>
        <v>3171.1532499999998</v>
      </c>
      <c r="C82" s="2">
        <f>SQRT((C78*C78)+(C79*C79)+(C80*C80)+(C81*C81))/5</f>
        <v>16.043205987582407</v>
      </c>
      <c r="D82" t="s">
        <v>75</v>
      </c>
      <c r="E82" t="s">
        <v>76</v>
      </c>
    </row>
    <row r="83" spans="1:7" x14ac:dyDescent="0.55000000000000004">
      <c r="A83" t="s">
        <v>34</v>
      </c>
      <c r="B83">
        <f>B82/$B$11</f>
        <v>225.88957083134801</v>
      </c>
      <c r="C83">
        <f>SQRT(POWER((C82/$B$11),2)+POWER(((B82*$C$11)/($B$11*$B$11)),2))</f>
        <v>5.6654902073415867</v>
      </c>
      <c r="D83">
        <f>B83/4</f>
        <v>56.472392707837002</v>
      </c>
      <c r="E83">
        <f>C83/4</f>
        <v>1.4163725518353967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75B8-358D-49D8-B8A5-B5EF3AD665AB}">
  <dimension ref="A1:Q92"/>
  <sheetViews>
    <sheetView tabSelected="1" topLeftCell="A59" zoomScale="95" workbookViewId="0">
      <selection activeCell="E83" sqref="E83"/>
    </sheetView>
  </sheetViews>
  <sheetFormatPr defaultRowHeight="14.4" x14ac:dyDescent="0.55000000000000004"/>
  <cols>
    <col min="4" max="4" width="14.3671875" customWidth="1"/>
    <col min="5" max="5" width="16.68359375" customWidth="1"/>
    <col min="7" max="7" width="12.9453125" customWidth="1"/>
    <col min="10" max="10" width="16.15625" customWidth="1"/>
    <col min="11" max="12" width="12.578125" customWidth="1"/>
    <col min="13" max="13" width="9.734375" customWidth="1"/>
    <col min="14" max="15" width="16.68359375" customWidth="1"/>
  </cols>
  <sheetData>
    <row r="1" spans="1:17" x14ac:dyDescent="0.55000000000000004">
      <c r="B1" t="s">
        <v>22</v>
      </c>
      <c r="D1" t="s">
        <v>26</v>
      </c>
      <c r="E1" t="s">
        <v>99</v>
      </c>
      <c r="F1">
        <v>1.5418000000000001</v>
      </c>
      <c r="G1" t="s">
        <v>101</v>
      </c>
      <c r="I1" t="s">
        <v>95</v>
      </c>
      <c r="J1" t="s">
        <v>96</v>
      </c>
      <c r="K1" t="s">
        <v>97</v>
      </c>
      <c r="L1" t="s">
        <v>108</v>
      </c>
      <c r="M1" t="s">
        <v>98</v>
      </c>
      <c r="N1" t="s">
        <v>106</v>
      </c>
      <c r="O1" t="s">
        <v>107</v>
      </c>
      <c r="P1" t="s">
        <v>91</v>
      </c>
      <c r="Q1" t="s">
        <v>2</v>
      </c>
    </row>
    <row r="2" spans="1:17" x14ac:dyDescent="0.55000000000000004">
      <c r="E2" t="s">
        <v>100</v>
      </c>
      <c r="F2">
        <v>1.3921699999999999</v>
      </c>
      <c r="G2" t="s">
        <v>101</v>
      </c>
      <c r="I2">
        <v>1</v>
      </c>
      <c r="J2">
        <f>B83</f>
        <v>22.443950282021195</v>
      </c>
      <c r="K2">
        <f>D83</f>
        <v>44.88790056404239</v>
      </c>
      <c r="M2">
        <f>D79</f>
        <v>0.70572197127890757</v>
      </c>
      <c r="N2">
        <f>F79</f>
        <v>0.98634452139637441</v>
      </c>
      <c r="O2">
        <v>3.57681</v>
      </c>
      <c r="P2">
        <f>F81</f>
        <v>1.0278807357120729</v>
      </c>
    </row>
    <row r="3" spans="1:17" x14ac:dyDescent="0.55000000000000004">
      <c r="B3" t="s">
        <v>23</v>
      </c>
      <c r="C3" t="s">
        <v>24</v>
      </c>
      <c r="I3">
        <v>2</v>
      </c>
      <c r="J3">
        <f>B74</f>
        <v>26.792945747701825</v>
      </c>
      <c r="K3">
        <f>D74</f>
        <v>53.585891495403651</v>
      </c>
      <c r="M3">
        <f>D70</f>
        <v>0.80474764957318146</v>
      </c>
      <c r="N3">
        <f>F70</f>
        <v>0.86497301404879712</v>
      </c>
      <c r="O3">
        <v>3.0896520000000001</v>
      </c>
      <c r="P3">
        <f>F72</f>
        <v>1.3365797696988138</v>
      </c>
    </row>
    <row r="4" spans="1:17" x14ac:dyDescent="0.55000000000000004">
      <c r="B4">
        <v>846.00199999999995</v>
      </c>
      <c r="C4">
        <v>7.8710000000000004</v>
      </c>
      <c r="I4">
        <v>3</v>
      </c>
      <c r="J4">
        <f>B65</f>
        <v>38.124465116938644</v>
      </c>
      <c r="K4">
        <f>D65</f>
        <v>76.248930233877289</v>
      </c>
      <c r="M4">
        <f>D61</f>
        <v>0.97133763182466659</v>
      </c>
      <c r="N4">
        <f>F61</f>
        <v>0.71662517459804165</v>
      </c>
      <c r="O4">
        <v>2.1313399999999998</v>
      </c>
      <c r="P4">
        <f>F63</f>
        <v>1.9472238435660436</v>
      </c>
    </row>
    <row r="5" spans="1:17" x14ac:dyDescent="0.55000000000000004">
      <c r="B5">
        <v>846.47299999999996</v>
      </c>
      <c r="C5">
        <v>19.672000000000001</v>
      </c>
      <c r="I5">
        <v>4</v>
      </c>
      <c r="J5">
        <f>B56</f>
        <v>46.120090331866805</v>
      </c>
      <c r="K5">
        <f>D56</f>
        <v>92.240180663733611</v>
      </c>
      <c r="M5">
        <f>D52</f>
        <v>0.99923574990384245</v>
      </c>
      <c r="N5">
        <f>F52</f>
        <v>0.7714896110093985</v>
      </c>
      <c r="O5">
        <v>1.777107</v>
      </c>
      <c r="P5">
        <f>F54</f>
        <v>1.6801181972823767</v>
      </c>
    </row>
    <row r="6" spans="1:17" x14ac:dyDescent="0.55000000000000004">
      <c r="B6">
        <v>851.73699999999997</v>
      </c>
      <c r="C6">
        <v>20.739000000000001</v>
      </c>
      <c r="I6">
        <v>5</v>
      </c>
      <c r="J6">
        <f>B47</f>
        <v>48.776012067883627</v>
      </c>
      <c r="K6">
        <f>D47</f>
        <v>48.776012067883627</v>
      </c>
      <c r="M6">
        <f>D43</f>
        <v>0.75213907050107986</v>
      </c>
      <c r="N6">
        <f>F43</f>
        <v>1.0249434316534327</v>
      </c>
      <c r="O6">
        <v>1.6857880000000001</v>
      </c>
      <c r="P6">
        <f>F45</f>
        <v>0.9519194635570466</v>
      </c>
    </row>
    <row r="7" spans="1:17" x14ac:dyDescent="0.55000000000000004">
      <c r="B7">
        <v>840</v>
      </c>
      <c r="C7">
        <v>14.856999999999999</v>
      </c>
      <c r="I7">
        <v>6</v>
      </c>
      <c r="J7">
        <f>B38</f>
        <v>60.379175810345629</v>
      </c>
      <c r="K7">
        <f>D38</f>
        <v>60.379175810345629</v>
      </c>
      <c r="M7">
        <f>D34</f>
        <v>0.8693153485765065</v>
      </c>
      <c r="N7">
        <f>F34</f>
        <v>0.88678981828900127</v>
      </c>
      <c r="O7">
        <v>1.384244</v>
      </c>
      <c r="P7">
        <f>F36</f>
        <v>1.2716236715243487</v>
      </c>
    </row>
    <row r="8" spans="1:17" x14ac:dyDescent="0.55000000000000004">
      <c r="B8">
        <v>846.85299999999995</v>
      </c>
      <c r="C8">
        <v>16.006</v>
      </c>
      <c r="I8">
        <v>7</v>
      </c>
      <c r="J8">
        <f>B29</f>
        <v>70.409341974183818</v>
      </c>
      <c r="K8">
        <f>D29</f>
        <v>70.409341974183818</v>
      </c>
      <c r="M8">
        <f>D25</f>
        <v>0.94211213504225533</v>
      </c>
      <c r="N8">
        <f>F25</f>
        <v>0.81826777442520027</v>
      </c>
      <c r="O8">
        <v>1.207435</v>
      </c>
      <c r="P8">
        <f>F27</f>
        <v>1.4935133340648712</v>
      </c>
    </row>
    <row r="9" spans="1:17" x14ac:dyDescent="0.55000000000000004">
      <c r="A9" t="s">
        <v>25</v>
      </c>
      <c r="B9">
        <f>AVERAGE(B4:B8)</f>
        <v>846.21299999999997</v>
      </c>
      <c r="C9" s="2">
        <f>SQRT((C4*C4)+(C5*C5)+(C6*C6)+(C7*C7)+(C8*C8))/5</f>
        <v>7.364696411937155</v>
      </c>
      <c r="D9" t="s">
        <v>27</v>
      </c>
      <c r="I9">
        <v>8</v>
      </c>
      <c r="J9">
        <f>B20</f>
        <v>71.563546057552898</v>
      </c>
      <c r="K9">
        <f>D20</f>
        <v>71.563546057552898</v>
      </c>
      <c r="M9">
        <f>D16</f>
        <v>0.94867499064386496</v>
      </c>
      <c r="N9">
        <f>F16</f>
        <v>0.81260706522556347</v>
      </c>
      <c r="O9">
        <v>1.1904999999999999</v>
      </c>
      <c r="P9">
        <f>F18</f>
        <v>1.5143937619499535</v>
      </c>
    </row>
    <row r="10" spans="1:17" x14ac:dyDescent="0.55000000000000004">
      <c r="B10">
        <v>18</v>
      </c>
      <c r="C10">
        <v>0.02</v>
      </c>
      <c r="D10" t="s">
        <v>28</v>
      </c>
      <c r="K10">
        <f>(180-K2)/4</f>
        <v>33.778024858989404</v>
      </c>
    </row>
    <row r="11" spans="1:17" x14ac:dyDescent="0.55000000000000004">
      <c r="A11" t="s">
        <v>29</v>
      </c>
      <c r="B11">
        <f>B9/B10</f>
        <v>47.011833333333328</v>
      </c>
      <c r="C11" s="3">
        <f>SQRT(POWER((C9/B10),2)+POWER(((B9*C10)/(B10*B10)),2))</f>
        <v>0.41247071811274777</v>
      </c>
      <c r="K11">
        <f t="shared" ref="K11:K17" si="0">(180-K3)/4</f>
        <v>31.603527126149089</v>
      </c>
    </row>
    <row r="12" spans="1:17" x14ac:dyDescent="0.55000000000000004">
      <c r="K12">
        <f t="shared" si="0"/>
        <v>25.937767441530678</v>
      </c>
    </row>
    <row r="13" spans="1:17" x14ac:dyDescent="0.55000000000000004">
      <c r="A13" t="s">
        <v>94</v>
      </c>
      <c r="K13">
        <f t="shared" si="0"/>
        <v>21.939954834066597</v>
      </c>
    </row>
    <row r="14" spans="1:17" x14ac:dyDescent="0.55000000000000004">
      <c r="A14" t="s">
        <v>74</v>
      </c>
      <c r="B14" t="s">
        <v>23</v>
      </c>
      <c r="C14" t="s">
        <v>24</v>
      </c>
      <c r="K14">
        <f t="shared" si="0"/>
        <v>32.80599698302909</v>
      </c>
    </row>
    <row r="15" spans="1:17" x14ac:dyDescent="0.55000000000000004">
      <c r="A15">
        <v>1</v>
      </c>
      <c r="B15">
        <v>3528.0819999999999</v>
      </c>
      <c r="C15">
        <v>37.090000000000003</v>
      </c>
      <c r="D15" t="s">
        <v>86</v>
      </c>
      <c r="E15" t="s">
        <v>87</v>
      </c>
      <c r="F15" t="s">
        <v>102</v>
      </c>
      <c r="G15" t="s">
        <v>103</v>
      </c>
      <c r="K15">
        <f t="shared" si="0"/>
        <v>29.905206047413593</v>
      </c>
    </row>
    <row r="16" spans="1:17" x14ac:dyDescent="0.55000000000000004">
      <c r="A16">
        <v>2</v>
      </c>
      <c r="B16">
        <v>3312.2420000000002</v>
      </c>
      <c r="C16">
        <v>36.664000000000001</v>
      </c>
      <c r="D16">
        <f>SIN(D18)</f>
        <v>0.94867499064386496</v>
      </c>
      <c r="E16">
        <f>E18*COS(D18)</f>
        <v>1.9369594862748388E-3</v>
      </c>
      <c r="F16">
        <f>$F$1/(2*D16)</f>
        <v>0.81260706522556347</v>
      </c>
      <c r="G16">
        <f>($F$1*COS(D18)*E18)/(2*D16*D16)</f>
        <v>1.6591424662036765E-3</v>
      </c>
      <c r="K16">
        <f t="shared" si="0"/>
        <v>27.397664506454046</v>
      </c>
    </row>
    <row r="17" spans="1:11" x14ac:dyDescent="0.55000000000000004">
      <c r="A17">
        <v>3</v>
      </c>
      <c r="B17">
        <v>3296.971</v>
      </c>
      <c r="C17">
        <v>36.381999999999998</v>
      </c>
      <c r="D17" t="s">
        <v>77</v>
      </c>
      <c r="E17" t="s">
        <v>78</v>
      </c>
      <c r="F17" t="s">
        <v>91</v>
      </c>
      <c r="G17" t="s">
        <v>92</v>
      </c>
      <c r="K17">
        <f t="shared" si="0"/>
        <v>27.109113485611775</v>
      </c>
    </row>
    <row r="18" spans="1:11" x14ac:dyDescent="0.55000000000000004">
      <c r="A18">
        <v>4</v>
      </c>
      <c r="B18">
        <v>3320.0390000000002</v>
      </c>
      <c r="C18">
        <v>37.286999999999999</v>
      </c>
      <c r="D18">
        <f>(PI()*D20)/180</f>
        <v>1.2490195031069053</v>
      </c>
      <c r="E18">
        <f>(PI()*E20)/180</f>
        <v>6.1247210379673251E-3</v>
      </c>
      <c r="F18">
        <f>1/(F16*F16)</f>
        <v>1.5143937619499535</v>
      </c>
      <c r="G18">
        <f>(2*G16)/(POWER(F16,3))</f>
        <v>6.1840343470497966E-3</v>
      </c>
    </row>
    <row r="19" spans="1:11" x14ac:dyDescent="0.55000000000000004">
      <c r="A19" t="s">
        <v>33</v>
      </c>
      <c r="B19">
        <f>AVERAGE(B15:B18)</f>
        <v>3364.3335000000002</v>
      </c>
      <c r="C19" s="2">
        <f>SQRT((C15*C15)+(C16*C16)+(C17*C17)+(C18*C18))/5</f>
        <v>14.742981094744712</v>
      </c>
      <c r="D19" t="s">
        <v>75</v>
      </c>
      <c r="E19" t="s">
        <v>76</v>
      </c>
      <c r="F19" t="s">
        <v>104</v>
      </c>
      <c r="G19" t="s">
        <v>105</v>
      </c>
    </row>
    <row r="20" spans="1:11" x14ac:dyDescent="0.55000000000000004">
      <c r="A20" t="s">
        <v>34</v>
      </c>
      <c r="B20">
        <f>(B19/$B$11)</f>
        <v>71.563546057552898</v>
      </c>
      <c r="C20">
        <f>SQRT(POWER((C19/$B$11),2)+POWER(((B19*$C$11)/($B$11*$B$11)),2))</f>
        <v>0.70184133234102519</v>
      </c>
      <c r="D20">
        <f>B20</f>
        <v>71.563546057552898</v>
      </c>
      <c r="E20">
        <f>C20/2</f>
        <v>0.3509206661705126</v>
      </c>
      <c r="F20">
        <f>$F$2/(2*D16)</f>
        <v>0.73374444026142993</v>
      </c>
      <c r="G20">
        <f>($F$2*COS(D18)*E18)/(2*D16*D16)</f>
        <v>1.4981245084801998E-3</v>
      </c>
    </row>
    <row r="22" spans="1:11" x14ac:dyDescent="0.55000000000000004">
      <c r="A22" t="s">
        <v>84</v>
      </c>
    </row>
    <row r="23" spans="1:11" x14ac:dyDescent="0.55000000000000004">
      <c r="A23" t="s">
        <v>74</v>
      </c>
      <c r="B23" t="s">
        <v>23</v>
      </c>
      <c r="C23" t="s">
        <v>24</v>
      </c>
    </row>
    <row r="24" spans="1:11" x14ac:dyDescent="0.55000000000000004">
      <c r="A24">
        <v>1</v>
      </c>
      <c r="B24">
        <v>3296.0390000000002</v>
      </c>
      <c r="C24">
        <v>36.555</v>
      </c>
      <c r="D24" t="s">
        <v>86</v>
      </c>
      <c r="E24" t="s">
        <v>87</v>
      </c>
      <c r="F24" t="s">
        <v>88</v>
      </c>
      <c r="G24" t="s">
        <v>89</v>
      </c>
    </row>
    <row r="25" spans="1:11" x14ac:dyDescent="0.55000000000000004">
      <c r="A25">
        <v>2</v>
      </c>
      <c r="B25">
        <v>3304.01</v>
      </c>
      <c r="C25">
        <v>36.100999999999999</v>
      </c>
      <c r="D25">
        <f>SIN(D27)</f>
        <v>0.94211213504225533</v>
      </c>
      <c r="E25">
        <f>E27*COS(D27)</f>
        <v>2.0227578355198725E-3</v>
      </c>
      <c r="F25">
        <f>$F$1/(2*D25)</f>
        <v>0.81826777442520027</v>
      </c>
      <c r="G25">
        <f>($F$1*COS(D27)*E27)/(2*D25*D25)</f>
        <v>1.7568583300306866E-3</v>
      </c>
    </row>
    <row r="26" spans="1:11" x14ac:dyDescent="0.55000000000000004">
      <c r="A26">
        <v>3</v>
      </c>
      <c r="B26">
        <v>3328.24</v>
      </c>
      <c r="C26">
        <v>36.786999999999999</v>
      </c>
      <c r="D26" t="s">
        <v>77</v>
      </c>
      <c r="E26" t="s">
        <v>78</v>
      </c>
      <c r="F26" t="s">
        <v>91</v>
      </c>
      <c r="G26" t="s">
        <v>92</v>
      </c>
    </row>
    <row r="27" spans="1:11" x14ac:dyDescent="0.55000000000000004">
      <c r="A27">
        <v>4</v>
      </c>
      <c r="B27">
        <v>3312</v>
      </c>
      <c r="C27">
        <v>36.420999999999999</v>
      </c>
      <c r="D27">
        <f>(PI()*D29)/180</f>
        <v>1.228874841612152</v>
      </c>
      <c r="E27">
        <f>(PI()*E29)/180</f>
        <v>6.032717312977858E-3</v>
      </c>
      <c r="F27">
        <f>1/(F25*F25)</f>
        <v>1.4935133340648712</v>
      </c>
      <c r="G27">
        <f>(2*G25)/(POWER(F25,3))</f>
        <v>6.413282849387413E-3</v>
      </c>
    </row>
    <row r="28" spans="1:11" x14ac:dyDescent="0.55000000000000004">
      <c r="A28" t="s">
        <v>33</v>
      </c>
      <c r="B28">
        <f>AVERAGE(B24:B27)</f>
        <v>3310.0722500000002</v>
      </c>
      <c r="C28" s="2">
        <f>SQRT((C24*C24)+(C25*C25)+(C26*C26)+(C27*C27))/5</f>
        <v>14.586737587274271</v>
      </c>
      <c r="D28" t="s">
        <v>75</v>
      </c>
      <c r="E28" t="s">
        <v>76</v>
      </c>
      <c r="F28" t="s">
        <v>104</v>
      </c>
      <c r="G28" t="s">
        <v>105</v>
      </c>
    </row>
    <row r="29" spans="1:11" x14ac:dyDescent="0.55000000000000004">
      <c r="A29" t="s">
        <v>34</v>
      </c>
      <c r="B29">
        <f>(B28/$B$11)</f>
        <v>70.409341974183818</v>
      </c>
      <c r="C29">
        <f>SQRT(POWER((C28/$B$11),2)+POWER(((B28*$C$11)/($B$11*$B$11)),2))</f>
        <v>0.6912984820582676</v>
      </c>
      <c r="D29">
        <f>B29</f>
        <v>70.409341974183818</v>
      </c>
      <c r="E29">
        <f>C29/2</f>
        <v>0.3456492410291338</v>
      </c>
      <c r="F29">
        <f>$F$2/(2*D25)</f>
        <v>0.73885578383806649</v>
      </c>
      <c r="G29">
        <f>($F$2*COS(D27)*E27)/(2*D25*D25)</f>
        <v>1.5863571548312499E-3</v>
      </c>
    </row>
    <row r="31" spans="1:11" x14ac:dyDescent="0.55000000000000004">
      <c r="A31" t="s">
        <v>83</v>
      </c>
    </row>
    <row r="32" spans="1:11" x14ac:dyDescent="0.55000000000000004">
      <c r="A32" t="s">
        <v>74</v>
      </c>
      <c r="B32" t="s">
        <v>23</v>
      </c>
      <c r="C32" t="s">
        <v>24</v>
      </c>
    </row>
    <row r="33" spans="1:7" x14ac:dyDescent="0.55000000000000004">
      <c r="A33">
        <v>1</v>
      </c>
      <c r="B33">
        <v>2856.4029999999998</v>
      </c>
      <c r="C33">
        <v>38.365000000000002</v>
      </c>
      <c r="D33" t="s">
        <v>86</v>
      </c>
      <c r="E33" t="s">
        <v>87</v>
      </c>
      <c r="F33" t="s">
        <v>88</v>
      </c>
      <c r="G33" t="s">
        <v>89</v>
      </c>
    </row>
    <row r="34" spans="1:7" x14ac:dyDescent="0.55000000000000004">
      <c r="A34">
        <v>2</v>
      </c>
      <c r="B34">
        <v>2838.913</v>
      </c>
      <c r="C34">
        <v>37.764000000000003</v>
      </c>
      <c r="D34">
        <f>SIN(D36)</f>
        <v>0.8693153485765065</v>
      </c>
      <c r="E34">
        <f>E36*COS(D36)</f>
        <v>2.6730809919730605E-3</v>
      </c>
      <c r="F34">
        <f>$F$1/(2*D34)</f>
        <v>0.88678981828900127</v>
      </c>
      <c r="G34">
        <f>($F$1*COS(D36)*E36)/(2*D34*D34)</f>
        <v>2.7268137057802734E-3</v>
      </c>
    </row>
    <row r="35" spans="1:7" x14ac:dyDescent="0.55000000000000004">
      <c r="A35">
        <v>3</v>
      </c>
      <c r="B35">
        <v>2826.5160000000001</v>
      </c>
      <c r="C35">
        <v>37.365000000000002</v>
      </c>
      <c r="D35" t="s">
        <v>77</v>
      </c>
      <c r="E35" t="s">
        <v>78</v>
      </c>
      <c r="F35" t="s">
        <v>91</v>
      </c>
      <c r="G35" t="s">
        <v>92</v>
      </c>
    </row>
    <row r="36" spans="1:7" x14ac:dyDescent="0.55000000000000004">
      <c r="A36">
        <v>4</v>
      </c>
      <c r="B36">
        <v>2832.3110000000001</v>
      </c>
      <c r="C36">
        <v>37.701000000000001</v>
      </c>
      <c r="D36">
        <f>(PI()*D38)/180</f>
        <v>1.0538154175310466</v>
      </c>
      <c r="E36">
        <f>(PI()*E38)/180</f>
        <v>5.4082721773844964E-3</v>
      </c>
      <c r="F36">
        <f>1/(F34*F34)</f>
        <v>1.2716236715243487</v>
      </c>
      <c r="G36">
        <f>(2*G34)/(POWER(F34,3))</f>
        <v>7.8202992064060634E-3</v>
      </c>
    </row>
    <row r="37" spans="1:7" x14ac:dyDescent="0.55000000000000004">
      <c r="A37" t="s">
        <v>33</v>
      </c>
      <c r="B37">
        <f>AVERAGE(B33:B36)</f>
        <v>2838.53575</v>
      </c>
      <c r="C37" s="2">
        <f>SQRT((C33*C33)+(C34*C34)+(C35*C35)+(C36*C36))/5</f>
        <v>15.12018723032225</v>
      </c>
      <c r="D37" t="s">
        <v>75</v>
      </c>
      <c r="E37" t="s">
        <v>76</v>
      </c>
      <c r="F37" t="s">
        <v>104</v>
      </c>
      <c r="G37" t="s">
        <v>105</v>
      </c>
    </row>
    <row r="38" spans="1:7" x14ac:dyDescent="0.55000000000000004">
      <c r="A38" t="s">
        <v>34</v>
      </c>
      <c r="B38">
        <f>(B37/$B$11)</f>
        <v>60.379175810345629</v>
      </c>
      <c r="C38">
        <f>SQRT(POWER((C37/$B$11),2)+POWER(((B37*$C$11)/($B$11*$B$11)),2))</f>
        <v>0.61974234044431953</v>
      </c>
      <c r="D38">
        <f>B38</f>
        <v>60.379175810345629</v>
      </c>
      <c r="E38">
        <f>C38/2</f>
        <v>0.30987117022215976</v>
      </c>
      <c r="F38">
        <f>$F$2/(2*D34)</f>
        <v>0.80072783845336548</v>
      </c>
      <c r="G38">
        <f>($F$2*COS(D36)*E36)/(2*D34*D34)</f>
        <v>2.4621794245531996E-3</v>
      </c>
    </row>
    <row r="40" spans="1:7" x14ac:dyDescent="0.55000000000000004">
      <c r="A40" t="s">
        <v>82</v>
      </c>
    </row>
    <row r="41" spans="1:7" x14ac:dyDescent="0.55000000000000004">
      <c r="A41" t="s">
        <v>74</v>
      </c>
      <c r="B41" t="s">
        <v>23</v>
      </c>
      <c r="C41" t="s">
        <v>24</v>
      </c>
    </row>
    <row r="42" spans="1:7" x14ac:dyDescent="0.55000000000000004">
      <c r="A42">
        <v>1</v>
      </c>
      <c r="B42">
        <v>2304.125</v>
      </c>
      <c r="C42">
        <v>39.198</v>
      </c>
      <c r="D42" t="s">
        <v>86</v>
      </c>
      <c r="E42" t="s">
        <v>87</v>
      </c>
      <c r="F42" t="s">
        <v>88</v>
      </c>
      <c r="G42" t="s">
        <v>89</v>
      </c>
    </row>
    <row r="43" spans="1:7" x14ac:dyDescent="0.55000000000000004">
      <c r="A43">
        <v>2</v>
      </c>
      <c r="B43">
        <v>2280.0039999999999</v>
      </c>
      <c r="C43">
        <v>37.554000000000002</v>
      </c>
      <c r="D43">
        <f>SIN(D45)</f>
        <v>0.75213907050107986</v>
      </c>
      <c r="E43">
        <f>E45*COS(D45)</f>
        <v>3.099167301450496E-3</v>
      </c>
      <c r="F43">
        <f>$F$1/(2*D43)</f>
        <v>1.0249434316534327</v>
      </c>
      <c r="G43">
        <f>($F$1*COS(D45)*E45)/(2*D43*D43)</f>
        <v>4.223249786905226E-3</v>
      </c>
    </row>
    <row r="44" spans="1:7" x14ac:dyDescent="0.55000000000000004">
      <c r="A44">
        <v>3</v>
      </c>
      <c r="B44">
        <v>2308.0140000000001</v>
      </c>
      <c r="C44">
        <v>38.965000000000003</v>
      </c>
      <c r="D44" t="s">
        <v>77</v>
      </c>
      <c r="E44" t="s">
        <v>78</v>
      </c>
      <c r="F44" t="s">
        <v>91</v>
      </c>
      <c r="G44" t="s">
        <v>92</v>
      </c>
    </row>
    <row r="45" spans="1:7" x14ac:dyDescent="0.55000000000000004">
      <c r="A45">
        <v>4</v>
      </c>
      <c r="B45">
        <v>2280.056</v>
      </c>
      <c r="C45">
        <v>38.238</v>
      </c>
      <c r="D45">
        <f>(PI()*D47)/180</f>
        <v>0.85130200657705724</v>
      </c>
      <c r="E45">
        <f>(PI()*E47)/180</f>
        <v>4.7028020331977465E-3</v>
      </c>
      <c r="F45">
        <f>1/(F43*F43)</f>
        <v>0.9519194635570466</v>
      </c>
      <c r="G45">
        <f>(2*G43)/(POWER(F43,3))</f>
        <v>7.8447132738494289E-3</v>
      </c>
    </row>
    <row r="46" spans="1:7" x14ac:dyDescent="0.55000000000000004">
      <c r="A46" t="s">
        <v>33</v>
      </c>
      <c r="B46">
        <f>AVERAGE(B42:B45)</f>
        <v>2293.0497500000001</v>
      </c>
      <c r="C46" s="2">
        <f>SQRT((C42*C42)+(C43*C43)+(C44*C44)+(C45*C45))/5</f>
        <v>15.397664743720068</v>
      </c>
      <c r="D46" t="s">
        <v>75</v>
      </c>
      <c r="E46" t="s">
        <v>76</v>
      </c>
      <c r="F46" t="s">
        <v>104</v>
      </c>
      <c r="G46" t="s">
        <v>105</v>
      </c>
    </row>
    <row r="47" spans="1:7" x14ac:dyDescent="0.55000000000000004">
      <c r="A47" t="s">
        <v>34</v>
      </c>
      <c r="B47">
        <f>(B46/$B$11)</f>
        <v>48.776012067883627</v>
      </c>
      <c r="C47">
        <f>SQRT(POWER((C46/$B$11),2)+POWER(((B46*$C$11)/($B$11*$B$11)),2))</f>
        <v>0.5389014167755467</v>
      </c>
      <c r="D47">
        <f>B47</f>
        <v>48.776012067883627</v>
      </c>
      <c r="E47">
        <f>C47/2</f>
        <v>0.26945070838777335</v>
      </c>
      <c r="F47">
        <f>$F$2/(2*D43)</f>
        <v>0.92547379507391325</v>
      </c>
      <c r="G47">
        <f>($F$2*COS(D45)*E45)/(2*D43*D43)</f>
        <v>3.8133880242806118E-3</v>
      </c>
    </row>
    <row r="49" spans="1:7" x14ac:dyDescent="0.55000000000000004">
      <c r="A49" t="s">
        <v>81</v>
      </c>
    </row>
    <row r="50" spans="1:7" x14ac:dyDescent="0.55000000000000004">
      <c r="A50" t="s">
        <v>74</v>
      </c>
      <c r="B50" t="s">
        <v>23</v>
      </c>
      <c r="C50" t="s">
        <v>24</v>
      </c>
    </row>
    <row r="51" spans="1:7" x14ac:dyDescent="0.55000000000000004">
      <c r="A51">
        <v>1</v>
      </c>
      <c r="B51">
        <v>2180.1320000000001</v>
      </c>
      <c r="C51">
        <v>39.743000000000002</v>
      </c>
      <c r="D51" t="s">
        <v>86</v>
      </c>
      <c r="E51" t="s">
        <v>87</v>
      </c>
      <c r="F51" t="s">
        <v>88</v>
      </c>
      <c r="G51" t="s">
        <v>89</v>
      </c>
    </row>
    <row r="52" spans="1:7" x14ac:dyDescent="0.55000000000000004">
      <c r="A52">
        <v>2</v>
      </c>
      <c r="B52">
        <v>2168.5309999999999</v>
      </c>
      <c r="C52">
        <v>39.055999999999997</v>
      </c>
      <c r="D52">
        <f>SIN(D54)</f>
        <v>0.99923574990384245</v>
      </c>
      <c r="E52">
        <f>E54*COS(D54)</f>
        <v>-1.7874648642828407E-4</v>
      </c>
      <c r="F52">
        <f>$F$1/(2*D52)</f>
        <v>0.7714896110093985</v>
      </c>
      <c r="G52">
        <f>($F$1*COS(D54)*E54)/(2*D52*D52)</f>
        <v>-1.3800652878674926E-4</v>
      </c>
    </row>
    <row r="53" spans="1:7" x14ac:dyDescent="0.55000000000000004">
      <c r="A53">
        <v>3</v>
      </c>
      <c r="B53">
        <v>2156.0929999999998</v>
      </c>
      <c r="C53">
        <v>38.817999999999998</v>
      </c>
      <c r="D53" t="s">
        <v>77</v>
      </c>
      <c r="E53" t="s">
        <v>78</v>
      </c>
      <c r="F53" t="s">
        <v>91</v>
      </c>
      <c r="G53" t="s">
        <v>92</v>
      </c>
    </row>
    <row r="54" spans="1:7" x14ac:dyDescent="0.55000000000000004">
      <c r="A54">
        <v>4</v>
      </c>
      <c r="B54">
        <v>2168.0039999999999</v>
      </c>
      <c r="C54">
        <v>38.896999999999998</v>
      </c>
      <c r="D54">
        <f>(PI()*D56)/180</f>
        <v>1.60989485521656</v>
      </c>
      <c r="E54">
        <f>(PI()*E56)/180</f>
        <v>4.572858448738587E-3</v>
      </c>
      <c r="F54">
        <f>1/(F52*F52)</f>
        <v>1.6801181972823767</v>
      </c>
      <c r="G54">
        <f>(2*G52)/(POWER(F52,3))</f>
        <v>-6.0108983205884518E-4</v>
      </c>
    </row>
    <row r="55" spans="1:7" x14ac:dyDescent="0.55000000000000004">
      <c r="A55" t="s">
        <v>33</v>
      </c>
      <c r="B55">
        <f>AVERAGE(B51:B54)</f>
        <v>2168.19</v>
      </c>
      <c r="C55" s="2">
        <f>SQRT((C51*C51)+(C52*C52)+(C53*C53)+(C54*C54))/5</f>
        <v>15.652080907023194</v>
      </c>
      <c r="D55" t="s">
        <v>75</v>
      </c>
      <c r="E55" t="s">
        <v>76</v>
      </c>
      <c r="F55" t="s">
        <v>104</v>
      </c>
      <c r="G55" t="s">
        <v>105</v>
      </c>
    </row>
    <row r="56" spans="1:7" x14ac:dyDescent="0.55000000000000004">
      <c r="A56" t="s">
        <v>34</v>
      </c>
      <c r="B56">
        <f>(B55/$B$11)</f>
        <v>46.120090331866805</v>
      </c>
      <c r="C56">
        <f>SQRT(POWER((C55/$B$11),2)+POWER(((B55*$C$11)/($B$11*$B$11)),2))</f>
        <v>0.52401097884692349</v>
      </c>
      <c r="D56">
        <f>B56*2</f>
        <v>92.240180663733611</v>
      </c>
      <c r="E56">
        <f>C56/2</f>
        <v>0.26200548942346175</v>
      </c>
      <c r="F56">
        <f>$F$2/(2*D52)</f>
        <v>0.69661738990722155</v>
      </c>
      <c r="G56">
        <f>($F$2*COS(D54)*E54)/(2*D52*D52)</f>
        <v>-1.2461314643990706E-4</v>
      </c>
    </row>
    <row r="58" spans="1:7" x14ac:dyDescent="0.55000000000000004">
      <c r="A58" t="s">
        <v>80</v>
      </c>
    </row>
    <row r="59" spans="1:7" x14ac:dyDescent="0.55000000000000004">
      <c r="A59" t="s">
        <v>74</v>
      </c>
      <c r="B59" t="s">
        <v>23</v>
      </c>
      <c r="C59" t="s">
        <v>24</v>
      </c>
    </row>
    <row r="60" spans="1:7" x14ac:dyDescent="0.55000000000000004">
      <c r="A60">
        <v>1</v>
      </c>
      <c r="B60">
        <v>1793.1420000000001</v>
      </c>
      <c r="C60">
        <v>41.076000000000001</v>
      </c>
      <c r="D60" t="s">
        <v>86</v>
      </c>
      <c r="E60" t="s">
        <v>87</v>
      </c>
      <c r="F60" t="s">
        <v>88</v>
      </c>
      <c r="G60" t="s">
        <v>89</v>
      </c>
    </row>
    <row r="61" spans="1:7" x14ac:dyDescent="0.55000000000000004">
      <c r="A61">
        <v>2</v>
      </c>
      <c r="B61">
        <v>1800.04</v>
      </c>
      <c r="C61">
        <v>41.076000000000001</v>
      </c>
      <c r="D61">
        <f>SIN(D63)</f>
        <v>0.97133763182466659</v>
      </c>
      <c r="E61">
        <f>E63*COS(D63)</f>
        <v>9.997143499585828E-4</v>
      </c>
      <c r="F61">
        <f>$F$2/(2*D61)</f>
        <v>0.71662517459804165</v>
      </c>
      <c r="G61">
        <f>($F$1*COS(D63)*E63)/(2*D61*D61)</f>
        <v>8.1683350327023776E-4</v>
      </c>
    </row>
    <row r="62" spans="1:7" x14ac:dyDescent="0.55000000000000004">
      <c r="A62">
        <v>3</v>
      </c>
      <c r="B62">
        <v>1784.018</v>
      </c>
      <c r="C62">
        <v>40.033999999999999</v>
      </c>
      <c r="D62" t="s">
        <v>77</v>
      </c>
      <c r="E62" t="s">
        <v>78</v>
      </c>
      <c r="F62" t="s">
        <v>91</v>
      </c>
      <c r="G62" t="s">
        <v>92</v>
      </c>
    </row>
    <row r="63" spans="1:7" x14ac:dyDescent="0.55000000000000004">
      <c r="A63">
        <v>4</v>
      </c>
      <c r="B63">
        <v>1792.0039999999999</v>
      </c>
      <c r="C63">
        <v>40.914999999999999</v>
      </c>
      <c r="D63">
        <f>(PI()*D65)/180</f>
        <v>1.3307948837046086</v>
      </c>
      <c r="E63">
        <f>(PI()*E65)/180</f>
        <v>4.2057105961431137E-3</v>
      </c>
      <c r="F63">
        <f>1/(F61*F61)</f>
        <v>1.9472238435660436</v>
      </c>
      <c r="G63">
        <f>(2*G61)/(POWER(F61,3))</f>
        <v>4.4390226025300883E-3</v>
      </c>
    </row>
    <row r="64" spans="1:7" x14ac:dyDescent="0.55000000000000004">
      <c r="A64" t="s">
        <v>33</v>
      </c>
      <c r="B64">
        <f>AVERAGE(B60:B63)</f>
        <v>1792.3009999999999</v>
      </c>
      <c r="C64" s="2">
        <f>SQRT((C60*C60)+(C61*C61)+(C62*C62)+(C63*C63))/5</f>
        <v>16.31101950584328</v>
      </c>
      <c r="D64" t="s">
        <v>75</v>
      </c>
      <c r="E64" t="s">
        <v>76</v>
      </c>
      <c r="F64" t="s">
        <v>104</v>
      </c>
      <c r="G64" t="s">
        <v>105</v>
      </c>
    </row>
    <row r="65" spans="1:7" x14ac:dyDescent="0.55000000000000004">
      <c r="A65" t="s">
        <v>34</v>
      </c>
      <c r="B65">
        <f>(B64/$B$11)</f>
        <v>38.124465116938644</v>
      </c>
      <c r="C65">
        <f>SQRT(POWER((C64/$B$11),2)+POWER(((B64*$C$11)/($B$11*$B$11)),2))</f>
        <v>0.48193893402489979</v>
      </c>
      <c r="D65">
        <f>B65*2</f>
        <v>76.248930233877289</v>
      </c>
      <c r="E65">
        <f>C65/2</f>
        <v>0.24096946701244989</v>
      </c>
      <c r="F65">
        <f>$F$2/(2*D61)</f>
        <v>0.71662517459804165</v>
      </c>
      <c r="G65">
        <f>($F$2*COS(D63)*E63)/(2*D61*D61)</f>
        <v>7.3756070712655778E-4</v>
      </c>
    </row>
    <row r="67" spans="1:7" x14ac:dyDescent="0.55000000000000004">
      <c r="A67" t="s">
        <v>79</v>
      </c>
    </row>
    <row r="68" spans="1:7" x14ac:dyDescent="0.55000000000000004">
      <c r="A68" t="s">
        <v>74</v>
      </c>
      <c r="B68" t="s">
        <v>23</v>
      </c>
      <c r="C68" t="s">
        <v>24</v>
      </c>
    </row>
    <row r="69" spans="1:7" x14ac:dyDescent="0.55000000000000004">
      <c r="A69">
        <v>1</v>
      </c>
      <c r="B69">
        <v>1246.3150000000001</v>
      </c>
      <c r="C69">
        <v>54.008000000000003</v>
      </c>
      <c r="D69" t="s">
        <v>86</v>
      </c>
      <c r="E69" t="s">
        <v>87</v>
      </c>
      <c r="F69" t="s">
        <v>88</v>
      </c>
      <c r="G69" t="s">
        <v>89</v>
      </c>
    </row>
    <row r="70" spans="1:7" x14ac:dyDescent="0.55000000000000004">
      <c r="A70">
        <v>2</v>
      </c>
      <c r="B70">
        <v>1268.174</v>
      </c>
      <c r="C70">
        <v>55.363999999999997</v>
      </c>
      <c r="D70">
        <f>SIN(D72)</f>
        <v>0.80474764957318146</v>
      </c>
      <c r="E70">
        <f>E72*COS(D72)</f>
        <v>2.6945897181575333E-3</v>
      </c>
      <c r="F70">
        <f>$F$2/(2*D70)</f>
        <v>0.86497301404879712</v>
      </c>
      <c r="G70">
        <f>($F$1*COS(D72)*E72)/(2*D70*D70)</f>
        <v>3.2075339374069197E-3</v>
      </c>
    </row>
    <row r="71" spans="1:7" x14ac:dyDescent="0.55000000000000004">
      <c r="A71">
        <v>3</v>
      </c>
      <c r="B71">
        <v>1258.2370000000001</v>
      </c>
      <c r="C71">
        <v>54.396999999999998</v>
      </c>
      <c r="D71" t="s">
        <v>77</v>
      </c>
      <c r="E71" t="s">
        <v>78</v>
      </c>
      <c r="F71" t="s">
        <v>91</v>
      </c>
      <c r="G71" t="s">
        <v>92</v>
      </c>
    </row>
    <row r="72" spans="1:7" x14ac:dyDescent="0.55000000000000004">
      <c r="A72">
        <v>4</v>
      </c>
      <c r="B72">
        <v>1265.616</v>
      </c>
      <c r="C72">
        <v>54.363</v>
      </c>
      <c r="D72">
        <f>(PI()*D74)/180</f>
        <v>0.93525023921122152</v>
      </c>
      <c r="E72">
        <f>(PI()*E74)/180</f>
        <v>4.53927266340116E-3</v>
      </c>
      <c r="F72">
        <f>1/(F70*F70)</f>
        <v>1.3365797696988138</v>
      </c>
      <c r="G72">
        <f>(2*G70)/(POWER(F70,3))</f>
        <v>9.9127369333596657E-3</v>
      </c>
    </row>
    <row r="73" spans="1:7" x14ac:dyDescent="0.55000000000000004">
      <c r="A73" t="s">
        <v>33</v>
      </c>
      <c r="B73">
        <f>AVERAGE(B69:B72)</f>
        <v>1259.5855000000001</v>
      </c>
      <c r="C73" s="2">
        <f>SQRT((C69*C69)+(C70*C70)+(C71*C71)+(C72*C72))/5</f>
        <v>21.814129309234417</v>
      </c>
      <c r="D73" t="s">
        <v>75</v>
      </c>
      <c r="E73" t="s">
        <v>76</v>
      </c>
      <c r="F73" t="s">
        <v>104</v>
      </c>
      <c r="G73" t="s">
        <v>105</v>
      </c>
    </row>
    <row r="74" spans="1:7" x14ac:dyDescent="0.55000000000000004">
      <c r="A74" t="s">
        <v>34</v>
      </c>
      <c r="B74">
        <f>(B73/$B$11)</f>
        <v>26.792945747701825</v>
      </c>
      <c r="C74">
        <f>SQRT(POWER((C73/$B$11),2)+POWER(((B73*$C$11)/($B$11*$B$11)),2))</f>
        <v>0.52016233134398959</v>
      </c>
      <c r="D74">
        <f>B74*2</f>
        <v>53.585891495403651</v>
      </c>
      <c r="E74">
        <f>C74/2</f>
        <v>0.2600811656719948</v>
      </c>
      <c r="F74">
        <f>$F$2/(2*D70)</f>
        <v>0.86497301404879712</v>
      </c>
      <c r="G74">
        <f>($F$2*COS(D72)*E72)/(2*D70*D70)</f>
        <v>2.8962462846282206E-3</v>
      </c>
    </row>
    <row r="76" spans="1:7" x14ac:dyDescent="0.55000000000000004">
      <c r="A76" t="s">
        <v>93</v>
      </c>
    </row>
    <row r="77" spans="1:7" x14ac:dyDescent="0.55000000000000004">
      <c r="A77" t="s">
        <v>74</v>
      </c>
      <c r="B77" t="s">
        <v>23</v>
      </c>
      <c r="C77" t="s">
        <v>24</v>
      </c>
    </row>
    <row r="78" spans="1:7" x14ac:dyDescent="0.55000000000000004">
      <c r="A78">
        <v>1</v>
      </c>
      <c r="B78">
        <v>1056.03</v>
      </c>
      <c r="C78">
        <v>47.494</v>
      </c>
      <c r="D78" t="s">
        <v>86</v>
      </c>
      <c r="E78" t="s">
        <v>87</v>
      </c>
      <c r="F78" t="s">
        <v>88</v>
      </c>
      <c r="G78" t="s">
        <v>89</v>
      </c>
    </row>
    <row r="79" spans="1:7" x14ac:dyDescent="0.55000000000000004">
      <c r="A79">
        <v>2</v>
      </c>
      <c r="B79">
        <v>1064.03</v>
      </c>
      <c r="C79">
        <v>48.542000000000002</v>
      </c>
      <c r="D79">
        <f>SIN(D81)</f>
        <v>0.70572197127890757</v>
      </c>
      <c r="E79">
        <f>E81*COS(D81)</f>
        <v>3.3841585929831439E-3</v>
      </c>
      <c r="F79">
        <f>$F$2/(2*D79)</f>
        <v>0.98634452139637441</v>
      </c>
      <c r="G79">
        <f>($F$1*COS(D81)*E81)/(2*D79*D79)</f>
        <v>5.2381927591146722E-3</v>
      </c>
    </row>
    <row r="80" spans="1:7" x14ac:dyDescent="0.55000000000000004">
      <c r="A80">
        <v>3</v>
      </c>
      <c r="B80">
        <v>1048.191</v>
      </c>
      <c r="C80">
        <v>47.65</v>
      </c>
      <c r="D80" t="s">
        <v>77</v>
      </c>
      <c r="E80" t="s">
        <v>78</v>
      </c>
      <c r="F80" t="s">
        <v>91</v>
      </c>
      <c r="G80" t="s">
        <v>92</v>
      </c>
    </row>
    <row r="81" spans="1:7" x14ac:dyDescent="0.55000000000000004">
      <c r="A81">
        <v>4</v>
      </c>
      <c r="B81">
        <v>1052.2739999999999</v>
      </c>
      <c r="C81">
        <v>48.38</v>
      </c>
      <c r="D81">
        <f>(PI()*D83)/180</f>
        <v>0.78344165915035946</v>
      </c>
      <c r="E81">
        <f>(PI()*E83)/180</f>
        <v>4.7765867153516783E-3</v>
      </c>
      <c r="F81">
        <f>1/(F79*F79)</f>
        <v>1.0278807357120729</v>
      </c>
      <c r="G81">
        <f>(2*G79)/(POWER(F79,3))</f>
        <v>1.0917559352218923E-2</v>
      </c>
    </row>
    <row r="82" spans="1:7" x14ac:dyDescent="0.55000000000000004">
      <c r="A82" t="s">
        <v>33</v>
      </c>
      <c r="B82">
        <f>AVERAGE(B78:B81)</f>
        <v>1055.1312499999999</v>
      </c>
      <c r="C82" s="2">
        <f>SQRT((C78*C78)+(C79*C79)+(C80*C80)+(C81*C81))/4</f>
        <v>24.009311605083557</v>
      </c>
      <c r="D82" t="s">
        <v>75</v>
      </c>
      <c r="E82" t="s">
        <v>76</v>
      </c>
      <c r="F82" t="s">
        <v>104</v>
      </c>
      <c r="G82" t="s">
        <v>105</v>
      </c>
    </row>
    <row r="83" spans="1:7" x14ac:dyDescent="0.55000000000000004">
      <c r="A83" t="s">
        <v>34</v>
      </c>
      <c r="B83">
        <f>(B82/$B$11)</f>
        <v>22.443950282021195</v>
      </c>
      <c r="C83">
        <f>SQRT(POWER((C82/$B$11),2)+POWER(((B82*$C$11)/($B$11*$B$11)),2))</f>
        <v>0.54735651853581579</v>
      </c>
      <c r="D83">
        <f>B83*2</f>
        <v>44.88790056404239</v>
      </c>
      <c r="E83">
        <f>C83/2</f>
        <v>0.2736782592679079</v>
      </c>
      <c r="F83">
        <f>$F$2/(2*D79)</f>
        <v>0.98634452139637441</v>
      </c>
      <c r="G83">
        <f>($F$2*COS(D81)*E81)/(2*D79*D79)</f>
        <v>4.7298318935378603E-3</v>
      </c>
    </row>
    <row r="85" spans="1:7" x14ac:dyDescent="0.55000000000000004">
      <c r="A85" t="s">
        <v>180</v>
      </c>
    </row>
    <row r="86" spans="1:7" x14ac:dyDescent="0.55000000000000004">
      <c r="B86" t="s">
        <v>181</v>
      </c>
      <c r="D86" t="s">
        <v>182</v>
      </c>
    </row>
    <row r="87" spans="1:7" x14ac:dyDescent="0.55000000000000004">
      <c r="A87">
        <v>1</v>
      </c>
      <c r="B87">
        <v>47.005000000000003</v>
      </c>
      <c r="C87">
        <v>0.378</v>
      </c>
      <c r="D87">
        <v>4244.0919999999996</v>
      </c>
    </row>
    <row r="88" spans="1:7" x14ac:dyDescent="0.55000000000000004">
      <c r="A88">
        <v>2</v>
      </c>
      <c r="B88">
        <v>46.459000000000003</v>
      </c>
      <c r="C88">
        <v>0.16300000000000001</v>
      </c>
      <c r="D88">
        <v>4220.0169999999998</v>
      </c>
    </row>
    <row r="89" spans="1:7" x14ac:dyDescent="0.55000000000000004">
      <c r="A89">
        <v>3</v>
      </c>
      <c r="B89">
        <v>47.003</v>
      </c>
      <c r="C89">
        <v>0.32400000000000001</v>
      </c>
      <c r="D89">
        <v>4240.0680000000002</v>
      </c>
    </row>
    <row r="90" spans="1:7" x14ac:dyDescent="0.55000000000000004">
      <c r="A90">
        <v>4</v>
      </c>
      <c r="B90">
        <v>47.375</v>
      </c>
      <c r="C90">
        <v>0.377</v>
      </c>
      <c r="D90">
        <v>4256.0919999999996</v>
      </c>
    </row>
    <row r="91" spans="1:7" x14ac:dyDescent="0.55000000000000004">
      <c r="A91" t="s">
        <v>183</v>
      </c>
      <c r="B91">
        <f>SQRT((B87*B87)+(B88*B88)+(B89*B89)+(B90*B90))</f>
        <v>93.923273686557593</v>
      </c>
      <c r="D91">
        <f>AVERAGE(D87:D90)</f>
        <v>4240.0672500000001</v>
      </c>
    </row>
    <row r="92" spans="1:7" x14ac:dyDescent="0.55000000000000004">
      <c r="A92" t="s">
        <v>184</v>
      </c>
      <c r="B92">
        <f>B91/B11</f>
        <v>1.9978645168037326</v>
      </c>
      <c r="D92">
        <f>D91/90</f>
        <v>47.111858333333331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CB69-0326-4D04-8E4D-FB981148E2B3}">
  <dimension ref="B1:N22"/>
  <sheetViews>
    <sheetView zoomScale="92" workbookViewId="0">
      <selection activeCell="C3" sqref="C3:N14"/>
    </sheetView>
  </sheetViews>
  <sheetFormatPr defaultRowHeight="14.4" x14ac:dyDescent="0.55000000000000004"/>
  <sheetData>
    <row r="1" spans="2:14" x14ac:dyDescent="0.55000000000000004">
      <c r="C1">
        <v>1.4142135623731</v>
      </c>
      <c r="D1">
        <v>2</v>
      </c>
      <c r="E1">
        <v>2.4494897427831801</v>
      </c>
      <c r="F1">
        <v>2.8284271247461898</v>
      </c>
      <c r="G1">
        <f>SQRT(10)</f>
        <v>3.1622776601683795</v>
      </c>
      <c r="H1">
        <f>SQRT(12)</f>
        <v>3.4641016151377544</v>
      </c>
      <c r="I1">
        <f>SQRT(14)</f>
        <v>3.7416573867739413</v>
      </c>
      <c r="J1">
        <v>4</v>
      </c>
      <c r="K1">
        <v>4.2426406871192901</v>
      </c>
      <c r="L1">
        <f>SQRT(20)</f>
        <v>4.4721359549995796</v>
      </c>
      <c r="M1">
        <f>SQRT(22)</f>
        <v>4.6904157598234297</v>
      </c>
      <c r="N1">
        <f>SQRT(24)</f>
        <v>4.8989794855663558</v>
      </c>
    </row>
    <row r="2" spans="2:14" x14ac:dyDescent="0.55000000000000004">
      <c r="B2">
        <v>0</v>
      </c>
      <c r="C2">
        <f>$B2/C$1</f>
        <v>0</v>
      </c>
      <c r="D2">
        <f t="shared" ref="D2:N17" si="0">$B2/D$1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</row>
    <row r="3" spans="2:14" x14ac:dyDescent="0.55000000000000004">
      <c r="B3">
        <v>1</v>
      </c>
      <c r="C3">
        <f t="shared" ref="C3:N22" si="1">$B3/C$1</f>
        <v>0.70710678118654502</v>
      </c>
      <c r="D3">
        <f t="shared" si="0"/>
        <v>0.5</v>
      </c>
      <c r="E3">
        <f t="shared" si="0"/>
        <v>0.40824829046386268</v>
      </c>
      <c r="F3">
        <f t="shared" si="0"/>
        <v>0.35355339059327379</v>
      </c>
      <c r="G3">
        <f t="shared" si="0"/>
        <v>0.31622776601683794</v>
      </c>
      <c r="H3">
        <f t="shared" si="0"/>
        <v>0.28867513459481292</v>
      </c>
      <c r="I3">
        <f t="shared" si="0"/>
        <v>0.2672612419124244</v>
      </c>
      <c r="J3">
        <f t="shared" si="0"/>
        <v>0.25</v>
      </c>
      <c r="K3">
        <f t="shared" si="0"/>
        <v>0.23570226039551556</v>
      </c>
      <c r="L3">
        <f t="shared" si="0"/>
        <v>0.22360679774997896</v>
      </c>
      <c r="M3">
        <f t="shared" si="0"/>
        <v>0.21320071635561041</v>
      </c>
      <c r="N3">
        <f t="shared" si="0"/>
        <v>0.20412414523193154</v>
      </c>
    </row>
    <row r="4" spans="2:14" x14ac:dyDescent="0.55000000000000004">
      <c r="B4">
        <v>2</v>
      </c>
      <c r="C4">
        <f t="shared" si="1"/>
        <v>1.41421356237309</v>
      </c>
      <c r="D4">
        <f t="shared" si="0"/>
        <v>1</v>
      </c>
      <c r="E4">
        <f t="shared" si="0"/>
        <v>0.81649658092772537</v>
      </c>
      <c r="F4">
        <f t="shared" si="0"/>
        <v>0.70710678118654757</v>
      </c>
      <c r="G4">
        <f t="shared" si="0"/>
        <v>0.63245553203367588</v>
      </c>
      <c r="H4">
        <f t="shared" si="0"/>
        <v>0.57735026918962584</v>
      </c>
      <c r="I4">
        <f t="shared" si="0"/>
        <v>0.53452248382484879</v>
      </c>
      <c r="J4">
        <f t="shared" si="0"/>
        <v>0.5</v>
      </c>
      <c r="K4">
        <f t="shared" si="0"/>
        <v>0.47140452079103112</v>
      </c>
      <c r="L4">
        <f t="shared" si="0"/>
        <v>0.44721359549995793</v>
      </c>
      <c r="M4">
        <f t="shared" si="0"/>
        <v>0.42640143271122083</v>
      </c>
      <c r="N4">
        <f t="shared" si="0"/>
        <v>0.40824829046386307</v>
      </c>
    </row>
    <row r="5" spans="2:14" x14ac:dyDescent="0.55000000000000004">
      <c r="B5">
        <v>3</v>
      </c>
      <c r="C5">
        <f t="shared" si="1"/>
        <v>2.1213203435596353</v>
      </c>
      <c r="D5">
        <f t="shared" si="0"/>
        <v>1.5</v>
      </c>
      <c r="E5">
        <f t="shared" si="0"/>
        <v>1.2247448713915881</v>
      </c>
      <c r="F5">
        <f t="shared" si="0"/>
        <v>1.0606601717798214</v>
      </c>
      <c r="G5">
        <f t="shared" si="0"/>
        <v>0.94868329805051377</v>
      </c>
      <c r="H5">
        <f t="shared" si="0"/>
        <v>0.86602540378443871</v>
      </c>
      <c r="I5">
        <f t="shared" si="0"/>
        <v>0.80178372573727319</v>
      </c>
      <c r="J5">
        <f t="shared" si="0"/>
        <v>0.75</v>
      </c>
      <c r="K5">
        <f t="shared" si="0"/>
        <v>0.70710678118654668</v>
      </c>
      <c r="L5">
        <f t="shared" si="0"/>
        <v>0.67082039324993692</v>
      </c>
      <c r="M5">
        <f t="shared" si="0"/>
        <v>0.63960214906683133</v>
      </c>
      <c r="N5">
        <f t="shared" si="0"/>
        <v>0.61237243569579458</v>
      </c>
    </row>
    <row r="6" spans="2:14" x14ac:dyDescent="0.55000000000000004">
      <c r="B6">
        <v>4</v>
      </c>
      <c r="C6">
        <f t="shared" si="1"/>
        <v>2.8284271247461801</v>
      </c>
      <c r="D6">
        <f t="shared" si="0"/>
        <v>2</v>
      </c>
      <c r="E6">
        <f t="shared" si="0"/>
        <v>1.6329931618554507</v>
      </c>
      <c r="F6">
        <f t="shared" si="0"/>
        <v>1.4142135623730951</v>
      </c>
      <c r="G6">
        <f t="shared" si="0"/>
        <v>1.2649110640673518</v>
      </c>
      <c r="H6">
        <f t="shared" si="0"/>
        <v>1.1547005383792517</v>
      </c>
      <c r="I6">
        <f t="shared" si="0"/>
        <v>1.0690449676496976</v>
      </c>
      <c r="J6">
        <f t="shared" si="0"/>
        <v>1</v>
      </c>
      <c r="K6">
        <f t="shared" si="0"/>
        <v>0.94280904158206225</v>
      </c>
      <c r="L6">
        <f t="shared" si="0"/>
        <v>0.89442719099991586</v>
      </c>
      <c r="M6">
        <f t="shared" si="0"/>
        <v>0.85280286542244166</v>
      </c>
      <c r="N6">
        <f t="shared" si="0"/>
        <v>0.81649658092772615</v>
      </c>
    </row>
    <row r="7" spans="2:14" x14ac:dyDescent="0.55000000000000004">
      <c r="B7">
        <v>5</v>
      </c>
      <c r="C7">
        <f t="shared" si="1"/>
        <v>3.5355339059327253</v>
      </c>
      <c r="D7">
        <f t="shared" si="0"/>
        <v>2.5</v>
      </c>
      <c r="E7">
        <f t="shared" si="0"/>
        <v>2.0412414523193134</v>
      </c>
      <c r="F7">
        <f t="shared" si="0"/>
        <v>1.7677669529663689</v>
      </c>
      <c r="G7">
        <f t="shared" si="0"/>
        <v>1.5811388300841895</v>
      </c>
      <c r="H7">
        <f t="shared" si="0"/>
        <v>1.4433756729740645</v>
      </c>
      <c r="I7">
        <f t="shared" si="0"/>
        <v>1.3363062095621219</v>
      </c>
      <c r="J7">
        <f t="shared" si="0"/>
        <v>1.25</v>
      </c>
      <c r="K7">
        <f t="shared" si="0"/>
        <v>1.1785113019775779</v>
      </c>
      <c r="L7">
        <f t="shared" si="0"/>
        <v>1.1180339887498949</v>
      </c>
      <c r="M7">
        <f t="shared" si="0"/>
        <v>1.0660035817780522</v>
      </c>
      <c r="N7">
        <f t="shared" si="0"/>
        <v>1.0206207261596576</v>
      </c>
    </row>
    <row r="8" spans="2:14" x14ac:dyDescent="0.55000000000000004">
      <c r="B8">
        <v>6</v>
      </c>
      <c r="C8">
        <f t="shared" si="1"/>
        <v>4.2426406871192706</v>
      </c>
      <c r="D8">
        <f t="shared" si="0"/>
        <v>3</v>
      </c>
      <c r="E8">
        <f t="shared" si="0"/>
        <v>2.4494897427831761</v>
      </c>
      <c r="F8">
        <f t="shared" si="0"/>
        <v>2.1213203435596428</v>
      </c>
      <c r="G8">
        <f t="shared" si="0"/>
        <v>1.8973665961010275</v>
      </c>
      <c r="H8">
        <f t="shared" si="0"/>
        <v>1.7320508075688774</v>
      </c>
      <c r="I8">
        <f t="shared" si="0"/>
        <v>1.6035674514745464</v>
      </c>
      <c r="J8">
        <f t="shared" si="0"/>
        <v>1.5</v>
      </c>
      <c r="K8">
        <f t="shared" si="0"/>
        <v>1.4142135623730934</v>
      </c>
      <c r="L8">
        <f t="shared" si="0"/>
        <v>1.3416407864998738</v>
      </c>
      <c r="M8">
        <f t="shared" si="0"/>
        <v>1.2792042981336627</v>
      </c>
      <c r="N8">
        <f t="shared" si="0"/>
        <v>1.2247448713915892</v>
      </c>
    </row>
    <row r="9" spans="2:14" x14ac:dyDescent="0.55000000000000004">
      <c r="B9">
        <v>7</v>
      </c>
      <c r="C9">
        <f t="shared" si="1"/>
        <v>4.9497474683058149</v>
      </c>
      <c r="D9">
        <f t="shared" si="0"/>
        <v>3.5</v>
      </c>
      <c r="E9">
        <f t="shared" si="0"/>
        <v>2.8577380332470388</v>
      </c>
      <c r="F9">
        <f t="shared" si="0"/>
        <v>2.4748737341529163</v>
      </c>
      <c r="G9">
        <f t="shared" si="0"/>
        <v>2.2135943621178655</v>
      </c>
      <c r="H9">
        <f t="shared" si="0"/>
        <v>2.0207259421636903</v>
      </c>
      <c r="I9">
        <f t="shared" si="0"/>
        <v>1.8708286933869707</v>
      </c>
      <c r="J9">
        <f t="shared" si="0"/>
        <v>1.75</v>
      </c>
      <c r="K9">
        <f t="shared" si="0"/>
        <v>1.649915822768609</v>
      </c>
      <c r="L9">
        <f t="shared" si="0"/>
        <v>1.5652475842498528</v>
      </c>
      <c r="M9">
        <f t="shared" si="0"/>
        <v>1.4924050144892729</v>
      </c>
      <c r="N9">
        <f t="shared" si="0"/>
        <v>1.4288690166235207</v>
      </c>
    </row>
    <row r="10" spans="2:14" x14ac:dyDescent="0.55000000000000004">
      <c r="B10">
        <v>8</v>
      </c>
      <c r="C10">
        <f t="shared" si="1"/>
        <v>5.6568542494923602</v>
      </c>
      <c r="D10">
        <f t="shared" si="0"/>
        <v>4</v>
      </c>
      <c r="E10">
        <f t="shared" si="0"/>
        <v>3.2659863237109015</v>
      </c>
      <c r="F10">
        <f t="shared" si="0"/>
        <v>2.8284271247461903</v>
      </c>
      <c r="G10">
        <f t="shared" si="0"/>
        <v>2.5298221281347035</v>
      </c>
      <c r="H10">
        <f t="shared" si="0"/>
        <v>2.3094010767585034</v>
      </c>
      <c r="I10">
        <f t="shared" si="0"/>
        <v>2.1380899352993952</v>
      </c>
      <c r="J10">
        <f t="shared" si="0"/>
        <v>2</v>
      </c>
      <c r="K10">
        <f t="shared" si="0"/>
        <v>1.8856180831641245</v>
      </c>
      <c r="L10">
        <f t="shared" si="0"/>
        <v>1.7888543819998317</v>
      </c>
      <c r="M10">
        <f t="shared" si="0"/>
        <v>1.7056057308448833</v>
      </c>
      <c r="N10">
        <f t="shared" si="0"/>
        <v>1.6329931618554523</v>
      </c>
    </row>
    <row r="11" spans="2:14" x14ac:dyDescent="0.55000000000000004">
      <c r="B11">
        <v>9</v>
      </c>
      <c r="C11">
        <f t="shared" si="1"/>
        <v>6.3639610306789054</v>
      </c>
      <c r="D11">
        <f t="shared" si="0"/>
        <v>4.5</v>
      </c>
      <c r="E11">
        <f t="shared" si="0"/>
        <v>3.6742346141747642</v>
      </c>
      <c r="F11">
        <f t="shared" si="0"/>
        <v>3.1819805153394642</v>
      </c>
      <c r="G11">
        <f t="shared" si="0"/>
        <v>2.8460498941515411</v>
      </c>
      <c r="H11">
        <f t="shared" si="0"/>
        <v>2.598076211353316</v>
      </c>
      <c r="I11">
        <f t="shared" si="0"/>
        <v>2.4053511772118195</v>
      </c>
      <c r="J11">
        <f t="shared" si="0"/>
        <v>2.25</v>
      </c>
      <c r="K11">
        <f t="shared" si="0"/>
        <v>2.1213203435596402</v>
      </c>
      <c r="L11">
        <f t="shared" si="0"/>
        <v>2.0124611797498106</v>
      </c>
      <c r="M11">
        <f t="shared" si="0"/>
        <v>1.9188064472004938</v>
      </c>
      <c r="N11">
        <f t="shared" si="0"/>
        <v>1.8371173070873836</v>
      </c>
    </row>
    <row r="12" spans="2:14" x14ac:dyDescent="0.55000000000000004">
      <c r="B12">
        <v>10</v>
      </c>
      <c r="C12">
        <f t="shared" si="1"/>
        <v>7.0710678118654506</v>
      </c>
      <c r="D12">
        <f t="shared" si="0"/>
        <v>5</v>
      </c>
      <c r="E12">
        <f t="shared" si="0"/>
        <v>4.0824829046386268</v>
      </c>
      <c r="F12">
        <f t="shared" si="0"/>
        <v>3.5355339059327378</v>
      </c>
      <c r="G12">
        <f t="shared" si="0"/>
        <v>3.1622776601683791</v>
      </c>
      <c r="H12">
        <f t="shared" si="0"/>
        <v>2.8867513459481291</v>
      </c>
      <c r="I12">
        <f t="shared" si="0"/>
        <v>2.6726124191242437</v>
      </c>
      <c r="J12">
        <f t="shared" si="0"/>
        <v>2.5</v>
      </c>
      <c r="K12">
        <f t="shared" si="0"/>
        <v>2.3570226039551558</v>
      </c>
      <c r="L12">
        <f t="shared" si="0"/>
        <v>2.2360679774997898</v>
      </c>
      <c r="M12">
        <f t="shared" si="0"/>
        <v>2.1320071635561044</v>
      </c>
      <c r="N12">
        <f t="shared" si="0"/>
        <v>2.0412414523193152</v>
      </c>
    </row>
    <row r="13" spans="2:14" x14ac:dyDescent="0.55000000000000004">
      <c r="B13">
        <v>11</v>
      </c>
      <c r="C13">
        <f t="shared" si="1"/>
        <v>7.778174593051995</v>
      </c>
      <c r="D13">
        <f t="shared" si="0"/>
        <v>5.5</v>
      </c>
      <c r="E13">
        <f t="shared" si="0"/>
        <v>4.4907311951024891</v>
      </c>
      <c r="F13">
        <f t="shared" si="0"/>
        <v>3.8890872965260117</v>
      </c>
      <c r="G13">
        <f t="shared" si="0"/>
        <v>3.4785054261852171</v>
      </c>
      <c r="H13">
        <f t="shared" si="0"/>
        <v>3.1754264805429417</v>
      </c>
      <c r="I13">
        <f t="shared" si="0"/>
        <v>2.9398736610366685</v>
      </c>
      <c r="J13">
        <f t="shared" si="0"/>
        <v>2.75</v>
      </c>
      <c r="K13">
        <f t="shared" si="0"/>
        <v>2.5927248643506711</v>
      </c>
      <c r="L13">
        <f t="shared" si="0"/>
        <v>2.4596747752497685</v>
      </c>
      <c r="M13">
        <f t="shared" si="0"/>
        <v>2.3452078799117149</v>
      </c>
      <c r="N13">
        <f t="shared" si="0"/>
        <v>2.2453655975512468</v>
      </c>
    </row>
    <row r="14" spans="2:14" x14ac:dyDescent="0.55000000000000004">
      <c r="B14">
        <v>12</v>
      </c>
      <c r="C14">
        <f t="shared" si="1"/>
        <v>8.4852813742385411</v>
      </c>
      <c r="D14">
        <f t="shared" si="0"/>
        <v>6</v>
      </c>
      <c r="E14">
        <f t="shared" si="0"/>
        <v>4.8989794855663522</v>
      </c>
      <c r="F14">
        <f t="shared" si="0"/>
        <v>4.2426406871192857</v>
      </c>
      <c r="G14">
        <f t="shared" si="0"/>
        <v>3.7947331922020551</v>
      </c>
      <c r="H14">
        <f t="shared" si="0"/>
        <v>3.4641016151377548</v>
      </c>
      <c r="I14">
        <f t="shared" si="0"/>
        <v>3.2071349029490928</v>
      </c>
      <c r="J14">
        <f t="shared" si="0"/>
        <v>3</v>
      </c>
      <c r="K14">
        <f t="shared" si="0"/>
        <v>2.8284271247461867</v>
      </c>
      <c r="L14">
        <f t="shared" si="0"/>
        <v>2.6832815729997477</v>
      </c>
      <c r="M14">
        <f t="shared" si="0"/>
        <v>2.5584085962673253</v>
      </c>
      <c r="N14">
        <f t="shared" si="0"/>
        <v>2.4494897427831783</v>
      </c>
    </row>
    <row r="15" spans="2:14" x14ac:dyDescent="0.55000000000000004">
      <c r="B15">
        <v>13</v>
      </c>
      <c r="C15">
        <f t="shared" si="1"/>
        <v>9.1923881554250855</v>
      </c>
      <c r="D15">
        <f t="shared" si="0"/>
        <v>6.5</v>
      </c>
      <c r="E15">
        <f t="shared" si="0"/>
        <v>5.3072277760302145</v>
      </c>
      <c r="F15">
        <f t="shared" si="0"/>
        <v>4.5961940777125596</v>
      </c>
      <c r="G15">
        <f t="shared" si="0"/>
        <v>4.1109609582188931</v>
      </c>
      <c r="H15">
        <f t="shared" si="0"/>
        <v>3.7527767497325675</v>
      </c>
      <c r="I15">
        <f t="shared" si="0"/>
        <v>3.474396144861517</v>
      </c>
      <c r="J15">
        <f t="shared" si="0"/>
        <v>3.25</v>
      </c>
      <c r="K15">
        <f t="shared" si="0"/>
        <v>3.0641293851417024</v>
      </c>
      <c r="L15">
        <f t="shared" si="0"/>
        <v>2.9068883707497264</v>
      </c>
      <c r="M15">
        <f t="shared" si="0"/>
        <v>2.7716093126229358</v>
      </c>
      <c r="N15">
        <f t="shared" si="0"/>
        <v>2.6536138880151099</v>
      </c>
    </row>
    <row r="16" spans="2:14" x14ac:dyDescent="0.55000000000000004">
      <c r="B16">
        <v>14</v>
      </c>
      <c r="C16">
        <f t="shared" si="1"/>
        <v>9.8994949366116298</v>
      </c>
      <c r="D16">
        <f t="shared" si="0"/>
        <v>7</v>
      </c>
      <c r="E16">
        <f t="shared" si="0"/>
        <v>5.7154760664940776</v>
      </c>
      <c r="F16">
        <f t="shared" si="0"/>
        <v>4.9497474683058327</v>
      </c>
      <c r="G16">
        <f t="shared" si="0"/>
        <v>4.4271887242357311</v>
      </c>
      <c r="H16">
        <f t="shared" si="0"/>
        <v>4.0414518843273806</v>
      </c>
      <c r="I16">
        <f t="shared" si="0"/>
        <v>3.7416573867739413</v>
      </c>
      <c r="J16">
        <f t="shared" si="0"/>
        <v>3.5</v>
      </c>
      <c r="K16">
        <f t="shared" si="0"/>
        <v>3.2998316455372181</v>
      </c>
      <c r="L16">
        <f t="shared" si="0"/>
        <v>3.1304951684997055</v>
      </c>
      <c r="M16">
        <f t="shared" si="0"/>
        <v>2.9848100289785457</v>
      </c>
      <c r="N16">
        <f t="shared" si="0"/>
        <v>2.8577380332470415</v>
      </c>
    </row>
    <row r="17" spans="2:14" x14ac:dyDescent="0.55000000000000004">
      <c r="B17">
        <v>15</v>
      </c>
      <c r="C17">
        <f t="shared" si="1"/>
        <v>10.606601717798176</v>
      </c>
      <c r="D17">
        <f t="shared" si="0"/>
        <v>7.5</v>
      </c>
      <c r="E17">
        <f t="shared" si="0"/>
        <v>6.1237243569579398</v>
      </c>
      <c r="F17">
        <f t="shared" si="0"/>
        <v>5.3033008588991066</v>
      </c>
      <c r="G17">
        <f t="shared" si="0"/>
        <v>4.7434164902525691</v>
      </c>
      <c r="H17">
        <f t="shared" si="0"/>
        <v>4.3301270189221936</v>
      </c>
      <c r="I17">
        <f t="shared" si="0"/>
        <v>4.0089186286863656</v>
      </c>
      <c r="J17">
        <f t="shared" si="0"/>
        <v>3.75</v>
      </c>
      <c r="K17">
        <f t="shared" si="0"/>
        <v>3.5355339059327333</v>
      </c>
      <c r="L17">
        <f t="shared" si="0"/>
        <v>3.3541019662496843</v>
      </c>
      <c r="M17">
        <f t="shared" si="0"/>
        <v>3.1980107453341562</v>
      </c>
      <c r="N17">
        <f t="shared" si="0"/>
        <v>3.061862178478973</v>
      </c>
    </row>
    <row r="18" spans="2:14" x14ac:dyDescent="0.55000000000000004">
      <c r="B18">
        <v>16</v>
      </c>
      <c r="C18">
        <f t="shared" si="1"/>
        <v>11.31370849898472</v>
      </c>
      <c r="D18">
        <f t="shared" si="1"/>
        <v>8</v>
      </c>
      <c r="E18">
        <f t="shared" si="1"/>
        <v>6.5319726474218029</v>
      </c>
      <c r="F18">
        <f t="shared" si="1"/>
        <v>5.6568542494923806</v>
      </c>
      <c r="G18">
        <f t="shared" si="1"/>
        <v>5.0596442562694071</v>
      </c>
      <c r="H18">
        <f t="shared" si="1"/>
        <v>4.6188021535170067</v>
      </c>
      <c r="I18">
        <f t="shared" si="1"/>
        <v>4.2761798705987903</v>
      </c>
      <c r="J18">
        <f t="shared" si="1"/>
        <v>4</v>
      </c>
      <c r="K18">
        <f t="shared" si="1"/>
        <v>3.771236166328249</v>
      </c>
      <c r="L18">
        <f t="shared" si="1"/>
        <v>3.5777087639996634</v>
      </c>
      <c r="M18">
        <f t="shared" si="1"/>
        <v>3.4112114616897666</v>
      </c>
      <c r="N18">
        <f t="shared" si="1"/>
        <v>3.2659863237109046</v>
      </c>
    </row>
    <row r="19" spans="2:14" x14ac:dyDescent="0.55000000000000004">
      <c r="B19">
        <v>17</v>
      </c>
      <c r="C19">
        <f t="shared" si="1"/>
        <v>12.020815280171266</v>
      </c>
      <c r="D19">
        <f t="shared" si="1"/>
        <v>8.5</v>
      </c>
      <c r="E19">
        <f t="shared" si="1"/>
        <v>6.9402209378856652</v>
      </c>
      <c r="F19">
        <f t="shared" si="1"/>
        <v>6.0104076400856545</v>
      </c>
      <c r="G19">
        <f t="shared" si="1"/>
        <v>5.3758720222862442</v>
      </c>
      <c r="H19">
        <f t="shared" si="1"/>
        <v>4.9074772881118189</v>
      </c>
      <c r="I19">
        <f t="shared" si="1"/>
        <v>4.5434411125112142</v>
      </c>
      <c r="J19">
        <f t="shared" si="1"/>
        <v>4.25</v>
      </c>
      <c r="K19">
        <f t="shared" si="1"/>
        <v>4.0069384267237647</v>
      </c>
      <c r="L19">
        <f t="shared" si="1"/>
        <v>3.8013155617496421</v>
      </c>
      <c r="M19">
        <f t="shared" si="1"/>
        <v>3.6244121780453771</v>
      </c>
      <c r="N19">
        <f t="shared" si="1"/>
        <v>3.4701104689428361</v>
      </c>
    </row>
    <row r="20" spans="2:14" x14ac:dyDescent="0.55000000000000004">
      <c r="B20">
        <v>18</v>
      </c>
      <c r="C20">
        <f t="shared" si="1"/>
        <v>12.727922061357811</v>
      </c>
      <c r="D20">
        <f t="shared" si="1"/>
        <v>9</v>
      </c>
      <c r="E20">
        <f t="shared" si="1"/>
        <v>7.3484692283495283</v>
      </c>
      <c r="F20">
        <f t="shared" si="1"/>
        <v>6.3639610306789285</v>
      </c>
      <c r="G20">
        <f t="shared" si="1"/>
        <v>5.6920997883030822</v>
      </c>
      <c r="H20">
        <f t="shared" si="1"/>
        <v>5.196152422706632</v>
      </c>
      <c r="I20">
        <f t="shared" si="1"/>
        <v>4.8107023544236389</v>
      </c>
      <c r="J20">
        <f t="shared" si="1"/>
        <v>4.5</v>
      </c>
      <c r="K20">
        <f t="shared" si="1"/>
        <v>4.2426406871192803</v>
      </c>
      <c r="L20">
        <f t="shared" si="1"/>
        <v>4.0249223594996213</v>
      </c>
      <c r="M20">
        <f t="shared" si="1"/>
        <v>3.8376128944009875</v>
      </c>
      <c r="N20">
        <f t="shared" si="1"/>
        <v>3.6742346141747673</v>
      </c>
    </row>
    <row r="21" spans="2:14" x14ac:dyDescent="0.55000000000000004">
      <c r="B21">
        <v>19</v>
      </c>
      <c r="C21">
        <f t="shared" si="1"/>
        <v>13.435028842544355</v>
      </c>
      <c r="D21">
        <f t="shared" si="1"/>
        <v>9.5</v>
      </c>
      <c r="E21">
        <f t="shared" si="1"/>
        <v>7.7567175188133906</v>
      </c>
      <c r="F21">
        <f t="shared" si="1"/>
        <v>6.7175144212722024</v>
      </c>
      <c r="G21">
        <f t="shared" si="1"/>
        <v>6.0083275543199202</v>
      </c>
      <c r="H21">
        <f t="shared" si="1"/>
        <v>5.4848275573014451</v>
      </c>
      <c r="I21">
        <f t="shared" si="1"/>
        <v>5.0779635963360636</v>
      </c>
      <c r="J21">
        <f t="shared" si="1"/>
        <v>4.75</v>
      </c>
      <c r="K21">
        <f t="shared" si="1"/>
        <v>4.478342947514796</v>
      </c>
      <c r="L21">
        <f t="shared" si="1"/>
        <v>4.2485291572496005</v>
      </c>
      <c r="M21">
        <f t="shared" si="1"/>
        <v>4.050813610756598</v>
      </c>
      <c r="N21">
        <f t="shared" si="1"/>
        <v>3.8783587594066988</v>
      </c>
    </row>
    <row r="22" spans="2:14" x14ac:dyDescent="0.55000000000000004">
      <c r="B22">
        <v>20</v>
      </c>
      <c r="C22">
        <f t="shared" si="1"/>
        <v>14.142135623730901</v>
      </c>
      <c r="D22">
        <f t="shared" si="1"/>
        <v>10</v>
      </c>
      <c r="E22">
        <f t="shared" si="1"/>
        <v>8.1649658092772537</v>
      </c>
      <c r="F22">
        <f t="shared" si="1"/>
        <v>7.0710678118654755</v>
      </c>
      <c r="G22">
        <f t="shared" si="1"/>
        <v>6.3245553203367582</v>
      </c>
      <c r="H22">
        <f t="shared" si="1"/>
        <v>5.7735026918962582</v>
      </c>
      <c r="I22">
        <f t="shared" si="1"/>
        <v>5.3452248382484875</v>
      </c>
      <c r="J22">
        <f t="shared" si="1"/>
        <v>5</v>
      </c>
      <c r="K22">
        <f t="shared" si="1"/>
        <v>4.7140452079103117</v>
      </c>
      <c r="L22">
        <f t="shared" si="1"/>
        <v>4.4721359549995796</v>
      </c>
      <c r="M22">
        <f t="shared" si="1"/>
        <v>4.2640143271122088</v>
      </c>
      <c r="N22">
        <f t="shared" si="1"/>
        <v>4.0824829046386304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E91E-199D-4458-B7D2-6F8A7F95A6AB}">
  <dimension ref="A1:G83"/>
  <sheetViews>
    <sheetView topLeftCell="A49" zoomScale="115" zoomScaleNormal="115" workbookViewId="0">
      <selection activeCell="D56" sqref="D56"/>
    </sheetView>
  </sheetViews>
  <sheetFormatPr defaultRowHeight="14.4" x14ac:dyDescent="0.55000000000000004"/>
  <sheetData>
    <row r="1" spans="1:7" x14ac:dyDescent="0.55000000000000004">
      <c r="B1" t="s">
        <v>22</v>
      </c>
      <c r="D1" t="s">
        <v>26</v>
      </c>
      <c r="E1" t="s">
        <v>99</v>
      </c>
      <c r="F1">
        <v>1.5418000000000001</v>
      </c>
      <c r="G1" t="s">
        <v>101</v>
      </c>
    </row>
    <row r="2" spans="1:7" x14ac:dyDescent="0.55000000000000004">
      <c r="E2" t="s">
        <v>100</v>
      </c>
      <c r="F2">
        <v>1.3921699999999999</v>
      </c>
      <c r="G2" t="s">
        <v>101</v>
      </c>
    </row>
    <row r="3" spans="1:7" x14ac:dyDescent="0.55000000000000004">
      <c r="B3" t="s">
        <v>23</v>
      </c>
      <c r="C3" t="s">
        <v>24</v>
      </c>
    </row>
    <row r="4" spans="1:7" x14ac:dyDescent="0.55000000000000004">
      <c r="B4">
        <v>846.00199999999995</v>
      </c>
      <c r="C4">
        <v>7.8710000000000004</v>
      </c>
    </row>
    <row r="5" spans="1:7" x14ac:dyDescent="0.55000000000000004">
      <c r="B5">
        <v>846.47299999999996</v>
      </c>
      <c r="C5">
        <v>19.672000000000001</v>
      </c>
    </row>
    <row r="6" spans="1:7" x14ac:dyDescent="0.55000000000000004">
      <c r="B6">
        <v>851.73699999999997</v>
      </c>
      <c r="C6">
        <v>20.739000000000001</v>
      </c>
    </row>
    <row r="7" spans="1:7" x14ac:dyDescent="0.55000000000000004">
      <c r="B7">
        <v>840</v>
      </c>
      <c r="C7">
        <v>14.856999999999999</v>
      </c>
    </row>
    <row r="8" spans="1:7" x14ac:dyDescent="0.55000000000000004">
      <c r="B8">
        <v>846.85299999999995</v>
      </c>
      <c r="C8">
        <v>16.006</v>
      </c>
    </row>
    <row r="9" spans="1:7" x14ac:dyDescent="0.55000000000000004">
      <c r="A9" t="s">
        <v>25</v>
      </c>
      <c r="B9">
        <f>AVERAGE(B4:B8)</f>
        <v>846.21299999999997</v>
      </c>
      <c r="C9" s="2">
        <f>SQRT((C4*C4)+(C5*C5)+(C6*C6)+(C7*C7)+(C8*C8))/5</f>
        <v>7.364696411937155</v>
      </c>
      <c r="D9" t="s">
        <v>27</v>
      </c>
    </row>
    <row r="10" spans="1:7" x14ac:dyDescent="0.55000000000000004">
      <c r="B10">
        <v>18</v>
      </c>
      <c r="C10">
        <v>0.02</v>
      </c>
      <c r="D10" t="s">
        <v>28</v>
      </c>
    </row>
    <row r="11" spans="1:7" x14ac:dyDescent="0.55000000000000004">
      <c r="A11" t="s">
        <v>29</v>
      </c>
      <c r="B11">
        <f>B9/B10</f>
        <v>47.011833333333328</v>
      </c>
      <c r="C11" s="3">
        <f>SQRT(POWER((C9/B10),2)+POWER(((B9*C10)/(B10*B10)),2))</f>
        <v>0.41247071811274777</v>
      </c>
    </row>
    <row r="13" spans="1:7" x14ac:dyDescent="0.55000000000000004">
      <c r="A13" t="s">
        <v>94</v>
      </c>
    </row>
    <row r="14" spans="1:7" x14ac:dyDescent="0.55000000000000004">
      <c r="A14" t="s">
        <v>74</v>
      </c>
      <c r="B14" t="s">
        <v>23</v>
      </c>
      <c r="C14" t="s">
        <v>24</v>
      </c>
    </row>
    <row r="15" spans="1:7" x14ac:dyDescent="0.55000000000000004">
      <c r="A15">
        <v>1</v>
      </c>
      <c r="B15">
        <v>3528.0819999999999</v>
      </c>
      <c r="C15">
        <v>37.090000000000003</v>
      </c>
      <c r="D15" t="s">
        <v>86</v>
      </c>
      <c r="E15" t="s">
        <v>87</v>
      </c>
      <c r="F15" t="s">
        <v>102</v>
      </c>
      <c r="G15" t="s">
        <v>103</v>
      </c>
    </row>
    <row r="16" spans="1:7" x14ac:dyDescent="0.55000000000000004">
      <c r="A16">
        <v>2</v>
      </c>
      <c r="B16">
        <v>3312.2420000000002</v>
      </c>
      <c r="C16">
        <v>36.664000000000001</v>
      </c>
      <c r="D16">
        <f>SIN(D18)</f>
        <v>0.58469962923466989</v>
      </c>
      <c r="E16">
        <f>E18*COS(D18)</f>
        <v>4.9686791156301011E-3</v>
      </c>
      <c r="F16">
        <f>$F$1/(2*D16)</f>
        <v>1.3184547440350751</v>
      </c>
      <c r="G16">
        <f>($F$1*COS(D18)*E18)/(2*D16*D16)</f>
        <v>1.1204006679746439E-2</v>
      </c>
    </row>
    <row r="17" spans="1:7" x14ac:dyDescent="0.55000000000000004">
      <c r="A17">
        <v>3</v>
      </c>
      <c r="B17">
        <v>3296.971</v>
      </c>
      <c r="C17">
        <v>36.381999999999998</v>
      </c>
      <c r="D17" t="s">
        <v>77</v>
      </c>
      <c r="E17" t="s">
        <v>78</v>
      </c>
      <c r="F17" t="s">
        <v>91</v>
      </c>
      <c r="G17" t="s">
        <v>92</v>
      </c>
    </row>
    <row r="18" spans="1:7" x14ac:dyDescent="0.55000000000000004">
      <c r="A18">
        <v>4</v>
      </c>
      <c r="B18">
        <v>3320.0390000000002</v>
      </c>
      <c r="C18">
        <v>37.286999999999999</v>
      </c>
      <c r="D18">
        <f>(PI()*D20)/180</f>
        <v>0.62450975155345267</v>
      </c>
      <c r="E18">
        <f>(PI()*E20)/180</f>
        <v>6.1247210379673251E-3</v>
      </c>
      <c r="F18">
        <f>1/(F16*F16)</f>
        <v>0.5752671112238894</v>
      </c>
      <c r="G18">
        <f>(2*G16)/(POWER(F16,3))</f>
        <v>9.7770463278327412E-3</v>
      </c>
    </row>
    <row r="19" spans="1:7" x14ac:dyDescent="0.55000000000000004">
      <c r="A19" t="s">
        <v>33</v>
      </c>
      <c r="B19">
        <f>AVERAGE(B15:B18)</f>
        <v>3364.3335000000002</v>
      </c>
      <c r="C19" s="2">
        <f>SQRT((C15*C15)+(C16*C16)+(C17*C17)+(C18*C18))/5</f>
        <v>14.742981094744712</v>
      </c>
      <c r="D19" t="s">
        <v>75</v>
      </c>
      <c r="E19" t="s">
        <v>76</v>
      </c>
      <c r="F19" t="s">
        <v>104</v>
      </c>
      <c r="G19" t="s">
        <v>105</v>
      </c>
    </row>
    <row r="20" spans="1:7" x14ac:dyDescent="0.55000000000000004">
      <c r="A20" t="s">
        <v>34</v>
      </c>
      <c r="B20">
        <f>(B19/$B$11)</f>
        <v>71.563546057552898</v>
      </c>
      <c r="C20">
        <f>SQRT(POWER((C19/$B$11),2)+POWER(((B19*$C$11)/($B$11*$B$11)),2))</f>
        <v>0.70184133234102519</v>
      </c>
      <c r="D20">
        <f>B20/2</f>
        <v>35.781773028776449</v>
      </c>
      <c r="E20">
        <f>C20/2</f>
        <v>0.3509206661705126</v>
      </c>
      <c r="F20">
        <f>$F$2/(2*D16)</f>
        <v>1.1905001563129527</v>
      </c>
      <c r="G20">
        <f>($F$2*COS(D18)*E18)/(2*D16*D16)</f>
        <v>1.0116670112428719E-2</v>
      </c>
    </row>
    <row r="22" spans="1:7" x14ac:dyDescent="0.55000000000000004">
      <c r="A22" t="s">
        <v>84</v>
      </c>
    </row>
    <row r="23" spans="1:7" x14ac:dyDescent="0.55000000000000004">
      <c r="A23" t="s">
        <v>74</v>
      </c>
      <c r="B23" t="s">
        <v>23</v>
      </c>
      <c r="C23" t="s">
        <v>24</v>
      </c>
    </row>
    <row r="24" spans="1:7" x14ac:dyDescent="0.55000000000000004">
      <c r="A24">
        <v>1</v>
      </c>
      <c r="B24">
        <v>3296.0390000000002</v>
      </c>
      <c r="C24">
        <v>36.555</v>
      </c>
      <c r="D24" t="s">
        <v>86</v>
      </c>
      <c r="E24" t="s">
        <v>87</v>
      </c>
      <c r="F24" t="s">
        <v>88</v>
      </c>
      <c r="G24" t="s">
        <v>89</v>
      </c>
    </row>
    <row r="25" spans="1:7" x14ac:dyDescent="0.55000000000000004">
      <c r="A25">
        <v>2</v>
      </c>
      <c r="B25">
        <v>3304.01</v>
      </c>
      <c r="C25">
        <v>36.100999999999999</v>
      </c>
      <c r="D25">
        <f>SIN(D27)</f>
        <v>0.57649893125991691</v>
      </c>
      <c r="E25">
        <f>E27*COS(D27)</f>
        <v>4.9293206627589745E-3</v>
      </c>
      <c r="F25">
        <f>$F$1/(2*D25)</f>
        <v>1.3372097643186029</v>
      </c>
      <c r="G25">
        <f>($F$1*COS(D27)*E27)/(2*D25*D25)</f>
        <v>1.1433734503710513E-2</v>
      </c>
    </row>
    <row r="26" spans="1:7" x14ac:dyDescent="0.55000000000000004">
      <c r="A26">
        <v>3</v>
      </c>
      <c r="B26">
        <v>3328.24</v>
      </c>
      <c r="C26">
        <v>36.786999999999999</v>
      </c>
      <c r="D26" t="s">
        <v>77</v>
      </c>
      <c r="E26" t="s">
        <v>78</v>
      </c>
      <c r="F26" t="s">
        <v>91</v>
      </c>
      <c r="G26" t="s">
        <v>92</v>
      </c>
    </row>
    <row r="27" spans="1:7" x14ac:dyDescent="0.55000000000000004">
      <c r="A27">
        <v>4</v>
      </c>
      <c r="B27">
        <v>3312</v>
      </c>
      <c r="C27">
        <v>36.420999999999999</v>
      </c>
      <c r="D27">
        <f>(PI()*D29)/180</f>
        <v>0.614437420806076</v>
      </c>
      <c r="E27">
        <f>(PI()*E29)/180</f>
        <v>6.032717312977858E-3</v>
      </c>
      <c r="F27">
        <f>1/(F25*F25)</f>
        <v>0.55924346990609874</v>
      </c>
      <c r="G27">
        <f>(2*G25)/(POWER(F25,3))</f>
        <v>9.5635576832606255E-3</v>
      </c>
    </row>
    <row r="28" spans="1:7" x14ac:dyDescent="0.55000000000000004">
      <c r="A28" t="s">
        <v>33</v>
      </c>
      <c r="B28">
        <f>AVERAGE(B24:B27)</f>
        <v>3310.0722500000002</v>
      </c>
      <c r="C28" s="2">
        <f>SQRT((C24*C24)+(C25*C25)+(C26*C26)+(C27*C27))/5</f>
        <v>14.586737587274271</v>
      </c>
      <c r="D28" t="s">
        <v>75</v>
      </c>
      <c r="E28" t="s">
        <v>76</v>
      </c>
      <c r="F28" t="s">
        <v>104</v>
      </c>
      <c r="G28" t="s">
        <v>105</v>
      </c>
    </row>
    <row r="29" spans="1:7" x14ac:dyDescent="0.55000000000000004">
      <c r="A29" t="s">
        <v>34</v>
      </c>
      <c r="B29">
        <f>(B28/$B$11)</f>
        <v>70.409341974183818</v>
      </c>
      <c r="C29">
        <f>SQRT(POWER((C28/$B$11),2)+POWER(((B28*$C$11)/($B$11*$B$11)),2))</f>
        <v>0.6912984820582676</v>
      </c>
      <c r="D29">
        <f>B29/2</f>
        <v>35.204670987091909</v>
      </c>
      <c r="E29">
        <f>C29/2</f>
        <v>0.3456492410291338</v>
      </c>
      <c r="F29">
        <f>$F$2/(2*D25)</f>
        <v>1.2074350224357435</v>
      </c>
      <c r="G29">
        <f>($F$2*COS(D27)*E27)/(2*D25*D25)</f>
        <v>1.0324103102886667E-2</v>
      </c>
    </row>
    <row r="31" spans="1:7" x14ac:dyDescent="0.55000000000000004">
      <c r="A31" t="s">
        <v>83</v>
      </c>
    </row>
    <row r="32" spans="1:7" x14ac:dyDescent="0.55000000000000004">
      <c r="A32" t="s">
        <v>74</v>
      </c>
      <c r="B32" t="s">
        <v>23</v>
      </c>
      <c r="C32" t="s">
        <v>24</v>
      </c>
    </row>
    <row r="33" spans="1:7" x14ac:dyDescent="0.55000000000000004">
      <c r="A33">
        <v>1</v>
      </c>
      <c r="B33">
        <v>2856.4029999999998</v>
      </c>
      <c r="C33">
        <v>38.365000000000002</v>
      </c>
      <c r="D33" t="s">
        <v>86</v>
      </c>
      <c r="E33" t="s">
        <v>87</v>
      </c>
      <c r="F33" t="s">
        <v>88</v>
      </c>
      <c r="G33" t="s">
        <v>89</v>
      </c>
    </row>
    <row r="34" spans="1:7" x14ac:dyDescent="0.55000000000000004">
      <c r="A34">
        <v>2</v>
      </c>
      <c r="B34">
        <v>2838.913</v>
      </c>
      <c r="C34">
        <v>37.764000000000003</v>
      </c>
      <c r="D34">
        <f>SIN(D36)</f>
        <v>0.50286287769576765</v>
      </c>
      <c r="E34">
        <f>E36*COS(D36)</f>
        <v>4.6747276659423968E-3</v>
      </c>
      <c r="F34">
        <f>$F$1/(2*D34)</f>
        <v>1.5330222893613454</v>
      </c>
      <c r="G34">
        <f>($F$1*COS(D36)*E36)/(2*D34*D34)</f>
        <v>1.4251323822951882E-2</v>
      </c>
    </row>
    <row r="35" spans="1:7" x14ac:dyDescent="0.55000000000000004">
      <c r="A35">
        <v>3</v>
      </c>
      <c r="B35">
        <v>2826.5160000000001</v>
      </c>
      <c r="C35">
        <v>37.365000000000002</v>
      </c>
      <c r="D35" t="s">
        <v>77</v>
      </c>
      <c r="E35" t="s">
        <v>78</v>
      </c>
      <c r="F35" t="s">
        <v>91</v>
      </c>
      <c r="G35" t="s">
        <v>92</v>
      </c>
    </row>
    <row r="36" spans="1:7" x14ac:dyDescent="0.55000000000000004">
      <c r="A36">
        <v>4</v>
      </c>
      <c r="B36">
        <v>2832.3110000000001</v>
      </c>
      <c r="C36">
        <v>37.701000000000001</v>
      </c>
      <c r="D36">
        <f>(PI()*D38)/180</f>
        <v>0.52690770876552329</v>
      </c>
      <c r="E36">
        <f>(PI()*E38)/180</f>
        <v>5.4082721773844964E-3</v>
      </c>
      <c r="F36">
        <f>1/(F34*F34)</f>
        <v>0.42550342613942349</v>
      </c>
      <c r="G36">
        <f>(2*G34)/(POWER(F34,3))</f>
        <v>7.9111532242817691E-3</v>
      </c>
    </row>
    <row r="37" spans="1:7" x14ac:dyDescent="0.55000000000000004">
      <c r="A37" t="s">
        <v>33</v>
      </c>
      <c r="B37">
        <f>AVERAGE(B33:B36)</f>
        <v>2838.53575</v>
      </c>
      <c r="C37" s="2">
        <f>SQRT((C33*C33)+(C34*C34)+(C35*C35)+(C36*C36))/5</f>
        <v>15.12018723032225</v>
      </c>
      <c r="D37" t="s">
        <v>75</v>
      </c>
      <c r="E37" t="s">
        <v>76</v>
      </c>
      <c r="F37" t="s">
        <v>104</v>
      </c>
      <c r="G37" t="s">
        <v>105</v>
      </c>
    </row>
    <row r="38" spans="1:7" x14ac:dyDescent="0.55000000000000004">
      <c r="A38" t="s">
        <v>34</v>
      </c>
      <c r="B38">
        <f>(B37/$B$11)</f>
        <v>60.379175810345629</v>
      </c>
      <c r="C38">
        <f>SQRT(POWER((C37/$B$11),2)+POWER(((B37*$C$11)/($B$11*$B$11)),2))</f>
        <v>0.61974234044431953</v>
      </c>
      <c r="D38">
        <f>B38/2</f>
        <v>30.189587905172814</v>
      </c>
      <c r="E38">
        <f>C38/2</f>
        <v>0.30987117022215976</v>
      </c>
      <c r="F38">
        <f>$F$2/(2*D34)</f>
        <v>1.3842441565573902</v>
      </c>
      <c r="G38">
        <f>($F$2*COS(D36)*E36)/(2*D34*D34)</f>
        <v>1.2868248467115656E-2</v>
      </c>
    </row>
    <row r="40" spans="1:7" x14ac:dyDescent="0.55000000000000004">
      <c r="A40" t="s">
        <v>82</v>
      </c>
    </row>
    <row r="41" spans="1:7" x14ac:dyDescent="0.55000000000000004">
      <c r="A41" t="s">
        <v>74</v>
      </c>
      <c r="B41" t="s">
        <v>23</v>
      </c>
      <c r="C41" t="s">
        <v>24</v>
      </c>
    </row>
    <row r="42" spans="1:7" x14ac:dyDescent="0.55000000000000004">
      <c r="A42">
        <v>1</v>
      </c>
      <c r="B42">
        <v>2304.125</v>
      </c>
      <c r="C42">
        <v>39.198</v>
      </c>
      <c r="D42" t="s">
        <v>86</v>
      </c>
      <c r="E42" t="s">
        <v>87</v>
      </c>
      <c r="F42" t="s">
        <v>88</v>
      </c>
      <c r="G42" t="s">
        <v>89</v>
      </c>
    </row>
    <row r="43" spans="1:7" x14ac:dyDescent="0.55000000000000004">
      <c r="A43">
        <v>2</v>
      </c>
      <c r="B43">
        <v>2280.0039999999999</v>
      </c>
      <c r="C43">
        <v>37.554000000000002</v>
      </c>
      <c r="D43">
        <f>SIN(D45)</f>
        <v>0.41291378354080294</v>
      </c>
      <c r="E43">
        <f>E45*COS(D45)</f>
        <v>4.2831715614676368E-3</v>
      </c>
      <c r="F43">
        <f>$F$1/(2*D43)</f>
        <v>1.8669756998407925</v>
      </c>
      <c r="G43">
        <f>($F$1*COS(D45)*E45)/(2*D43*D43)</f>
        <v>1.9366215278495351E-2</v>
      </c>
    </row>
    <row r="44" spans="1:7" x14ac:dyDescent="0.55000000000000004">
      <c r="A44">
        <v>3</v>
      </c>
      <c r="B44">
        <v>2308.0140000000001</v>
      </c>
      <c r="C44">
        <v>38.965000000000003</v>
      </c>
      <c r="D44" t="s">
        <v>77</v>
      </c>
      <c r="E44" t="s">
        <v>78</v>
      </c>
      <c r="F44" t="s">
        <v>91</v>
      </c>
      <c r="G44" t="s">
        <v>92</v>
      </c>
    </row>
    <row r="45" spans="1:7" x14ac:dyDescent="0.55000000000000004">
      <c r="A45">
        <v>4</v>
      </c>
      <c r="B45">
        <v>2280.056</v>
      </c>
      <c r="C45">
        <v>38.238</v>
      </c>
      <c r="D45">
        <f>(PI()*D47)/180</f>
        <v>0.42565100328852862</v>
      </c>
      <c r="E45">
        <f>(PI()*E47)/180</f>
        <v>4.7028020331977465E-3</v>
      </c>
      <c r="F45">
        <f>1/(F43*F43)</f>
        <v>0.28689479518817024</v>
      </c>
      <c r="G45">
        <f>(2*G43)/(POWER(F43,3))</f>
        <v>5.9519428842782834E-3</v>
      </c>
    </row>
    <row r="46" spans="1:7" x14ac:dyDescent="0.55000000000000004">
      <c r="A46" t="s">
        <v>33</v>
      </c>
      <c r="B46">
        <f>AVERAGE(B42:B45)</f>
        <v>2293.0497500000001</v>
      </c>
      <c r="C46" s="2">
        <f>SQRT((C42*C42)+(C43*C43)+(C44*C44)+(C45*C45))/5</f>
        <v>15.397664743720068</v>
      </c>
      <c r="D46" t="s">
        <v>75</v>
      </c>
      <c r="E46" t="s">
        <v>76</v>
      </c>
      <c r="F46" t="s">
        <v>104</v>
      </c>
      <c r="G46" t="s">
        <v>105</v>
      </c>
    </row>
    <row r="47" spans="1:7" x14ac:dyDescent="0.55000000000000004">
      <c r="A47" t="s">
        <v>34</v>
      </c>
      <c r="B47">
        <f>(B46/$B$11)</f>
        <v>48.776012067883627</v>
      </c>
      <c r="C47">
        <f>SQRT(POWER((C46/$B$11),2)+POWER(((B46*$C$11)/($B$11*$B$11)),2))</f>
        <v>0.5389014167755467</v>
      </c>
      <c r="D47">
        <f>B47/2</f>
        <v>24.388006033941814</v>
      </c>
      <c r="E47">
        <f>C47/2</f>
        <v>0.26945070838777335</v>
      </c>
      <c r="F47">
        <f>$F$2/(2*D43)</f>
        <v>1.685787754603292</v>
      </c>
      <c r="G47">
        <f>($F$2*COS(D45)*E45)/(2*D43*D43)</f>
        <v>1.7486745313440702E-2</v>
      </c>
    </row>
    <row r="49" spans="1:7" x14ac:dyDescent="0.55000000000000004">
      <c r="A49" t="s">
        <v>81</v>
      </c>
    </row>
    <row r="50" spans="1:7" x14ac:dyDescent="0.55000000000000004">
      <c r="A50" t="s">
        <v>74</v>
      </c>
      <c r="B50" t="s">
        <v>23</v>
      </c>
      <c r="C50" t="s">
        <v>24</v>
      </c>
    </row>
    <row r="51" spans="1:7" x14ac:dyDescent="0.55000000000000004">
      <c r="A51">
        <v>1</v>
      </c>
      <c r="B51">
        <v>2180.1320000000001</v>
      </c>
      <c r="C51">
        <v>39.743000000000002</v>
      </c>
      <c r="D51" t="s">
        <v>86</v>
      </c>
      <c r="E51" t="s">
        <v>87</v>
      </c>
      <c r="F51" t="s">
        <v>88</v>
      </c>
      <c r="G51" t="s">
        <v>89</v>
      </c>
    </row>
    <row r="52" spans="1:7" x14ac:dyDescent="0.55000000000000004">
      <c r="A52">
        <v>2</v>
      </c>
      <c r="B52">
        <v>2168.5309999999999</v>
      </c>
      <c r="C52">
        <v>39.055999999999997</v>
      </c>
      <c r="D52">
        <f>SIN(D54)</f>
        <v>0.72079420348762602</v>
      </c>
      <c r="E52">
        <f>E54*COS(D54)</f>
        <v>3.1696728546928908E-3</v>
      </c>
      <c r="F52">
        <f>$F$2/(2*D52)</f>
        <v>0.96571947531199831</v>
      </c>
      <c r="G52">
        <f>($F$1*COS(D54)*E54)/(2*D52*D52)</f>
        <v>4.7031617514841978E-3</v>
      </c>
    </row>
    <row r="53" spans="1:7" x14ac:dyDescent="0.55000000000000004">
      <c r="A53">
        <v>3</v>
      </c>
      <c r="B53">
        <v>2156.0929999999998</v>
      </c>
      <c r="C53">
        <v>38.817999999999998</v>
      </c>
      <c r="D53" t="s">
        <v>77</v>
      </c>
      <c r="E53" t="s">
        <v>78</v>
      </c>
      <c r="F53" t="s">
        <v>91</v>
      </c>
      <c r="G53" t="s">
        <v>92</v>
      </c>
    </row>
    <row r="54" spans="1:7" x14ac:dyDescent="0.55000000000000004">
      <c r="A54">
        <v>4</v>
      </c>
      <c r="B54">
        <v>2168.0039999999999</v>
      </c>
      <c r="C54">
        <v>38.896999999999998</v>
      </c>
      <c r="D54">
        <f>(PI()*B56)/180</f>
        <v>0.80494742760827998</v>
      </c>
      <c r="E54">
        <f>(PI()*E56)/180</f>
        <v>4.572858448738587E-3</v>
      </c>
      <c r="F54">
        <f>1/(F52*F52)</f>
        <v>1.0722548529365681</v>
      </c>
      <c r="G54">
        <f>(2*G52)/(POWER(F52,3))</f>
        <v>1.0444001888944664E-2</v>
      </c>
    </row>
    <row r="55" spans="1:7" x14ac:dyDescent="0.55000000000000004">
      <c r="A55" t="s">
        <v>33</v>
      </c>
      <c r="B55">
        <f>AVERAGE(B51:B54)</f>
        <v>2168.19</v>
      </c>
      <c r="C55" s="2">
        <f>SQRT((C51*C51)+(C52*C52)+(C53*C53)+(C54*C54))/5</f>
        <v>15.652080907023194</v>
      </c>
      <c r="D55" t="s">
        <v>75</v>
      </c>
      <c r="E55" t="s">
        <v>76</v>
      </c>
      <c r="F55" t="s">
        <v>104</v>
      </c>
      <c r="G55" t="s">
        <v>105</v>
      </c>
    </row>
    <row r="56" spans="1:7" x14ac:dyDescent="0.55000000000000004">
      <c r="A56" t="s">
        <v>34</v>
      </c>
      <c r="B56">
        <f>(B55/$B$11)</f>
        <v>46.120090331866805</v>
      </c>
      <c r="C56">
        <f>SQRT(POWER((C55/$B$11),2)+POWER(((B55*$C$11)/($B$11*$B$11)),2))</f>
        <v>0.52401097884692349</v>
      </c>
      <c r="D56">
        <f>B56/2</f>
        <v>23.060045165933403</v>
      </c>
      <c r="E56">
        <f>C56/2</f>
        <v>0.26200548942346175</v>
      </c>
      <c r="F56">
        <f>$F$2/(2*D52)</f>
        <v>0.96571947531199831</v>
      </c>
      <c r="G56">
        <f>($F$2*COS(D54)*E54)/(2*D52*D52)</f>
        <v>4.246725058738977E-3</v>
      </c>
    </row>
    <row r="58" spans="1:7" x14ac:dyDescent="0.55000000000000004">
      <c r="A58" t="s">
        <v>80</v>
      </c>
    </row>
    <row r="59" spans="1:7" x14ac:dyDescent="0.55000000000000004">
      <c r="A59" t="s">
        <v>74</v>
      </c>
      <c r="B59" t="s">
        <v>23</v>
      </c>
      <c r="C59" t="s">
        <v>24</v>
      </c>
    </row>
    <row r="60" spans="1:7" x14ac:dyDescent="0.55000000000000004">
      <c r="A60">
        <v>1</v>
      </c>
      <c r="B60">
        <v>1793.1420000000001</v>
      </c>
      <c r="C60">
        <v>41.076000000000001</v>
      </c>
      <c r="D60" t="s">
        <v>86</v>
      </c>
      <c r="E60" t="s">
        <v>87</v>
      </c>
      <c r="F60" t="s">
        <v>88</v>
      </c>
      <c r="G60" t="s">
        <v>89</v>
      </c>
    </row>
    <row r="61" spans="1:7" x14ac:dyDescent="0.55000000000000004">
      <c r="A61">
        <v>2</v>
      </c>
      <c r="B61">
        <v>1800.04</v>
      </c>
      <c r="C61">
        <v>41.076000000000001</v>
      </c>
      <c r="D61">
        <f>SIN(D63)</f>
        <v>0.617371837649206</v>
      </c>
      <c r="E61">
        <f>E63*COS(D63)</f>
        <v>3.3085125701172425E-3</v>
      </c>
      <c r="F61">
        <f>$F$1/(2*D61)</f>
        <v>1.2486802166671385</v>
      </c>
      <c r="G61">
        <f>($F$1*COS(D63)*E63)/(2*D61*D61)</f>
        <v>6.691711446752715E-3</v>
      </c>
    </row>
    <row r="62" spans="1:7" x14ac:dyDescent="0.55000000000000004">
      <c r="A62">
        <v>3</v>
      </c>
      <c r="B62">
        <v>1784.018</v>
      </c>
      <c r="C62">
        <v>40.033999999999999</v>
      </c>
      <c r="D62" t="s">
        <v>77</v>
      </c>
      <c r="E62" t="s">
        <v>78</v>
      </c>
      <c r="F62" t="s">
        <v>91</v>
      </c>
      <c r="G62" t="s">
        <v>92</v>
      </c>
    </row>
    <row r="63" spans="1:7" x14ac:dyDescent="0.55000000000000004">
      <c r="A63">
        <v>4</v>
      </c>
      <c r="B63">
        <v>1792.0039999999999</v>
      </c>
      <c r="C63">
        <v>40.914999999999999</v>
      </c>
      <c r="D63">
        <f>(PI()*B65)/180</f>
        <v>0.66539744185230432</v>
      </c>
      <c r="E63">
        <f>(PI()*E65)/180</f>
        <v>4.2057105961431137E-3</v>
      </c>
      <c r="F63">
        <f>1/(F61*F61)</f>
        <v>0.64135360150826437</v>
      </c>
      <c r="G63">
        <f>(2*G61)/(POWER(F61,3))</f>
        <v>6.8740629976249351E-3</v>
      </c>
    </row>
    <row r="64" spans="1:7" x14ac:dyDescent="0.55000000000000004">
      <c r="A64" t="s">
        <v>33</v>
      </c>
      <c r="B64">
        <f>AVERAGE(B60:B63)</f>
        <v>1792.3009999999999</v>
      </c>
      <c r="C64" s="2">
        <f>SQRT((C60*C60)+(C61*C61)+(C62*C62)+(C63*C63))/5</f>
        <v>16.31101950584328</v>
      </c>
      <c r="D64" t="s">
        <v>75</v>
      </c>
      <c r="E64" t="s">
        <v>76</v>
      </c>
      <c r="F64" t="s">
        <v>104</v>
      </c>
      <c r="G64" t="s">
        <v>105</v>
      </c>
    </row>
    <row r="65" spans="1:7" x14ac:dyDescent="0.55000000000000004">
      <c r="A65" t="s">
        <v>34</v>
      </c>
      <c r="B65">
        <f>(B64/$B$11)</f>
        <v>38.124465116938644</v>
      </c>
      <c r="C65">
        <f>SQRT(POWER((C64/$B$11),2)+POWER(((B64*$C$11)/($B$11*$B$11)),2))</f>
        <v>0.48193893402489979</v>
      </c>
      <c r="D65">
        <f>B65/2</f>
        <v>19.062232558469322</v>
      </c>
      <c r="E65">
        <f>C65/2</f>
        <v>0.24096946701244989</v>
      </c>
      <c r="F65">
        <f>$F$2/(2*D61)</f>
        <v>1.1274971703447205</v>
      </c>
      <c r="G65">
        <f>($F$2*COS(D63)*E63)/(2*D61*D61)</f>
        <v>6.0422881857735925E-3</v>
      </c>
    </row>
    <row r="67" spans="1:7" x14ac:dyDescent="0.55000000000000004">
      <c r="A67" t="s">
        <v>79</v>
      </c>
    </row>
    <row r="68" spans="1:7" x14ac:dyDescent="0.55000000000000004">
      <c r="A68" t="s">
        <v>74</v>
      </c>
      <c r="B68" t="s">
        <v>23</v>
      </c>
      <c r="C68" t="s">
        <v>24</v>
      </c>
    </row>
    <row r="69" spans="1:7" x14ac:dyDescent="0.55000000000000004">
      <c r="A69">
        <v>1</v>
      </c>
      <c r="B69">
        <v>1224.298</v>
      </c>
      <c r="C69">
        <v>45.881999999999998</v>
      </c>
      <c r="D69" t="s">
        <v>86</v>
      </c>
      <c r="E69" t="s">
        <v>87</v>
      </c>
      <c r="F69" t="s">
        <v>88</v>
      </c>
      <c r="G69" t="s">
        <v>89</v>
      </c>
    </row>
    <row r="70" spans="1:7" x14ac:dyDescent="0.55000000000000004">
      <c r="A70">
        <v>2</v>
      </c>
      <c r="B70">
        <v>1224.0920000000001</v>
      </c>
      <c r="C70">
        <v>45.676000000000002</v>
      </c>
      <c r="D70">
        <f>SIN(D72)</f>
        <v>0.43900672557784282</v>
      </c>
      <c r="E70">
        <f>E72*COS(D72)</f>
        <v>3.5413367421851119E-3</v>
      </c>
      <c r="F70">
        <f>$F$2/(2*D70)</f>
        <v>1.5855907425649978</v>
      </c>
      <c r="G70">
        <f>($F$1*COS(D72)*E72)/(2*D70*D70)</f>
        <v>1.4165206944497161E-2</v>
      </c>
    </row>
    <row r="71" spans="1:7" x14ac:dyDescent="0.55000000000000004">
      <c r="A71">
        <v>3</v>
      </c>
      <c r="B71">
        <v>1233.0909999999999</v>
      </c>
      <c r="C71">
        <v>46.22</v>
      </c>
      <c r="D71" t="s">
        <v>77</v>
      </c>
      <c r="E71" t="s">
        <v>78</v>
      </c>
      <c r="F71" t="s">
        <v>91</v>
      </c>
      <c r="G71" t="s">
        <v>92</v>
      </c>
    </row>
    <row r="72" spans="1:7" x14ac:dyDescent="0.55000000000000004">
      <c r="A72">
        <v>4</v>
      </c>
      <c r="B72">
        <v>1215.3699999999999</v>
      </c>
      <c r="C72">
        <v>45.38</v>
      </c>
      <c r="D72">
        <f>(PI()*B74)/180</f>
        <v>0.45449287376002956</v>
      </c>
      <c r="E72">
        <f>(PI()*E74)/180</f>
        <v>3.9414587537557636E-3</v>
      </c>
      <c r="F72">
        <f>1/(F70*F70)</f>
        <v>0.39775696844092556</v>
      </c>
      <c r="G72">
        <f>(2*G70)/(POWER(F70,3))</f>
        <v>7.1068903473376199E-3</v>
      </c>
    </row>
    <row r="73" spans="1:7" x14ac:dyDescent="0.55000000000000004">
      <c r="A73" t="s">
        <v>33</v>
      </c>
      <c r="B73">
        <f>AVERAGE(B69:B72)</f>
        <v>1224.2127500000001</v>
      </c>
      <c r="C73" s="2">
        <f>SQRT((C69*C69)+(C70*C70)+(C71*C71)+(C72*C72))/5</f>
        <v>18.31620888721244</v>
      </c>
      <c r="D73" t="s">
        <v>75</v>
      </c>
      <c r="E73" t="s">
        <v>76</v>
      </c>
      <c r="F73" t="s">
        <v>104</v>
      </c>
      <c r="G73" t="s">
        <v>105</v>
      </c>
    </row>
    <row r="74" spans="1:7" x14ac:dyDescent="0.55000000000000004">
      <c r="A74" t="s">
        <v>34</v>
      </c>
      <c r="B74">
        <f>(B73/$B$11)</f>
        <v>26.040523485221811</v>
      </c>
      <c r="C74">
        <f>SQRT(POWER((C73/$B$11),2)+POWER(((B73*$C$11)/($B$11*$B$11)),2))</f>
        <v>0.45165790343019691</v>
      </c>
      <c r="D74">
        <f>B74/2</f>
        <v>13.020261742610906</v>
      </c>
      <c r="E74">
        <f>C74/2</f>
        <v>0.22582895171509845</v>
      </c>
      <c r="F74">
        <f>$F$2/(2*D70)</f>
        <v>1.5855907425649978</v>
      </c>
      <c r="G74">
        <f>($F$2*COS(D72)*E72)/(2*D70*D70)</f>
        <v>1.2790489137320411E-2</v>
      </c>
    </row>
    <row r="76" spans="1:7" x14ac:dyDescent="0.55000000000000004">
      <c r="A76" t="s">
        <v>93</v>
      </c>
    </row>
    <row r="77" spans="1:7" x14ac:dyDescent="0.55000000000000004">
      <c r="A77" t="s">
        <v>74</v>
      </c>
      <c r="B77" t="s">
        <v>23</v>
      </c>
      <c r="C77" t="s">
        <v>24</v>
      </c>
    </row>
    <row r="78" spans="1:7" x14ac:dyDescent="0.55000000000000004">
      <c r="A78">
        <v>1</v>
      </c>
      <c r="B78">
        <v>1056.03</v>
      </c>
      <c r="C78">
        <v>47.494</v>
      </c>
      <c r="D78" t="s">
        <v>86</v>
      </c>
      <c r="E78" t="s">
        <v>87</v>
      </c>
      <c r="F78" t="s">
        <v>88</v>
      </c>
      <c r="G78" t="s">
        <v>89</v>
      </c>
    </row>
    <row r="79" spans="1:7" x14ac:dyDescent="0.55000000000000004">
      <c r="A79">
        <v>2</v>
      </c>
      <c r="B79">
        <v>1064.03</v>
      </c>
      <c r="C79">
        <v>48.542000000000002</v>
      </c>
      <c r="D79">
        <f>SIN(D81)</f>
        <v>0.38177946228501347</v>
      </c>
      <c r="E79">
        <f>E81*COS(D81)</f>
        <v>4.4147767569357706E-3</v>
      </c>
      <c r="F79">
        <f>$F$1/(2*D79)</f>
        <v>2.0192285760633522</v>
      </c>
      <c r="G79">
        <f>($F$1*COS(D81)*E81)/(2*D79*D79)</f>
        <v>2.3349719576822116E-2</v>
      </c>
    </row>
    <row r="80" spans="1:7" x14ac:dyDescent="0.55000000000000004">
      <c r="A80">
        <v>3</v>
      </c>
      <c r="B80">
        <v>1048.191</v>
      </c>
      <c r="C80">
        <v>47.65</v>
      </c>
      <c r="D80" t="s">
        <v>77</v>
      </c>
      <c r="E80" t="s">
        <v>78</v>
      </c>
      <c r="F80" t="s">
        <v>91</v>
      </c>
      <c r="G80" t="s">
        <v>92</v>
      </c>
    </row>
    <row r="81" spans="1:7" x14ac:dyDescent="0.55000000000000004">
      <c r="A81">
        <v>4</v>
      </c>
      <c r="B81">
        <v>1052.2739999999999</v>
      </c>
      <c r="C81">
        <v>48.38</v>
      </c>
      <c r="D81">
        <f>(PI()*B83)/180</f>
        <v>0.39172082957517973</v>
      </c>
      <c r="E81">
        <f>(PI()*E83)/180</f>
        <v>4.7765867153516783E-3</v>
      </c>
      <c r="F81">
        <f>1/(F79*F79)</f>
        <v>0.24526130375101884</v>
      </c>
      <c r="G81">
        <f>(2*G79)/(POWER(F79,3))</f>
        <v>5.6722480391961389E-3</v>
      </c>
    </row>
    <row r="82" spans="1:7" x14ac:dyDescent="0.55000000000000004">
      <c r="A82" t="s">
        <v>33</v>
      </c>
      <c r="B82">
        <f>AVERAGE(B78:B81)</f>
        <v>1055.1312499999999</v>
      </c>
      <c r="C82" s="2">
        <f>SQRT((C78*C78)+(C79*C79)+(C80*C80)+(C81*C81))/4</f>
        <v>24.009311605083557</v>
      </c>
      <c r="D82" t="s">
        <v>75</v>
      </c>
      <c r="E82" t="s">
        <v>76</v>
      </c>
      <c r="F82" t="s">
        <v>104</v>
      </c>
      <c r="G82" t="s">
        <v>105</v>
      </c>
    </row>
    <row r="83" spans="1:7" x14ac:dyDescent="0.55000000000000004">
      <c r="A83" t="s">
        <v>34</v>
      </c>
      <c r="B83">
        <f>(B82/$B$11)</f>
        <v>22.443950282021195</v>
      </c>
      <c r="C83">
        <f>SQRT(POWER((C82/$B$11),2)+POWER(((B82*$C$11)/($B$11*$B$11)),2))</f>
        <v>0.54735651853581579</v>
      </c>
      <c r="D83">
        <f>B83/2</f>
        <v>11.221975141010597</v>
      </c>
      <c r="E83">
        <f>C83/2</f>
        <v>0.2736782592679079</v>
      </c>
      <c r="F83">
        <f>$F$2/(2*D79)</f>
        <v>1.8232646560760908</v>
      </c>
      <c r="G83">
        <f>($F$2*COS(D81)*E81)/(2*D79*D79)</f>
        <v>2.1083654886019227E-2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Part1</vt:lpstr>
      <vt:lpstr>Part 2</vt:lpstr>
      <vt:lpstr>Part3</vt:lpstr>
      <vt:lpstr>Sheet1</vt:lpstr>
      <vt:lpstr>Sheet2</vt:lpstr>
      <vt:lpstr>S= Theta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2023-03-16T13:15:24Z</dcterms:created>
  <dcterms:modified xsi:type="dcterms:W3CDTF">2023-04-11T02:41:49Z</dcterms:modified>
</cp:coreProperties>
</file>