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6"/>
  <workbookPr defaultThemeVersion="166925"/>
  <mc:AlternateContent xmlns:mc="http://schemas.openxmlformats.org/markup-compatibility/2006">
    <mc:Choice Requires="x15">
      <x15ac:absPath xmlns:x15ac="http://schemas.microsoft.com/office/spreadsheetml/2010/11/ac" url="/Users/ehaas/Documents/FHIR/US-Core/input/resources_spreadsheets/"/>
    </mc:Choice>
  </mc:AlternateContent>
  <xr:revisionPtr revIDLastSave="0" documentId="13_ncr:1_{7E886C3A-C615-1249-8DA3-74D869A8AC4F}" xr6:coauthVersionLast="47" xr6:coauthVersionMax="47" xr10:uidLastSave="{00000000-0000-0000-0000-000000000000}"/>
  <bookViews>
    <workbookView xWindow="59640" yWindow="500" windowWidth="38740" windowHeight="28300" activeTab="1" xr2:uid="{00000000-000D-0000-FFFF-FFFF00000000}"/>
  </bookViews>
  <sheets>
    <sheet name="config" sheetId="12" r:id="rId1"/>
    <sheet name="meta" sheetId="1" r:id="rId2"/>
    <sheet name="igs" sheetId="10" r:id="rId3"/>
    <sheet name="capstatements" sheetId="13" r:id="rId4"/>
    <sheet name="profiles" sheetId="2" r:id="rId5"/>
    <sheet name="resources" sheetId="4" r:id="rId6"/>
    <sheet name="ops" sheetId="5" r:id="rId7"/>
    <sheet name="interactions" sheetId="6" r:id="rId8"/>
    <sheet name="rest_interactions" sheetId="11" r:id="rId9"/>
    <sheet name="sps" sheetId="14" r:id="rId10"/>
    <sheet name="sp_combos" sheetId="15" r:id="rId11"/>
  </sheets>
  <definedNames>
    <definedName name="_xlnm._FilterDatabase" localSheetId="10" hidden="1">sp_combos!$A$1:$K$101</definedName>
    <definedName name="_xlnm._FilterDatabase" localSheetId="9" hidden="1">sps!$A$1:$AB$132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01" i="15" l="1"/>
  <c r="K100" i="15"/>
  <c r="C100" i="15"/>
  <c r="K99" i="15"/>
  <c r="C99" i="15"/>
  <c r="K98" i="15"/>
  <c r="C98" i="15"/>
  <c r="K97" i="15"/>
  <c r="C97" i="15"/>
  <c r="K96" i="15"/>
  <c r="C96" i="15"/>
  <c r="K95" i="15"/>
  <c r="C95" i="15"/>
  <c r="K94" i="15"/>
  <c r="C94" i="15"/>
  <c r="K93" i="15"/>
  <c r="C93" i="15"/>
  <c r="K92" i="15"/>
  <c r="C92" i="15"/>
  <c r="K91" i="15"/>
  <c r="C91" i="15"/>
  <c r="K90" i="15"/>
  <c r="C90" i="15"/>
  <c r="K89" i="15"/>
  <c r="C89" i="15"/>
  <c r="K88" i="15"/>
  <c r="C88" i="15"/>
  <c r="K87" i="15"/>
  <c r="C87" i="15"/>
  <c r="C86" i="15"/>
  <c r="K83" i="15"/>
  <c r="C83" i="15"/>
  <c r="C82" i="15"/>
  <c r="C81" i="15"/>
  <c r="C80" i="15"/>
  <c r="K79" i="15"/>
  <c r="C79" i="15"/>
  <c r="K78" i="15"/>
  <c r="C78" i="15"/>
  <c r="C77" i="15"/>
  <c r="K73" i="15"/>
  <c r="K72" i="15"/>
  <c r="K71" i="15"/>
  <c r="K70" i="15"/>
  <c r="K69" i="15"/>
  <c r="K68" i="15"/>
  <c r="K66" i="15"/>
  <c r="C66" i="15"/>
  <c r="K65" i="15"/>
  <c r="C65" i="15"/>
  <c r="K64" i="15"/>
  <c r="C64" i="15"/>
  <c r="C63" i="15"/>
  <c r="K62" i="15"/>
  <c r="C62" i="15"/>
  <c r="C61" i="15"/>
  <c r="C60" i="15"/>
  <c r="C59" i="15"/>
  <c r="C58" i="15"/>
  <c r="K57" i="15"/>
  <c r="C57" i="15"/>
  <c r="K56" i="15"/>
  <c r="C56" i="15"/>
  <c r="K55" i="15"/>
  <c r="K54" i="15"/>
  <c r="C54" i="15"/>
  <c r="K53" i="15"/>
  <c r="K52" i="15"/>
  <c r="K51" i="15"/>
  <c r="K50" i="15"/>
  <c r="K49" i="15"/>
  <c r="C49" i="15"/>
  <c r="K48" i="15"/>
  <c r="C48" i="15"/>
  <c r="C47" i="15"/>
  <c r="K46" i="15"/>
  <c r="C46" i="15"/>
  <c r="C45" i="15"/>
  <c r="C44" i="15"/>
  <c r="C43" i="15"/>
  <c r="C42" i="15"/>
  <c r="C41" i="15"/>
  <c r="C40" i="15"/>
  <c r="C39" i="15"/>
  <c r="C38" i="15"/>
  <c r="C37" i="15"/>
  <c r="K36" i="15"/>
  <c r="C36" i="15"/>
  <c r="K35" i="15"/>
  <c r="C35" i="15"/>
  <c r="K34" i="15"/>
  <c r="C34" i="15"/>
  <c r="K33" i="15"/>
  <c r="C33" i="15"/>
  <c r="K32" i="15"/>
  <c r="C32" i="15"/>
  <c r="K31" i="15"/>
  <c r="C31" i="15"/>
  <c r="K30" i="15"/>
  <c r="C30" i="15"/>
  <c r="K29" i="15"/>
  <c r="C29" i="15"/>
  <c r="K28" i="15"/>
  <c r="C28" i="15"/>
  <c r="K27" i="15"/>
  <c r="C27" i="15"/>
  <c r="K26" i="15"/>
  <c r="C26" i="15"/>
  <c r="K25" i="15"/>
  <c r="C25" i="15"/>
  <c r="K24" i="15"/>
  <c r="C24" i="15"/>
  <c r="K23" i="15"/>
  <c r="C23" i="15"/>
  <c r="K22" i="15"/>
  <c r="C22" i="15"/>
  <c r="K21" i="15"/>
  <c r="C21" i="15"/>
  <c r="K20" i="15"/>
  <c r="C20" i="15"/>
  <c r="K19" i="15"/>
  <c r="C19" i="15"/>
  <c r="K18" i="15"/>
  <c r="C18" i="15"/>
  <c r="K17" i="15"/>
  <c r="C17" i="15"/>
  <c r="K16" i="15"/>
  <c r="C16" i="15"/>
  <c r="K15" i="15"/>
  <c r="C15" i="15"/>
  <c r="K14" i="15"/>
  <c r="C14" i="15"/>
  <c r="K13" i="15"/>
  <c r="C13" i="15"/>
  <c r="K12" i="15"/>
  <c r="C12" i="15"/>
  <c r="K11" i="15"/>
  <c r="C11" i="15"/>
  <c r="K10" i="15"/>
  <c r="C10" i="15"/>
  <c r="K9" i="15"/>
  <c r="C9" i="15"/>
  <c r="K8" i="15"/>
  <c r="C8" i="15"/>
  <c r="K7" i="15"/>
  <c r="C7" i="15"/>
  <c r="K6" i="15"/>
  <c r="C6" i="15"/>
  <c r="K5" i="15"/>
  <c r="C5" i="15"/>
  <c r="K4" i="15"/>
  <c r="C4" i="15"/>
  <c r="K3" i="15"/>
  <c r="C3" i="15"/>
  <c r="K2" i="15"/>
  <c r="C2" i="15"/>
  <c r="AB52" i="14"/>
  <c r="L52" i="14"/>
  <c r="G52" i="14"/>
  <c r="AB44" i="14"/>
  <c r="L44" i="14"/>
  <c r="G44" i="14"/>
  <c r="AB65" i="14"/>
  <c r="L65" i="14"/>
  <c r="G65" i="14"/>
  <c r="AB95" i="14"/>
  <c r="L95" i="14"/>
  <c r="G95" i="14"/>
  <c r="AB132" i="14"/>
  <c r="AB131" i="14"/>
  <c r="AB130" i="14"/>
  <c r="AB129" i="14"/>
  <c r="AB128" i="14"/>
  <c r="AB127" i="14"/>
  <c r="AB126" i="14"/>
  <c r="AB125" i="14"/>
  <c r="AB124" i="14"/>
  <c r="AB123" i="14"/>
  <c r="AB122" i="14"/>
  <c r="AB121" i="14"/>
  <c r="AB120" i="14"/>
  <c r="AB119" i="14"/>
  <c r="AB118" i="14"/>
  <c r="AB117" i="14"/>
  <c r="AB116" i="14"/>
  <c r="AB115" i="14"/>
  <c r="AB114" i="14"/>
  <c r="AB113" i="14"/>
  <c r="AB112" i="14"/>
  <c r="AB111" i="14"/>
  <c r="AB110" i="14"/>
  <c r="AB109" i="14"/>
  <c r="AB108" i="14"/>
  <c r="AB107" i="14"/>
  <c r="AB106" i="14"/>
  <c r="AB105" i="14"/>
  <c r="AB104" i="14"/>
  <c r="AB103" i="14"/>
  <c r="AB102" i="14"/>
  <c r="AB101" i="14"/>
  <c r="AB100" i="14"/>
  <c r="AB99" i="14"/>
  <c r="AB98" i="14"/>
  <c r="AB97" i="14"/>
  <c r="AB96" i="14"/>
  <c r="AB94" i="14"/>
  <c r="AB93" i="14"/>
  <c r="AB92" i="14"/>
  <c r="AB91" i="14"/>
  <c r="AB90" i="14"/>
  <c r="AB89" i="14"/>
  <c r="AB88" i="14"/>
  <c r="AB87" i="14"/>
  <c r="AB86" i="14"/>
  <c r="AB85" i="14"/>
  <c r="AB84" i="14"/>
  <c r="AB83" i="14"/>
  <c r="AB82" i="14"/>
  <c r="AB81" i="14"/>
  <c r="AB80" i="14"/>
  <c r="AB79" i="14"/>
  <c r="AB78" i="14"/>
  <c r="AB77" i="14"/>
  <c r="AB76" i="14"/>
  <c r="AB75" i="14"/>
  <c r="AB74" i="14"/>
  <c r="AB73" i="14"/>
  <c r="AB72" i="14"/>
  <c r="AB71" i="14"/>
  <c r="AB70" i="14"/>
  <c r="AB69" i="14"/>
  <c r="AB68" i="14"/>
  <c r="AB67" i="14"/>
  <c r="AB66" i="14"/>
  <c r="AB64" i="14"/>
  <c r="AB63" i="14"/>
  <c r="AB62" i="14"/>
  <c r="AB61" i="14"/>
  <c r="AB60" i="14"/>
  <c r="AB59" i="14"/>
  <c r="AB58" i="14"/>
  <c r="AB57" i="14"/>
  <c r="AB56" i="14"/>
  <c r="AB54" i="14"/>
  <c r="AB53" i="14"/>
  <c r="AB51" i="14"/>
  <c r="AB50" i="14"/>
  <c r="AB49" i="14"/>
  <c r="AB48" i="14"/>
  <c r="AB47" i="14"/>
  <c r="AB46" i="14"/>
  <c r="AB45" i="14"/>
  <c r="AB43" i="14"/>
  <c r="AB42" i="14"/>
  <c r="AB41" i="14"/>
  <c r="AB40" i="14"/>
  <c r="AB39" i="14"/>
  <c r="AB38" i="14"/>
  <c r="AB37" i="14"/>
  <c r="AB36" i="14"/>
  <c r="AB35" i="14"/>
  <c r="AB34" i="14"/>
  <c r="AB33" i="14"/>
  <c r="AB32" i="14"/>
  <c r="AB31" i="14"/>
  <c r="AB30" i="14"/>
  <c r="AB29" i="14"/>
  <c r="AB28" i="14"/>
  <c r="AB27" i="14"/>
  <c r="AB26" i="14"/>
  <c r="AB25" i="14"/>
  <c r="AB24" i="14"/>
  <c r="AB23" i="14"/>
  <c r="AB22" i="14"/>
  <c r="AB21" i="14"/>
  <c r="AB20" i="14"/>
  <c r="AB19" i="14"/>
  <c r="AB18" i="14"/>
  <c r="AB17" i="14"/>
  <c r="AB16" i="14"/>
  <c r="AB15" i="14"/>
  <c r="AB14" i="14"/>
  <c r="AB13" i="14"/>
  <c r="AB12" i="14"/>
  <c r="AB11" i="14"/>
  <c r="AB10" i="14"/>
  <c r="AB9" i="14"/>
  <c r="AB8" i="14"/>
  <c r="AB7" i="14"/>
  <c r="AB6" i="14"/>
  <c r="AB5" i="14"/>
  <c r="AB4" i="14"/>
  <c r="AB3" i="14"/>
  <c r="AB2" i="14"/>
  <c r="AB55" i="14"/>
  <c r="Y131" i="14"/>
  <c r="Y117" i="14"/>
  <c r="Y122" i="14"/>
  <c r="Y125" i="14"/>
  <c r="Y108" i="14"/>
  <c r="Y55" i="14"/>
  <c r="Y2" i="14"/>
  <c r="Y100" i="14"/>
  <c r="Y62" i="14"/>
  <c r="AA132" i="14"/>
  <c r="Z131" i="14"/>
  <c r="Z132" i="14"/>
  <c r="Y132" i="14"/>
  <c r="L132" i="14"/>
  <c r="L131" i="14"/>
  <c r="G132" i="14"/>
  <c r="G131" i="14"/>
  <c r="G10" i="14"/>
  <c r="L10" i="14"/>
  <c r="G11" i="14"/>
  <c r="L11" i="14"/>
  <c r="G12" i="14"/>
  <c r="L12" i="14"/>
  <c r="G13" i="14"/>
  <c r="L13" i="14"/>
  <c r="Y13" i="14"/>
  <c r="Z13" i="14"/>
  <c r="AA13" i="14"/>
  <c r="G14" i="14"/>
  <c r="L14" i="14"/>
  <c r="G22" i="14"/>
  <c r="L22" i="14"/>
  <c r="G23" i="14"/>
  <c r="L23" i="14"/>
  <c r="G26" i="14"/>
  <c r="L26" i="14"/>
  <c r="G27" i="14"/>
  <c r="L27" i="14"/>
  <c r="Z27" i="14"/>
  <c r="AA27" i="14"/>
  <c r="G37" i="14"/>
  <c r="L37" i="14"/>
  <c r="G38" i="14"/>
  <c r="L38" i="14"/>
  <c r="G42" i="14"/>
  <c r="L42" i="14"/>
  <c r="Z42" i="14"/>
  <c r="AA42" i="14"/>
  <c r="G62" i="14"/>
  <c r="L62" i="14"/>
  <c r="G63" i="14"/>
  <c r="L63" i="14"/>
  <c r="G64" i="14"/>
  <c r="L64" i="14"/>
  <c r="G67" i="14"/>
  <c r="L67" i="14"/>
  <c r="AA67" i="14"/>
  <c r="G69" i="14"/>
  <c r="L69" i="14"/>
  <c r="Z69" i="14"/>
  <c r="AA69" i="14"/>
  <c r="G68" i="14"/>
  <c r="L68" i="14"/>
  <c r="Z68" i="14"/>
  <c r="AA68" i="14"/>
  <c r="G70" i="14"/>
  <c r="L70" i="14"/>
  <c r="G71" i="14"/>
  <c r="L71" i="14"/>
  <c r="G66" i="14"/>
  <c r="L66" i="14"/>
  <c r="G100" i="14"/>
  <c r="L100" i="14"/>
  <c r="G101" i="14"/>
  <c r="L101" i="14"/>
  <c r="G102" i="14"/>
  <c r="L102" i="14"/>
  <c r="G103" i="14"/>
  <c r="G104" i="14"/>
  <c r="L104" i="14"/>
  <c r="G105" i="14"/>
  <c r="G106" i="14"/>
  <c r="L106" i="14"/>
  <c r="AA106" i="14"/>
  <c r="G107" i="14"/>
  <c r="L107" i="14"/>
  <c r="AA107" i="14"/>
  <c r="G24" i="14"/>
  <c r="AA24" i="14"/>
  <c r="G2" i="14"/>
  <c r="G3" i="14"/>
  <c r="L3" i="14"/>
  <c r="G4" i="14"/>
  <c r="L4" i="14"/>
  <c r="G5" i="14"/>
  <c r="L5" i="14"/>
  <c r="G6" i="14"/>
  <c r="L6" i="14"/>
  <c r="G7" i="14"/>
  <c r="L7" i="14"/>
  <c r="G8" i="14"/>
  <c r="L8" i="14"/>
  <c r="G41" i="14"/>
  <c r="L41" i="14"/>
  <c r="G36" i="14"/>
  <c r="L36" i="14"/>
  <c r="G43" i="14"/>
  <c r="L43" i="14"/>
  <c r="G35" i="14"/>
  <c r="L35" i="14"/>
  <c r="G39" i="14"/>
  <c r="L39" i="14"/>
  <c r="G40" i="14"/>
  <c r="L40" i="14"/>
  <c r="Z40" i="14"/>
  <c r="AA40" i="14"/>
  <c r="G77" i="14"/>
  <c r="L77" i="14"/>
  <c r="Y77" i="14"/>
  <c r="Z77" i="14"/>
  <c r="AA77" i="14"/>
  <c r="G78" i="14"/>
  <c r="L78" i="14"/>
  <c r="G76" i="14"/>
  <c r="L76" i="14"/>
  <c r="G55" i="14"/>
  <c r="L55" i="14"/>
  <c r="G60" i="14"/>
  <c r="L60" i="14"/>
  <c r="G58" i="14"/>
  <c r="L58" i="14"/>
  <c r="Y58" i="14"/>
  <c r="Z58" i="14"/>
  <c r="AA58" i="14"/>
  <c r="G56" i="14"/>
  <c r="L56" i="14"/>
  <c r="G61" i="14"/>
  <c r="L61" i="14"/>
  <c r="G57" i="14"/>
  <c r="L57" i="14"/>
  <c r="G59" i="14"/>
  <c r="G54" i="14"/>
  <c r="L54" i="14"/>
  <c r="G53" i="14"/>
  <c r="L53" i="14"/>
  <c r="Y53" i="14"/>
  <c r="Z53" i="14"/>
  <c r="AA53" i="14"/>
  <c r="G49" i="14"/>
  <c r="L49" i="14"/>
  <c r="G50" i="14"/>
  <c r="L50" i="14"/>
  <c r="G51" i="14"/>
  <c r="L51" i="14"/>
  <c r="G73" i="14"/>
  <c r="L73" i="14"/>
  <c r="G74" i="14"/>
  <c r="L74" i="14"/>
  <c r="Y74" i="14"/>
  <c r="Z74" i="14"/>
  <c r="AA74" i="14"/>
  <c r="G75" i="14"/>
  <c r="L75" i="14"/>
  <c r="G91" i="14"/>
  <c r="L91" i="14"/>
  <c r="G89" i="14"/>
  <c r="L89" i="14"/>
  <c r="G90" i="14"/>
  <c r="L90" i="14"/>
  <c r="G88" i="14"/>
  <c r="L88" i="14"/>
  <c r="G87" i="14"/>
  <c r="L87" i="14"/>
  <c r="G18" i="14"/>
  <c r="L18" i="14"/>
  <c r="G17" i="14"/>
  <c r="L17" i="14"/>
  <c r="AA17" i="14"/>
  <c r="G16" i="14"/>
  <c r="L16" i="14"/>
  <c r="G116" i="14"/>
  <c r="L116" i="14"/>
  <c r="G115" i="14"/>
  <c r="L115" i="14"/>
  <c r="Y115" i="14"/>
  <c r="AA115" i="14"/>
  <c r="G114" i="14"/>
  <c r="L114" i="14"/>
  <c r="G113" i="14"/>
  <c r="L113" i="14"/>
  <c r="G97" i="14"/>
  <c r="L97" i="14"/>
  <c r="G92" i="14"/>
  <c r="L92" i="14"/>
  <c r="G93" i="14"/>
  <c r="L93" i="14"/>
  <c r="G94" i="14"/>
  <c r="L94" i="14"/>
  <c r="G96" i="14"/>
  <c r="L96" i="14"/>
  <c r="Y96" i="14"/>
  <c r="Z96" i="14"/>
  <c r="AA96" i="14"/>
  <c r="G28" i="14"/>
  <c r="L28" i="14"/>
  <c r="G9" i="14"/>
  <c r="L9" i="14"/>
  <c r="G29" i="14"/>
  <c r="L29" i="14"/>
  <c r="G30" i="14"/>
  <c r="L30" i="14"/>
  <c r="Y30" i="14"/>
  <c r="Z30" i="14"/>
  <c r="AA30" i="14"/>
  <c r="G31" i="14"/>
  <c r="L31" i="14"/>
  <c r="G32" i="14"/>
  <c r="L32" i="14"/>
  <c r="Y32" i="14"/>
  <c r="Z32" i="14"/>
  <c r="AA32" i="14"/>
  <c r="G108" i="14"/>
  <c r="L108" i="14"/>
  <c r="Z108" i="14"/>
  <c r="G34" i="14"/>
  <c r="L34" i="14"/>
  <c r="G33" i="14"/>
  <c r="L33" i="14"/>
  <c r="Z33" i="14"/>
  <c r="G46" i="14"/>
  <c r="L46" i="14"/>
  <c r="Y46" i="14"/>
  <c r="Z46" i="14"/>
  <c r="AA46" i="14"/>
  <c r="G48" i="14"/>
  <c r="L48" i="14"/>
  <c r="G47" i="14"/>
  <c r="L47" i="14"/>
  <c r="G83" i="14"/>
  <c r="L83" i="14"/>
  <c r="Z83" i="14"/>
  <c r="AA83" i="14"/>
  <c r="G79" i="14"/>
  <c r="L79" i="14"/>
  <c r="Z79" i="14"/>
  <c r="AA79" i="14"/>
  <c r="G80" i="14"/>
  <c r="L80" i="14"/>
  <c r="Z80" i="14"/>
  <c r="AA80" i="14"/>
  <c r="G82" i="14"/>
  <c r="L82" i="14"/>
  <c r="AA82" i="14"/>
  <c r="G81" i="14"/>
  <c r="L81" i="14"/>
  <c r="Z81" i="14"/>
  <c r="AA81" i="14"/>
  <c r="G99" i="14"/>
  <c r="L99" i="14"/>
  <c r="Z99" i="14"/>
  <c r="AA99" i="14"/>
  <c r="G98" i="14"/>
  <c r="L98" i="14"/>
  <c r="Z98" i="14"/>
  <c r="AA98" i="14"/>
  <c r="G19" i="14"/>
  <c r="L19" i="14"/>
  <c r="Z19" i="14"/>
  <c r="AA19" i="14"/>
  <c r="G21" i="14"/>
  <c r="L21" i="14"/>
  <c r="Z21" i="14"/>
  <c r="AA21" i="14"/>
  <c r="G20" i="14"/>
  <c r="L20" i="14"/>
  <c r="Z20" i="14"/>
  <c r="AA20" i="14"/>
  <c r="G110" i="14"/>
  <c r="L110" i="14"/>
  <c r="Z110" i="14"/>
  <c r="AA110" i="14"/>
  <c r="G109" i="14"/>
  <c r="L109" i="14"/>
  <c r="Z109" i="14"/>
  <c r="AA109" i="14"/>
  <c r="G112" i="14"/>
  <c r="L112" i="14"/>
  <c r="Z112" i="14"/>
  <c r="AA112" i="14"/>
  <c r="G111" i="14"/>
  <c r="L111" i="14"/>
  <c r="Z111" i="14"/>
  <c r="AA111" i="14"/>
  <c r="G130" i="14"/>
  <c r="L130" i="14"/>
  <c r="G129" i="14"/>
  <c r="L129" i="14"/>
  <c r="Y129" i="14"/>
  <c r="Z129" i="14"/>
  <c r="AA129" i="14"/>
  <c r="G127" i="14"/>
  <c r="L127" i="14"/>
  <c r="G128" i="14"/>
  <c r="L128" i="14"/>
  <c r="G126" i="14"/>
  <c r="L126" i="14"/>
  <c r="G125" i="14"/>
  <c r="L125" i="14"/>
  <c r="G72" i="14"/>
  <c r="L72" i="14"/>
  <c r="G122" i="14"/>
  <c r="L122" i="14"/>
  <c r="G124" i="14"/>
  <c r="L124" i="14"/>
  <c r="Y124" i="14"/>
  <c r="Z124" i="14"/>
  <c r="AA124" i="14"/>
  <c r="G123" i="14"/>
  <c r="L123" i="14"/>
  <c r="Z123" i="14"/>
  <c r="AA123" i="14"/>
  <c r="G117" i="14"/>
  <c r="L117" i="14"/>
  <c r="G119" i="14"/>
  <c r="L119" i="14"/>
  <c r="Y119" i="14"/>
  <c r="Z119" i="14"/>
  <c r="AA119" i="14"/>
  <c r="G121" i="14"/>
  <c r="L121" i="14"/>
  <c r="G25" i="14"/>
  <c r="G118" i="14"/>
  <c r="L118" i="14"/>
  <c r="G120" i="14"/>
  <c r="L120" i="14"/>
  <c r="G45" i="14"/>
  <c r="L45" i="14"/>
  <c r="Z45" i="14"/>
  <c r="AA45" i="14"/>
  <c r="G85" i="14"/>
  <c r="L85" i="14"/>
  <c r="G86" i="14"/>
  <c r="L86" i="14"/>
  <c r="G84" i="14"/>
  <c r="L84" i="14"/>
  <c r="AA84" i="14"/>
  <c r="G15" i="14"/>
  <c r="L15" i="1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tc={FB93E46D-3D13-4645-A003-7A1F153E1DB9}</author>
    <author>tc={738109A7-92A0-7248-ACDE-F9875EAC079A}</author>
    <author>tc={DCDC06BA-7148-9843-A6EA-EC4B7F1297F8}</author>
  </authors>
  <commentList>
    <comment ref="L36" authorId="0" shapeId="0" xr:uid="{FB93E46D-3D13-4645-A003-7A1F153E1DB9}">
      <text>
        <t>[Threaded comment]
Your version of Excel allows you to read this threaded comment; however, any edits to it will get removed if the file is opened in a newer version of Excel. Learn more: https://go.microsoft.com/fwlink/?linkid=870924
Comment:
    where does this show up?</t>
      </text>
    </comment>
    <comment ref="Z40" authorId="1" shapeId="0" xr:uid="{738109A7-92A0-7248-ACDE-F9875EAC079A}">
      <text>
        <t>[Threaded comment]
Your version of Excel allows you to read this threaded comment; however, any edits to it will get removed if the file is opened in a newer version of Excel. Learn more: https://go.microsoft.com/fwlink/?linkid=870924
Comment:
    do i need this?</t>
      </text>
    </comment>
    <comment ref="AA40" authorId="2" shapeId="0" xr:uid="{DCDC06BA-7148-9843-A6EA-EC4B7F1297F8}">
      <text>
        <t>[Threaded comment]
Your version of Excel allows you to read this threaded comment; however, any edits to it will get removed if the file is opened in a newer version of Excel. Learn more: https://go.microsoft.com/fwlink/?linkid=870924
Comment:
    do I need this?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tc={3D6593B2-8A1E-A24A-80BE-57CB27553CF1}</author>
    <author>tc={D8B0DCD9-3CF9-B14D-BBD2-ED0D75EDCEE7}</author>
    <author>tc={28AD8D2E-6B3A-D044-9128-B122FA094994}</author>
  </authors>
  <commentList>
    <comment ref="C1" authorId="0" shapeId="0" xr:uid="{3D6593B2-8A1E-A24A-80BE-57CB27553CF1}">
      <text>
        <t>[Threaded comment]
Your version of Excel allows you to read this threaded comment; however, any edits to it will get removed if the file is opened in a newer version of Excel. Learn more: https://go.microsoft.com/fwlink/?linkid=870924
Comment:
    add column for include file
Reply:
    make this a comma separate list of profiles</t>
      </text>
    </comment>
    <comment ref="I1" authorId="1" shapeId="0" xr:uid="{D8B0DCD9-3CF9-B14D-BBD2-ED0D75EDCEE7}">
      <text>
        <t>[Threaded comment]
Your version of Excel allows you to read this threaded comment; however, any edits to it will get removed if the file is opened in a newer version of Excel. Learn more: https://go.microsoft.com/fwlink/?linkid=870924
Comment:
    does this do anything if not delete row</t>
      </text>
    </comment>
    <comment ref="I42" authorId="2" shapeId="0" xr:uid="{28AD8D2E-6B3A-D044-9128-B122FA094994}">
      <text>
        <t>[Threaded comment]
Your version of Excel allows you to read this threaded comment; however, any edits to it will get removed if the file is opened in a newer version of Excel. Learn more: https://go.microsoft.com/fwlink/?linkid=870924
Comment:
    is column being used???</t>
      </text>
    </comment>
  </commentList>
</comments>
</file>

<file path=xl/sharedStrings.xml><?xml version="1.0" encoding="utf-8"?>
<sst xmlns="http://schemas.openxmlformats.org/spreadsheetml/2006/main" count="2755" uniqueCount="739">
  <si>
    <t>Element</t>
  </si>
  <si>
    <t>Value</t>
  </si>
  <si>
    <t>id</t>
  </si>
  <si>
    <t>description</t>
  </si>
  <si>
    <t>mode</t>
  </si>
  <si>
    <t>server</t>
  </si>
  <si>
    <t>documentation</t>
  </si>
  <si>
    <t>security</t>
  </si>
  <si>
    <t>Profile</t>
  </si>
  <si>
    <t>Name</t>
  </si>
  <si>
    <t>Conformance</t>
  </si>
  <si>
    <t>Type</t>
  </si>
  <si>
    <t>SHALL</t>
  </si>
  <si>
    <t>type</t>
  </si>
  <si>
    <t>conformance</t>
  </si>
  <si>
    <t>versioning</t>
  </si>
  <si>
    <t>readHistory</t>
  </si>
  <si>
    <t>updateCreate</t>
  </si>
  <si>
    <t>referencePolicy</t>
  </si>
  <si>
    <t>AllergyIntolerance</t>
  </si>
  <si>
    <t>Patient</t>
  </si>
  <si>
    <t>Encounter</t>
  </si>
  <si>
    <t>name</t>
  </si>
  <si>
    <t>definition</t>
  </si>
  <si>
    <t>conf</t>
  </si>
  <si>
    <t>code</t>
  </si>
  <si>
    <t>create</t>
  </si>
  <si>
    <t>search-type</t>
  </si>
  <si>
    <t>read</t>
  </si>
  <si>
    <t>MAY</t>
  </si>
  <si>
    <t>vread</t>
  </si>
  <si>
    <t>update</t>
  </si>
  <si>
    <t>patch</t>
  </si>
  <si>
    <t>delete</t>
  </si>
  <si>
    <t>history-instance</t>
  </si>
  <si>
    <t>history-type</t>
  </si>
  <si>
    <t>base</t>
  </si>
  <si>
    <t>base_conf</t>
  </si>
  <si>
    <t>profile</t>
  </si>
  <si>
    <t>display</t>
  </si>
  <si>
    <t>exists</t>
  </si>
  <si>
    <t>expression</t>
  </si>
  <si>
    <t>multipleOr</t>
  </si>
  <si>
    <t>multipleOr_conf</t>
  </si>
  <si>
    <t>multipleAnd</t>
  </si>
  <si>
    <t>multipleAnd_conf</t>
  </si>
  <si>
    <t>shall_modifier</t>
  </si>
  <si>
    <t>should_modifier</t>
  </si>
  <si>
    <t>shall_comparator</t>
  </si>
  <si>
    <t>should_comparator</t>
  </si>
  <si>
    <t>shall_chain</t>
  </si>
  <si>
    <t>should_chain</t>
  </si>
  <si>
    <t>example</t>
  </si>
  <si>
    <t>imp_note</t>
  </si>
  <si>
    <t>_id</t>
  </si>
  <si>
    <t>Y</t>
  </si>
  <si>
    <t>token</t>
  </si>
  <si>
    <t>N</t>
  </si>
  <si>
    <t>url</t>
  </si>
  <si>
    <t>uri</t>
  </si>
  <si>
    <t>status</t>
  </si>
  <si>
    <t>title</t>
  </si>
  <si>
    <t>string</t>
  </si>
  <si>
    <t>foo,bar2</t>
  </si>
  <si>
    <t>contains,foo,bar</t>
  </si>
  <si>
    <t>version</t>
  </si>
  <si>
    <t>publisher</t>
  </si>
  <si>
    <t>contains</t>
  </si>
  <si>
    <t>SHOULD</t>
  </si>
  <si>
    <t>context-type-value</t>
  </si>
  <si>
    <t>composite</t>
  </si>
  <si>
    <t>http://hl7.org/fhir/us/core/StructureDefinition/us-core-allergyintolerance</t>
  </si>
  <si>
    <t>support searching for all allergies for a patient</t>
  </si>
  <si>
    <t>http://hl7.org/fhir/us/core/StructureDefinition/us-core-patient</t>
  </si>
  <si>
    <t>identifier</t>
  </si>
  <si>
    <t>birthdate</t>
  </si>
  <si>
    <t>date</t>
  </si>
  <si>
    <t>family</t>
  </si>
  <si>
    <t>gender</t>
  </si>
  <si>
    <t>Patient.name.family</t>
  </si>
  <si>
    <t>given</t>
  </si>
  <si>
    <t>Patient.name.given</t>
  </si>
  <si>
    <t>!Patient</t>
  </si>
  <si>
    <t>address</t>
  </si>
  <si>
    <t>GET [base]/Organization?address=1183 Mountain View C</t>
  </si>
  <si>
    <t>telecom</t>
  </si>
  <si>
    <t>GET [base]/Organization?telecom=(707)555-5555</t>
  </si>
  <si>
    <t>patient</t>
  </si>
  <si>
    <t>reference</t>
  </si>
  <si>
    <t>support searching for all encounters for a patient</t>
  </si>
  <si>
    <t>gt,lt,ge,le</t>
  </si>
  <si>
    <t>class</t>
  </si>
  <si>
    <t>Condition</t>
  </si>
  <si>
    <t>clinical-status</t>
  </si>
  <si>
    <t>category</t>
  </si>
  <si>
    <t>Index</t>
  </si>
  <si>
    <t>support searching for all conditions including problems, health concerns, and encounter diagnosis for a patient</t>
  </si>
  <si>
    <t>onset-date</t>
  </si>
  <si>
    <t>GET [base]/Patient?identifier=http://hospital.smarthealthit.org\|1032702</t>
  </si>
  <si>
    <t>GET [base]/Encounter?identifier=http://hospital.smarthealthit.org\|1032702</t>
  </si>
  <si>
    <t>Immunization</t>
  </si>
  <si>
    <t>rel_url</t>
  </si>
  <si>
    <t>!EXAMPLE PATIENT SEARCH</t>
  </si>
  <si>
    <t>Fetches a single Encounter</t>
  </si>
  <si>
    <t>GET [base]/Patient?name=Shaw</t>
  </si>
  <si>
    <t>DocumentReference</t>
  </si>
  <si>
    <t>DiagnosticReport</t>
  </si>
  <si>
    <t>Goal</t>
  </si>
  <si>
    <t>MedicationRequest</t>
  </si>
  <si>
    <t>Procedure</t>
  </si>
  <si>
    <t>Observation</t>
  </si>
  <si>
    <t>http://hl7.org/fhir/us/core/StructureDefinition/us-core-diagnosticreport-lab</t>
  </si>
  <si>
    <t>http://hl7.org/fhir/us/core/StructureDefinition/us-core-diagnosticreport-note</t>
  </si>
  <si>
    <t>!EXAMPLE CATEGORY SEARCH</t>
  </si>
  <si>
    <t>!EXAMPLE CODE SEARCH</t>
  </si>
  <si>
    <t>!EXAMPLE DATE SEARCH</t>
  </si>
  <si>
    <t>MedicationRequest:medication</t>
  </si>
  <si>
    <t>support searching a patient based on text address</t>
  </si>
  <si>
    <t>support searching a patient based on contact information such as phone number or email address</t>
  </si>
  <si>
    <t>support searching for an encounter by an identifier</t>
  </si>
  <si>
    <t>support searching a patient by an identifier such as a MPI</t>
  </si>
  <si>
    <t>support searching for all medication statements for a patient. The server application represents the medication using either an inline code or a contained or external reference to the Medication resource.</t>
  </si>
  <si>
    <t>GET [base]/Procedure?patient=1291938</t>
  </si>
  <si>
    <t>effective</t>
  </si>
  <si>
    <t>authoredon</t>
  </si>
  <si>
    <t>CarePlan</t>
  </si>
  <si>
    <t>!EXAMPLE STATUS SEARCH</t>
  </si>
  <si>
    <t>http://hl7.org/fhir/us/core/StructureDefinition/us-core-careplan</t>
  </si>
  <si>
    <t>CareTeam</t>
  </si>
  <si>
    <t>Device</t>
  </si>
  <si>
    <t>Location</t>
  </si>
  <si>
    <t>address-city</t>
  </si>
  <si>
    <t>adress-state</t>
  </si>
  <si>
    <t>address-postalcode</t>
  </si>
  <si>
    <t>support searching by location name</t>
  </si>
  <si>
    <t>support searching location based on text address</t>
  </si>
  <si>
    <t>support searching location by city</t>
  </si>
  <si>
    <t>support searching location by state</t>
  </si>
  <si>
    <t>support searching location by ZIP code</t>
  </si>
  <si>
    <t>GET [base]/Location?address-state=MI</t>
  </si>
  <si>
    <t>Organization</t>
  </si>
  <si>
    <t>support searching by organization name</t>
  </si>
  <si>
    <t>support searching organization based on text address</t>
  </si>
  <si>
    <t>support searching organization by city</t>
  </si>
  <si>
    <t>support searching organization by state</t>
  </si>
  <si>
    <t>support searching organization by ZIP code</t>
  </si>
  <si>
    <t>!Organization</t>
  </si>
  <si>
    <t>Practitioner</t>
  </si>
  <si>
    <t>support searching for a practitioner by a string match of any part of name</t>
  </si>
  <si>
    <t>PractitionerRole</t>
  </si>
  <si>
    <t>specialty</t>
  </si>
  <si>
    <t>practitioner</t>
  </si>
  <si>
    <t>identifier,name</t>
  </si>
  <si>
    <t>PractitionerRole:endpoint,PractitionerRole:practitioner</t>
  </si>
  <si>
    <t>support searching practitioner role by practitioner name and identifier using chained parameters</t>
  </si>
  <si>
    <t>http://hl7.org/fhir/us/core/StructureDefinition/us-core-smokingstatus</t>
  </si>
  <si>
    <t>period</t>
  </si>
  <si>
    <t>Fetches a single DocumentReference. The document itself is represented as a base64 encoded binary data element or retrieved using the link provided by the resource. If the document is a  relative link to a [Binary] resource like a resource reference, it can be subsequently retrieved using: `GET [base]/Binary/[id]`.</t>
  </si>
  <si>
    <t>DocumentReference.context.period</t>
  </si>
  <si>
    <t>lifecycle-status</t>
  </si>
  <si>
    <t>!CarePlan</t>
  </si>
  <si>
    <t>address-state</t>
  </si>
  <si>
    <t>shall_include</t>
  </si>
  <si>
    <t>should_include</t>
  </si>
  <si>
    <t>support searching a practitioner by an identifier such as an NPI</t>
  </si>
  <si>
    <t>support searching practitioner role by specialty</t>
  </si>
  <si>
    <t>GET [base]/Encounter/12354~GET [base]/Encounter?_id=12354</t>
  </si>
  <si>
    <t>GET [base]/Patient/1032702~GET [base]/Patient?_id=1032702</t>
  </si>
  <si>
    <t>GET [base]/DocumentReference/2169591~GET [base]/DocumentReference?_id=2169591</t>
  </si>
  <si>
    <t>GET [base]/MedicationStatement?patient=14676~GET [base]/MedicationStatement?patient=14676&amp;_include=MedicationStatement:medication</t>
  </si>
  <si>
    <t>http://hl7.org/fhir/us/core/StructureDefinition/us-core-careteam</t>
  </si>
  <si>
    <t>US Core CareTeam Profile</t>
  </si>
  <si>
    <t>http://hl7.org/fhir/us/core/StructureDefinition/us-core-practitioner</t>
  </si>
  <si>
    <t>US Core Practitioner Profile</t>
  </si>
  <si>
    <t>http://hl7.org/fhir/us/core/StructureDefinition/us-core-immunization</t>
  </si>
  <si>
    <t>US Core Immunization Profile</t>
  </si>
  <si>
    <t>US Core Smoking Status Observation Profile</t>
  </si>
  <si>
    <t>http://hl7.org/fhir/us/core/StructureDefinition/us-core-documentreference</t>
  </si>
  <si>
    <t>US Core DocumentReference Profile</t>
  </si>
  <si>
    <t>http://hl7.org/fhir/us/core/StructureDefinition/us-core-medicationrequest</t>
  </si>
  <si>
    <t>US Core MedicationRequest Profile</t>
  </si>
  <si>
    <t>http://hl7.org/fhir/us/core/StructureDefinition/us-core-organization</t>
  </si>
  <si>
    <t>US Core Organization Profile</t>
  </si>
  <si>
    <t>http://hl7.org/fhir/us/core/StructureDefinition/us-core-procedure</t>
  </si>
  <si>
    <t>US Core Procedure Profile</t>
  </si>
  <si>
    <t>http://hl7.org/fhir/us/core/StructureDefinition/us-core-medication</t>
  </si>
  <si>
    <t>US Core Medication Profile</t>
  </si>
  <si>
    <t>Medication</t>
  </si>
  <si>
    <t>US Core DiagnosticReport Profile for Report and Note exchange</t>
  </si>
  <si>
    <t>http://hl7.org/fhir/us/core/StructureDefinition/us-core-practitionerrole</t>
  </si>
  <si>
    <t>US Core PractitionerRole Profile</t>
  </si>
  <si>
    <t>US Core CarePlan Profile</t>
  </si>
  <si>
    <t>http://hl7.org/fhir/us/core/StructureDefinition/us-core-goal</t>
  </si>
  <si>
    <t>US Core Goal Profile</t>
  </si>
  <si>
    <t>http://hl7.org/fhir/us/core/StructureDefinition/us-core-location</t>
  </si>
  <si>
    <t>US Core Location Profile</t>
  </si>
  <si>
    <t>US Core DiagnosticReport Profile for Laboratory Results Reporting</t>
  </si>
  <si>
    <t>US Core Patient Profile</t>
  </si>
  <si>
    <t>US Core Encounter Profile</t>
  </si>
  <si>
    <t>US Core AllergyIntolerance Profile</t>
  </si>
  <si>
    <t>docref</t>
  </si>
  <si>
    <t>conf_AllergyIntolerance</t>
  </si>
  <si>
    <t>conf_CarePlan</t>
  </si>
  <si>
    <t>conf_CareTeam</t>
  </si>
  <si>
    <t>conf_Condition</t>
  </si>
  <si>
    <t>conf_Device</t>
  </si>
  <si>
    <t>conf_DiagnosticReport</t>
  </si>
  <si>
    <t>conf_DocumentReference</t>
  </si>
  <si>
    <t>conf_Encounter</t>
  </si>
  <si>
    <t>conf_Goal</t>
  </si>
  <si>
    <t>conf_Immunization</t>
  </si>
  <si>
    <t>conf_Location</t>
  </si>
  <si>
    <t>conf_Medication</t>
  </si>
  <si>
    <t>conf_MedicationRequest</t>
  </si>
  <si>
    <t>conf_MedicationStatement</t>
  </si>
  <si>
    <t>conf_Observation</t>
  </si>
  <si>
    <t>conf_Organization</t>
  </si>
  <si>
    <t>conf_Patient</t>
  </si>
  <si>
    <t>conf_Practitioner</t>
  </si>
  <si>
    <t>conf_PractitionerRole</t>
  </si>
  <si>
    <t>conf_Procedure</t>
  </si>
  <si>
    <t>http://hl7.org/fhir/us/core/OperationDefinition/docref</t>
  </si>
  <si>
    <t>conditionalCreate</t>
  </si>
  <si>
    <t>conditionalRead</t>
  </si>
  <si>
    <t>MedicationStatement:medication</t>
  </si>
  <si>
    <t>conditionalUpdate</t>
  </si>
  <si>
    <t>conditionalDelete</t>
  </si>
  <si>
    <t>us-core-server</t>
  </si>
  <si>
    <t>versioning_conf</t>
  </si>
  <si>
    <t>readHistory_conf</t>
  </si>
  <si>
    <t>updateCreate_conf</t>
  </si>
  <si>
    <t>conditionalCreate_conf</t>
  </si>
  <si>
    <t>conditionalRead_conf</t>
  </si>
  <si>
    <t>conditionalUpdate_conf</t>
  </si>
  <si>
    <t>conditionalDelete_conf</t>
  </si>
  <si>
    <t>referencePolicy_conf</t>
  </si>
  <si>
    <t>target-date</t>
  </si>
  <si>
    <t>US Core Laboratory Result Observation Profile</t>
  </si>
  <si>
    <t>http://hl7.org/fhir/us/core/StructureDefinition/us-core-observation-lab</t>
  </si>
  <si>
    <t>doc_DiagnosticReport</t>
  </si>
  <si>
    <t>This conformance expectation applies **only**  to the *US Core DiagnosticReport Profile for Report and Note exchange* profile.  The conformance expectation for the *US Core DiagnosticReport Profile for Laboratory Results Reporting* is  **MAY**.</t>
  </si>
  <si>
    <t>intent</t>
  </si>
  <si>
    <t>encounter</t>
  </si>
  <si>
    <t>http://hl7.org/fhir/us/core/StructureDefinition/us-core-implantable-device</t>
  </si>
  <si>
    <t>doc</t>
  </si>
  <si>
    <t>transaction</t>
  </si>
  <si>
    <t>batch</t>
  </si>
  <si>
    <t>search-system</t>
  </si>
  <si>
    <t>history-system</t>
  </si>
  <si>
    <t>!MedicationStatement</t>
  </si>
  <si>
    <t>Provenance</t>
  </si>
  <si>
    <t>http://hl7.org/fhir/us/core/StructureDefinition/us-core-provenance</t>
  </si>
  <si>
    <t>US Core Provenance Profile</t>
  </si>
  <si>
    <t>conf_Provenance</t>
  </si>
  <si>
    <t>US Core Pulse Oximetry Profile</t>
  </si>
  <si>
    <t>http://hl7.org/fhir/us/core/StructureDefinition/us-core-pulse-oximetry</t>
  </si>
  <si>
    <t>US Core Implantable Device Profile</t>
  </si>
  <si>
    <t>expand</t>
  </si>
  <si>
    <t>http://hl7.org/fhir/OperationDefinition/ValueSet-expand</t>
  </si>
  <si>
    <t>ValueSet</t>
  </si>
  <si>
    <t>conf_ValueSet</t>
  </si>
  <si>
    <t>Provenance:target</t>
  </si>
  <si>
    <t>doc_Observation</t>
  </si>
  <si>
    <t>fhirVersion</t>
  </si>
  <si>
    <t>4.0.1</t>
  </si>
  <si>
    <t>pre</t>
  </si>
  <si>
    <t>US-Core</t>
  </si>
  <si>
    <t>canon</t>
  </si>
  <si>
    <t>http://hl7.org/fhir/us/core/</t>
  </si>
  <si>
    <t>source</t>
  </si>
  <si>
    <t>packagepath</t>
  </si>
  <si>
    <t>publishersystem</t>
  </si>
  <si>
    <t>publishervalue</t>
  </si>
  <si>
    <t>profile_conf</t>
  </si>
  <si>
    <t>* The  MedicationRequest resource can represent a medication, using an external reference to a Medication resource. If an external Medication Resource is used in a MedicationRequest, then the READ  **SHALL**  be supported.</t>
  </si>
  <si>
    <t xml:space="preserve">The MedicationStatement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all medications for a patient using one of or both:
 `GET /MedicationStatement?patient=[id]`
 `GET /MedicationStatement?patient=[id]&amp;_include=MedicationStatement:medication`
</t>
  </si>
  <si>
    <t>US Core Vital Signs Profile</t>
  </si>
  <si>
    <t>US Core Blood Pressure Profile</t>
  </si>
  <si>
    <t>US Core BMI Profile</t>
  </si>
  <si>
    <t>US Core Head Circumference Profile</t>
  </si>
  <si>
    <t>US Core Body Height Profile</t>
  </si>
  <si>
    <t>US Core Body Weight Profile</t>
  </si>
  <si>
    <t>US Core Body Temperature Profile</t>
  </si>
  <si>
    <t>US Core Heart Rate Profile</t>
  </si>
  <si>
    <t>US Core Respiratory Rate Profile</t>
  </si>
  <si>
    <t>http://hl7.org/fhir/us/core/StructureDefinition/us-core-vital-signs</t>
  </si>
  <si>
    <t>http://hl7.org/fhir/us/core/StructureDefinition/us-core-blood-pressure</t>
  </si>
  <si>
    <t>http://hl7.org/fhir/us/core/StructureDefinition/us-core-bmi</t>
  </si>
  <si>
    <t>http://hl7.org/fhir/us/core/StructureDefinition/us-core-head-circumference</t>
  </si>
  <si>
    <t>http://hl7.org/fhir/us/core/StructureDefinition/us-core-body-height</t>
  </si>
  <si>
    <t>http://hl7.org/fhir/us/core/StructureDefinition/us-core-body-weight</t>
  </si>
  <si>
    <t>http://hl7.org/fhir/us/core/StructureDefinition/us-core-body-temperature</t>
  </si>
  <si>
    <t>http://hl7.org/fhir/us/core/StructureDefinition/us-core-heart-rate</t>
  </si>
  <si>
    <t>http://hl7.org/fhir/us/core/StructureDefinition/us-core-respiratory-rate</t>
  </si>
  <si>
    <t>http://build.fhir.org/ig/HL7/US-Core/package.tgz</t>
  </si>
  <si>
    <t>http://hl7.org/fhir/us/core/StructureDefinition/head-occipital-frontal-circumference-percentile</t>
  </si>
  <si>
    <t>US Core Pediatric BMI for Age Observation Profile</t>
  </si>
  <si>
    <t>http://hl7.org/fhir/us/core/StructureDefinition/pediatric-bmi-for-age</t>
  </si>
  <si>
    <t>US Core Pediatric Weight for Height Observation Profile</t>
  </si>
  <si>
    <t>http://hl7.org/fhir/us/core/StructureDefinition/pediatric-weight-for-height</t>
  </si>
  <si>
    <t>The client **SHALL** provide at least a id value and **MAY** provide both the Type and id values.
The server **SHALL** support both.</t>
  </si>
  <si>
    <t>A client **SHALL** provide a value precise to the *second + time offset*.
A server **SHALL** support a value precise to the *second + time offset*.</t>
  </si>
  <si>
    <t>A client **SHALL** provide a value precise to the *day*.
A server **SHALL** support a value a value precise to the *day*.</t>
  </si>
  <si>
    <t>The client **SHALL** provide at least a code value and **MAY** provide both the system and code values.
The server **SHALL** support both.</t>
  </si>
  <si>
    <t>format</t>
  </si>
  <si>
    <t>format_conf</t>
  </si>
  <si>
    <t>json,xml</t>
  </si>
  <si>
    <t>SHALL,SHOULD</t>
  </si>
  <si>
    <t>imports</t>
  </si>
  <si>
    <t>instantiates</t>
  </si>
  <si>
    <t>include</t>
  </si>
  <si>
    <t>include_conf</t>
  </si>
  <si>
    <t>revinclude</t>
  </si>
  <si>
    <t>revinclude_conf</t>
  </si>
  <si>
    <t>SHOULD,SHOULD</t>
  </si>
  <si>
    <t>canonical</t>
  </si>
  <si>
    <t>patchFormat</t>
  </si>
  <si>
    <t>patchFormat_conf</t>
  </si>
  <si>
    <t>application/json-patch+json</t>
  </si>
  <si>
    <t>suppress_may_sps</t>
  </si>
  <si>
    <t>A server **SHALL** support a value precise to the *day*.</t>
  </si>
  <si>
    <t>http://hl7.org/fhir/us/core/CapabilityStatement/us-core-server</t>
  </si>
  <si>
    <t>US Core Server CapabilityStatement</t>
  </si>
  <si>
    <t>http://hl7.org/fhir/uv/bulkdata/ImplementationGuide/hl7.fhir.uv.bulkdata</t>
  </si>
  <si>
    <t>http://hl7.org/fhir/uv/bulkdata/index.html</t>
  </si>
  <si>
    <t>CapabilityStatement-us-core-server.html</t>
  </si>
  <si>
    <t>asserted-date</t>
  </si>
  <si>
    <t>recorded-date</t>
  </si>
  <si>
    <t>abatement-date</t>
  </si>
  <si>
    <t>support searching for all encounter diagnosis for a patient for an encounter</t>
  </si>
  <si>
    <t>is_new</t>
  </si>
  <si>
    <t>location</t>
  </si>
  <si>
    <t>discharge-disposition</t>
  </si>
  <si>
    <t>role</t>
  </si>
  <si>
    <t>support searching a careteam by participant role</t>
  </si>
  <si>
    <t>CareTeam:participant:PractitionerRole,CareTeam:participant:Practitioner,CareTeam:participant:Patient,CareTeam:participant:RelatedPerson</t>
  </si>
  <si>
    <t>http://hl7.org/fhir/us/core/StructureDefinition/us-core-observation-sexual-orientation</t>
  </si>
  <si>
    <t>ServiceRequest</t>
  </si>
  <si>
    <t>GET [base]/ServiceRequest/1032702~GET [base]/ServiceRequest?_id=1032702</t>
  </si>
  <si>
    <t>authored</t>
  </si>
  <si>
    <t>http://hl7.org/fhir/us/core/StructureDefinition/us-core-servicerequest</t>
  </si>
  <si>
    <t>1. See the [General Security Considerations](security.html) section for requirements and recommendations.
1. A server **SHALL** reject any unauthorized requests by returning an `HTTP 401` "Unauthorized", `HTTP 403` "Forbidden", or `HTTP 404` "Not Found"</t>
  </si>
  <si>
    <t>US Core RelatedPerson Profile</t>
  </si>
  <si>
    <t>US Core ServiceRequest Profile</t>
  </si>
  <si>
    <t>http://hl7.org/fhir/us/core/StructureDefinition/us-core-relatedperson</t>
  </si>
  <si>
    <t>RelatedPerson</t>
  </si>
  <si>
    <t>SHOULD,SHOULD,SHOULD,SHOULD</t>
  </si>
  <si>
    <t>conf_RelatedPerson</t>
  </si>
  <si>
    <t>conf_ServiceRequest</t>
  </si>
  <si>
    <t>GET [base]/RelatedPerson/shaw-niece~GET [base]/RelatedPerson?_id=shaw-niece</t>
  </si>
  <si>
    <t>HL7 International - Cross-Group Projects</t>
  </si>
  <si>
    <t>http://www.hl7.org/Special/committees/cgp</t>
  </si>
  <si>
    <t>US Core Direct email Extension</t>
  </si>
  <si>
    <t>Extension</t>
  </si>
  <si>
    <t>US Core Observation SDOH Assessment Profile</t>
  </si>
  <si>
    <t>US Core Condition Encounter Diagnosis Profile</t>
  </si>
  <si>
    <t>US Core Observation Sexual Orientation Profile</t>
  </si>
  <si>
    <t>US Core Race Extension</t>
  </si>
  <si>
    <t>US Core Birth Sex Extension</t>
  </si>
  <si>
    <t>US Core Gender Identity Extension</t>
  </si>
  <si>
    <t>US Core Condition Problems and Health Concerns Profile</t>
  </si>
  <si>
    <t>US Core Ethnicity Extension</t>
  </si>
  <si>
    <t>US Core Observation Imaging Result Profile</t>
  </si>
  <si>
    <t>US Core QuestionnaireResponse Profile</t>
  </si>
  <si>
    <t>QuestionnaireResponse</t>
  </si>
  <si>
    <t>US Core Extension Questionnaire URI</t>
  </si>
  <si>
    <t>!http://hl7.org/fhir/us/core/StructureDefinition/us-core-direct</t>
  </si>
  <si>
    <t>!http://hl7.org/fhir/us/core/StructureDefinition/us-core-race</t>
  </si>
  <si>
    <t>!http://hl7.org/fhir/us/core/StructureDefinition/us-core-birthsex</t>
  </si>
  <si>
    <t>!http://hl7.org/fhir/us/core/StructureDefinition/us-core-genderIdentity</t>
  </si>
  <si>
    <t>!http://hl7.org/fhir/us/core/StructureDefinition/us-core-ethnicity</t>
  </si>
  <si>
    <t>!http://hl7.org/fhir/us/core/StructureDefinition/us-core-extension-questionnaire-uri</t>
  </si>
  <si>
    <t>conf_QuestionnaireResponse</t>
  </si>
  <si>
    <t>_tag</t>
  </si>
  <si>
    <t>questionnaire</t>
  </si>
  <si>
    <t>Documents/FHIR/US-Core/input/</t>
  </si>
  <si>
    <t>A server **SHALL** be capable of responding to a $docref operation and  capable of returning at least a reference to a generated CCD document, if available. **MAY** provide references to other 'on-demand' and 'stable' documents (or 'delayed/deferred assembly') that meet the query parameters as well. If a context date range is supplied the server ** SHOULD**  provide references to any document that falls within the date range.  If no date range is supplied, then the server **SHALL** provide references to last or current document(s).  **SHOULD** document what resources, if any, are returned as included resources
`GET [base]/DocumentReference/$docref?patient=[id]`</t>
  </si>
  <si>
    <t>* Based upon the ONC U.S. Core Data for Interoperability (USCDI) requirements, CVX vaccine codes are required and the NDC vaccine codes **SHOULD** be supported as translations to them.</t>
  </si>
  <si>
    <t>* Implantable medical devices that have UDI information **SHALL** represent the UDI code in `Device.udiCarrier.carrierHRF`.
   - All of the five UDI-PI elements that are present in the UDI code **SHALL** be represented in the corresponding US Core Implantable Device Profile element.
   UDI may not be present in all scenarios such as historical implantable devices, patient reported implant information, payer reported devices, or improperly documented implants. If UDI is not present and the manufacturer and/or model number information is available, they **SHOULD** be included to support historical reports of implantable medical devices as follows:
   manufacturer -&gt; `Device.manufacturer`  
   model -&gt; `Device.model`  
* Servers **SHOULD** support query by Device.type to allow clients to request the patient's devices by a specific type. Note: The Device.type is too granular to differentiate implantable vs. non-implantable devices.</t>
  </si>
  <si>
    <t>http://hl7.org/fhir/us/core/StructureDefinition/us-core-condition-encounter-diagnosis</t>
  </si>
  <si>
    <t>http://hl7.org/fhir/us/core/StructureDefinition/us-core-condition-problems-health-concerns</t>
  </si>
  <si>
    <t>http://hl7.org/fhir/us/core/StructureDefinition/us-core-coverage</t>
  </si>
  <si>
    <t>US Core Coverage Profile</t>
  </si>
  <si>
    <t>Coverage</t>
  </si>
  <si>
    <t>conf_Coverage</t>
  </si>
  <si>
    <t>support searching for all coverages for a patient</t>
  </si>
  <si>
    <t>US Core Observation Pregnancy Status Profile</t>
  </si>
  <si>
    <t>US Core Observation Pregnancy Intent Profile</t>
  </si>
  <si>
    <t>US Core Observation Occupation Profile</t>
  </si>
  <si>
    <t>http://hl7.org/fhir/us/core/StructureDefinition/us-core-observation-pregnancyintent</t>
  </si>
  <si>
    <t>http://hl7.org/fhir/us/core/StructureDefinition/us-core-observation-pregnancystatus</t>
  </si>
  <si>
    <t>http://hl7.org/fhir/us/core/StructureDefinition/us-core-observation-occupation</t>
  </si>
  <si>
    <t>http://hl7.org/fhir/us/core/StructureDefinition/us-core-specimen</t>
  </si>
  <si>
    <t>US Core Specimen Profile</t>
  </si>
  <si>
    <t>Specimen</t>
  </si>
  <si>
    <t>conf_Specimen</t>
  </si>
  <si>
    <t>http://hl7.org/fhir/us/core/StructureDefinition/us-core-medicationdispense</t>
  </si>
  <si>
    <t>US Core MedicationDispense Profile</t>
  </si>
  <si>
    <t>MedicationDispense</t>
  </si>
  <si>
    <t>MedicationDispense:medication</t>
  </si>
  <si>
    <t>conf_MedicationDispense</t>
  </si>
  <si>
    <t>!MedicationDispense</t>
  </si>
  <si>
    <t>whenHandedOver</t>
  </si>
  <si>
    <t>GET [base]/MedicationDispense?patient=14676~GET [base]/MedicationStatement?patient=14676&amp;_include=MedicationDispense:medication</t>
  </si>
  <si>
    <t>tribal-affiliation</t>
  </si>
  <si>
    <t>Patient.extension.where(url = 'http://hl7.org/fhir/us/core/StructureDefinition/us-core-tribal-affiliation').extension.value.code</t>
  </si>
  <si>
    <t>support searching for a patient by tribal affiliation code</t>
  </si>
  <si>
    <t>GET [base]/Patient?tribal-affiliiation=Shaw</t>
  </si>
  <si>
    <t>death-date</t>
  </si>
  <si>
    <t>US Core Pediatric Head Occipital Frontal Circumference Percentile Profile</t>
  </si>
  <si>
    <t>http://hl7.org/fhir/us/core/StructureDefinition/us-core-encounter</t>
  </si>
  <si>
    <t>support searching for a patient by a server defined search that matches any of the string fields in the HumanName, including family, given, prefix, suffix, and/or text</t>
  </si>
  <si>
    <t>!Bulk Data Access IG</t>
  </si>
  <si>
    <t>!!Questionnaire</t>
  </si>
  <si>
    <t>!Questionnaire.id</t>
  </si>
  <si>
    <t>GET [base]/!QuestionnaireResponse/AHC-HRSN-screening-example~GET [base]/!QuestionnaireResponse/?_id=AHC-HRSN-screening-example</t>
  </si>
  <si>
    <t>Allows retrieving !QuestionnaireResponses that are complete (or incomplete)</t>
  </si>
  <si>
    <t>!QuestionnaireResponse.meta._tag</t>
  </si>
  <si>
    <t>Allows filtering for !QuestionnaireResponse that have tag of “sdoh”</t>
  </si>
  <si>
    <t>Allows filtering for !QuestionnaireResponses by when they were created/last edited</t>
  </si>
  <si>
    <t>Allows retrieving !QuestionnaireResponses that have been completed against a specified form</t>
  </si>
  <si>
    <t>http://hl7.org/fhir/us/core/StructureDefinition/us-core-simple-observation</t>
  </si>
  <si>
    <t>!http://hl7.org/fhir/us/core/StructureDefinition/us-core-observation-sdoh-assessment</t>
  </si>
  <si>
    <t>!http://hl7.org/fhir/us/core/StructureDefinition/us-core-observation-imaging</t>
  </si>
  <si>
    <t>http://hl7.org/fhir/us/core/StructureDefinition/us-core-observation-clinical-result</t>
  </si>
  <si>
    <t>http://hl7.org/fhir/us/core/StructureDefinition/us-core-observation-screening-assessment</t>
  </si>
  <si>
    <t>US Core Simple Observation Profile</t>
  </si>
  <si>
    <t>US Core Observation Screening Assessment Profile</t>
  </si>
  <si>
    <t>US Core Observation Clinical Result Profile</t>
  </si>
  <si>
    <t>http://hl7.org/fhir/us/core/StructureDefinition/us-core-questionnaireresponse</t>
  </si>
  <si>
    <t>http://hl7.org/fhir/uv/sdc/StructureDefinition/sdc-questionnaire</t>
  </si>
  <si>
    <t>SDC Base Questionnaire Profile</t>
  </si>
  <si>
    <t>Questionnaire</t>
  </si>
  <si>
    <t>conf_Questionnaire</t>
  </si>
  <si>
    <t>* The US Core Provenance resource **SHALL** be supported for these US Core resources:
    * AllergyIntolerance
    * CarePlan
    * CareTeam
    * Condition
    * Coverage
    * Device
    * DiagnosticReport
    * DocumentReference
    * Encounter
    * Goal
    * Immunization
    * MedicationDispense
    * MedicationRequest
    * Observation
    * Patient
    * Procedure
    * QuestionnaireResponse
    * RelatedPerson
    * ServiceRequest
* If a system receives a provider in `Provenance.agent.who` as free text they must capture who sent them the information as the organization. On request they **SHALL** provide this organization as the source and **MAY** include the free text provider.
* Systems that need to know the activity has occurred **SHOULD** populate the activity.</t>
  </si>
  <si>
    <t>* Although both `Goal.startDate` and `Goal.target.dueDate` are marked as must support, the server system is not required to support both, but **SHALL** support at least one of these elements. The client application **SHALL** support both elements.</t>
  </si>
  <si>
    <t>If a server supports DocumentReference for creating, using, and sharing clinical notes, it **SHOULD** also support the `context` and `contextdirection` parameters of the $expand operation to enable clients to determine the supported note and report types, as well as the supported read/write formats for notes on the server.</t>
  </si>
  <si>
    <t>!QuestionnaireResponse</t>
  </si>
  <si>
    <t>Media</t>
  </si>
  <si>
    <t>conf_Media</t>
  </si>
  <si>
    <t>HealthcareService</t>
  </si>
  <si>
    <t>The HealthcareService Resource is a referenced resource when using the US Core PracitionRole Profile and subject to constraint us-core-13: "SHALL have a practitioner, an organization, a healthcare service, or a location."</t>
  </si>
  <si>
    <t>conf_HealthcareService</t>
  </si>
  <si>
    <t>Endpoint</t>
  </si>
  <si>
    <t>conf_Endpoint</t>
  </si>
  <si>
    <t>* For Encounter Diagnosis use the *US Core Condition Encounter Diagnosis Profile*.
    * When `Condition.category` is "encounter-diagnosis" the encounter, **SHOULD** be referenced in `Condition.encounter`.
* For Problems and Health Concerns use the *US Core Condition Problems and Health Concerns Profile*.
    * When `Condition.category` is a "problems-list-item", the `Condition.clinicalStatus **SHOULD NOT** be unknown.
* There is no single element in Condition that represents the date of diagnosis. It may be the assertedDate Extension, `Condition.onsetDateTime`, or `Condition.recordedDate`.
    * Although all three are marked as must support, the server is not required to support all.
	* A server **SHALL** support `Condition.recordedDate`.
    * A server **SHALL** support at least one of the assertedDate Extension and `Condition.onsetDateTime`. A server may support both, which means they support all three elements.
    * The client application **SHALL** support all three elements.</t>
  </si>
  <si>
    <t>http://hl7.org/fhir/us/core/StructureDefinition/us-core-average-blood-pressure</t>
  </si>
  <si>
    <t>US Core Average Blood Pressure Profile</t>
  </si>
  <si>
    <t>http://hl7.org/fhir/us/core/StructureDefinition/us-core-treatment-intervention-preference</t>
  </si>
  <si>
    <t>US Core Treatment Intervention Preference Profile</t>
  </si>
  <si>
    <t>http://hl7.org/fhir/us/core/StructureDefinition/us-core-care-experience-preference</t>
  </si>
  <si>
    <t>US Core Care Experience Preference Profile</t>
  </si>
  <si>
    <t>* Due to implementer feedback, some US Core Profiles reference the PractitionerRole resource instead of the US Core PractitionerRole Profile. However the US Core PractitionerRole Profile **SHOULD** be used as the default profile if referenced by another US Core profile.</t>
  </si>
  <si>
    <t>_lastUpdated</t>
  </si>
  <si>
    <t>* When `DiagnosticReport.category` is "LAB" the encounter, Updates to Meta.lastUpdated **SHOULD** reflect:
    * New laboratory reports
     * Changes in the status of laboratory reports including events that trigger the same status (e.g., amended → amended).</t>
  </si>
  <si>
    <t>* The `DocumentReference.type` binding **SHALL** support at a minimum the [5 Common Clinical Notes](ValueSet-us-core-clinical-note-type.html) and may extend to the full US Core DocumentReference Type Value Set
* The DocumentReference resources can represent the referenced content using either an address where the document can be retrieved using `DocumentReference.attachment.url` or the content as inline base64 encoded data using `DocumentReference.attachment.data`.
    *  Although both are marked as must support, the server system is not required to support an address, and inline base64 encoded data, but **SHALL** support at least one of these elements.
    *  The client application **SHALL** support both elements.
    *  The `content.url` may refer to a FHIR Binary Resource (i.e. [base]/Binary/[id]), FHIR Document Bundle (i.e [base]/Bundle/[id] or another endpoint.
        * If the endpoint is outside the FHIR base URL, it **SHOULD NOT** require additional authorization to access.
   * If there are multiple `DocumentReference.content` element repetitions, these **SHALL** all represent the same document in different format or attachment metadata. The content element **SHALL NOT** contain different versions of the same content. For version handling use multiple DocumentReferences with `DocumentReference.relatesTo`
* Every DocumentReference must have a responsible Organization. The organization responsible for the DocumentReference **SHALL** be present either in `DocumentReference.custodian` or accessible in the Provenance resource targeting the DocumentReference using `Provenance.agent.who` or `Provenance.agent.onBehalfOf`.</t>
  </si>
  <si>
    <t xml:space="preserve">* The Encounter resource can represent a reason using either a code with `Encounter.reasonCode`, or a reference with `Encounter.reasonReference` to  Condition or other resource.
   * Although both are marked as must support, the server systems are not required to support both a code and a reference, but they **SHALL** support *at least one* of these elements.
   * The client application **SHALL** support both elements.
   * if `Encounter.reasonReference` references an Observation, it **SHOULD** conform to a US Core Observation if applicable. (for example, a laboratory result should conform to the US Core Laboratory Result Observation Profile)
* The location address can be represented by either by the Location referenced by `Encounter.location.location` or indirectly through the Organization referenced by `Encounter.serviceProvider`.
   * Although both are marked as must support, the server systems are not required to support both `Encounter.location.location` and `Encounter.serviceProvider`, but they **SHALL** support *at least one* of these elements.
   * The client application **SHALL** support both elements.
* If the event facility/location differs from the `Encounter.location`, systems **SHOULD** reference it directly:
</t>
  </si>
  <si>
    <t xml:space="preserve">* Systems **SHOULD** support `Observation.effectivePeriod` to accurately represent tests that are collected over a period of time (for example, a 24-Hour Urine Collection test).
* An Observation without a value, **SHALL** include a reason why the data is absent unless there are component observations, or references to other Observations that are grouped within it
    * Systems that never provide an observation without a value are not required to support `Observation.dataAbsentReason`
*  An `Observation.component` without a value, **SHALL** include a reason why the data is absent.
    * Systems that never provide an component observation without a component value are not required to support `Observation.component.dataAbsentReason`.
* When `Observation.category` is "laboratory" the encounter, Updates to Meta.lastUpdated **SHOULD** reflect:
    * New laboratory results
     * Changes in the status of laboratory results including events that trigger the same status (e.g., amended → amended).
</t>
  </si>
  <si>
    <t>* Systems **SHALL** support National Provider Identifier (NPI) for organizations and **SHOULD** support Clinical Laboratory Improvement Amendments (CLIA) identifiers for `Organization.Identifier`.
* Systems **SHOULD** follow the Project US@ Technical Specification for Patient Addresses Final Version 1.0 as the standard style guide for `Organization.address.line` and  `Organization.address.city`.</t>
  </si>
  <si>
    <t>* Systems **SHOULD** follow the Project US@ Technical Specification for Patient Addresses Final Version 1.0 as the standard style guide for `Location.address.line` and  `Location.address.city`.</t>
  </si>
  <si>
    <t>* For ONC's USCDI requirements, each Patient must support the following additional elements. These elements are included in the formal definition of the profile. The patient examples include all of these elements.
  1. contact detail (e.g. a telephone number or an email address)
  1. a communication language
  1. a race
  1. an ethnicity
  1. a birth sex*
  1. previous name
     - Previous name is represented by providing an end date in the `Patient.name.period` element for a previous name.
  1. suffix
     - Suffix is represented using the `Patient.name.suffix` element.
* The Patient's Social Security Numbers **SHOULD NOT** be used as a patient identifier in `Patient.identifier.value`.
* Although Patient.deceased[x] is marked as 𝗔𝗗𝗗𝗜𝗧𝗜𝗢𝗡𝗔𝗟 𝗨𝗦𝗖𝗗𝗜, certifying systems are not required to support both choices, but **SHALL** support at least `Patient.deceasedDateTime`.
* Certifying systems **SHALL** and non-certifying systems **SHOULD** follow the Project US@ Technical Specification for Patient Addresses Final Version 1.0 as the standard style guide for `Patient.address.line` and  `Patient.address.city` for new and updated records.</t>
  </si>
  <si>
    <t xml:space="preserve">* Servers that support only US Core Practitioner Profile **SHALL** provide implementation specific guidance how to access a provider’s location and contact information using only the Practitioner resource.
   * Although Practitioner.address is marked as Must Support, the server system is not required to support it if they support the US Core PractitionerRole Profile, but **SHALL** support it if they do not support the US Core PractitionerRole Profile. The client application **SHALL** support both.
* Systems **SHOULD** follow the Project US@ Technical Specification for Patient Addresses Final Version 1.0 as the standard style guide for `Practitioner.address.line` and  `Practitioner.address.city`.
</t>
  </si>
  <si>
    <t>* Procedure codes can be taken from SNOMED-CT, CPT, HCPCS II, ICD-10-PCS, CDT. LOINC.
  * Only LOINC concepts that reflect actual procedures **SHOULD** be used
* A procedure including an implantable device **SHOULD** use `Procedure.focalDevice` with a reference to the *US Core Implantable Device Profile*.
* Servers and Clients **SHALL** support both US Core ServiceRequest and US Core Procedure Profiles for communicating the reason or justification for a referral as Additional USCDI Requirements. Typically, the reason or justification for a referral or consultation is communicated through `Procedure.basedOn` linking the Procedure to the US Core ServiceRequest Profile that includes either `ServiceRequest.reasonCode` or `ServiceRequest.reasonReference`. When the Procedure does not have an associated ServiceRequest, it is communicated through the US Core Procedure Profile's `Procedure.reasonCode` or `Procedure.reasonReference`.  Depending on the procedure being documented, a server will select the appropriate Profile to use.
   * Although both `Procedure.reasonCode` and `Procedure.reasonReference` are marked as Additional USCDI Requirements. The certifying server system is not required to support both but **SHALL** support at least one of these elements. The certifying client application **SHALL** support both elements.
      * when using  `Procedure.reasonReference`:
         * Servers **SHALL** support *at least one* target resource in `Procedure.reasonReference`. Clients **SHALL** support all target resources .
         * The referenced resources **SHOULD** be a US Core Profile.</t>
  </si>
  <si>
    <t>* Systems **SHOULD** follow the Project US@ Technical Specification for Patient Addresses Final Version 1.0 as the standard style guide for `RelatedPerson.address.line` and  `RelatedPerson.address.city`.</t>
  </si>
  <si>
    <t>* Although both `Specimen.identifier` and `Specimen.accessionIdentifier` are marked as Must Support, the server system is not required to support both, but **SHALL** support at least one of these elements. The client application **SHALL** support both.</t>
  </si>
  <si>
    <t>* US Core defines two ways to represent the questions and responses to screening and assessment instruments:
  - Observation: US Core Observation Screening Assessment Profile
  - Questionnaire/QuestionnaireResponse: SDC Base Questionnaire/US Core QuestionnaireResponse Profile
* US Core Servers **SHALL** support US Core Observation Screening Assessment Profile and **SHOULD** support the  SDC Base Questionnaire Profile/US Core QuestionnaireResponse Profile</t>
  </si>
  <si>
    <t>* The MedicationRequest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 For example, A server **SHALL** be capable of returning all medications for a patient using one of or both:
      *  `GET /MedicationRequest?patient=[id]`
      *  `GET /MedicationRequest?patient=[id]&amp;_include=MedicationRequest:medication`
* The MedicationRequest resource can represent that information is from a secondary source using either a boolean flag or reference in `MedicationRequest.reportedBoolean`, or a reference using `MedicationRequest.reportedReference` to Practitioner or other resource.
   *   Although both are marked as must support, the server systems are not required to support both a boolean and a reference, but **SHALL** choose to support at least one of these elements.
   *  The client application **SHALL** support both elements.
* When recording “self-prescribed” medication, requester **SHOULD** be used to indicate the Patient or RelatedPerson as the prescriber. (See the Medication List section for guidance on accessing a patient medications including over the counter (OTC) medication and other substances taken for medical and recreational use.)
* The MedicationRequest resource can communicate the reason or indication for treatment using either a code in MedicationRequest.reasonCode or a reference using MedicationRequest.reasonReference.
* Although both `MedicationRequest.reasonCode` and `MedicationRequest.reasonReference` are marked as Additional USCDI Requirements. The certifying server system is not required to support both but **SHALL** support at least one of these elements. The certifying client application **SHALL** support both elements.
   * when using MedicationRequest.reasonReference:
       * Servers **SHALL** support at least one target resource in `MedicationRequest.reasonReference`. Clients **SHALL** support all target resources.
      *  The referenced resources **SHOULD** be a US Core Profile as documented in Referencing US Core Profiles.</t>
  </si>
  <si>
    <t>* In order to access care team member's names, identifiers, locations, and contact information, the CareTeam profile supports several types of care team participants. They are represented as references to other profiles and include the following four profiles which are marked as must support:
  1. US Core Practitioner Profile
  1. US Core PractitionerRole Profile
  1. US Core Patient Profile
  1. US Core RelatedPerson Profile
* Although *both* US Core Practitioner Profile and US Core PractitionerRole are must support, the server system is not required to support both types of references, but **SHALL** support *at least* one of them.
* The client application **SHALL** support all four profile references.
* Bacause the *US Core PractitionerRole Profile* supplies the provider's location and contact information and a reference to the Practitioner, server systems **SHOULD** reference it instead of the *US Core Practitioner Profile*.
* Servers that support only US Core Practitioner Profile and do not support the US Core PractitionerRole Profile **SHALL** provide implementation specific guidance how to access a provider’s location and contact information using only the Practitioner resource.</t>
  </si>
  <si>
    <t xml:space="preserve">* The MedicationDispense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 For example, A server **SHALL** be capable of returning dispense records for all medications for a patient using one of or both:
     *  `GET /MedicationDispense?patient=[id]`
     *  `GET /MedicationDispense?patient=[id]&amp;_include=MedicationDispense:medication`
</t>
  </si>
  <si>
    <t>A server **SHALL** document the types of changes that can be detected using this parameter.
A client **SHALL** provide a value precise to the *second + time offset*.
A server **SHALL** support a value precise to the *second + time offset*.</t>
  </si>
  <si>
    <t>index</t>
  </si>
  <si>
    <t>combo</t>
  </si>
  <si>
    <t>combo_conf</t>
  </si>
  <si>
    <t>types</t>
  </si>
  <si>
    <t>fixed_kv</t>
  </si>
  <si>
    <t>!Encounter</t>
  </si>
  <si>
    <t>class,date</t>
  </si>
  <si>
    <t>date,token</t>
  </si>
  <si>
    <t>class,date,patient</t>
  </si>
  <si>
    <t>date,reference,token</t>
  </si>
  <si>
    <t>class,date,patient,type</t>
  </si>
  <si>
    <t>class,date,type</t>
  </si>
  <si>
    <t>class,patient</t>
  </si>
  <si>
    <t>reference,token</t>
  </si>
  <si>
    <t>support searching for all encounter for a patient by encounter class</t>
  </si>
  <si>
    <t>GET [base]/Encounter?patient=example1&amp;class= http://terminology.hl7.org/CodeSystem/v3-ActCode code\|AMB</t>
  </si>
  <si>
    <t>class,patient,status</t>
  </si>
  <si>
    <t>class,patient,status,type</t>
  </si>
  <si>
    <t>class,patient,type</t>
  </si>
  <si>
    <t>class,status</t>
  </si>
  <si>
    <t>class,status,type</t>
  </si>
  <si>
    <t>class,type</t>
  </si>
  <si>
    <t>date,patient</t>
  </si>
  <si>
    <t>date,reference</t>
  </si>
  <si>
    <t>support searching for all encounters for a patient by date</t>
  </si>
  <si>
    <t>GET [base]/Encounter?patient=example1&amp;date=ge2019-01-01T00:00:00Z</t>
  </si>
  <si>
    <t>date,patient,type</t>
  </si>
  <si>
    <t>date,type</t>
  </si>
  <si>
    <t>patient,type</t>
  </si>
  <si>
    <t>support searching for all encounter for a patient by encounter type</t>
  </si>
  <si>
    <t>GET [base]/Encounter?patient=1137192&amp;type=http://www.ama-assn.org/go/cpt code\|99201</t>
  </si>
  <si>
    <t>patient,location</t>
  </si>
  <si>
    <t>GET [base]/Encounter?patient=1137192&amp;location=Location/hospital</t>
  </si>
  <si>
    <t>patient,_lastUpdated</t>
  </si>
  <si>
    <t>reference,date</t>
  </si>
  <si>
    <t>GET [base]/Encounter?patient=1137192&amp;_lastUpdated=ge2024-01-01T00:00:00Z</t>
  </si>
  <si>
    <t>patient,status,type</t>
  </si>
  <si>
    <t>patient,status</t>
  </si>
  <si>
    <t>support searching for all encounter for a patient by status (for example, all finished encounters)</t>
  </si>
  <si>
    <t>GET [base]/Encounter?patient=example1&amp;status=finished</t>
  </si>
  <si>
    <t>patient,discharge-disposition</t>
  </si>
  <si>
    <t>GET [base]/Encounter?patient=example1&amp;discharge-disposition=01</t>
  </si>
  <si>
    <t>status,type</t>
  </si>
  <si>
    <t>!Questionnaire</t>
  </si>
  <si>
    <t>context-type-value,publisher</t>
  </si>
  <si>
    <t>composite,string</t>
  </si>
  <si>
    <t>context-type-value,publisher,status</t>
  </si>
  <si>
    <t>composite,string,token</t>
  </si>
  <si>
    <t>context-type-value,status</t>
  </si>
  <si>
    <t>composite,token</t>
  </si>
  <si>
    <t>publisher,status</t>
  </si>
  <si>
    <t>string,token</t>
  </si>
  <si>
    <t>publisher,status,version</t>
  </si>
  <si>
    <t>publisher,version</t>
  </si>
  <si>
    <t>status,title,version</t>
  </si>
  <si>
    <t>status,version</t>
  </si>
  <si>
    <t>title,version</t>
  </si>
  <si>
    <t>birthdate,family</t>
  </si>
  <si>
    <t>date,string</t>
  </si>
  <si>
    <t>support searching for a patient by birthdate and family name</t>
  </si>
  <si>
    <t>GET [base]/Patient?family=Shaw&amp;birthdate=2007-03-20</t>
  </si>
  <si>
    <t>death-date,family</t>
  </si>
  <si>
    <t>support searching for a patient by date of death and family name</t>
  </si>
  <si>
    <t>GET [base]/Patient?family=Shaw&amp;death-date=2022-07-22</t>
  </si>
  <si>
    <t>birthdate,name</t>
  </si>
  <si>
    <t>support searching for a patient by birthdate and a string match of any part of name</t>
  </si>
  <si>
    <t>GET [base]/Patient?name=Shaw&amp;birthdate=2007-03-20</t>
  </si>
  <si>
    <t>family,gender</t>
  </si>
  <si>
    <t>support searching for a patient by family name and gender</t>
  </si>
  <si>
    <t>GET [base]/Patient?family=Shaw&amp;gender=female</t>
  </si>
  <si>
    <t>gender,name</t>
  </si>
  <si>
    <t>support searching for a patient by a string match of any part of name and gender</t>
  </si>
  <si>
    <t>GET [base]/Patient?name=Shaw&amp;gender=female</t>
  </si>
  <si>
    <t>patient,clinical-status</t>
  </si>
  <si>
    <t>clinical-status=http://terminology.hl7.org/CodeSystem/condition-clinical|active,http://terminology.hl7.org/CodeSystem/condition-clinical|recurrance,http://terminology.hl7.org/CodeSystem/condition-clinical|remission</t>
  </si>
  <si>
    <t>support searching for all *active* conditions for a patient</t>
  </si>
  <si>
    <t>GET [base/Condition?patient=1032702&amp;clinical-status=http://terminology.hl7.org/CodeSystem/condition-clinical\|active,http://terminology.hl7.org/CodeSystem/condition-clinical\|recurrance,http://terminology.hl7.org/CodeSystem/condition-clinical\|remission</t>
  </si>
  <si>
    <t>Fetches a bundle of all Condition resources for the specified patient and all "active" statuses (active,relapse,remission). This will *exclude* diagnoses and health concerns without a clinicalStatus specified.</t>
  </si>
  <si>
    <t>patient,category</t>
  </si>
  <si>
    <t>support searching for all problems or health concerns or encounter diagnosis for a patient</t>
  </si>
  <si>
    <t>GET [base]/Condition?patient=1032702&amp;category=http://terminology.hl7.org/CodeSystem/condition-category\|problem-list-item~GET [base]/Condition?patient=1032702&amp;category=http://hl7.org/fhir/us/core/CodeSystem/condition-category\|health-concern~GET [base]/Condition?patient=1032702&amp;category=http://terminology.hl7.org/CodeSystem/condition-category\|encounter-diagnosis</t>
  </si>
  <si>
    <t>Fetches a bundle of all Condition resources for the specified patient and category.</t>
  </si>
  <si>
    <t>patient,category,clinical-status</t>
  </si>
  <si>
    <t>support searching for all *active* problems or health concerns or  *active* encounter diagnosis for a patient</t>
  </si>
  <si>
    <r>
      <t>GET [</t>
    </r>
    <r>
      <rPr>
        <sz val="12"/>
        <color rgb="FFA31515"/>
        <rFont val="Menlo"/>
        <family val="2"/>
      </rPr>
      <t>base</t>
    </r>
    <r>
      <rPr>
        <sz val="12"/>
        <color rgb="FF000000"/>
        <rFont val="Menlo"/>
        <family val="2"/>
      </rPr>
      <t>]/Condition?patient=1032702&amp;category=http://terminology.hl7.org/CodeSystem/condition-category\|problem-list-item&amp;clinical-status=http://terminology.hl7.org/CodeSystem/condition-clinical\|active,http://terminology.hl7.org/CodeSystem/condition-clinical\|recurrance,http://terminology.hl7.org/CodeSystem/condition-clinical\|remission</t>
    </r>
  </si>
  <si>
    <t>Fetches a bundle of all Condition resources for the specified patient and category for all "active" statuses (active,relapse,remission). This will *exclude* diagnoses and health concerns without a clinicalStatus specified.</t>
  </si>
  <si>
    <t>patient,category,encounter</t>
  </si>
  <si>
    <t>GET [base]/Condition?patient=1032702&amp;category=http://terminology.hl7.org/CodeSystem/condition-category\|encounter-diagnosis&amp;encounter=1036</t>
  </si>
  <si>
    <t>Fetches a bundle of all Condition resources for the specified patient and category and encounter. When category = "encounter-diagnosis" will return the encounter diagnosis for the encounter.</t>
  </si>
  <si>
    <t>patient,code</t>
  </si>
  <si>
    <t>support searching for a particular condition for a patient</t>
  </si>
  <si>
    <t>GET [base]/Condition?patient=1032702&amp;code=[http://snomed.info/sct\|442311008]</t>
  </si>
  <si>
    <t>Fetches a bundle of all Condition resources for the specified patient and code.</t>
  </si>
  <si>
    <t>patient,onset-date</t>
  </si>
  <si>
    <t>support searching for all conditions for a patient for a specified time period</t>
  </si>
  <si>
    <t>GET [base]Condition?patient=555580&amp;onset-date=ge2018-01-14</t>
  </si>
  <si>
    <t xml:space="preserve">Fetches a bundle of all Condition resources for the specified patient and date. </t>
  </si>
  <si>
    <t>patient,asserted-date</t>
  </si>
  <si>
    <t>GET [base]Condition?patient=555580&amp;asserted-date=ge2018-01-14</t>
  </si>
  <si>
    <t>patient,recorded-date</t>
  </si>
  <si>
    <t>GET [base]Condition?patient=555580&amp;recorded-date=ge2018-01-14</t>
  </si>
  <si>
    <t>patient,abatement-date</t>
  </si>
  <si>
    <t>GET [base]Condition?patient=555580&amp;abatement-date=ge2018-01-14</t>
  </si>
  <si>
    <r>
      <t>GET [</t>
    </r>
    <r>
      <rPr>
        <sz val="12"/>
        <color rgb="FFA31515"/>
        <rFont val="Menlo"/>
        <family val="2"/>
      </rPr>
      <t>base</t>
    </r>
    <r>
      <rPr>
        <sz val="12"/>
        <color rgb="FF000000"/>
        <rFont val="Menlo"/>
        <family val="2"/>
      </rPr>
      <t>]/Condition?patient=1032702&amp;_lastUpdated=ge2024-01-01T00:00:00Z</t>
    </r>
  </si>
  <si>
    <t>support searching for all *active*  or *inactive* allergies for a patient</t>
  </si>
  <si>
    <t>GET [base]/AllergyIntolerance?patient=[id]&amp;clinical-status=http://terminology.hl7.org/CodeSystem/allergyintolerance-clinical\|active</t>
  </si>
  <si>
    <t>Fetches a bundle of all AllergyIntolerance resources for the specified patient and status code.  This will not return any "entered in error" resources because of the conditional presence of the clinicalStatus element.</t>
  </si>
  <si>
    <t>patient,date</t>
  </si>
  <si>
    <t>support searching for all immunizations for a patient for a specified time period</t>
  </si>
  <si>
    <t>GET [base]/Immunization?patient=1137192&amp;date=ge2019-01-14T00:00:00Z</t>
  </si>
  <si>
    <t>support searching for all administered immunizations for a patient</t>
  </si>
  <si>
    <t>GET [base]/Immunization?patient=1137192&amp;status=completed</t>
  </si>
  <si>
    <t>http://hl7.org/fhir/us/core/StructureDefinition/us-core-diagnosticreport</t>
  </si>
  <si>
    <t>support searching for all laboratory reports for a patient for a given status (for example completed reports )</t>
  </si>
  <si>
    <t>GET [base]/DiagnosticReport?patient=1137192&amp;status=completed</t>
  </si>
  <si>
    <t>category=http://terminology.hl7.org/CodeSystem/v2-0074|LAB</t>
  </si>
  <si>
    <t>support searching for all laboratory reports</t>
  </si>
  <si>
    <t>GET [base]/DiagnosticReport?patient=f201&amp;category=http://terminology.hl7.org/CodeSystem/v2-0074\|LAB</t>
  </si>
  <si>
    <t>support searching for all laboratory reports by code  (for example, search for all metabolic panel reports for a patient, or search for all cbcs, metabolic panels, and urinalysis panels for a patient)</t>
  </si>
  <si>
    <t>GET [base]/DiagnosticReport?patient=1032702&amp;code=http://loinc.org\|24323-8</t>
  </si>
  <si>
    <t>patient,category,date</t>
  </si>
  <si>
    <t>reference,token,date</t>
  </si>
  <si>
    <t>support searching for all laboratory reports by date</t>
  </si>
  <si>
    <t>GET [base]/DiagnosticReport?patient=f201&amp;category=http://terminology.hl7.org/CodeSystem/v2-0074\|LAB&amp;date=ge2010-01-14T00:00:00Z</t>
  </si>
  <si>
    <t>patient,category,_lastUpdated</t>
  </si>
  <si>
    <t>GET [base]/DiagnosticReport?patient=f201&amp;category=http://terminology.hl7.org/CodeSystem/v2-0074\|LAB&amp;_lastUpdated=ge2010-01-14T00:00:00Z</t>
  </si>
  <si>
    <t>patient,code,date</t>
  </si>
  <si>
    <t>support searching for laboratory reports by code and date (for example, search for all metabolic panel reports since 2019 for a patient)</t>
  </si>
  <si>
    <t>GET [base]/DiagnosticReport?patient=f201&amp;code=http://loinc.org\|24323-8&amp;date=ge2019-01-14T00:00:00Z</t>
  </si>
  <si>
    <t>patient,lifecycle-status</t>
  </si>
  <si>
    <t>support searching for all goals for a patient for a given status (for example active goals)</t>
  </si>
  <si>
    <t>GET [base]/Goal?patient=1137192&amp;lifecycle-status=active</t>
  </si>
  <si>
    <t>patient,target-date</t>
  </si>
  <si>
    <t>support searching for all goals for a patient by date</t>
  </si>
  <si>
    <t>GET [base]/Goal?patient=1137192&amp;target-date=ge2015-01-14&amp;target-date=le2019-01-14</t>
  </si>
  <si>
    <t>patient,intent</t>
  </si>
  <si>
    <t>intent=order,plan</t>
  </si>
  <si>
    <t>support searching for all medications that have been prescribed to a patient. See the [Medication List Guidance] section for guidance on accessing a patient medications. The server application represents the medication using either an inline code or a contained or external reference to the Medication resource.</t>
  </si>
  <si>
    <t>GET [base]/MedicationRequest?patient=14676&amp;intent=order,plan~GET [base]/MedicationRequest?patient=14676&amp;intent=order,plan&amp;_include=MedicationRequest:medication</t>
  </si>
  <si>
    <t>Fetches a bundle of all MedicationRequest resources for the specified patient and intent code = `order,plan`</t>
  </si>
  <si>
    <t>patient,intent,status</t>
  </si>
  <si>
    <t>support searching for all prescriptions for a patient for a given status (for example all active prescriptions)</t>
  </si>
  <si>
    <t>GET [base]/MedicationRequest?patient=1137192&amp;intent=order,plan&amp;status=active~GET [base]/MedicationRequest?patient=1137192&amp;intent=order,plan&amp;status=active&amp;_include=MedicationRequest:medication</t>
  </si>
  <si>
    <t>Fetches a bundle of all MedicationRequest resources for the specified patient and intent  code = `order,plan` and status</t>
  </si>
  <si>
    <t>patient,intent,encounter</t>
  </si>
  <si>
    <t>GET [base]/MedicationRequest?patient=1137192&amp;intent=order,plan&amp;status=active&amp;encounter=Encounter/123~GET [base]/MedicationRequest?patient=1137192&amp;intent=order,plan&amp;status=active&amp;&amp;encounter=Encounter/123&amp;_include=MedicationRequest:medication</t>
  </si>
  <si>
    <t>Fetches a bundle of all MedicationRequest resources for the specified patient and intent  code = `order,plan` and encounter</t>
  </si>
  <si>
    <t>patient,intent,authoredon</t>
  </si>
  <si>
    <t>support searching for all prescriptions for a patient by date</t>
  </si>
  <si>
    <t>GET [base]/MedicationRequest?patient=1137192&amp;intent=order,plan&amp;authoredon=ge2019-01-01T00:00:00Z~GET [base]/MedicationRequest?patient=1137192&amp;intent=order,plan&amp;authoredon=ge2019-01-01T00:00:00Z&amp;_include=MedicationRequest:medication</t>
  </si>
  <si>
    <t>Fetches a bundle of all MedicationRequest resources for the specified patient and intent  code = `order,plan` and authoredon date</t>
  </si>
  <si>
    <t>support searching for all medications for a patient for a given status (for example all active medications)</t>
  </si>
  <si>
    <t>GET [base]/MedicationStatement?patient=1137192&amp;status=active~GET [base]/MedicationStatement?patient=1137192&amp;status=active&amp;_include=MedicationStatement:medication</t>
  </si>
  <si>
    <t>patient,effective</t>
  </si>
  <si>
    <t>support searching for all medications for a patient by date</t>
  </si>
  <si>
    <t>GET [base]/MedicationStatement?patient=1137192&amp;date=ge2019~GET [base]/MedicationRequest?patient=1137192&amp;date=ge2019&amp;_include=MedicationStatement:medication</t>
  </si>
  <si>
    <t>Fetches a bundle of all MedicationStatement resources for the specified patient and date</t>
  </si>
  <si>
    <t>support searching for all procedures for a patient for a given status (for example all completed procedures)</t>
  </si>
  <si>
    <t>GET [base]/Procedure?patient=1137192&amp;status=completed</t>
  </si>
  <si>
    <t>support searching for all procedures for a patient by date</t>
  </si>
  <si>
    <t>GET [base]/Procedure?patient=1137192&amp;date=ge2019-01-14</t>
  </si>
  <si>
    <t xml:space="preserve">support searching for procedures for a patient by code and date </t>
  </si>
  <si>
    <t>GET [base]/Procedure?patient=1137192&amp;date=ge2019-01-14T00:00:00Z&amp;code=http://snomed.info/sct\|35637008</t>
  </si>
  <si>
    <t>http://hl7.org/fhir/us/core/StructureDefinition/us-core-observation</t>
  </si>
  <si>
    <t>patient,category,status</t>
  </si>
  <si>
    <t>category=http://terminology.hl7.org/CodeSystem/observation-category|laboratory</t>
  </si>
  <si>
    <t>support searching for all laboratory results for a patient for a given status (for example all observations marked as final)</t>
  </si>
  <si>
    <t>GET [base]/Observation?patient=1134281&amp;category={% if include.system %}{{include.system }}\|{% endif %}{{include.category | default: '[category]'}}&amp;status=final</t>
  </si>
  <si>
    <t>Fetches a bundle of all Observation resources for the specified patient and category = `laboratory` and status</t>
  </si>
  <si>
    <t>support searching for all laboratory results</t>
  </si>
  <si>
    <t>GET [base]/Observation?patient=1134281&amp;amp;category={% if include.system %}{{include.system }}\|{% endif %}{{include.category | default: &amp;#39;[category]&amp;#39;}}</t>
  </si>
  <si>
    <t>support searching for all laboratory results by code (for example, search for all blood glucose lab results for a patient,  or search for all  blood glucose, urine glucose and urine ketones for a patient)</t>
  </si>
  <si>
    <t>GET [base]/Observation?patient=1134281&amp;amp;code=http://loinc.org\|{{include.code1 | default: '[code]'}}
      {% if include.code2 %}2. GET [base]/Observation?patient=1134281&amp;amp;code=http://loinc.org\|{{include.code1 | default: '[code]'}},http://loinc.org\|{{include.code2 | default: '[code]'}},http://loinc.org\|{{include.code3 | default: '[code]'}}{% endif %}</t>
  </si>
  <si>
    <t>support searching for all laboratory results by date (for example, find all the laboratory results after 2018-03-14.)</t>
  </si>
  <si>
    <t>GET [base]Observation?patient=555580&amp;category={% if include.system %}{{include.system }}\|{% endif %}{{include.category | default: '[category]'}}&amp;date=ge2018-03-14T00:00:00Z</t>
  </si>
  <si>
    <t>GET [base]Observation?patient=555580&amp;{% if include.system %}{{include.system }}\|{% endif %}{{include.category | default: '[category]'}}&amp;_lastUpdated=ge2024-01-01T00:00:00Z</t>
  </si>
  <si>
    <t>support searching laboratory results by code and date (for example, search for all blood glucose lab results since 2019 for a patient)</t>
  </si>
  <si>
    <t>GET [base]Observation?patient=555580&amp;code=http://loinc.org\|{{include.code1 | default: '[code]'}}&amp;date=ge2019-01-01T00:00:00Z</t>
  </si>
  <si>
    <t>category=http://hl7.org/fhir/us/core/CodeSystem/careplan-category|assess-plan</t>
  </si>
  <si>
    <t>support searching for all patient assessments and plans of treatment for a patient</t>
  </si>
  <si>
    <t>GET [base]/CarePlan?patient=1137192&amp;category=http://hl7.org/fhir/us/core/CodeSystem/careplan-category\|assess-plan</t>
  </si>
  <si>
    <t>support searching for all assessment and plan of treatment for a patient within a time period</t>
  </si>
  <si>
    <t>GET [base]/CarePlan?patient=1137192&amp;category=http://hl7.org/fhir/us/core/CodeSystem/careplan-category\|assess-plan&amp;date=ge2019-01-01T00:00:00Z~GET [base]/CarePlan?patient=1137192&amp;category=http://hl7.org/fhir/us/core/CodeSystem/careplan-category\|assess-plan&amp;date=ge2018-01-01T00:00:00Z&amp;date=le2019-01-01T00:00:00Z</t>
  </si>
  <si>
    <t>Fetches a bundle of all CarePlan resources for the specified patient and category=`assess-plan` and date</t>
  </si>
  <si>
    <t>support searching for all *active* assessment and plan of treatment for a patient</t>
  </si>
  <si>
    <t>GET [base]/CarePlan?patient=1137192&amp;category=http://hl7.org/fhir/us/core/CodeSystem/careplan-category\|assess-plan&amp;status=active</t>
  </si>
  <si>
    <t>Fetches a bundle of all CarePlan resources for the specified patient and category=`assess-plan` and status=`active`</t>
  </si>
  <si>
    <t>patient,category,status,date</t>
  </si>
  <si>
    <t>support searching for all *active* assessment and plan of treatment for a patient within a time period</t>
  </si>
  <si>
    <t>GET [base]/CarePlan?patient=1137192&amp;category=http://hl7.org/fhir/us/core/CodeSystem/careplan-category\|assess-plan&amp;status=active&amp;date=ge2019-01-01T00:00:00Z~GET [base]/CarePlan?patient=1137192&amp;category=http://hl7.org/fhir/us/core/CodeSystem/careplan-category\|assess-plan&amp;status=active&amp;date=ge2018-01-01T00:00:00Z&amp;date=le2019-01-01T00:00:00Z</t>
  </si>
  <si>
    <t>Fetches a bundle of all CarePlan resources for the specified patient and category=`assess-plan` and status=`active` and date</t>
  </si>
  <si>
    <t>status=active</t>
  </si>
  <si>
    <t>support searching for all current care team members for a patient. DOES THIS DO ANYTHING?</t>
  </si>
  <si>
    <t>GET [base]/CareTeam?patient=1137192&amp;status=active~GET [base]/CareTeam?patient=1137192&amp;status=active&amp;_include=CareTeam:participant:RelatedPerson&amp;_include=CareTeam:participant:Patient&amp;_include=CareTeam:participant:Practitioner&amp;_include=CareTeam:participant:PractitionerRole</t>
  </si>
  <si>
    <t>Fetches a bundle of all CareTeam resources for the specified patient and status =`active` and may include CareTeam Patient, RelatedPerson and Practitioner and PractitionerRole participants.  
To get Practitioner name and identifier using PractitionerRole:  
1) Search for the careteam PractitionerRole: GET [base]/CareTeam?patient=[id]&amp;status=active&amp;_include=CareTeam:participant:PractitionerRole  
2) using the FHIR _id from the PractitionerRole.practitioner element resource,  fetch the Practitioner resources using  GET [base]/Practitioner?_id=[id]</t>
  </si>
  <si>
    <t>support searching for all documents for a patient for a given status (for example completed reports )</t>
  </si>
  <si>
    <t>GET [base]/DocumentReference?patient=1235541</t>
  </si>
  <si>
    <t>!DocumentReference</t>
  </si>
  <si>
    <t>patient,period</t>
  </si>
  <si>
    <t>category=http://hl7.org/fhir/us/core/CodeSystem/us-core-documentreference-category|clinical-note</t>
  </si>
  <si>
    <t>support searching for all clinical notes for a given patient</t>
  </si>
  <si>
    <t>GET [base]/DocumentReference?patient=1235541&amp;category=http://hl7.org/fhir/us/core/CodeSystem/us-core-documentreference-category\|clinical-note</t>
  </si>
  <si>
    <t>Fetches a bundle of all DocumentReference resources for the specified patient and category = `clinical-note`.  See the implementation notes above for how to access the actual document.</t>
  </si>
  <si>
    <t>support searching for all clinical notes for a given patient by date (for example, since 2019)</t>
  </si>
  <si>
    <t>GET [base]/DocumentReference?patient=1235541&amp;category=http://hl7.org/fhir/us/core/CodeSystem/us-core-documentreference-category\|clinical-note&amp;date=ge2020-01-01T00:00:00Z</t>
  </si>
  <si>
    <t>Fetches a bundle of all DocumentReference resources for the specified patient and category = `clinical=note` and date. See the implementation notes above for how to access the actual document.</t>
  </si>
  <si>
    <t>support searching for a specific note type for a patient</t>
  </si>
  <si>
    <t>GET [base]/DocumentReference?patient=1316024&amp;type=http://loinc.org\|18842-5</t>
  </si>
  <si>
    <t>Fetches a bundle of all DocumentReference resources for the specified patient and type. See the implementation notes above for how to access the actual document.</t>
  </si>
  <si>
    <t>patient,type,period</t>
  </si>
  <si>
    <t>support searching for a document for a patient by type and a clinically relevent date</t>
  </si>
  <si>
    <t>GET [base]/DocumentReference?patient=2169591&amp;type=http://loinc.org \|34133-9&amp;period=ge2020-01-01T00:00:00Z</t>
  </si>
  <si>
    <t>http://hl7.org/fhir/us/core/StructureDefinition/us-core-device</t>
  </si>
  <si>
    <t>support searching for a specific device type for a patient (for example, implantable devices)</t>
  </si>
  <si>
    <t>GET [base]/Device?patient=1316024&amp;type=http://snomed.info/sct\|468063009</t>
  </si>
  <si>
    <t xml:space="preserve">Fetches a bundle of all Device resources for the specified patient and type. </t>
  </si>
  <si>
    <t>support searching for all devices with a given status for a patient (for example all active devices)</t>
  </si>
  <si>
    <t>GET [base]/Device?patient=1316024&amp;status=active</t>
  </si>
  <si>
    <t>Fetches a bundle of all Device resources for the specified patient and status</t>
  </si>
  <si>
    <t>patient,role</t>
  </si>
  <si>
    <t>support searching for all current care team member roles for a patient. DOES THIS DO ANYTHING?</t>
  </si>
  <si>
    <t>GET [base]/CareTeam?patient=1137192&amp;role=http://snomed.info/sct\|17561000</t>
  </si>
  <si>
    <t>Fetches a bundle of all CareTeam resources for the specified patient and participant role</t>
  </si>
  <si>
    <t>support searching for all reports for a patient for a given status (for example completed reports )</t>
  </si>
  <si>
    <t>GET [base]/ServiceRequest?patient=1137192&amp;status=completed</t>
  </si>
  <si>
    <t>support searching for all reports by category codes specified in US Core DiagnosticReport Category Codes</t>
  </si>
  <si>
    <t>GET [base]/ServiceRequest?patient=f201&amp;category=http://loinc.org\|LG41762-2</t>
  </si>
  <si>
    <t>support searching for all  reports by code</t>
  </si>
  <si>
    <t>GET [base]/ServiceRequest?patient=1032702&amp;code=http://snomed.info/sct\|35637008</t>
  </si>
  <si>
    <t>patient,category,authored</t>
  </si>
  <si>
    <t>support searching for all  reports by category codes specified in US Core DiagnosticReport Category Codes and date</t>
  </si>
  <si>
    <t>GET [base]/ServiceRequest?patient=f201&amp;category=http://loinc.org\|LG41762-2&amp;date=ge2010-01-14T00:00:00Z</t>
  </si>
  <si>
    <t>patient,code,authored</t>
  </si>
  <si>
    <t>support searching for reports by code and date DOES THIS DO ANYTHING!!!!</t>
  </si>
  <si>
    <t>GET [base]/ServiceRequest?patient=f201&amp;code=http://snomed.info/sct\|35637008&amp;date=ge2019-01-14T00:00:00Z</t>
  </si>
  <si>
    <t>patient,description</t>
  </si>
  <si>
    <t>support searching for all goals for a patient by date DOES THIS DO ANYTHING!!!</t>
  </si>
  <si>
    <t>GET [base]/Goal?patient=1137192&amp;description=http://snomed.info/sct\|1078229009</t>
  </si>
  <si>
    <t>combo description field ...DOES THIS DO ANYTHING?</t>
  </si>
  <si>
    <t>GET [base]/QuestionnaireResponse?patient=1137192&amp;status=completed</t>
  </si>
  <si>
    <t>patient,_tag</t>
  </si>
  <si>
    <t>_tag=sdoh</t>
  </si>
  <si>
    <t>GET [base]/QuestionnaireResponse?patient=1137192&amp;_tag=sdoh</t>
  </si>
  <si>
    <t>patient,authored</t>
  </si>
  <si>
    <t>GET [base]/QuestionnaireResponse?patient=113192&amp;date=ge2021</t>
  </si>
  <si>
    <t>patient,_tag,authored</t>
  </si>
  <si>
    <t>GET [base]/QuestionnaireResponse?patient=113192&amp;date=ge2021&amp;_tag=sdoh</t>
  </si>
  <si>
    <t>patient,questionnaire</t>
  </si>
  <si>
    <t>GET [base]/QuestionnaireResponse?patient=113192&amp;questionnaire=http://hl7.org/fhir/us/sdoh-clinicalcare/Questionnaire/SDOHCC-QuestionnaireHungerVitalSign</t>
  </si>
  <si>
    <t>support searching for prescriptions for a patient based on their dispensed status</t>
  </si>
  <si>
    <t>GET [base]/MedicationDispense?patient=1137192&amp;status=completed~GET [base]/MedicationDispense?patient=1137192&amp;status=completed&amp;_include=MedicationDispense:medication</t>
  </si>
  <si>
    <t>support searching for prescriptions for a patient based on their dispensed status and dispense type.</t>
  </si>
  <si>
    <t>GET [base]/MedicationDispense?patient=1137192&amp;status=&amp;type=~GET [base]/MedicationDispense?patient=1137192&amp;status=&amp;type=FFP&amp;_include=MedicationDispense:medication</t>
  </si>
  <si>
    <t>patient,whenhandedover</t>
  </si>
  <si>
    <t>support searching for prescriptions for a patient based on when it was dispensed to the patient.</t>
  </si>
  <si>
    <t>foo</t>
  </si>
  <si>
    <t>patient,name</t>
  </si>
  <si>
    <t>reference,string</t>
  </si>
  <si>
    <t>GET [base]/RelatedPerson?patient=1137192&amp;name=van%20Putten</t>
  </si>
  <si>
    <t>- The Must Support `ServiceRequest.category` is bound, *at a minimum*, to the [US Core ServiceRequest Category Codes], and other category codes can be used. API consumers can query by category when accessing patient information. For the USCDI *Laboratory Order*, *Imaging Order*, *Clinical Test Order*, and *Procedure Order* Data Elements, implementers **SHOULD** use the corresponding category codes listed in the table below. For example, laboratory orders would have the category code "108252007" (Laboratory procedure).
  |USCDI Order Data Element|Category Codes|
  |---|---|
  |Laboratory Order| 108252007 Laboratory procedure (procedure)|
  |Imaging Order|363679005 Imaging (procedure)|
  |Clinical Test Order|386053000 Evaluation procedure (procedure), 410606002 Social service procedure (procedure), or 387713003 Surgical procedure (procedure)|
  |Procedure Order|386053000 Evaluation procedure (procedure), 410606002 Social service procedure (procedure), or 387713003 Surgical procedure (procedure)| 
- The `ServiceRequest.code` value set is broad to accommodate a wide variety of use cases and **SHOULD** be constrained to a subset for a particular use case or domain.  These value sets contain concepts that span many use cases and are not bound to any USCDI Data Element. However, the table below identifies *additional* value set bindings for the USCDI *Laboratory Order, Imaging Order and Clinical Test Order* Data Elements. Implementers **SHOULD** conform to the binding strengths listed for each USCDI Order context. For example, laboratory orders are extensibly bound to the LOINC Common Laboratory Orders Value Set. Note that the USCDI Class *Procedure Order* Data Element has no additional binding.
  |USCDI Order Data Element|Additional Binding|Binding Strength|Comments|
  |---|---|---|---|
  |Laboratory Order|LOINC Common Laboratory Orders Value Set|extensible|The LOINC Common Laboratory Orders Value Set is a "starter set" for mapping commonly used laboratory orders. It does not attempt to include all possible laboratory order codes. For additional information on LOINC Common Laboratory Orders Value Set, refer to www.loinc.org/usage/orders.|
  |Imaging Order|LOINC Radiology Codes|preferred|The LOINC Radiology Codes include all imaging codes minus concepts that are deprecated or discouraged.|
  |Clinical Test Order|LOINC Clinical Test Codes|example|LOINC Clinical Test Codes include all non-laboratory and non-imaging clinical test codes|
- *Servers and Clients **SHALL** support both US Core ServiceRequest and US Core Procedure Profiles for communicating the reason or justification for a referral as Additional USCDI Requirements. Typically, the reason or justification for a referral or consultation is communicated through `Procedure.basedOn` linking the Procedure to the US Core ServiceRequest Profile that includes either `ServiceRequest.reasonCode` or `ServiceRequest.reasonReference`. When the Procedure does not have an associated ServiceRequest, it is communicated through the US Core Procedure Profile's `Procedure.reasonCode` or `Procedure.reasonReference`. Depending on the procedure being documented, a server will select the appropriate Profile to use.
   - Although both `ServiceRequest.reasonCode` and `ServiceRequest.reasonReference` are marked as Additional USCDI Requirements, the certifying server system is not required to support both, but **SHALL** support at least one of these elements. The certifying client application **SHALL** support both elements.
     - when using  `ServiceRequest.reasonReference`:
       - Servers **SHALL** support *at least one* target resource in `ServiceRequest.reasonReference`. Clients **SHALL** support all target resources.
       - The referenced resources **SHOULD** be a US Core Profile as documented in [Referencing US Core Profiles].</t>
  </si>
  <si>
    <t>8.0.0-ballot</t>
  </si>
  <si>
    <t>This Section describes the expected capabilities of the US Core Server actor which is responsible for providing responses to the queries submitted by the US Core Requestors. The complete list of FHIR profiles, RESTful operations, and search parameters supported by US Core Servers are defined. Systems implementing this capability statement should meet the ONC 2015 Common Clinical Data Set (CCDS) access requirement for Patient Selection 170.315(g)(7) and Application Access - Data Category Request 170.315(g)(8) and the ONC [U.S. Core Data for Interoperability (USCDI) Version 5 July 2024](https://www.healthit.gov/isp/sites/isp/files/2024-07/USCDI-Version-5-July-2024-Final.pdf).</t>
  </si>
  <si>
    <t>The Media Resource is a Must Support referenced resource when using the US Core PractitionerRole Profile.</t>
  </si>
  <si>
    <t>The Media Resource is a Must Support referenced resource when using the US Core DiagnosticReport Profile for Report and Note Exchange.</t>
  </si>
  <si>
    <t>* Additional considerations for systems aligning with [HL7 Consolidated (C-CDA)](http://www.hl7.org/implement/standards/product_brief.cfm?product_id=492) Care Plan requirements:
    - US Core Goal **SHOULD** be present in CarePlan.goal
    - US Core Condition **SHOULD** be present in CarePlan.addresses
    - Assessment and Plan **MAY** be included as narrative text</t>
  </si>
  <si>
    <t>SMART App Launch 2.0.0</t>
  </si>
  <si>
    <t>http://hl7.org/fhir/smart-app-launch/ImplementationGuide/hl7.fhir.uv.smart-app-launch|2.0.0</t>
  </si>
  <si>
    <t>https://hl7.org/fhir/smart-app-launch/STU2/</t>
  </si>
  <si>
    <t>The US Core Server **SHALL**:
1. Support the US Core Patient resource profile AND at least one additional resource profile from the list of US Core Profiles AND and all *Must Support* US Core Profiles and resources it references.
     -  A summary table listing all the *Must Support* references to other US Core Profiles and FHIR resources for each US Core Profile is located in the [Must Support - Resource References](must-support.html#must-support---resource-references) section of the guide.
1. Follow the requirements documented in the [General Requirements](general-requirements.html) and [Must Support](must-support.html) pages
1. Return the following response classes:
   - (Status 400): invalid parameter
   - (Status 401/4xx): unauthorized request
   - (Status 403): insufficient scopes
   - (Status 404): unknown resource
1. Support JSON source formats for all US Core interactions.
The US Core Server **SHOULD**:
1. Follow the guidance documented in the [General Guidance](general-guidance.html) page
1. Support XML source formats for all US Core interactions.
1. Identify the US Core profiles supported as part of the FHIR `meta.profile` attribute for each instance.
**NOTE**: US Core SearchParameters referenced in this CapabilityStatement that are derived from standard FHIR SearchParameters are only defined to document Server and Client expectations. They specify additional expectations for the following SearchParameter elements:
- `multipleAnd`
- `multipleOr`
- `comparator`
- `modifier`
- `chain`
They **SHALL NOT** be interpreted as search parameters for search. Servers and Clients **SHOULD** use the standard FHIR SearchParameters.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</si>
</sst>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b/>
      <sz val="13"/>
      <color theme="3"/>
      <name val="Calibri"/>
      <family val="2"/>
      <scheme val="minor"/>
    </font>
    <font>
      <sz val="11"/>
      <color rgb="FF333333"/>
      <name val="Verdana"/>
      <family val="2"/>
    </font>
    <font>
      <sz val="9"/>
      <color rgb="FF333333"/>
      <name val="Verdana"/>
      <family val="2"/>
    </font>
    <font>
      <sz val="14"/>
      <color rgb="FF333333"/>
      <name val="Verdana"/>
      <family val="2"/>
    </font>
    <font>
      <sz val="9"/>
      <color rgb="FF333333"/>
      <name val="Consolas"/>
      <family val="3"/>
    </font>
    <font>
      <sz val="11"/>
      <color rgb="FF005C00"/>
      <name val="Consolas"/>
      <family val="3"/>
    </font>
    <font>
      <sz val="10"/>
      <color theme="1"/>
      <name val="Arial Unicode MS"/>
      <family val="2"/>
    </font>
    <font>
      <sz val="11"/>
      <color rgb="FF005C00"/>
      <name val="Monaco"/>
      <family val="2"/>
    </font>
    <font>
      <sz val="12"/>
      <color rgb="FF000000"/>
      <name val="Verdana"/>
      <family val="2"/>
    </font>
    <font>
      <sz val="11"/>
      <color rgb="FF000000"/>
      <name val="Calibri"/>
      <family val="2"/>
      <scheme val="minor"/>
    </font>
    <font>
      <sz val="16"/>
      <color rgb="FF333333"/>
      <name val="Helvetica Neue"/>
      <family val="2"/>
    </font>
    <font>
      <sz val="12"/>
      <color rgb="FF9C0006"/>
      <name val="Calibri"/>
      <family val="2"/>
      <scheme val="minor"/>
    </font>
    <font>
      <u/>
      <sz val="11"/>
      <color theme="10"/>
      <name val="Calibri"/>
      <family val="2"/>
      <scheme val="minor"/>
    </font>
    <font>
      <sz val="12"/>
      <color rgb="FF000000"/>
      <name val="Menlo"/>
      <family val="2"/>
    </font>
    <font>
      <sz val="14"/>
      <color rgb="FF172B4D"/>
      <name val="Helvetica Neue"/>
      <family val="2"/>
    </font>
    <font>
      <sz val="12"/>
      <color rgb="FFA31515"/>
      <name val="Menlo"/>
      <family val="2"/>
    </font>
    <font>
      <sz val="12"/>
      <color rgb="FF005C00"/>
      <name val="Monaco"/>
      <family val="2"/>
    </font>
  </fonts>
  <fills count="3">
    <fill>
      <patternFill patternType="none"/>
    </fill>
    <fill>
      <patternFill patternType="gray125"/>
    </fill>
    <fill>
      <patternFill patternType="solid">
        <fgColor rgb="FFFFC7CE"/>
      </patternFill>
    </fill>
  </fills>
  <borders count="3">
    <border>
      <left/>
      <right/>
      <top/>
      <bottom/>
      <diagonal/>
    </border>
    <border>
      <left/>
      <right/>
      <top/>
      <bottom style="thick">
        <color theme="4" tint="0.499984740745262"/>
      </bottom>
      <diagonal/>
    </border>
    <border>
      <left style="medium">
        <color rgb="FFCCCCCC"/>
      </left>
      <right style="medium">
        <color rgb="FFCCCCCC"/>
      </right>
      <top style="medium">
        <color rgb="FFCCCCCC"/>
      </top>
      <bottom style="medium">
        <color rgb="FFCCCCCC"/>
      </bottom>
      <diagonal/>
    </border>
  </borders>
  <cellStyleXfs count="4">
    <xf numFmtId="0" fontId="0" fillId="0" borderId="0"/>
    <xf numFmtId="0" fontId="1" fillId="0" borderId="1"/>
    <xf numFmtId="0" fontId="12" fillId="2" borderId="0" applyNumberFormat="0" applyBorder="0" applyAlignment="0" applyProtection="0"/>
    <xf numFmtId="0" fontId="13" fillId="0" borderId="0" applyNumberFormat="0" applyFill="0" applyBorder="0" applyAlignment="0" applyProtection="0"/>
  </cellStyleXfs>
  <cellXfs count="28">
    <xf numFmtId="0" fontId="0" fillId="0" borderId="0" xfId="0"/>
    <xf numFmtId="0" fontId="0" fillId="0" borderId="0" xfId="0" applyAlignment="1">
      <alignment wrapText="1"/>
    </xf>
    <xf numFmtId="0" fontId="0" fillId="0" borderId="0" xfId="0" quotePrefix="1" applyAlignment="1">
      <alignment wrapText="1"/>
    </xf>
    <xf numFmtId="0" fontId="1" fillId="0" borderId="1" xfId="1"/>
    <xf numFmtId="0" fontId="2" fillId="0" borderId="0" xfId="0" applyFont="1"/>
    <xf numFmtId="0" fontId="3" fillId="0" borderId="0" xfId="0" applyFont="1"/>
    <xf numFmtId="0" fontId="4" fillId="0" borderId="0" xfId="0" applyFont="1"/>
    <xf numFmtId="0" fontId="1" fillId="0" borderId="0" xfId="1" applyBorder="1"/>
    <xf numFmtId="0" fontId="2" fillId="0" borderId="0" xfId="0" applyFont="1" applyAlignment="1">
      <alignment wrapText="1"/>
    </xf>
    <xf numFmtId="0" fontId="1" fillId="0" borderId="1" xfId="1" applyAlignment="1">
      <alignment wrapText="1"/>
    </xf>
    <xf numFmtId="0" fontId="0" fillId="0" borderId="0" xfId="0" quotePrefix="1"/>
    <xf numFmtId="0" fontId="5" fillId="0" borderId="2" xfId="0" applyFont="1" applyBorder="1" applyAlignment="1">
      <alignment horizontal="left" vertical="center" indent="1"/>
    </xf>
    <xf numFmtId="0" fontId="6" fillId="0" borderId="0" xfId="0" applyFont="1"/>
    <xf numFmtId="0" fontId="7" fillId="0" borderId="0" xfId="0" applyFont="1"/>
    <xf numFmtId="0" fontId="8" fillId="0" borderId="0" xfId="0" applyFont="1"/>
    <xf numFmtId="0" fontId="9" fillId="0" borderId="0" xfId="0" applyFont="1"/>
    <xf numFmtId="0" fontId="10" fillId="0" borderId="0" xfId="0" applyFont="1"/>
    <xf numFmtId="49" fontId="0" fillId="0" borderId="0" xfId="0" applyNumberFormat="1"/>
    <xf numFmtId="0" fontId="11" fillId="0" borderId="0" xfId="0" applyFont="1"/>
    <xf numFmtId="49" fontId="12" fillId="2" borderId="0" xfId="2" applyNumberFormat="1"/>
    <xf numFmtId="0" fontId="12" fillId="2" borderId="0" xfId="2"/>
    <xf numFmtId="0" fontId="13" fillId="0" borderId="0" xfId="3" applyFill="1"/>
    <xf numFmtId="0" fontId="15" fillId="0" borderId="0" xfId="0" applyFont="1"/>
    <xf numFmtId="0" fontId="14" fillId="0" borderId="0" xfId="0" applyFont="1" applyAlignment="1">
      <alignment wrapText="1"/>
    </xf>
    <xf numFmtId="0" fontId="16" fillId="0" borderId="0" xfId="0" applyFont="1"/>
    <xf numFmtId="0" fontId="14" fillId="0" borderId="0" xfId="0" applyFont="1"/>
    <xf numFmtId="0" fontId="17" fillId="0" borderId="0" xfId="0" applyFont="1"/>
    <xf numFmtId="0" fontId="13" fillId="0" borderId="0" xfId="3"/>
  </cellXfs>
  <cellStyles count="4">
    <cellStyle name="Bad" xfId="2" builtinId="27"/>
    <cellStyle name="Heading 2" xfId="1" builtinId="17"/>
    <cellStyle name="Hyperlink" xfId="3" builtinId="8"/>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Eric Haas" id="{01DB13A2-9E02-7A4D-96F1-9E53507C2507}" userId="deea5e002be8d274" providerId="Windows Live"/>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L36" dT="2021-11-06T02:36:52.48" personId="{01DB13A2-9E02-7A4D-96F1-9E53507C2507}" id="{FB93E46D-3D13-4645-A003-7A1F153E1DB9}">
    <text>where does this show up?</text>
  </threadedComment>
  <threadedComment ref="Z40" dT="2021-11-06T02:39:25.62" personId="{01DB13A2-9E02-7A4D-96F1-9E53507C2507}" id="{738109A7-92A0-7248-ACDE-F9875EAC079A}">
    <text>do i need this?</text>
  </threadedComment>
  <threadedComment ref="AA40" dT="2021-11-06T02:40:08.93" personId="{01DB13A2-9E02-7A4D-96F1-9E53507C2507}" id="{DCDC06BA-7148-9843-A6EA-EC4B7F1297F8}">
    <text>do I need this?</text>
  </threadedComment>
</ThreadedComments>
</file>

<file path=xl/threadedComments/threadedComment2.xml><?xml version="1.0" encoding="utf-8"?>
<ThreadedComments xmlns="http://schemas.microsoft.com/office/spreadsheetml/2018/threadedcomments" xmlns:x="http://schemas.openxmlformats.org/spreadsheetml/2006/main">
  <threadedComment ref="C1" dT="2021-11-10T17:47:31.83" personId="{01DB13A2-9E02-7A4D-96F1-9E53507C2507}" id="{3D6593B2-8A1E-A24A-80BE-57CB27553CF1}">
    <text>add column for include file</text>
  </threadedComment>
  <threadedComment ref="C1" dT="2021-11-10T17:48:52.85" personId="{01DB13A2-9E02-7A4D-96F1-9E53507C2507}" id="{207C0DF5-3227-F342-A86E-CEBD1F88C9BE}" parentId="{3D6593B2-8A1E-A24A-80BE-57CB27553CF1}">
    <text>make this a comma separate list of profiles</text>
  </threadedComment>
  <threadedComment ref="I1" dT="2021-11-08T19:54:50.37" personId="{01DB13A2-9E02-7A4D-96F1-9E53507C2507}" id="{D8B0DCD9-3CF9-B14D-BBD2-ED0D75EDCEE7}">
    <text>does this do anything if not delete row</text>
  </threadedComment>
  <threadedComment ref="I42" dT="2021-11-06T02:44:23.26" personId="{01DB13A2-9E02-7A4D-96F1-9E53507C2507}" id="{28AD8D2E-6B3A-D044-9128-B122FA094994}">
    <text>is column being used???</text>
  </threadedComment>
</ThreadedComments>
</file>

<file path=xl/worksheets/_rels/sheet10.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 Id="rId4" Type="http://schemas.microsoft.com/office/2017/10/relationships/threadedComment" Target="../threadedComments/threadedComment1.xml"/></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4.bin"/><Relationship Id="rId1" Type="http://schemas.openxmlformats.org/officeDocument/2006/relationships/hyperlink" Target="http://hl7.org/fhir/us/core/StructureDefinition/us-core-relatedperson" TargetMode="External"/><Relationship Id="rId5" Type="http://schemas.microsoft.com/office/2017/10/relationships/threadedComment" Target="../threadedComments/threadedComment2.xml"/><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2" Type="http://schemas.openxmlformats.org/officeDocument/2006/relationships/hyperlink" Target="http://hl7.org/fhir/smart-app-launch/ImplementationGuide/hl7.fhir.uv.smart-app-launch|2.0.0" TargetMode="External"/><Relationship Id="rId1" Type="http://schemas.openxmlformats.org/officeDocument/2006/relationships/hyperlink" Target="https://hl7.org/fhir/smart-app-launch/STU2/"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08ECBD-F3E5-4662-8D7C-0F31D75EC9A2}">
  <dimension ref="A1:B9"/>
  <sheetViews>
    <sheetView zoomScale="230" zoomScaleNormal="230" workbookViewId="0">
      <selection activeCell="B3" sqref="B3"/>
    </sheetView>
  </sheetViews>
  <sheetFormatPr baseColWidth="10" defaultColWidth="8.83203125" defaultRowHeight="15" x14ac:dyDescent="0.2"/>
  <cols>
    <col min="1" max="1" width="26" customWidth="1"/>
  </cols>
  <sheetData>
    <row r="1" spans="1:2" x14ac:dyDescent="0.2">
      <c r="A1" t="s">
        <v>9</v>
      </c>
      <c r="B1" t="s">
        <v>1</v>
      </c>
    </row>
    <row r="2" spans="1:2" x14ac:dyDescent="0.2">
      <c r="A2" t="s">
        <v>269</v>
      </c>
      <c r="B2" t="s">
        <v>375</v>
      </c>
    </row>
    <row r="3" spans="1:2" x14ac:dyDescent="0.2">
      <c r="A3" t="s">
        <v>270</v>
      </c>
      <c r="B3" t="s">
        <v>294</v>
      </c>
    </row>
    <row r="4" spans="1:2" x14ac:dyDescent="0.2">
      <c r="A4" t="s">
        <v>265</v>
      </c>
      <c r="B4" t="s">
        <v>266</v>
      </c>
    </row>
    <row r="5" spans="1:2" x14ac:dyDescent="0.2">
      <c r="A5" t="s">
        <v>267</v>
      </c>
      <c r="B5" t="s">
        <v>268</v>
      </c>
    </row>
    <row r="6" spans="1:2" x14ac:dyDescent="0.2">
      <c r="A6" t="s">
        <v>66</v>
      </c>
      <c r="B6" s="10" t="s">
        <v>350</v>
      </c>
    </row>
    <row r="7" spans="1:2" x14ac:dyDescent="0.2">
      <c r="A7" t="s">
        <v>271</v>
      </c>
      <c r="B7" t="s">
        <v>58</v>
      </c>
    </row>
    <row r="8" spans="1:2" x14ac:dyDescent="0.2">
      <c r="A8" t="s">
        <v>272</v>
      </c>
      <c r="B8" t="s">
        <v>351</v>
      </c>
    </row>
    <row r="9" spans="1:2" x14ac:dyDescent="0.2">
      <c r="A9" t="s">
        <v>319</v>
      </c>
      <c r="B9" t="b">
        <v>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9F73F9-34B4-C04F-A2E4-99114F8B7BF7}">
  <dimension ref="A1:AB132"/>
  <sheetViews>
    <sheetView zoomScale="130" zoomScaleNormal="130" workbookViewId="0">
      <pane xSplit="1" ySplit="1" topLeftCell="B44" activePane="bottomRight" state="frozen"/>
      <selection pane="topRight" activeCell="B1" sqref="B1"/>
      <selection pane="bottomLeft" activeCell="A2" sqref="A2"/>
      <selection pane="bottomRight" activeCell="I95" sqref="I95"/>
    </sheetView>
  </sheetViews>
  <sheetFormatPr baseColWidth="10" defaultColWidth="8.83203125" defaultRowHeight="19" customHeight="1" x14ac:dyDescent="0.2"/>
  <cols>
    <col min="2" max="2" width="21.5" customWidth="1"/>
    <col min="3" max="3" width="33.5" customWidth="1"/>
    <col min="4" max="4" width="12.5" customWidth="1"/>
    <col min="5" max="5" width="9" customWidth="1"/>
    <col min="6" max="6" width="37.83203125" customWidth="1"/>
    <col min="7" max="7" width="60" customWidth="1"/>
    <col min="10" max="10" width="14.33203125" customWidth="1"/>
    <col min="12" max="12" width="31.1640625" customWidth="1"/>
    <col min="13" max="24" width="13.33203125" customWidth="1"/>
    <col min="25" max="25" width="85.33203125" customWidth="1"/>
    <col min="26" max="26" width="90.6640625" customWidth="1"/>
    <col min="27" max="27" width="83.5" style="1" bestFit="1" customWidth="1"/>
    <col min="28" max="28" width="38.1640625" customWidth="1"/>
  </cols>
  <sheetData>
    <row r="1" spans="1:28" ht="19" customHeight="1" thickBot="1" x14ac:dyDescent="0.25">
      <c r="A1" t="s">
        <v>95</v>
      </c>
      <c r="B1" s="3" t="s">
        <v>36</v>
      </c>
      <c r="C1" s="3" t="s">
        <v>25</v>
      </c>
      <c r="D1" s="3" t="s">
        <v>37</v>
      </c>
      <c r="E1" s="3" t="s">
        <v>39</v>
      </c>
      <c r="F1" s="3" t="s">
        <v>6</v>
      </c>
      <c r="G1" s="3" t="s">
        <v>38</v>
      </c>
      <c r="H1" s="3" t="s">
        <v>40</v>
      </c>
      <c r="I1" s="3" t="s">
        <v>330</v>
      </c>
      <c r="J1" s="3" t="s">
        <v>31</v>
      </c>
      <c r="K1" s="3" t="s">
        <v>13</v>
      </c>
      <c r="L1" s="3" t="s">
        <v>41</v>
      </c>
      <c r="M1" s="3" t="s">
        <v>42</v>
      </c>
      <c r="N1" s="3" t="s">
        <v>43</v>
      </c>
      <c r="O1" s="3" t="s">
        <v>44</v>
      </c>
      <c r="P1" s="3" t="s">
        <v>45</v>
      </c>
      <c r="Q1" s="3" t="s">
        <v>46</v>
      </c>
      <c r="R1" s="3" t="s">
        <v>47</v>
      </c>
      <c r="S1" s="3" t="s">
        <v>48</v>
      </c>
      <c r="T1" s="3" t="s">
        <v>49</v>
      </c>
      <c r="U1" s="3" t="s">
        <v>50</v>
      </c>
      <c r="V1" s="3" t="s">
        <v>51</v>
      </c>
      <c r="W1" s="3" t="s">
        <v>162</v>
      </c>
      <c r="X1" s="3" t="s">
        <v>163</v>
      </c>
      <c r="Y1" s="3" t="s">
        <v>3</v>
      </c>
      <c r="Z1" s="3" t="s">
        <v>52</v>
      </c>
      <c r="AA1" s="9" t="s">
        <v>53</v>
      </c>
      <c r="AB1" s="7" t="s">
        <v>101</v>
      </c>
    </row>
    <row r="2" spans="1:28" ht="19" customHeight="1" thickTop="1" x14ac:dyDescent="0.2">
      <c r="A2">
        <v>1</v>
      </c>
      <c r="B2" t="s">
        <v>413</v>
      </c>
      <c r="C2" t="s">
        <v>54</v>
      </c>
      <c r="D2" t="s">
        <v>29</v>
      </c>
      <c r="E2" t="b">
        <v>0</v>
      </c>
      <c r="G2" t="str">
        <f t="shared" ref="G2:G33" si="0">"http://hl7.org/fhir/us/core/StructureDefinition/us-core-"&amp;LOWER(B2)</f>
        <v>http://hl7.org/fhir/us/core/StructureDefinition/us-core-!!questionnaire</v>
      </c>
      <c r="H2" t="s">
        <v>55</v>
      </c>
      <c r="J2" t="s">
        <v>55</v>
      </c>
      <c r="K2" t="s">
        <v>56</v>
      </c>
      <c r="L2" t="s">
        <v>414</v>
      </c>
      <c r="M2" t="s">
        <v>55</v>
      </c>
      <c r="O2" t="s">
        <v>55</v>
      </c>
      <c r="Y2" s="22" t="str">
        <f>"support both read " &amp;B2&amp; " by `id` **AND** " &amp;B2&amp; " search"</f>
        <v>support both read !!Questionnaire by `id` **AND** !!Questionnaire search</v>
      </c>
      <c r="AB2" t="str">
        <f t="shared" ref="AB2:AB54" si="1">"SearchParameter-us-core-"&amp;LOWER((B2)&amp;"-"&amp;SUBSTITUTE(C2,"_","")&amp;".html")</f>
        <v>SearchParameter-us-core-!!questionnaire-id.html</v>
      </c>
    </row>
    <row r="3" spans="1:28" ht="19" customHeight="1" x14ac:dyDescent="0.2">
      <c r="A3">
        <v>2</v>
      </c>
      <c r="B3" t="s">
        <v>413</v>
      </c>
      <c r="C3" t="s">
        <v>69</v>
      </c>
      <c r="D3" t="s">
        <v>29</v>
      </c>
      <c r="E3" t="b">
        <v>0</v>
      </c>
      <c r="G3" t="str">
        <f t="shared" si="0"/>
        <v>http://hl7.org/fhir/us/core/StructureDefinition/us-core-!!questionnaire</v>
      </c>
      <c r="H3" t="s">
        <v>57</v>
      </c>
      <c r="J3" t="s">
        <v>55</v>
      </c>
      <c r="K3" t="s">
        <v>70</v>
      </c>
      <c r="L3" t="str">
        <f t="shared" ref="L3:L23" si="2">B3&amp;"."&amp;C3</f>
        <v>!!Questionnaire.context-type-value</v>
      </c>
      <c r="M3" t="s">
        <v>55</v>
      </c>
      <c r="O3" t="s">
        <v>55</v>
      </c>
      <c r="AB3" t="str">
        <f t="shared" si="1"/>
        <v>SearchParameter-us-core-!!questionnaire-context-type-value.html</v>
      </c>
    </row>
    <row r="4" spans="1:28" ht="19" customHeight="1" x14ac:dyDescent="0.2">
      <c r="A4">
        <v>3</v>
      </c>
      <c r="B4" t="s">
        <v>413</v>
      </c>
      <c r="C4" t="s">
        <v>66</v>
      </c>
      <c r="D4" t="s">
        <v>29</v>
      </c>
      <c r="E4" t="b">
        <v>0</v>
      </c>
      <c r="G4" t="str">
        <f t="shared" si="0"/>
        <v>http://hl7.org/fhir/us/core/StructureDefinition/us-core-!!questionnaire</v>
      </c>
      <c r="H4" t="s">
        <v>55</v>
      </c>
      <c r="J4" t="s">
        <v>55</v>
      </c>
      <c r="K4" t="s">
        <v>62</v>
      </c>
      <c r="L4" t="str">
        <f t="shared" si="2"/>
        <v>!!Questionnaire.publisher</v>
      </c>
      <c r="M4" t="s">
        <v>55</v>
      </c>
      <c r="O4" t="s">
        <v>55</v>
      </c>
      <c r="Q4" t="s">
        <v>67</v>
      </c>
      <c r="AB4" t="str">
        <f t="shared" si="1"/>
        <v>SearchParameter-us-core-!!questionnaire-publisher.html</v>
      </c>
    </row>
    <row r="5" spans="1:28" ht="19" customHeight="1" x14ac:dyDescent="0.2">
      <c r="A5">
        <v>4</v>
      </c>
      <c r="B5" t="s">
        <v>413</v>
      </c>
      <c r="C5" t="s">
        <v>60</v>
      </c>
      <c r="D5" t="s">
        <v>29</v>
      </c>
      <c r="E5" t="b">
        <v>0</v>
      </c>
      <c r="G5" t="str">
        <f t="shared" si="0"/>
        <v>http://hl7.org/fhir/us/core/StructureDefinition/us-core-!!questionnaire</v>
      </c>
      <c r="H5" t="s">
        <v>55</v>
      </c>
      <c r="J5" t="s">
        <v>55</v>
      </c>
      <c r="K5" t="s">
        <v>56</v>
      </c>
      <c r="L5" t="str">
        <f t="shared" si="2"/>
        <v>!!Questionnaire.status</v>
      </c>
      <c r="M5" t="s">
        <v>55</v>
      </c>
      <c r="O5" t="s">
        <v>55</v>
      </c>
      <c r="AB5" t="str">
        <f t="shared" si="1"/>
        <v>SearchParameter-us-core-!!questionnaire-status.html</v>
      </c>
    </row>
    <row r="6" spans="1:28" ht="19" customHeight="1" x14ac:dyDescent="0.2">
      <c r="A6">
        <v>5</v>
      </c>
      <c r="B6" t="s">
        <v>413</v>
      </c>
      <c r="C6" t="s">
        <v>61</v>
      </c>
      <c r="D6" t="s">
        <v>29</v>
      </c>
      <c r="E6" t="b">
        <v>0</v>
      </c>
      <c r="G6" t="str">
        <f t="shared" si="0"/>
        <v>http://hl7.org/fhir/us/core/StructureDefinition/us-core-!!questionnaire</v>
      </c>
      <c r="H6" t="s">
        <v>55</v>
      </c>
      <c r="J6" t="s">
        <v>55</v>
      </c>
      <c r="K6" t="s">
        <v>62</v>
      </c>
      <c r="L6" t="str">
        <f t="shared" si="2"/>
        <v>!!Questionnaire.title</v>
      </c>
      <c r="M6" t="s">
        <v>55</v>
      </c>
      <c r="O6" t="s">
        <v>55</v>
      </c>
      <c r="R6" t="s">
        <v>63</v>
      </c>
      <c r="S6" t="s">
        <v>64</v>
      </c>
      <c r="U6" t="s">
        <v>64</v>
      </c>
      <c r="V6" t="s">
        <v>63</v>
      </c>
      <c r="AB6" t="str">
        <f t="shared" si="1"/>
        <v>SearchParameter-us-core-!!questionnaire-title.html</v>
      </c>
    </row>
    <row r="7" spans="1:28" ht="19" customHeight="1" x14ac:dyDescent="0.2">
      <c r="A7">
        <v>6</v>
      </c>
      <c r="B7" t="s">
        <v>413</v>
      </c>
      <c r="C7" t="s">
        <v>58</v>
      </c>
      <c r="D7" t="s">
        <v>29</v>
      </c>
      <c r="E7" t="b">
        <v>0</v>
      </c>
      <c r="G7" t="str">
        <f t="shared" si="0"/>
        <v>http://hl7.org/fhir/us/core/StructureDefinition/us-core-!!questionnaire</v>
      </c>
      <c r="H7" t="s">
        <v>55</v>
      </c>
      <c r="J7" t="s">
        <v>55</v>
      </c>
      <c r="K7" t="s">
        <v>59</v>
      </c>
      <c r="L7" t="str">
        <f t="shared" si="2"/>
        <v>!!Questionnaire.url</v>
      </c>
      <c r="M7" t="s">
        <v>55</v>
      </c>
      <c r="O7" t="s">
        <v>55</v>
      </c>
      <c r="AB7" t="str">
        <f t="shared" si="1"/>
        <v>SearchParameter-us-core-!!questionnaire-url.html</v>
      </c>
    </row>
    <row r="8" spans="1:28" ht="19" customHeight="1" x14ac:dyDescent="0.2">
      <c r="A8">
        <v>7</v>
      </c>
      <c r="B8" t="s">
        <v>413</v>
      </c>
      <c r="C8" t="s">
        <v>65</v>
      </c>
      <c r="D8" t="s">
        <v>29</v>
      </c>
      <c r="E8" t="b">
        <v>0</v>
      </c>
      <c r="G8" t="str">
        <f t="shared" si="0"/>
        <v>http://hl7.org/fhir/us/core/StructureDefinition/us-core-!!questionnaire</v>
      </c>
      <c r="H8" t="s">
        <v>55</v>
      </c>
      <c r="J8" t="s">
        <v>55</v>
      </c>
      <c r="K8" t="s">
        <v>56</v>
      </c>
      <c r="L8" t="str">
        <f t="shared" si="2"/>
        <v>!!Questionnaire.version</v>
      </c>
      <c r="M8" t="s">
        <v>55</v>
      </c>
      <c r="O8" t="s">
        <v>55</v>
      </c>
      <c r="AB8" t="str">
        <f t="shared" si="1"/>
        <v>SearchParameter-us-core-!!questionnaire-version.html</v>
      </c>
    </row>
    <row r="9" spans="1:28" ht="19" customHeight="1" x14ac:dyDescent="0.2">
      <c r="A9">
        <v>8</v>
      </c>
      <c r="B9" t="s">
        <v>160</v>
      </c>
      <c r="C9" t="s">
        <v>25</v>
      </c>
      <c r="D9" t="s">
        <v>29</v>
      </c>
      <c r="E9" t="b">
        <v>0</v>
      </c>
      <c r="F9" s="1" t="s">
        <v>303</v>
      </c>
      <c r="G9" t="str">
        <f t="shared" si="0"/>
        <v>http://hl7.org/fhir/us/core/StructureDefinition/us-core-!careplan</v>
      </c>
      <c r="H9" t="s">
        <v>55</v>
      </c>
      <c r="J9" t="s">
        <v>55</v>
      </c>
      <c r="K9" t="s">
        <v>56</v>
      </c>
      <c r="L9" t="str">
        <f t="shared" si="2"/>
        <v>!CarePlan.code</v>
      </c>
      <c r="M9" t="s">
        <v>55</v>
      </c>
      <c r="O9" t="s">
        <v>55</v>
      </c>
      <c r="Y9" s="4"/>
      <c r="Z9" s="4"/>
      <c r="AA9" s="8"/>
      <c r="AB9" t="str">
        <f t="shared" si="1"/>
        <v>SearchParameter-us-core-!careplan-code.html</v>
      </c>
    </row>
    <row r="10" spans="1:28" ht="19" customHeight="1" x14ac:dyDescent="0.2">
      <c r="A10">
        <v>9</v>
      </c>
      <c r="B10" t="s">
        <v>113</v>
      </c>
      <c r="C10" t="s">
        <v>94</v>
      </c>
      <c r="D10" t="s">
        <v>29</v>
      </c>
      <c r="E10" t="b">
        <v>0</v>
      </c>
      <c r="G10" t="str">
        <f t="shared" si="0"/>
        <v>http://hl7.org/fhir/us/core/StructureDefinition/us-core-!example category search</v>
      </c>
      <c r="H10" t="s">
        <v>55</v>
      </c>
      <c r="J10" t="s">
        <v>55</v>
      </c>
      <c r="K10" t="s">
        <v>56</v>
      </c>
      <c r="L10" t="str">
        <f t="shared" si="2"/>
        <v>!EXAMPLE CATEGORY SEARCH.category</v>
      </c>
      <c r="M10" t="s">
        <v>55</v>
      </c>
      <c r="O10" t="s">
        <v>55</v>
      </c>
      <c r="Y10" s="4"/>
      <c r="Z10" s="4"/>
      <c r="AA10" s="8"/>
      <c r="AB10" t="str">
        <f t="shared" si="1"/>
        <v>SearchParameter-us-core-!example category search-category.html</v>
      </c>
    </row>
    <row r="11" spans="1:28" ht="19" customHeight="1" x14ac:dyDescent="0.2">
      <c r="A11">
        <v>10</v>
      </c>
      <c r="B11" t="s">
        <v>114</v>
      </c>
      <c r="C11" t="s">
        <v>25</v>
      </c>
      <c r="D11" t="s">
        <v>29</v>
      </c>
      <c r="E11" t="b">
        <v>0</v>
      </c>
      <c r="G11" t="str">
        <f t="shared" si="0"/>
        <v>http://hl7.org/fhir/us/core/StructureDefinition/us-core-!example code search</v>
      </c>
      <c r="H11" t="s">
        <v>55</v>
      </c>
      <c r="J11" t="s">
        <v>55</v>
      </c>
      <c r="K11" t="s">
        <v>56</v>
      </c>
      <c r="L11" t="str">
        <f t="shared" si="2"/>
        <v>!EXAMPLE CODE SEARCH.code</v>
      </c>
      <c r="M11" t="s">
        <v>55</v>
      </c>
      <c r="O11" t="s">
        <v>55</v>
      </c>
      <c r="Y11" s="4"/>
      <c r="Z11" s="4"/>
      <c r="AA11" s="8"/>
      <c r="AB11" t="str">
        <f t="shared" si="1"/>
        <v>SearchParameter-us-core-!example code search-code.html</v>
      </c>
    </row>
    <row r="12" spans="1:28" ht="19" customHeight="1" x14ac:dyDescent="0.2">
      <c r="A12">
        <v>11</v>
      </c>
      <c r="B12" t="s">
        <v>115</v>
      </c>
      <c r="C12" t="s">
        <v>76</v>
      </c>
      <c r="D12" t="s">
        <v>29</v>
      </c>
      <c r="E12" t="b">
        <v>0</v>
      </c>
      <c r="G12" t="str">
        <f t="shared" si="0"/>
        <v>http://hl7.org/fhir/us/core/StructureDefinition/us-core-!example date search</v>
      </c>
      <c r="H12" t="s">
        <v>55</v>
      </c>
      <c r="J12" t="s">
        <v>55</v>
      </c>
      <c r="K12" t="s">
        <v>76</v>
      </c>
      <c r="L12" t="str">
        <f t="shared" si="2"/>
        <v>!EXAMPLE DATE SEARCH.date</v>
      </c>
      <c r="M12" t="s">
        <v>55</v>
      </c>
      <c r="O12" t="s">
        <v>55</v>
      </c>
      <c r="P12" t="s">
        <v>68</v>
      </c>
      <c r="S12" t="s">
        <v>90</v>
      </c>
      <c r="AA12" s="8"/>
      <c r="AB12" t="str">
        <f t="shared" si="1"/>
        <v>SearchParameter-us-core-!example date search-date.html</v>
      </c>
    </row>
    <row r="13" spans="1:28" ht="19" customHeight="1" x14ac:dyDescent="0.2">
      <c r="A13">
        <v>12</v>
      </c>
      <c r="B13" t="s">
        <v>102</v>
      </c>
      <c r="C13" t="s">
        <v>87</v>
      </c>
      <c r="D13" t="s">
        <v>29</v>
      </c>
      <c r="E13" t="b">
        <v>0</v>
      </c>
      <c r="F13" s="1" t="s">
        <v>300</v>
      </c>
      <c r="G13" t="str">
        <f t="shared" si="0"/>
        <v>http://hl7.org/fhir/us/core/StructureDefinition/us-core-!example patient search</v>
      </c>
      <c r="H13" t="s">
        <v>55</v>
      </c>
      <c r="J13" t="s">
        <v>55</v>
      </c>
      <c r="K13" t="s">
        <v>88</v>
      </c>
      <c r="L13" t="str">
        <f t="shared" si="2"/>
        <v>!EXAMPLE PATIENT SEARCH.patient</v>
      </c>
      <c r="M13" t="s">
        <v>55</v>
      </c>
      <c r="O13" t="s">
        <v>55</v>
      </c>
      <c r="Y13" t="str">
        <f>"support searching for all "&amp;LOWER(B13)&amp;"s for a patient"</f>
        <v>support searching for all !example patient searchs for a patient</v>
      </c>
      <c r="Z13" s="4" t="str">
        <f>"GET [base]/"&amp;B13&amp;"?patient=1137192"</f>
        <v>GET [base]/!EXAMPLE PATIENT SEARCH?patient=1137192</v>
      </c>
      <c r="AA13" s="8" t="str">
        <f>"Fetches a bundle of all "&amp;B13&amp; " resources for the specified patient"</f>
        <v>Fetches a bundle of all !EXAMPLE PATIENT SEARCH resources for the specified patient</v>
      </c>
      <c r="AB13" t="str">
        <f t="shared" si="1"/>
        <v>SearchParameter-us-core-!example patient search-patient.html</v>
      </c>
    </row>
    <row r="14" spans="1:28" ht="19" customHeight="1" x14ac:dyDescent="0.2">
      <c r="A14">
        <v>13</v>
      </c>
      <c r="B14" t="s">
        <v>126</v>
      </c>
      <c r="C14" t="s">
        <v>60</v>
      </c>
      <c r="D14" t="s">
        <v>29</v>
      </c>
      <c r="E14" t="b">
        <v>0</v>
      </c>
      <c r="G14" t="str">
        <f t="shared" si="0"/>
        <v>http://hl7.org/fhir/us/core/StructureDefinition/us-core-!example status search</v>
      </c>
      <c r="H14" t="s">
        <v>55</v>
      </c>
      <c r="J14" t="s">
        <v>55</v>
      </c>
      <c r="K14" t="s">
        <v>56</v>
      </c>
      <c r="L14" t="str">
        <f t="shared" si="2"/>
        <v>!EXAMPLE STATUS SEARCH.status</v>
      </c>
      <c r="M14" t="s">
        <v>55</v>
      </c>
      <c r="O14" t="s">
        <v>55</v>
      </c>
      <c r="Y14" s="4"/>
      <c r="Z14" s="4"/>
      <c r="AA14" s="8"/>
      <c r="AB14" t="str">
        <f t="shared" si="1"/>
        <v>SearchParameter-us-core-!example status search-status.html</v>
      </c>
    </row>
    <row r="15" spans="1:28" ht="19" customHeight="1" x14ac:dyDescent="0.2">
      <c r="A15">
        <v>14</v>
      </c>
      <c r="B15" t="s">
        <v>401</v>
      </c>
      <c r="C15" t="s">
        <v>402</v>
      </c>
      <c r="D15" t="s">
        <v>29</v>
      </c>
      <c r="E15" t="b">
        <v>0</v>
      </c>
      <c r="F15" s="1" t="s">
        <v>301</v>
      </c>
      <c r="G15" t="str">
        <f t="shared" si="0"/>
        <v>http://hl7.org/fhir/us/core/StructureDefinition/us-core-!medicationdispense</v>
      </c>
      <c r="H15" t="s">
        <v>55</v>
      </c>
      <c r="J15" t="s">
        <v>55</v>
      </c>
      <c r="K15" t="s">
        <v>76</v>
      </c>
      <c r="L15" t="str">
        <f t="shared" si="2"/>
        <v>!MedicationDispense.whenHandedOver</v>
      </c>
      <c r="M15" t="s">
        <v>55</v>
      </c>
      <c r="O15" t="s">
        <v>55</v>
      </c>
      <c r="P15" t="s">
        <v>68</v>
      </c>
      <c r="S15" t="s">
        <v>90</v>
      </c>
      <c r="AA15" s="8"/>
      <c r="AB15" t="str">
        <f t="shared" si="1"/>
        <v>SearchParameter-us-core-!medicationdispense-whenhandedover.html</v>
      </c>
    </row>
    <row r="16" spans="1:28" ht="19" customHeight="1" x14ac:dyDescent="0.2">
      <c r="A16">
        <v>15</v>
      </c>
      <c r="B16" t="s">
        <v>249</v>
      </c>
      <c r="C16" t="s">
        <v>123</v>
      </c>
      <c r="D16" t="s">
        <v>29</v>
      </c>
      <c r="E16" t="b">
        <v>0</v>
      </c>
      <c r="F16" s="1" t="s">
        <v>301</v>
      </c>
      <c r="G16" t="str">
        <f t="shared" si="0"/>
        <v>http://hl7.org/fhir/us/core/StructureDefinition/us-core-!medicationstatement</v>
      </c>
      <c r="H16" t="s">
        <v>55</v>
      </c>
      <c r="J16" t="s">
        <v>55</v>
      </c>
      <c r="K16" t="s">
        <v>76</v>
      </c>
      <c r="L16" t="str">
        <f t="shared" si="2"/>
        <v>!MedicationStatement.effective</v>
      </c>
      <c r="M16" t="s">
        <v>55</v>
      </c>
      <c r="O16" t="s">
        <v>55</v>
      </c>
      <c r="P16" s="10" t="s">
        <v>68</v>
      </c>
      <c r="S16" t="s">
        <v>90</v>
      </c>
      <c r="AA16" s="8"/>
      <c r="AB16" t="str">
        <f t="shared" si="1"/>
        <v>SearchParameter-us-core-!medicationstatement-effective.html</v>
      </c>
    </row>
    <row r="17" spans="1:28" ht="19" customHeight="1" x14ac:dyDescent="0.2">
      <c r="A17">
        <v>16</v>
      </c>
      <c r="B17" t="s">
        <v>249</v>
      </c>
      <c r="C17" t="s">
        <v>87</v>
      </c>
      <c r="D17" t="s">
        <v>12</v>
      </c>
      <c r="E17" t="b">
        <v>1</v>
      </c>
      <c r="F17" s="1" t="s">
        <v>300</v>
      </c>
      <c r="G17" t="str">
        <f t="shared" si="0"/>
        <v>http://hl7.org/fhir/us/core/StructureDefinition/us-core-!medicationstatement</v>
      </c>
      <c r="H17" t="s">
        <v>55</v>
      </c>
      <c r="J17" t="s">
        <v>55</v>
      </c>
      <c r="K17" t="s">
        <v>88</v>
      </c>
      <c r="L17" t="str">
        <f t="shared" si="2"/>
        <v>!MedicationStatement.patient</v>
      </c>
      <c r="M17" t="s">
        <v>55</v>
      </c>
      <c r="O17" t="s">
        <v>55</v>
      </c>
      <c r="X17" s="6"/>
      <c r="Y17" t="s">
        <v>121</v>
      </c>
      <c r="Z17" s="8" t="s">
        <v>169</v>
      </c>
      <c r="AA17" s="8" t="str">
        <f>"Fetches a bundle of all "&amp;B17&amp; " resources for the specified patient.W63+X63 Mandatory for client to support the _include parameter. Optional for server to support the _include parameter."</f>
        <v>Fetches a bundle of all !MedicationStatement resources for the specified patient.W63+X63 Mandatory for client to support the _include parameter. Optional for server to support the _include parameter.</v>
      </c>
      <c r="AB17" t="str">
        <f t="shared" si="1"/>
        <v>SearchParameter-us-core-!medicationstatement-patient.html</v>
      </c>
    </row>
    <row r="18" spans="1:28" ht="19" customHeight="1" x14ac:dyDescent="0.2">
      <c r="A18">
        <v>17</v>
      </c>
      <c r="B18" t="s">
        <v>249</v>
      </c>
      <c r="C18" t="s">
        <v>60</v>
      </c>
      <c r="D18" t="s">
        <v>29</v>
      </c>
      <c r="E18" t="b">
        <v>0</v>
      </c>
      <c r="F18" s="1" t="s">
        <v>303</v>
      </c>
      <c r="G18" t="str">
        <f t="shared" si="0"/>
        <v>http://hl7.org/fhir/us/core/StructureDefinition/us-core-!medicationstatement</v>
      </c>
      <c r="H18" t="s">
        <v>55</v>
      </c>
      <c r="J18" t="s">
        <v>55</v>
      </c>
      <c r="K18" t="s">
        <v>56</v>
      </c>
      <c r="L18" t="str">
        <f t="shared" si="2"/>
        <v>!MedicationStatement.status</v>
      </c>
      <c r="M18" t="s">
        <v>55</v>
      </c>
      <c r="N18" t="s">
        <v>12</v>
      </c>
      <c r="O18" t="s">
        <v>55</v>
      </c>
      <c r="Y18" s="4"/>
      <c r="Z18" s="4"/>
      <c r="AA18" s="8"/>
      <c r="AB18" t="str">
        <f t="shared" si="1"/>
        <v>SearchParameter-us-core-!medicationstatement-status.html</v>
      </c>
    </row>
    <row r="19" spans="1:28" ht="19" customHeight="1" x14ac:dyDescent="0.2">
      <c r="A19">
        <v>18</v>
      </c>
      <c r="B19" t="s">
        <v>146</v>
      </c>
      <c r="C19" t="s">
        <v>131</v>
      </c>
      <c r="D19" t="s">
        <v>68</v>
      </c>
      <c r="E19" t="b">
        <v>1</v>
      </c>
      <c r="G19" t="str">
        <f t="shared" si="0"/>
        <v>http://hl7.org/fhir/us/core/StructureDefinition/us-core-!organization</v>
      </c>
      <c r="H19" t="s">
        <v>55</v>
      </c>
      <c r="J19" t="s">
        <v>55</v>
      </c>
      <c r="K19" t="s">
        <v>62</v>
      </c>
      <c r="L19" t="str">
        <f t="shared" si="2"/>
        <v>!Organization.address-city</v>
      </c>
      <c r="M19" t="s">
        <v>55</v>
      </c>
      <c r="O19" t="s">
        <v>55</v>
      </c>
      <c r="Y19" t="s">
        <v>143</v>
      </c>
      <c r="Z19" s="4" t="str">
        <f>"GET [base]/"&amp;B19&amp;"?address-city=Ann Arbor"</f>
        <v>GET [base]/!Organization?address-city=Ann Arbor</v>
      </c>
      <c r="AA19" s="8" t="str">
        <f>"Fetches a bundle of all "&amp;B19&amp; " resources for the city"</f>
        <v>Fetches a bundle of all !Organization resources for the city</v>
      </c>
      <c r="AB19" t="str">
        <f t="shared" si="1"/>
        <v>SearchParameter-us-core-!organization-address-city.html</v>
      </c>
    </row>
    <row r="20" spans="1:28" ht="19" customHeight="1" x14ac:dyDescent="0.2">
      <c r="A20">
        <v>19</v>
      </c>
      <c r="B20" t="s">
        <v>146</v>
      </c>
      <c r="C20" t="s">
        <v>133</v>
      </c>
      <c r="D20" t="s">
        <v>68</v>
      </c>
      <c r="E20" t="b">
        <v>1</v>
      </c>
      <c r="G20" t="str">
        <f t="shared" si="0"/>
        <v>http://hl7.org/fhir/us/core/StructureDefinition/us-core-!organization</v>
      </c>
      <c r="H20" t="s">
        <v>55</v>
      </c>
      <c r="J20" t="s">
        <v>55</v>
      </c>
      <c r="K20" t="s">
        <v>62</v>
      </c>
      <c r="L20" t="str">
        <f t="shared" si="2"/>
        <v>!Organization.address-postalcode</v>
      </c>
      <c r="M20" t="s">
        <v>55</v>
      </c>
      <c r="O20" t="s">
        <v>55</v>
      </c>
      <c r="Y20" t="s">
        <v>145</v>
      </c>
      <c r="Z20" s="4" t="str">
        <f>"GET [base]/"&amp;B20&amp;"?address-postalcode=48104"</f>
        <v>GET [base]/!Organization?address-postalcode=48104</v>
      </c>
      <c r="AA20" s="8" t="str">
        <f>"Fetches a bundle of all "&amp;B20&amp; " resources for the ZIP code"</f>
        <v>Fetches a bundle of all !Organization resources for the ZIP code</v>
      </c>
      <c r="AB20" t="str">
        <f t="shared" si="1"/>
        <v>SearchParameter-us-core-!organization-address-postalcode.html</v>
      </c>
    </row>
    <row r="21" spans="1:28" ht="19" customHeight="1" x14ac:dyDescent="0.2">
      <c r="A21">
        <v>20</v>
      </c>
      <c r="B21" t="s">
        <v>146</v>
      </c>
      <c r="C21" t="s">
        <v>132</v>
      </c>
      <c r="D21" t="s">
        <v>68</v>
      </c>
      <c r="E21" t="b">
        <v>1</v>
      </c>
      <c r="G21" t="str">
        <f t="shared" si="0"/>
        <v>http://hl7.org/fhir/us/core/StructureDefinition/us-core-!organization</v>
      </c>
      <c r="H21" t="s">
        <v>55</v>
      </c>
      <c r="J21" t="s">
        <v>55</v>
      </c>
      <c r="K21" t="s">
        <v>62</v>
      </c>
      <c r="L21" t="str">
        <f t="shared" si="2"/>
        <v>!Organization.adress-state</v>
      </c>
      <c r="M21" t="s">
        <v>55</v>
      </c>
      <c r="O21" t="s">
        <v>55</v>
      </c>
      <c r="Y21" t="s">
        <v>144</v>
      </c>
      <c r="Z21" s="4" t="str">
        <f>"GET [base]/"&amp;B21&amp;"?address-state=MI"</f>
        <v>GET [base]/!Organization?address-state=MI</v>
      </c>
      <c r="AA21" s="8" t="str">
        <f>"Fetches a bundle of all "&amp;B21&amp; " resources for the state"</f>
        <v>Fetches a bundle of all !Organization resources for the state</v>
      </c>
      <c r="AB21" t="str">
        <f t="shared" si="1"/>
        <v>SearchParameter-us-core-!organization-adress-state.html</v>
      </c>
    </row>
    <row r="22" spans="1:28" ht="19" customHeight="1" x14ac:dyDescent="0.2">
      <c r="A22">
        <v>21</v>
      </c>
      <c r="B22" t="s">
        <v>82</v>
      </c>
      <c r="C22" s="5" t="s">
        <v>83</v>
      </c>
      <c r="D22" t="s">
        <v>29</v>
      </c>
      <c r="E22" t="b">
        <v>0</v>
      </c>
      <c r="G22" t="str">
        <f t="shared" si="0"/>
        <v>http://hl7.org/fhir/us/core/StructureDefinition/us-core-!patient</v>
      </c>
      <c r="H22" t="s">
        <v>55</v>
      </c>
      <c r="J22" t="s">
        <v>55</v>
      </c>
      <c r="K22" t="s">
        <v>62</v>
      </c>
      <c r="L22" t="str">
        <f t="shared" si="2"/>
        <v>!Patient.address</v>
      </c>
      <c r="M22" t="s">
        <v>55</v>
      </c>
      <c r="O22" t="s">
        <v>55</v>
      </c>
      <c r="Y22" t="s">
        <v>117</v>
      </c>
      <c r="Z22" s="4" t="s">
        <v>84</v>
      </c>
      <c r="AA22" s="8"/>
      <c r="AB22" t="str">
        <f t="shared" si="1"/>
        <v>SearchParameter-us-core-!patient-address.html</v>
      </c>
    </row>
    <row r="23" spans="1:28" ht="19" customHeight="1" x14ac:dyDescent="0.2">
      <c r="A23">
        <v>22</v>
      </c>
      <c r="B23" t="s">
        <v>82</v>
      </c>
      <c r="C23" t="s">
        <v>85</v>
      </c>
      <c r="D23" t="s">
        <v>29</v>
      </c>
      <c r="E23" t="b">
        <v>0</v>
      </c>
      <c r="G23" t="str">
        <f t="shared" si="0"/>
        <v>http://hl7.org/fhir/us/core/StructureDefinition/us-core-!patient</v>
      </c>
      <c r="H23" t="s">
        <v>55</v>
      </c>
      <c r="J23" t="s">
        <v>55</v>
      </c>
      <c r="K23" t="s">
        <v>62</v>
      </c>
      <c r="L23" t="str">
        <f t="shared" si="2"/>
        <v>!Patient.telecom</v>
      </c>
      <c r="M23" t="s">
        <v>55</v>
      </c>
      <c r="O23" t="s">
        <v>55</v>
      </c>
      <c r="Y23" t="s">
        <v>118</v>
      </c>
      <c r="Z23" t="s">
        <v>86</v>
      </c>
      <c r="AA23" s="8"/>
      <c r="AB23" t="str">
        <f t="shared" si="1"/>
        <v>SearchParameter-us-core-!patient-telecom.html</v>
      </c>
    </row>
    <row r="24" spans="1:28" ht="19" customHeight="1" x14ac:dyDescent="0.2">
      <c r="A24">
        <v>23</v>
      </c>
      <c r="B24" t="s">
        <v>82</v>
      </c>
      <c r="C24" t="s">
        <v>404</v>
      </c>
      <c r="D24" t="s">
        <v>29</v>
      </c>
      <c r="E24" t="b">
        <v>0</v>
      </c>
      <c r="G24" t="str">
        <f t="shared" si="0"/>
        <v>http://hl7.org/fhir/us/core/StructureDefinition/us-core-!patient</v>
      </c>
      <c r="H24" t="s">
        <v>57</v>
      </c>
      <c r="J24" t="s">
        <v>55</v>
      </c>
      <c r="K24" t="s">
        <v>56</v>
      </c>
      <c r="L24" t="s">
        <v>405</v>
      </c>
      <c r="M24" t="s">
        <v>55</v>
      </c>
      <c r="O24" t="s">
        <v>55</v>
      </c>
      <c r="Y24" s="4" t="s">
        <v>406</v>
      </c>
      <c r="Z24" t="s">
        <v>407</v>
      </c>
      <c r="AA24" s="8" t="str">
        <f>"Fetches a bundle of all "&amp;B24&amp;" resources matching the name"</f>
        <v>Fetches a bundle of all !Patient resources matching the name</v>
      </c>
      <c r="AB24" t="str">
        <f t="shared" si="1"/>
        <v>SearchParameter-us-core-!patient-tribal-affiliation.html</v>
      </c>
    </row>
    <row r="25" spans="1:28" ht="19" customHeight="1" x14ac:dyDescent="0.2">
      <c r="A25">
        <v>24</v>
      </c>
      <c r="B25" t="s">
        <v>437</v>
      </c>
      <c r="C25" t="s">
        <v>373</v>
      </c>
      <c r="D25" t="s">
        <v>29</v>
      </c>
      <c r="E25" t="b">
        <v>0</v>
      </c>
      <c r="F25" s="1" t="s">
        <v>303</v>
      </c>
      <c r="G25" t="str">
        <f t="shared" si="0"/>
        <v>http://hl7.org/fhir/us/core/StructureDefinition/us-core-!questionnaireresponse</v>
      </c>
      <c r="H25" t="s">
        <v>55</v>
      </c>
      <c r="J25" t="s">
        <v>55</v>
      </c>
      <c r="K25" t="s">
        <v>56</v>
      </c>
      <c r="L25" t="s">
        <v>417</v>
      </c>
      <c r="M25" t="s">
        <v>55</v>
      </c>
      <c r="O25" t="s">
        <v>55</v>
      </c>
      <c r="Y25" s="18" t="s">
        <v>418</v>
      </c>
      <c r="AB25" t="str">
        <f t="shared" si="1"/>
        <v>SearchParameter-us-core-!questionnaireresponse-tag.html</v>
      </c>
    </row>
    <row r="26" spans="1:28" ht="19" customHeight="1" x14ac:dyDescent="0.2">
      <c r="A26">
        <v>25</v>
      </c>
      <c r="B26" t="s">
        <v>19</v>
      </c>
      <c r="C26" t="s">
        <v>93</v>
      </c>
      <c r="D26" t="s">
        <v>29</v>
      </c>
      <c r="E26" t="b">
        <v>0</v>
      </c>
      <c r="F26" s="1" t="s">
        <v>303</v>
      </c>
      <c r="G26" t="str">
        <f t="shared" si="0"/>
        <v>http://hl7.org/fhir/us/core/StructureDefinition/us-core-allergyintolerance</v>
      </c>
      <c r="H26" t="s">
        <v>55</v>
      </c>
      <c r="J26" t="s">
        <v>55</v>
      </c>
      <c r="K26" t="s">
        <v>56</v>
      </c>
      <c r="L26" t="str">
        <f t="shared" ref="L26:L54" si="3">B26&amp;"."&amp;C26</f>
        <v>AllergyIntolerance.clinical-status</v>
      </c>
      <c r="M26" t="s">
        <v>55</v>
      </c>
      <c r="O26" t="s">
        <v>55</v>
      </c>
      <c r="Z26" s="4"/>
      <c r="AA26" s="8"/>
      <c r="AB26" t="str">
        <f t="shared" si="1"/>
        <v>SearchParameter-us-core-allergyintolerance-clinical-status.html</v>
      </c>
    </row>
    <row r="27" spans="1:28" ht="19" customHeight="1" x14ac:dyDescent="0.2">
      <c r="A27">
        <v>26</v>
      </c>
      <c r="B27" t="s">
        <v>19</v>
      </c>
      <c r="C27" t="s">
        <v>87</v>
      </c>
      <c r="D27" t="s">
        <v>12</v>
      </c>
      <c r="E27" t="b">
        <v>1</v>
      </c>
      <c r="F27" s="1" t="s">
        <v>300</v>
      </c>
      <c r="G27" t="str">
        <f t="shared" si="0"/>
        <v>http://hl7.org/fhir/us/core/StructureDefinition/us-core-allergyintolerance</v>
      </c>
      <c r="H27" t="s">
        <v>55</v>
      </c>
      <c r="J27" t="s">
        <v>55</v>
      </c>
      <c r="K27" t="s">
        <v>88</v>
      </c>
      <c r="L27" t="str">
        <f t="shared" si="3"/>
        <v>AllergyIntolerance.patient</v>
      </c>
      <c r="M27" t="s">
        <v>55</v>
      </c>
      <c r="O27" t="s">
        <v>55</v>
      </c>
      <c r="Y27" t="s">
        <v>72</v>
      </c>
      <c r="Z27" s="4" t="str">
        <f>"GET [base]/"&amp;B27&amp;"?patient=1137192"</f>
        <v>GET [base]/AllergyIntolerance?patient=1137192</v>
      </c>
      <c r="AA27" s="8" t="str">
        <f>"Fetches a bundle of all "&amp;B27&amp; " resources for the specified patient"</f>
        <v>Fetches a bundle of all AllergyIntolerance resources for the specified patient</v>
      </c>
      <c r="AB27" t="str">
        <f t="shared" si="1"/>
        <v>SearchParameter-us-core-allergyintolerance-patient.html</v>
      </c>
    </row>
    <row r="28" spans="1:28" ht="19" customHeight="1" x14ac:dyDescent="0.2">
      <c r="A28">
        <v>27</v>
      </c>
      <c r="B28" t="s">
        <v>125</v>
      </c>
      <c r="C28" t="s">
        <v>94</v>
      </c>
      <c r="D28" t="s">
        <v>29</v>
      </c>
      <c r="E28" t="b">
        <v>0</v>
      </c>
      <c r="F28" s="1" t="s">
        <v>303</v>
      </c>
      <c r="G28" t="str">
        <f t="shared" si="0"/>
        <v>http://hl7.org/fhir/us/core/StructureDefinition/us-core-careplan</v>
      </c>
      <c r="H28" t="s">
        <v>55</v>
      </c>
      <c r="J28" t="s">
        <v>55</v>
      </c>
      <c r="K28" t="s">
        <v>56</v>
      </c>
      <c r="L28" t="str">
        <f t="shared" si="3"/>
        <v>CarePlan.category</v>
      </c>
      <c r="M28" t="s">
        <v>55</v>
      </c>
      <c r="O28" t="s">
        <v>55</v>
      </c>
      <c r="Y28" s="4"/>
      <c r="Z28" s="4"/>
      <c r="AA28" s="8"/>
      <c r="AB28" t="str">
        <f t="shared" si="1"/>
        <v>SearchParameter-us-core-careplan-category.html</v>
      </c>
    </row>
    <row r="29" spans="1:28" ht="19" customHeight="1" x14ac:dyDescent="0.2">
      <c r="A29">
        <v>28</v>
      </c>
      <c r="B29" t="s">
        <v>125</v>
      </c>
      <c r="C29" t="s">
        <v>76</v>
      </c>
      <c r="D29" t="s">
        <v>29</v>
      </c>
      <c r="E29" t="b">
        <v>0</v>
      </c>
      <c r="F29" s="1" t="s">
        <v>301</v>
      </c>
      <c r="G29" t="str">
        <f t="shared" si="0"/>
        <v>http://hl7.org/fhir/us/core/StructureDefinition/us-core-careplan</v>
      </c>
      <c r="H29" t="s">
        <v>55</v>
      </c>
      <c r="J29" t="s">
        <v>55</v>
      </c>
      <c r="K29" t="s">
        <v>76</v>
      </c>
      <c r="L29" t="str">
        <f t="shared" si="3"/>
        <v>CarePlan.date</v>
      </c>
      <c r="M29" t="s">
        <v>55</v>
      </c>
      <c r="O29" t="s">
        <v>55</v>
      </c>
      <c r="P29" t="s">
        <v>68</v>
      </c>
      <c r="S29" t="s">
        <v>90</v>
      </c>
      <c r="AA29" s="8"/>
      <c r="AB29" t="str">
        <f t="shared" si="1"/>
        <v>SearchParameter-us-core-careplan-date.html</v>
      </c>
    </row>
    <row r="30" spans="1:28" ht="19" customHeight="1" x14ac:dyDescent="0.2">
      <c r="A30">
        <v>29</v>
      </c>
      <c r="B30" t="s">
        <v>125</v>
      </c>
      <c r="C30" t="s">
        <v>87</v>
      </c>
      <c r="D30" t="s">
        <v>29</v>
      </c>
      <c r="E30" t="b">
        <v>0</v>
      </c>
      <c r="F30" s="1" t="s">
        <v>300</v>
      </c>
      <c r="G30" t="str">
        <f t="shared" si="0"/>
        <v>http://hl7.org/fhir/us/core/StructureDefinition/us-core-careplan</v>
      </c>
      <c r="H30" t="s">
        <v>55</v>
      </c>
      <c r="J30" t="s">
        <v>55</v>
      </c>
      <c r="K30" t="s">
        <v>88</v>
      </c>
      <c r="L30" t="str">
        <f t="shared" si="3"/>
        <v>CarePlan.patient</v>
      </c>
      <c r="M30" t="s">
        <v>55</v>
      </c>
      <c r="O30" t="s">
        <v>55</v>
      </c>
      <c r="Y30" t="str">
        <f>"support searching for all "&amp;LOWER(B30)&amp;"s for a patient"</f>
        <v>support searching for all careplans for a patient</v>
      </c>
      <c r="Z30" s="4" t="str">
        <f>"GET [base]/"&amp;B30&amp;"?patient=1137192"</f>
        <v>GET [base]/CarePlan?patient=1137192</v>
      </c>
      <c r="AA30" s="8" t="str">
        <f>"Fetches a bundle of all "&amp;B30&amp; " resources for the specified patient"</f>
        <v>Fetches a bundle of all CarePlan resources for the specified patient</v>
      </c>
      <c r="AB30" t="str">
        <f t="shared" si="1"/>
        <v>SearchParameter-us-core-careplan-patient.html</v>
      </c>
    </row>
    <row r="31" spans="1:28" ht="19" customHeight="1" x14ac:dyDescent="0.2">
      <c r="A31">
        <v>30</v>
      </c>
      <c r="B31" t="s">
        <v>125</v>
      </c>
      <c r="C31" t="s">
        <v>60</v>
      </c>
      <c r="D31" t="s">
        <v>29</v>
      </c>
      <c r="E31" t="b">
        <v>0</v>
      </c>
      <c r="F31" s="1" t="s">
        <v>303</v>
      </c>
      <c r="G31" t="str">
        <f t="shared" si="0"/>
        <v>http://hl7.org/fhir/us/core/StructureDefinition/us-core-careplan</v>
      </c>
      <c r="H31" t="s">
        <v>55</v>
      </c>
      <c r="J31" t="s">
        <v>55</v>
      </c>
      <c r="K31" t="s">
        <v>56</v>
      </c>
      <c r="L31" t="str">
        <f t="shared" si="3"/>
        <v>CarePlan.status</v>
      </c>
      <c r="M31" t="s">
        <v>55</v>
      </c>
      <c r="N31" t="s">
        <v>12</v>
      </c>
      <c r="O31" t="s">
        <v>55</v>
      </c>
      <c r="Y31" s="4"/>
      <c r="Z31" s="4"/>
      <c r="AA31" s="8"/>
      <c r="AB31" t="str">
        <f t="shared" si="1"/>
        <v>SearchParameter-us-core-careplan-status.html</v>
      </c>
    </row>
    <row r="32" spans="1:28" ht="19" customHeight="1" x14ac:dyDescent="0.2">
      <c r="A32">
        <v>31</v>
      </c>
      <c r="B32" t="s">
        <v>128</v>
      </c>
      <c r="C32" t="s">
        <v>87</v>
      </c>
      <c r="D32" t="s">
        <v>29</v>
      </c>
      <c r="E32" t="b">
        <v>0</v>
      </c>
      <c r="F32" s="1" t="s">
        <v>300</v>
      </c>
      <c r="G32" t="str">
        <f t="shared" si="0"/>
        <v>http://hl7.org/fhir/us/core/StructureDefinition/us-core-careteam</v>
      </c>
      <c r="H32" t="s">
        <v>55</v>
      </c>
      <c r="J32" t="s">
        <v>55</v>
      </c>
      <c r="K32" t="s">
        <v>88</v>
      </c>
      <c r="L32" t="str">
        <f t="shared" si="3"/>
        <v>CareTeam.patient</v>
      </c>
      <c r="M32" t="s">
        <v>55</v>
      </c>
      <c r="O32" t="s">
        <v>55</v>
      </c>
      <c r="X32" t="s">
        <v>335</v>
      </c>
      <c r="Y32" t="str">
        <f>"support searching for all "&amp;LOWER(B32)&amp;"s for a patient"</f>
        <v>support searching for all careteams for a patient</v>
      </c>
      <c r="Z32" s="4" t="str">
        <f>"GET [base]/"&amp;B32&amp;"?name=Shaw"</f>
        <v>GET [base]/CareTeam?name=Shaw</v>
      </c>
      <c r="AA32" s="8" t="str">
        <f>"Fetches a bundle of all "&amp;B32&amp; " resources for the specified patient"</f>
        <v>Fetches a bundle of all CareTeam resources for the specified patient</v>
      </c>
      <c r="AB32" t="str">
        <f t="shared" si="1"/>
        <v>SearchParameter-us-core-careteam-patient.html</v>
      </c>
    </row>
    <row r="33" spans="1:28" ht="19" customHeight="1" x14ac:dyDescent="0.2">
      <c r="A33">
        <v>32</v>
      </c>
      <c r="B33" t="s">
        <v>128</v>
      </c>
      <c r="C33" t="s">
        <v>333</v>
      </c>
      <c r="D33" t="s">
        <v>68</v>
      </c>
      <c r="E33" t="b">
        <v>0</v>
      </c>
      <c r="F33" s="1" t="s">
        <v>303</v>
      </c>
      <c r="G33" t="str">
        <f t="shared" si="0"/>
        <v>http://hl7.org/fhir/us/core/StructureDefinition/us-core-careteam</v>
      </c>
      <c r="H33" t="s">
        <v>57</v>
      </c>
      <c r="J33" t="s">
        <v>55</v>
      </c>
      <c r="K33" t="s">
        <v>56</v>
      </c>
      <c r="L33" t="str">
        <f t="shared" si="3"/>
        <v>CareTeam.role</v>
      </c>
      <c r="M33" t="s">
        <v>55</v>
      </c>
      <c r="N33" t="s">
        <v>68</v>
      </c>
      <c r="O33" t="s">
        <v>55</v>
      </c>
      <c r="Y33" s="4" t="s">
        <v>334</v>
      </c>
      <c r="Z33" s="4" t="str">
        <f>"GET [base]/"&amp;B33&amp;"?"&amp;C33&amp;"=http://snomed.info/sct\|17561000"</f>
        <v>GET [base]/CareTeam?role=http://snomed.info/sct\|17561000</v>
      </c>
      <c r="AA33" s="8"/>
      <c r="AB33" t="str">
        <f t="shared" si="1"/>
        <v>SearchParameter-us-core-careteam-role.html</v>
      </c>
    </row>
    <row r="34" spans="1:28" ht="19" customHeight="1" x14ac:dyDescent="0.2">
      <c r="A34">
        <v>33</v>
      </c>
      <c r="B34" t="s">
        <v>128</v>
      </c>
      <c r="C34" t="s">
        <v>60</v>
      </c>
      <c r="D34" t="s">
        <v>29</v>
      </c>
      <c r="E34" t="b">
        <v>0</v>
      </c>
      <c r="F34" s="1" t="s">
        <v>303</v>
      </c>
      <c r="G34" t="str">
        <f t="shared" ref="G34:G68" si="4">"http://hl7.org/fhir/us/core/StructureDefinition/us-core-"&amp;LOWER(B34)</f>
        <v>http://hl7.org/fhir/us/core/StructureDefinition/us-core-careteam</v>
      </c>
      <c r="H34" t="s">
        <v>55</v>
      </c>
      <c r="J34" t="s">
        <v>55</v>
      </c>
      <c r="K34" t="s">
        <v>56</v>
      </c>
      <c r="L34" t="str">
        <f t="shared" si="3"/>
        <v>CareTeam.status</v>
      </c>
      <c r="M34" t="s">
        <v>55</v>
      </c>
      <c r="N34" t="s">
        <v>68</v>
      </c>
      <c r="O34" t="s">
        <v>55</v>
      </c>
      <c r="Y34" s="4"/>
      <c r="Z34" s="4"/>
      <c r="AA34" s="8"/>
      <c r="AB34" t="str">
        <f t="shared" si="1"/>
        <v>SearchParameter-us-core-careteam-status.html</v>
      </c>
    </row>
    <row r="35" spans="1:28" ht="19" customHeight="1" x14ac:dyDescent="0.2">
      <c r="A35">
        <v>34</v>
      </c>
      <c r="B35" t="s">
        <v>92</v>
      </c>
      <c r="C35" t="s">
        <v>328</v>
      </c>
      <c r="D35" t="s">
        <v>29</v>
      </c>
      <c r="E35" t="b">
        <v>0</v>
      </c>
      <c r="F35" s="1" t="s">
        <v>301</v>
      </c>
      <c r="G35" t="str">
        <f t="shared" si="4"/>
        <v>http://hl7.org/fhir/us/core/StructureDefinition/us-core-condition</v>
      </c>
      <c r="H35" t="s">
        <v>55</v>
      </c>
      <c r="J35" t="s">
        <v>55</v>
      </c>
      <c r="K35" t="s">
        <v>76</v>
      </c>
      <c r="L35" t="str">
        <f t="shared" si="3"/>
        <v>Condition.abatement-date</v>
      </c>
      <c r="M35" t="s">
        <v>55</v>
      </c>
      <c r="O35" t="s">
        <v>55</v>
      </c>
      <c r="P35" t="s">
        <v>68</v>
      </c>
      <c r="S35" t="s">
        <v>90</v>
      </c>
      <c r="AA35" s="8"/>
      <c r="AB35" t="str">
        <f t="shared" si="1"/>
        <v>SearchParameter-us-core-condition-abatement-date.html</v>
      </c>
    </row>
    <row r="36" spans="1:28" ht="19" customHeight="1" x14ac:dyDescent="0.2">
      <c r="A36">
        <v>35</v>
      </c>
      <c r="B36" t="s">
        <v>92</v>
      </c>
      <c r="C36" t="s">
        <v>326</v>
      </c>
      <c r="D36" t="s">
        <v>29</v>
      </c>
      <c r="E36" t="b">
        <v>0</v>
      </c>
      <c r="F36" s="1" t="s">
        <v>301</v>
      </c>
      <c r="G36" t="str">
        <f t="shared" si="4"/>
        <v>http://hl7.org/fhir/us/core/StructureDefinition/us-core-condition</v>
      </c>
      <c r="H36" t="s">
        <v>57</v>
      </c>
      <c r="J36" t="s">
        <v>55</v>
      </c>
      <c r="K36" t="s">
        <v>76</v>
      </c>
      <c r="L36" t="str">
        <f t="shared" si="3"/>
        <v>Condition.asserted-date</v>
      </c>
      <c r="M36" t="s">
        <v>55</v>
      </c>
      <c r="O36" t="s">
        <v>55</v>
      </c>
      <c r="P36" t="s">
        <v>68</v>
      </c>
      <c r="S36" t="s">
        <v>90</v>
      </c>
      <c r="AA36" s="8"/>
      <c r="AB36" t="str">
        <f t="shared" si="1"/>
        <v>SearchParameter-us-core-condition-asserted-date.html</v>
      </c>
    </row>
    <row r="37" spans="1:28" ht="19" customHeight="1" x14ac:dyDescent="0.2">
      <c r="A37">
        <v>36</v>
      </c>
      <c r="B37" t="s">
        <v>92</v>
      </c>
      <c r="C37" t="s">
        <v>94</v>
      </c>
      <c r="D37" t="s">
        <v>29</v>
      </c>
      <c r="E37" t="b">
        <v>0</v>
      </c>
      <c r="F37" s="1" t="s">
        <v>303</v>
      </c>
      <c r="G37" t="str">
        <f t="shared" si="4"/>
        <v>http://hl7.org/fhir/us/core/StructureDefinition/us-core-condition</v>
      </c>
      <c r="H37" t="s">
        <v>55</v>
      </c>
      <c r="J37" t="s">
        <v>55</v>
      </c>
      <c r="K37" t="s">
        <v>56</v>
      </c>
      <c r="L37" t="str">
        <f t="shared" si="3"/>
        <v>Condition.category</v>
      </c>
      <c r="M37" t="s">
        <v>55</v>
      </c>
      <c r="O37" t="s">
        <v>55</v>
      </c>
      <c r="Y37" s="4"/>
      <c r="Z37" s="4"/>
      <c r="AA37" s="8"/>
      <c r="AB37" t="str">
        <f t="shared" si="1"/>
        <v>SearchParameter-us-core-condition-category.html</v>
      </c>
    </row>
    <row r="38" spans="1:28" ht="19" customHeight="1" x14ac:dyDescent="0.2">
      <c r="A38">
        <v>37</v>
      </c>
      <c r="B38" t="s">
        <v>92</v>
      </c>
      <c r="C38" t="s">
        <v>93</v>
      </c>
      <c r="D38" t="s">
        <v>29</v>
      </c>
      <c r="E38" t="b">
        <v>0</v>
      </c>
      <c r="F38" s="1" t="s">
        <v>303</v>
      </c>
      <c r="G38" t="str">
        <f t="shared" si="4"/>
        <v>http://hl7.org/fhir/us/core/StructureDefinition/us-core-condition</v>
      </c>
      <c r="H38" t="s">
        <v>55</v>
      </c>
      <c r="J38" t="s">
        <v>55</v>
      </c>
      <c r="K38" t="s">
        <v>56</v>
      </c>
      <c r="L38" t="str">
        <f t="shared" si="3"/>
        <v>Condition.clinical-status</v>
      </c>
      <c r="M38" t="s">
        <v>55</v>
      </c>
      <c r="O38" t="s">
        <v>55</v>
      </c>
      <c r="AA38" s="8"/>
      <c r="AB38" t="str">
        <f t="shared" si="1"/>
        <v>SearchParameter-us-core-condition-clinical-status.html</v>
      </c>
    </row>
    <row r="39" spans="1:28" ht="19" customHeight="1" x14ac:dyDescent="0.2">
      <c r="A39">
        <v>38</v>
      </c>
      <c r="B39" t="s">
        <v>92</v>
      </c>
      <c r="C39" t="s">
        <v>25</v>
      </c>
      <c r="D39" t="s">
        <v>29</v>
      </c>
      <c r="E39" t="b">
        <v>0</v>
      </c>
      <c r="F39" s="1" t="s">
        <v>303</v>
      </c>
      <c r="G39" t="str">
        <f t="shared" si="4"/>
        <v>http://hl7.org/fhir/us/core/StructureDefinition/us-core-condition</v>
      </c>
      <c r="H39" t="s">
        <v>55</v>
      </c>
      <c r="J39" t="s">
        <v>55</v>
      </c>
      <c r="K39" t="s">
        <v>56</v>
      </c>
      <c r="L39" t="str">
        <f t="shared" si="3"/>
        <v>Condition.code</v>
      </c>
      <c r="M39" t="s">
        <v>55</v>
      </c>
      <c r="O39" t="s">
        <v>55</v>
      </c>
      <c r="Y39" s="4"/>
      <c r="Z39" s="4"/>
      <c r="AA39" s="8"/>
      <c r="AB39" t="str">
        <f t="shared" si="1"/>
        <v>SearchParameter-us-core-condition-code.html</v>
      </c>
    </row>
    <row r="40" spans="1:28" ht="19" customHeight="1" x14ac:dyDescent="0.2">
      <c r="A40">
        <v>39</v>
      </c>
      <c r="B40" t="s">
        <v>92</v>
      </c>
      <c r="C40" t="s">
        <v>242</v>
      </c>
      <c r="D40" t="s">
        <v>29</v>
      </c>
      <c r="E40" t="b">
        <v>0</v>
      </c>
      <c r="F40" s="1" t="s">
        <v>300</v>
      </c>
      <c r="G40" t="str">
        <f t="shared" si="4"/>
        <v>http://hl7.org/fhir/us/core/StructureDefinition/us-core-condition</v>
      </c>
      <c r="H40" t="s">
        <v>55</v>
      </c>
      <c r="J40" t="s">
        <v>55</v>
      </c>
      <c r="K40" t="s">
        <v>88</v>
      </c>
      <c r="L40" t="str">
        <f t="shared" si="3"/>
        <v>Condition.encounter</v>
      </c>
      <c r="M40" t="s">
        <v>55</v>
      </c>
      <c r="O40" t="s">
        <v>55</v>
      </c>
      <c r="Y40" t="s">
        <v>329</v>
      </c>
      <c r="Z40" s="4" t="str">
        <f>"GET [base]/"&amp;B40&amp;"?patient=1137192"</f>
        <v>GET [base]/Condition?patient=1137192</v>
      </c>
      <c r="AA40" s="8" t="str">
        <f>"Fetches a bundle of all "&amp;B40&amp; " resources for the specified patient"</f>
        <v>Fetches a bundle of all Condition resources for the specified patient</v>
      </c>
      <c r="AB40" t="str">
        <f t="shared" si="1"/>
        <v>SearchParameter-us-core-condition-encounter.html</v>
      </c>
    </row>
    <row r="41" spans="1:28" ht="19" customHeight="1" x14ac:dyDescent="0.2">
      <c r="A41">
        <v>40</v>
      </c>
      <c r="B41" t="s">
        <v>92</v>
      </c>
      <c r="C41" t="s">
        <v>97</v>
      </c>
      <c r="D41" t="s">
        <v>29</v>
      </c>
      <c r="E41" t="b">
        <v>0</v>
      </c>
      <c r="F41" s="1" t="s">
        <v>301</v>
      </c>
      <c r="G41" t="str">
        <f t="shared" si="4"/>
        <v>http://hl7.org/fhir/us/core/StructureDefinition/us-core-condition</v>
      </c>
      <c r="H41" t="s">
        <v>55</v>
      </c>
      <c r="J41" t="s">
        <v>55</v>
      </c>
      <c r="K41" t="s">
        <v>76</v>
      </c>
      <c r="L41" t="str">
        <f t="shared" si="3"/>
        <v>Condition.onset-date</v>
      </c>
      <c r="M41" t="s">
        <v>55</v>
      </c>
      <c r="O41" t="s">
        <v>55</v>
      </c>
      <c r="P41" t="s">
        <v>68</v>
      </c>
      <c r="S41" t="s">
        <v>90</v>
      </c>
      <c r="AA41" s="8"/>
      <c r="AB41" t="str">
        <f t="shared" si="1"/>
        <v>SearchParameter-us-core-condition-onset-date.html</v>
      </c>
    </row>
    <row r="42" spans="1:28" ht="19" customHeight="1" x14ac:dyDescent="0.2">
      <c r="A42">
        <v>41</v>
      </c>
      <c r="B42" t="s">
        <v>92</v>
      </c>
      <c r="C42" t="s">
        <v>87</v>
      </c>
      <c r="D42" t="s">
        <v>12</v>
      </c>
      <c r="E42" t="b">
        <v>1</v>
      </c>
      <c r="F42" s="1" t="s">
        <v>300</v>
      </c>
      <c r="G42" t="str">
        <f t="shared" si="4"/>
        <v>http://hl7.org/fhir/us/core/StructureDefinition/us-core-condition</v>
      </c>
      <c r="H42" t="s">
        <v>55</v>
      </c>
      <c r="J42" t="s">
        <v>55</v>
      </c>
      <c r="K42" t="s">
        <v>88</v>
      </c>
      <c r="L42" t="str">
        <f t="shared" si="3"/>
        <v>Condition.patient</v>
      </c>
      <c r="M42" t="s">
        <v>55</v>
      </c>
      <c r="O42" t="s">
        <v>55</v>
      </c>
      <c r="Y42" t="s">
        <v>96</v>
      </c>
      <c r="Z42" s="4" t="str">
        <f>"GET [base]/"&amp;B42&amp;"?patient=1137192"</f>
        <v>GET [base]/Condition?patient=1137192</v>
      </c>
      <c r="AA42" s="8" t="str">
        <f>"Fetches a bundle of all "&amp;B42&amp; " resources for the specified patient"</f>
        <v>Fetches a bundle of all Condition resources for the specified patient</v>
      </c>
      <c r="AB42" t="str">
        <f t="shared" si="1"/>
        <v>SearchParameter-us-core-condition-patient.html</v>
      </c>
    </row>
    <row r="43" spans="1:28" ht="19" customHeight="1" x14ac:dyDescent="0.2">
      <c r="A43">
        <v>42</v>
      </c>
      <c r="B43" t="s">
        <v>92</v>
      </c>
      <c r="C43" t="s">
        <v>327</v>
      </c>
      <c r="D43" t="s">
        <v>29</v>
      </c>
      <c r="E43" t="b">
        <v>0</v>
      </c>
      <c r="F43" s="1" t="s">
        <v>301</v>
      </c>
      <c r="G43" t="str">
        <f t="shared" si="4"/>
        <v>http://hl7.org/fhir/us/core/StructureDefinition/us-core-condition</v>
      </c>
      <c r="H43" t="s">
        <v>55</v>
      </c>
      <c r="J43" t="s">
        <v>55</v>
      </c>
      <c r="K43" t="s">
        <v>76</v>
      </c>
      <c r="L43" t="str">
        <f t="shared" si="3"/>
        <v>Condition.recorded-date</v>
      </c>
      <c r="M43" t="s">
        <v>55</v>
      </c>
      <c r="O43" t="s">
        <v>55</v>
      </c>
      <c r="P43" t="s">
        <v>68</v>
      </c>
      <c r="S43" t="s">
        <v>90</v>
      </c>
      <c r="AA43" s="8"/>
      <c r="AB43" t="str">
        <f t="shared" si="1"/>
        <v>SearchParameter-us-core-condition-recorded-date.html</v>
      </c>
    </row>
    <row r="44" spans="1:28" ht="144" x14ac:dyDescent="0.2">
      <c r="A44">
        <v>43</v>
      </c>
      <c r="B44" t="s">
        <v>92</v>
      </c>
      <c r="C44" t="s">
        <v>453</v>
      </c>
      <c r="D44" t="s">
        <v>29</v>
      </c>
      <c r="E44" t="b">
        <v>0</v>
      </c>
      <c r="F44" s="1" t="s">
        <v>469</v>
      </c>
      <c r="G44" t="str">
        <f t="shared" ref="G44" si="5">"http://hl7.org/fhir/us/core/StructureDefinition/us-core-"&amp;LOWER(B44)</f>
        <v>http://hl7.org/fhir/us/core/StructureDefinition/us-core-condition</v>
      </c>
      <c r="H44" t="s">
        <v>55</v>
      </c>
      <c r="J44" t="s">
        <v>55</v>
      </c>
      <c r="K44" t="s">
        <v>76</v>
      </c>
      <c r="L44" t="str">
        <f t="shared" si="3"/>
        <v>Condition._lastUpdated</v>
      </c>
      <c r="M44" t="s">
        <v>55</v>
      </c>
      <c r="O44" t="s">
        <v>55</v>
      </c>
      <c r="P44" t="s">
        <v>68</v>
      </c>
      <c r="S44" t="s">
        <v>90</v>
      </c>
      <c r="AA44" s="8"/>
      <c r="AB44" t="str">
        <f t="shared" si="1"/>
        <v>SearchParameter-us-core-condition-lastupdated.html</v>
      </c>
    </row>
    <row r="45" spans="1:28" ht="19" customHeight="1" x14ac:dyDescent="0.2">
      <c r="A45">
        <v>44</v>
      </c>
      <c r="B45" t="s">
        <v>383</v>
      </c>
      <c r="C45" t="s">
        <v>87</v>
      </c>
      <c r="D45" t="s">
        <v>12</v>
      </c>
      <c r="E45" t="b">
        <v>1</v>
      </c>
      <c r="F45" s="1" t="s">
        <v>300</v>
      </c>
      <c r="G45" t="str">
        <f t="shared" si="4"/>
        <v>http://hl7.org/fhir/us/core/StructureDefinition/us-core-coverage</v>
      </c>
      <c r="H45" t="s">
        <v>55</v>
      </c>
      <c r="J45" t="s">
        <v>55</v>
      </c>
      <c r="K45" t="s">
        <v>88</v>
      </c>
      <c r="L45" t="str">
        <f t="shared" si="3"/>
        <v>Coverage.patient</v>
      </c>
      <c r="M45" t="s">
        <v>55</v>
      </c>
      <c r="O45" t="s">
        <v>55</v>
      </c>
      <c r="Y45" t="s">
        <v>385</v>
      </c>
      <c r="Z45" s="4" t="str">
        <f>"GET [base]/"&amp;B45&amp;"?patient=1137192"</f>
        <v>GET [base]/Coverage?patient=1137192</v>
      </c>
      <c r="AA45" s="8" t="str">
        <f>"Fetches a bundle of all "&amp;B45&amp; " resources for the specified patient"</f>
        <v>Fetches a bundle of all Coverage resources for the specified patient</v>
      </c>
      <c r="AB45" t="str">
        <f t="shared" si="1"/>
        <v>SearchParameter-us-core-coverage-patient.html</v>
      </c>
    </row>
    <row r="46" spans="1:28" ht="19" customHeight="1" x14ac:dyDescent="0.2">
      <c r="A46">
        <v>45</v>
      </c>
      <c r="B46" t="s">
        <v>129</v>
      </c>
      <c r="C46" t="s">
        <v>87</v>
      </c>
      <c r="D46" t="s">
        <v>12</v>
      </c>
      <c r="E46" t="b">
        <v>1</v>
      </c>
      <c r="F46" s="1" t="s">
        <v>300</v>
      </c>
      <c r="G46" t="str">
        <f t="shared" si="4"/>
        <v>http://hl7.org/fhir/us/core/StructureDefinition/us-core-device</v>
      </c>
      <c r="H46" t="s">
        <v>55</v>
      </c>
      <c r="J46" t="s">
        <v>55</v>
      </c>
      <c r="K46" t="s">
        <v>88</v>
      </c>
      <c r="L46" t="str">
        <f t="shared" si="3"/>
        <v>Device.patient</v>
      </c>
      <c r="M46" t="s">
        <v>55</v>
      </c>
      <c r="O46" t="s">
        <v>55</v>
      </c>
      <c r="Y46" t="str">
        <f>"support searching for all "&amp;LOWER(B46)&amp;"s for a patient, including implantable devices"</f>
        <v>support searching for all devices for a patient, including implantable devices</v>
      </c>
      <c r="Z46" s="4" t="str">
        <f>"GET [base]/"&amp;B46&amp;"?patient=1137192"</f>
        <v>GET [base]/Device?patient=1137192</v>
      </c>
      <c r="AA46" s="8" t="str">
        <f>"Fetches a bundle of all "&amp;B46&amp; " resources for the specified patient"</f>
        <v>Fetches a bundle of all Device resources for the specified patient</v>
      </c>
      <c r="AB46" t="str">
        <f t="shared" si="1"/>
        <v>SearchParameter-us-core-device-patient.html</v>
      </c>
    </row>
    <row r="47" spans="1:28" ht="19" customHeight="1" x14ac:dyDescent="0.2">
      <c r="A47">
        <v>46</v>
      </c>
      <c r="B47" t="s">
        <v>129</v>
      </c>
      <c r="C47" t="s">
        <v>60</v>
      </c>
      <c r="D47" t="s">
        <v>29</v>
      </c>
      <c r="E47" t="b">
        <v>0</v>
      </c>
      <c r="F47" s="1" t="s">
        <v>303</v>
      </c>
      <c r="G47" t="str">
        <f t="shared" si="4"/>
        <v>http://hl7.org/fhir/us/core/StructureDefinition/us-core-device</v>
      </c>
      <c r="H47" t="s">
        <v>55</v>
      </c>
      <c r="J47" t="s">
        <v>55</v>
      </c>
      <c r="K47" t="s">
        <v>56</v>
      </c>
      <c r="L47" t="str">
        <f t="shared" si="3"/>
        <v>Device.status</v>
      </c>
      <c r="M47" t="s">
        <v>55</v>
      </c>
      <c r="N47" t="s">
        <v>12</v>
      </c>
      <c r="O47" t="s">
        <v>55</v>
      </c>
      <c r="Z47" s="4"/>
      <c r="AA47" s="8"/>
      <c r="AB47" t="str">
        <f t="shared" si="1"/>
        <v>SearchParameter-us-core-device-status.html</v>
      </c>
    </row>
    <row r="48" spans="1:28" ht="19" customHeight="1" x14ac:dyDescent="0.2">
      <c r="A48">
        <v>47</v>
      </c>
      <c r="B48" t="s">
        <v>129</v>
      </c>
      <c r="C48" t="s">
        <v>13</v>
      </c>
      <c r="D48" t="s">
        <v>29</v>
      </c>
      <c r="E48" t="b">
        <v>0</v>
      </c>
      <c r="F48" s="1" t="s">
        <v>303</v>
      </c>
      <c r="G48" t="str">
        <f t="shared" si="4"/>
        <v>http://hl7.org/fhir/us/core/StructureDefinition/us-core-device</v>
      </c>
      <c r="H48" t="s">
        <v>55</v>
      </c>
      <c r="J48" t="s">
        <v>55</v>
      </c>
      <c r="K48" t="s">
        <v>56</v>
      </c>
      <c r="L48" t="str">
        <f t="shared" si="3"/>
        <v>Device.type</v>
      </c>
      <c r="M48" t="s">
        <v>55</v>
      </c>
      <c r="O48" t="s">
        <v>55</v>
      </c>
      <c r="Z48" s="4"/>
      <c r="AA48" s="8"/>
      <c r="AB48" t="str">
        <f t="shared" si="1"/>
        <v>SearchParameter-us-core-device-type.html</v>
      </c>
    </row>
    <row r="49" spans="1:28" ht="19" customHeight="1" x14ac:dyDescent="0.2">
      <c r="A49">
        <v>48</v>
      </c>
      <c r="B49" t="s">
        <v>106</v>
      </c>
      <c r="C49" t="s">
        <v>94</v>
      </c>
      <c r="D49" t="s">
        <v>29</v>
      </c>
      <c r="E49" t="b">
        <v>0</v>
      </c>
      <c r="F49" s="1" t="s">
        <v>303</v>
      </c>
      <c r="G49" t="str">
        <f t="shared" si="4"/>
        <v>http://hl7.org/fhir/us/core/StructureDefinition/us-core-diagnosticreport</v>
      </c>
      <c r="H49" t="s">
        <v>55</v>
      </c>
      <c r="J49" t="s">
        <v>55</v>
      </c>
      <c r="K49" t="s">
        <v>56</v>
      </c>
      <c r="L49" t="str">
        <f t="shared" si="3"/>
        <v>DiagnosticReport.category</v>
      </c>
      <c r="M49" t="s">
        <v>55</v>
      </c>
      <c r="O49" t="s">
        <v>55</v>
      </c>
      <c r="Y49" s="4"/>
      <c r="Z49" s="4"/>
      <c r="AA49" s="8"/>
      <c r="AB49" t="str">
        <f t="shared" si="1"/>
        <v>SearchParameter-us-core-diagnosticreport-category.html</v>
      </c>
    </row>
    <row r="50" spans="1:28" ht="19" customHeight="1" x14ac:dyDescent="0.2">
      <c r="A50">
        <v>49</v>
      </c>
      <c r="B50" t="s">
        <v>106</v>
      </c>
      <c r="C50" t="s">
        <v>25</v>
      </c>
      <c r="D50" t="s">
        <v>29</v>
      </c>
      <c r="E50" t="b">
        <v>0</v>
      </c>
      <c r="F50" s="1" t="s">
        <v>303</v>
      </c>
      <c r="G50" t="str">
        <f t="shared" si="4"/>
        <v>http://hl7.org/fhir/us/core/StructureDefinition/us-core-diagnosticreport</v>
      </c>
      <c r="H50" t="s">
        <v>55</v>
      </c>
      <c r="J50" t="s">
        <v>55</v>
      </c>
      <c r="K50" t="s">
        <v>56</v>
      </c>
      <c r="L50" t="str">
        <f t="shared" si="3"/>
        <v>DiagnosticReport.code</v>
      </c>
      <c r="M50" t="s">
        <v>55</v>
      </c>
      <c r="N50" t="s">
        <v>68</v>
      </c>
      <c r="O50" t="s">
        <v>55</v>
      </c>
      <c r="Y50" s="4"/>
      <c r="Z50" s="4"/>
      <c r="AA50" s="8"/>
      <c r="AB50" t="str">
        <f t="shared" si="1"/>
        <v>SearchParameter-us-core-diagnosticreport-code.html</v>
      </c>
    </row>
    <row r="51" spans="1:28" ht="19" customHeight="1" x14ac:dyDescent="0.2">
      <c r="A51">
        <v>50</v>
      </c>
      <c r="B51" t="s">
        <v>106</v>
      </c>
      <c r="C51" t="s">
        <v>76</v>
      </c>
      <c r="D51" t="s">
        <v>29</v>
      </c>
      <c r="E51" t="b">
        <v>0</v>
      </c>
      <c r="F51" s="1" t="s">
        <v>301</v>
      </c>
      <c r="G51" t="str">
        <f t="shared" si="4"/>
        <v>http://hl7.org/fhir/us/core/StructureDefinition/us-core-diagnosticreport</v>
      </c>
      <c r="H51" t="s">
        <v>55</v>
      </c>
      <c r="J51" t="s">
        <v>55</v>
      </c>
      <c r="K51" t="s">
        <v>76</v>
      </c>
      <c r="L51" t="str">
        <f t="shared" si="3"/>
        <v>DiagnosticReport.date</v>
      </c>
      <c r="M51" t="s">
        <v>55</v>
      </c>
      <c r="O51" t="s">
        <v>55</v>
      </c>
      <c r="P51" s="10" t="s">
        <v>68</v>
      </c>
      <c r="S51" t="s">
        <v>90</v>
      </c>
      <c r="AA51" s="8"/>
      <c r="AB51" t="str">
        <f t="shared" si="1"/>
        <v>SearchParameter-us-core-diagnosticreport-date.html</v>
      </c>
    </row>
    <row r="52" spans="1:28" ht="144" x14ac:dyDescent="0.2">
      <c r="A52">
        <v>51</v>
      </c>
      <c r="B52" t="s">
        <v>106</v>
      </c>
      <c r="C52" t="s">
        <v>453</v>
      </c>
      <c r="D52" t="s">
        <v>29</v>
      </c>
      <c r="E52" t="b">
        <v>0</v>
      </c>
      <c r="F52" s="1" t="s">
        <v>469</v>
      </c>
      <c r="G52" t="str">
        <f t="shared" si="4"/>
        <v>http://hl7.org/fhir/us/core/StructureDefinition/us-core-diagnosticreport</v>
      </c>
      <c r="H52" t="s">
        <v>55</v>
      </c>
      <c r="J52" t="s">
        <v>55</v>
      </c>
      <c r="K52" t="s">
        <v>76</v>
      </c>
      <c r="L52" t="str">
        <f t="shared" ref="L52" si="6">B52&amp;"."&amp;C52</f>
        <v>DiagnosticReport._lastUpdated</v>
      </c>
      <c r="M52" t="s">
        <v>55</v>
      </c>
      <c r="O52" t="s">
        <v>55</v>
      </c>
      <c r="P52" t="s">
        <v>68</v>
      </c>
      <c r="S52" t="s">
        <v>90</v>
      </c>
      <c r="AA52" s="8"/>
      <c r="AB52" t="str">
        <f t="shared" ref="AB52" si="7">"SearchParameter-us-core-"&amp;LOWER((B52)&amp;"-"&amp;SUBSTITUTE(C52,"_","")&amp;".html")</f>
        <v>SearchParameter-us-core-diagnosticreport-lastupdated.html</v>
      </c>
    </row>
    <row r="53" spans="1:28" ht="19" customHeight="1" x14ac:dyDescent="0.2">
      <c r="A53">
        <v>52</v>
      </c>
      <c r="B53" t="s">
        <v>106</v>
      </c>
      <c r="C53" t="s">
        <v>87</v>
      </c>
      <c r="D53" t="s">
        <v>12</v>
      </c>
      <c r="E53" t="b">
        <v>1</v>
      </c>
      <c r="F53" s="1" t="s">
        <v>300</v>
      </c>
      <c r="G53" t="str">
        <f t="shared" si="4"/>
        <v>http://hl7.org/fhir/us/core/StructureDefinition/us-core-diagnosticreport</v>
      </c>
      <c r="H53" t="s">
        <v>55</v>
      </c>
      <c r="J53" t="s">
        <v>55</v>
      </c>
      <c r="K53" t="s">
        <v>88</v>
      </c>
      <c r="L53" t="str">
        <f t="shared" si="3"/>
        <v>DiagnosticReport.patient</v>
      </c>
      <c r="M53" t="s">
        <v>55</v>
      </c>
      <c r="O53" t="s">
        <v>55</v>
      </c>
      <c r="Y53" t="str">
        <f>"support searching for all "&amp;LOWER(B53)&amp;"s for a patient"</f>
        <v>support searching for all diagnosticreports for a patient</v>
      </c>
      <c r="Z53" s="4" t="str">
        <f>"GET [base]/"&amp;B53&amp;"?patient=1137192"</f>
        <v>GET [base]/DiagnosticReport?patient=1137192</v>
      </c>
      <c r="AA53" s="8" t="str">
        <f>"Fetches a bundle of all "&amp;B53&amp; " resources for the specified patient"</f>
        <v>Fetches a bundle of all DiagnosticReport resources for the specified patient</v>
      </c>
      <c r="AB53" t="str">
        <f t="shared" si="1"/>
        <v>SearchParameter-us-core-diagnosticreport-patient.html</v>
      </c>
    </row>
    <row r="54" spans="1:28" ht="19" customHeight="1" x14ac:dyDescent="0.2">
      <c r="A54">
        <v>53</v>
      </c>
      <c r="B54" t="s">
        <v>106</v>
      </c>
      <c r="C54" t="s">
        <v>60</v>
      </c>
      <c r="D54" t="s">
        <v>29</v>
      </c>
      <c r="E54" t="b">
        <v>0</v>
      </c>
      <c r="F54" s="1" t="s">
        <v>303</v>
      </c>
      <c r="G54" t="str">
        <f t="shared" si="4"/>
        <v>http://hl7.org/fhir/us/core/StructureDefinition/us-core-diagnosticreport</v>
      </c>
      <c r="H54" t="s">
        <v>55</v>
      </c>
      <c r="J54" t="s">
        <v>55</v>
      </c>
      <c r="K54" t="s">
        <v>56</v>
      </c>
      <c r="L54" t="str">
        <f t="shared" si="3"/>
        <v>DiagnosticReport.status</v>
      </c>
      <c r="M54" t="s">
        <v>55</v>
      </c>
      <c r="N54" t="s">
        <v>12</v>
      </c>
      <c r="O54" t="s">
        <v>55</v>
      </c>
      <c r="Y54" s="4"/>
      <c r="Z54" s="4"/>
      <c r="AA54" s="8"/>
      <c r="AB54" t="str">
        <f t="shared" si="1"/>
        <v>SearchParameter-us-core-diagnosticreport-status.html</v>
      </c>
    </row>
    <row r="55" spans="1:28" ht="19" customHeight="1" x14ac:dyDescent="0.2">
      <c r="A55">
        <v>54</v>
      </c>
      <c r="B55" t="s">
        <v>105</v>
      </c>
      <c r="C55" t="s">
        <v>54</v>
      </c>
      <c r="D55" t="s">
        <v>12</v>
      </c>
      <c r="E55" t="b">
        <v>1</v>
      </c>
      <c r="G55" t="str">
        <f t="shared" si="4"/>
        <v>http://hl7.org/fhir/us/core/StructureDefinition/us-core-documentreference</v>
      </c>
      <c r="H55" t="s">
        <v>55</v>
      </c>
      <c r="J55" t="s">
        <v>55</v>
      </c>
      <c r="K55" t="s">
        <v>56</v>
      </c>
      <c r="L55" t="str">
        <f>B55&amp;".id"</f>
        <v>DocumentReference.id</v>
      </c>
      <c r="M55" t="s">
        <v>55</v>
      </c>
      <c r="O55" t="s">
        <v>55</v>
      </c>
      <c r="Y55" s="22" t="str">
        <f>"support both read " &amp;B55&amp; " by `id` **AND** " &amp;B55&amp; " search"</f>
        <v>support both read DocumentReference by `id` **AND** DocumentReference search</v>
      </c>
      <c r="Z55" s="4" t="s">
        <v>168</v>
      </c>
      <c r="AA55" s="1" t="s">
        <v>157</v>
      </c>
      <c r="AB55" t="str">
        <f>"SearchParameter-us-core-"&amp;LOWER((B55)&amp;"-"&amp;SUBSTITUTE(C55,"_","")&amp;".html")</f>
        <v>SearchParameter-us-core-documentreference-id.html</v>
      </c>
    </row>
    <row r="56" spans="1:28" ht="19" customHeight="1" x14ac:dyDescent="0.2">
      <c r="A56">
        <v>55</v>
      </c>
      <c r="B56" t="s">
        <v>105</v>
      </c>
      <c r="C56" t="s">
        <v>94</v>
      </c>
      <c r="D56" t="s">
        <v>29</v>
      </c>
      <c r="E56" t="b">
        <v>0</v>
      </c>
      <c r="F56" s="1" t="s">
        <v>303</v>
      </c>
      <c r="G56" t="str">
        <f t="shared" si="4"/>
        <v>http://hl7.org/fhir/us/core/StructureDefinition/us-core-documentreference</v>
      </c>
      <c r="H56" t="s">
        <v>55</v>
      </c>
      <c r="J56" t="s">
        <v>55</v>
      </c>
      <c r="K56" t="s">
        <v>56</v>
      </c>
      <c r="L56" t="str">
        <f>B56&amp;"."&amp;C56</f>
        <v>DocumentReference.category</v>
      </c>
      <c r="M56" t="s">
        <v>55</v>
      </c>
      <c r="O56" t="s">
        <v>55</v>
      </c>
      <c r="Y56" s="4"/>
      <c r="Z56" s="4"/>
      <c r="AA56" s="8"/>
      <c r="AB56" t="str">
        <f t="shared" ref="AB56:AB121" si="8">"SearchParameter-us-core-"&amp;LOWER((B56)&amp;"-"&amp;SUBSTITUTE(C56,"_","")&amp;".html")</f>
        <v>SearchParameter-us-core-documentreference-category.html</v>
      </c>
    </row>
    <row r="57" spans="1:28" ht="19" customHeight="1" x14ac:dyDescent="0.2">
      <c r="A57">
        <v>56</v>
      </c>
      <c r="B57" t="s">
        <v>105</v>
      </c>
      <c r="C57" t="s">
        <v>76</v>
      </c>
      <c r="D57" t="s">
        <v>29</v>
      </c>
      <c r="E57" t="b">
        <v>0</v>
      </c>
      <c r="F57" s="1" t="s">
        <v>301</v>
      </c>
      <c r="G57" t="str">
        <f t="shared" si="4"/>
        <v>http://hl7.org/fhir/us/core/StructureDefinition/us-core-documentreference</v>
      </c>
      <c r="H57" t="s">
        <v>55</v>
      </c>
      <c r="J57" t="s">
        <v>55</v>
      </c>
      <c r="K57" t="s">
        <v>76</v>
      </c>
      <c r="L57" t="str">
        <f>B57&amp;"."&amp;C57</f>
        <v>DocumentReference.date</v>
      </c>
      <c r="M57" t="s">
        <v>55</v>
      </c>
      <c r="O57" t="s">
        <v>55</v>
      </c>
      <c r="P57" t="s">
        <v>68</v>
      </c>
      <c r="S57" t="s">
        <v>90</v>
      </c>
      <c r="AA57" s="8"/>
      <c r="AB57" t="str">
        <f t="shared" si="8"/>
        <v>SearchParameter-us-core-documentreference-date.html</v>
      </c>
    </row>
    <row r="58" spans="1:28" ht="19" customHeight="1" x14ac:dyDescent="0.2">
      <c r="A58">
        <v>57</v>
      </c>
      <c r="B58" t="s">
        <v>105</v>
      </c>
      <c r="C58" t="s">
        <v>87</v>
      </c>
      <c r="D58" t="s">
        <v>12</v>
      </c>
      <c r="E58" t="b">
        <v>1</v>
      </c>
      <c r="F58" s="1" t="s">
        <v>300</v>
      </c>
      <c r="G58" t="str">
        <f t="shared" si="4"/>
        <v>http://hl7.org/fhir/us/core/StructureDefinition/us-core-documentreference</v>
      </c>
      <c r="H58" t="s">
        <v>55</v>
      </c>
      <c r="J58" t="s">
        <v>55</v>
      </c>
      <c r="K58" t="s">
        <v>88</v>
      </c>
      <c r="L58" t="str">
        <f>B58&amp;"."&amp;C58</f>
        <v>DocumentReference.patient</v>
      </c>
      <c r="M58" t="s">
        <v>55</v>
      </c>
      <c r="O58" t="s">
        <v>55</v>
      </c>
      <c r="Y58" t="str">
        <f>"support searching for all "&amp;LOWER(B58)&amp;"s for a patient"</f>
        <v>support searching for all documentreferences for a patient</v>
      </c>
      <c r="Z58" s="4" t="str">
        <f>"GET [base]/"&amp;B58&amp;"?patient=1137192"</f>
        <v>GET [base]/DocumentReference?patient=1137192</v>
      </c>
      <c r="AA58" s="8" t="str">
        <f>"Fetches a bundle of all "&amp;B58&amp; " resources for the specified patient. See the implementation notes above for how to access the actual document."</f>
        <v>Fetches a bundle of all DocumentReference resources for the specified patient. See the implementation notes above for how to access the actual document.</v>
      </c>
      <c r="AB58" t="str">
        <f t="shared" si="8"/>
        <v>SearchParameter-us-core-documentreference-patient.html</v>
      </c>
    </row>
    <row r="59" spans="1:28" ht="19" customHeight="1" x14ac:dyDescent="0.2">
      <c r="A59">
        <v>58</v>
      </c>
      <c r="B59" t="s">
        <v>105</v>
      </c>
      <c r="C59" t="s">
        <v>156</v>
      </c>
      <c r="D59" t="s">
        <v>29</v>
      </c>
      <c r="E59" t="b">
        <v>0</v>
      </c>
      <c r="F59" s="1" t="s">
        <v>301</v>
      </c>
      <c r="G59" t="str">
        <f t="shared" si="4"/>
        <v>http://hl7.org/fhir/us/core/StructureDefinition/us-core-documentreference</v>
      </c>
      <c r="H59" t="s">
        <v>55</v>
      </c>
      <c r="J59" t="s">
        <v>55</v>
      </c>
      <c r="K59" t="s">
        <v>76</v>
      </c>
      <c r="L59" t="s">
        <v>158</v>
      </c>
      <c r="M59" t="s">
        <v>55</v>
      </c>
      <c r="O59" t="s">
        <v>55</v>
      </c>
      <c r="P59" t="s">
        <v>68</v>
      </c>
      <c r="S59" t="s">
        <v>90</v>
      </c>
      <c r="AA59" s="8"/>
      <c r="AB59" t="str">
        <f t="shared" si="8"/>
        <v>SearchParameter-us-core-documentreference-period.html</v>
      </c>
    </row>
    <row r="60" spans="1:28" ht="19" customHeight="1" x14ac:dyDescent="0.2">
      <c r="A60">
        <v>59</v>
      </c>
      <c r="B60" t="s">
        <v>105</v>
      </c>
      <c r="C60" t="s">
        <v>60</v>
      </c>
      <c r="D60" t="s">
        <v>29</v>
      </c>
      <c r="E60" t="b">
        <v>0</v>
      </c>
      <c r="F60" s="1" t="s">
        <v>303</v>
      </c>
      <c r="G60" t="str">
        <f t="shared" si="4"/>
        <v>http://hl7.org/fhir/us/core/StructureDefinition/us-core-documentreference</v>
      </c>
      <c r="H60" t="s">
        <v>55</v>
      </c>
      <c r="J60" t="s">
        <v>55</v>
      </c>
      <c r="K60" t="s">
        <v>56</v>
      </c>
      <c r="L60" t="str">
        <f t="shared" ref="L60:L102" si="9">B60&amp;"."&amp;C60</f>
        <v>DocumentReference.status</v>
      </c>
      <c r="M60" t="s">
        <v>55</v>
      </c>
      <c r="N60" t="s">
        <v>12</v>
      </c>
      <c r="O60" t="s">
        <v>55</v>
      </c>
      <c r="Y60" s="4"/>
      <c r="Z60" s="4"/>
      <c r="AA60" s="8"/>
      <c r="AB60" t="str">
        <f t="shared" si="8"/>
        <v>SearchParameter-us-core-documentreference-status.html</v>
      </c>
    </row>
    <row r="61" spans="1:28" ht="19" customHeight="1" x14ac:dyDescent="0.2">
      <c r="A61">
        <v>60</v>
      </c>
      <c r="B61" t="s">
        <v>105</v>
      </c>
      <c r="C61" t="s">
        <v>13</v>
      </c>
      <c r="D61" t="s">
        <v>29</v>
      </c>
      <c r="E61" t="b">
        <v>0</v>
      </c>
      <c r="F61" s="1" t="s">
        <v>303</v>
      </c>
      <c r="G61" t="str">
        <f t="shared" si="4"/>
        <v>http://hl7.org/fhir/us/core/StructureDefinition/us-core-documentreference</v>
      </c>
      <c r="H61" t="s">
        <v>55</v>
      </c>
      <c r="J61" t="s">
        <v>55</v>
      </c>
      <c r="K61" t="s">
        <v>56</v>
      </c>
      <c r="L61" t="str">
        <f t="shared" si="9"/>
        <v>DocumentReference.type</v>
      </c>
      <c r="M61" t="s">
        <v>55</v>
      </c>
      <c r="O61" t="s">
        <v>55</v>
      </c>
      <c r="Y61" s="4"/>
      <c r="Z61" s="4"/>
      <c r="AA61" s="8"/>
      <c r="AB61" t="str">
        <f t="shared" si="8"/>
        <v>SearchParameter-us-core-documentreference-type.html</v>
      </c>
    </row>
    <row r="62" spans="1:28" ht="19" customHeight="1" x14ac:dyDescent="0.2">
      <c r="A62">
        <v>61</v>
      </c>
      <c r="B62" t="s">
        <v>21</v>
      </c>
      <c r="C62" t="s">
        <v>54</v>
      </c>
      <c r="D62" t="s">
        <v>12</v>
      </c>
      <c r="E62" t="b">
        <v>1</v>
      </c>
      <c r="G62" t="str">
        <f t="shared" si="4"/>
        <v>http://hl7.org/fhir/us/core/StructureDefinition/us-core-encounter</v>
      </c>
      <c r="H62" t="s">
        <v>55</v>
      </c>
      <c r="J62" t="s">
        <v>55</v>
      </c>
      <c r="K62" t="s">
        <v>56</v>
      </c>
      <c r="L62" t="str">
        <f t="shared" si="9"/>
        <v>Encounter._id</v>
      </c>
      <c r="M62" t="s">
        <v>55</v>
      </c>
      <c r="O62" t="s">
        <v>55</v>
      </c>
      <c r="Y62" s="22" t="str">
        <f>"support both read " &amp;B62&amp; " by `id` **AND** " &amp;B62&amp; " search"</f>
        <v>support both read Encounter by `id` **AND** Encounter search</v>
      </c>
      <c r="Z62" s="4" t="s">
        <v>166</v>
      </c>
      <c r="AA62" s="1" t="s">
        <v>103</v>
      </c>
      <c r="AB62" t="str">
        <f t="shared" si="8"/>
        <v>SearchParameter-us-core-encounter-id.html</v>
      </c>
    </row>
    <row r="63" spans="1:28" ht="19" customHeight="1" x14ac:dyDescent="0.2">
      <c r="A63">
        <v>62</v>
      </c>
      <c r="B63" t="s">
        <v>21</v>
      </c>
      <c r="C63" t="s">
        <v>91</v>
      </c>
      <c r="D63" t="s">
        <v>29</v>
      </c>
      <c r="E63" t="b">
        <v>0</v>
      </c>
      <c r="F63" s="1" t="s">
        <v>303</v>
      </c>
      <c r="G63" t="str">
        <f t="shared" si="4"/>
        <v>http://hl7.org/fhir/us/core/StructureDefinition/us-core-encounter</v>
      </c>
      <c r="H63" t="s">
        <v>55</v>
      </c>
      <c r="J63" t="s">
        <v>55</v>
      </c>
      <c r="K63" t="s">
        <v>56</v>
      </c>
      <c r="L63" t="str">
        <f t="shared" si="9"/>
        <v>Encounter.class</v>
      </c>
      <c r="M63" t="s">
        <v>55</v>
      </c>
      <c r="O63" t="s">
        <v>55</v>
      </c>
      <c r="Y63" s="4"/>
      <c r="Z63" s="4"/>
      <c r="AA63" s="8"/>
      <c r="AB63" t="str">
        <f t="shared" si="8"/>
        <v>SearchParameter-us-core-encounter-class.html</v>
      </c>
    </row>
    <row r="64" spans="1:28" ht="19" customHeight="1" x14ac:dyDescent="0.2">
      <c r="A64">
        <v>63</v>
      </c>
      <c r="B64" t="s">
        <v>21</v>
      </c>
      <c r="C64" t="s">
        <v>76</v>
      </c>
      <c r="D64" t="s">
        <v>29</v>
      </c>
      <c r="E64" t="b">
        <v>0</v>
      </c>
      <c r="F64" s="1" t="s">
        <v>301</v>
      </c>
      <c r="G64" t="str">
        <f t="shared" si="4"/>
        <v>http://hl7.org/fhir/us/core/StructureDefinition/us-core-encounter</v>
      </c>
      <c r="H64" t="s">
        <v>55</v>
      </c>
      <c r="J64" t="s">
        <v>55</v>
      </c>
      <c r="K64" t="s">
        <v>76</v>
      </c>
      <c r="L64" t="str">
        <f t="shared" si="9"/>
        <v>Encounter.date</v>
      </c>
      <c r="M64" t="s">
        <v>55</v>
      </c>
      <c r="O64" t="s">
        <v>55</v>
      </c>
      <c r="P64" t="s">
        <v>68</v>
      </c>
      <c r="S64" t="s">
        <v>90</v>
      </c>
      <c r="AA64" s="8"/>
      <c r="AB64" t="str">
        <f t="shared" si="8"/>
        <v>SearchParameter-us-core-encounter-date.html</v>
      </c>
    </row>
    <row r="65" spans="1:28" ht="144" x14ac:dyDescent="0.2">
      <c r="A65">
        <v>64</v>
      </c>
      <c r="B65" t="s">
        <v>21</v>
      </c>
      <c r="C65" t="s">
        <v>453</v>
      </c>
      <c r="D65" t="s">
        <v>29</v>
      </c>
      <c r="E65" t="b">
        <v>0</v>
      </c>
      <c r="F65" s="1" t="s">
        <v>469</v>
      </c>
      <c r="G65" t="str">
        <f t="shared" si="4"/>
        <v>http://hl7.org/fhir/us/core/StructureDefinition/us-core-encounter</v>
      </c>
      <c r="H65" t="s">
        <v>55</v>
      </c>
      <c r="J65" t="s">
        <v>55</v>
      </c>
      <c r="K65" t="s">
        <v>76</v>
      </c>
      <c r="L65" t="str">
        <f t="shared" si="9"/>
        <v>Encounter._lastUpdated</v>
      </c>
      <c r="M65" t="s">
        <v>55</v>
      </c>
      <c r="O65" t="s">
        <v>55</v>
      </c>
      <c r="P65" t="s">
        <v>68</v>
      </c>
      <c r="S65" t="s">
        <v>90</v>
      </c>
      <c r="AA65" s="8"/>
      <c r="AB65" t="str">
        <f t="shared" si="8"/>
        <v>SearchParameter-us-core-encounter-lastupdated.html</v>
      </c>
    </row>
    <row r="66" spans="1:28" ht="19" customHeight="1" x14ac:dyDescent="0.2">
      <c r="A66">
        <v>65</v>
      </c>
      <c r="B66" t="s">
        <v>21</v>
      </c>
      <c r="C66" t="s">
        <v>332</v>
      </c>
      <c r="D66" t="s">
        <v>29</v>
      </c>
      <c r="E66" t="b">
        <v>0</v>
      </c>
      <c r="F66" s="1" t="s">
        <v>303</v>
      </c>
      <c r="G66" t="str">
        <f t="shared" si="4"/>
        <v>http://hl7.org/fhir/us/core/StructureDefinition/us-core-encounter</v>
      </c>
      <c r="H66" t="s">
        <v>57</v>
      </c>
      <c r="J66" t="s">
        <v>55</v>
      </c>
      <c r="K66" t="s">
        <v>56</v>
      </c>
      <c r="L66" t="str">
        <f t="shared" si="9"/>
        <v>Encounter.discharge-disposition</v>
      </c>
      <c r="M66" t="s">
        <v>55</v>
      </c>
      <c r="O66" t="s">
        <v>55</v>
      </c>
      <c r="Y66" s="22"/>
      <c r="Z66" s="4"/>
      <c r="AA66" s="8"/>
      <c r="AB66" t="str">
        <f t="shared" si="8"/>
        <v>SearchParameter-us-core-encounter-discharge-disposition.html</v>
      </c>
    </row>
    <row r="67" spans="1:28" ht="19" customHeight="1" x14ac:dyDescent="0.2">
      <c r="A67">
        <v>66</v>
      </c>
      <c r="B67" t="s">
        <v>21</v>
      </c>
      <c r="C67" t="s">
        <v>74</v>
      </c>
      <c r="D67" t="s">
        <v>68</v>
      </c>
      <c r="E67" t="b">
        <v>1</v>
      </c>
      <c r="F67" s="1" t="s">
        <v>303</v>
      </c>
      <c r="G67" t="str">
        <f t="shared" si="4"/>
        <v>http://hl7.org/fhir/us/core/StructureDefinition/us-core-encounter</v>
      </c>
      <c r="H67" t="s">
        <v>55</v>
      </c>
      <c r="J67" t="s">
        <v>55</v>
      </c>
      <c r="K67" t="s">
        <v>56</v>
      </c>
      <c r="L67" t="str">
        <f t="shared" si="9"/>
        <v>Encounter.identifier</v>
      </c>
      <c r="M67" t="s">
        <v>55</v>
      </c>
      <c r="O67" t="s">
        <v>55</v>
      </c>
      <c r="Y67" s="4" t="s">
        <v>119</v>
      </c>
      <c r="Z67" t="s">
        <v>99</v>
      </c>
      <c r="AA67" s="8" t="str">
        <f>"Fetches a bundle containing any "&amp;B67&amp;" resources matching the identifier"</f>
        <v>Fetches a bundle containing any Encounter resources matching the identifier</v>
      </c>
      <c r="AB67" t="str">
        <f t="shared" si="8"/>
        <v>SearchParameter-us-core-encounter-identifier.html</v>
      </c>
    </row>
    <row r="68" spans="1:28" ht="19" customHeight="1" x14ac:dyDescent="0.2">
      <c r="A68">
        <v>67</v>
      </c>
      <c r="B68" t="s">
        <v>21</v>
      </c>
      <c r="C68" t="s">
        <v>331</v>
      </c>
      <c r="D68" t="s">
        <v>29</v>
      </c>
      <c r="E68" t="b">
        <v>0</v>
      </c>
      <c r="F68" s="1" t="s">
        <v>300</v>
      </c>
      <c r="G68" t="str">
        <f t="shared" si="4"/>
        <v>http://hl7.org/fhir/us/core/StructureDefinition/us-core-encounter</v>
      </c>
      <c r="H68" t="s">
        <v>55</v>
      </c>
      <c r="J68" t="s">
        <v>55</v>
      </c>
      <c r="K68" t="s">
        <v>88</v>
      </c>
      <c r="L68" t="str">
        <f t="shared" si="9"/>
        <v>Encounter.location</v>
      </c>
      <c r="M68" t="s">
        <v>55</v>
      </c>
      <c r="O68" t="s">
        <v>55</v>
      </c>
      <c r="Y68" t="s">
        <v>89</v>
      </c>
      <c r="Z68" s="4" t="str">
        <f>"GET [base]/"&amp;B68&amp;"?patient=1137192"</f>
        <v>GET [base]/Encounter?patient=1137192</v>
      </c>
      <c r="AA68" s="8" t="str">
        <f>"Fetches a bundle of all "&amp;B68&amp; " resources for the specified patient"</f>
        <v>Fetches a bundle of all Encounter resources for the specified patient</v>
      </c>
      <c r="AB68" t="str">
        <f t="shared" si="8"/>
        <v>SearchParameter-us-core-encounter-location.html</v>
      </c>
    </row>
    <row r="69" spans="1:28" ht="19" customHeight="1" x14ac:dyDescent="0.2">
      <c r="A69">
        <v>68</v>
      </c>
      <c r="B69" t="s">
        <v>21</v>
      </c>
      <c r="C69" t="s">
        <v>87</v>
      </c>
      <c r="D69" t="s">
        <v>12</v>
      </c>
      <c r="E69" t="b">
        <v>1</v>
      </c>
      <c r="F69" s="1" t="s">
        <v>300</v>
      </c>
      <c r="G69" t="str">
        <f t="shared" ref="G69:G101" si="10">"http://hl7.org/fhir/us/core/StructureDefinition/us-core-"&amp;LOWER(B69)</f>
        <v>http://hl7.org/fhir/us/core/StructureDefinition/us-core-encounter</v>
      </c>
      <c r="H69" t="s">
        <v>55</v>
      </c>
      <c r="J69" t="s">
        <v>55</v>
      </c>
      <c r="K69" t="s">
        <v>88</v>
      </c>
      <c r="L69" t="str">
        <f t="shared" si="9"/>
        <v>Encounter.patient</v>
      </c>
      <c r="M69" t="s">
        <v>55</v>
      </c>
      <c r="O69" t="s">
        <v>55</v>
      </c>
      <c r="Y69" t="s">
        <v>89</v>
      </c>
      <c r="Z69" s="4" t="str">
        <f>"GET [base]/"&amp;B69&amp;"?patient=1137192"</f>
        <v>GET [base]/Encounter?patient=1137192</v>
      </c>
      <c r="AA69" s="8" t="str">
        <f>"Fetches a bundle of all "&amp;B69&amp; " resources for the specified patient"</f>
        <v>Fetches a bundle of all Encounter resources for the specified patient</v>
      </c>
      <c r="AB69" t="str">
        <f t="shared" si="8"/>
        <v>SearchParameter-us-core-encounter-patient.html</v>
      </c>
    </row>
    <row r="70" spans="1:28" ht="19" customHeight="1" x14ac:dyDescent="0.2">
      <c r="A70">
        <v>69</v>
      </c>
      <c r="B70" t="s">
        <v>21</v>
      </c>
      <c r="C70" t="s">
        <v>60</v>
      </c>
      <c r="D70" t="s">
        <v>29</v>
      </c>
      <c r="E70" t="b">
        <v>0</v>
      </c>
      <c r="F70" s="1" t="s">
        <v>303</v>
      </c>
      <c r="G70" t="str">
        <f t="shared" si="10"/>
        <v>http://hl7.org/fhir/us/core/StructureDefinition/us-core-encounter</v>
      </c>
      <c r="H70" t="s">
        <v>55</v>
      </c>
      <c r="J70" t="s">
        <v>55</v>
      </c>
      <c r="K70" t="s">
        <v>56</v>
      </c>
      <c r="L70" t="str">
        <f t="shared" si="9"/>
        <v>Encounter.status</v>
      </c>
      <c r="M70" t="s">
        <v>55</v>
      </c>
      <c r="O70" t="s">
        <v>55</v>
      </c>
      <c r="Y70" s="4"/>
      <c r="Z70" s="4"/>
      <c r="AA70" s="8"/>
      <c r="AB70" t="str">
        <f t="shared" si="8"/>
        <v>SearchParameter-us-core-encounter-status.html</v>
      </c>
    </row>
    <row r="71" spans="1:28" ht="19" customHeight="1" x14ac:dyDescent="0.2">
      <c r="A71">
        <v>70</v>
      </c>
      <c r="B71" t="s">
        <v>21</v>
      </c>
      <c r="C71" t="s">
        <v>13</v>
      </c>
      <c r="D71" t="s">
        <v>29</v>
      </c>
      <c r="E71" t="b">
        <v>0</v>
      </c>
      <c r="F71" s="1" t="s">
        <v>303</v>
      </c>
      <c r="G71" t="str">
        <f t="shared" si="10"/>
        <v>http://hl7.org/fhir/us/core/StructureDefinition/us-core-encounter</v>
      </c>
      <c r="H71" t="s">
        <v>55</v>
      </c>
      <c r="J71" t="s">
        <v>55</v>
      </c>
      <c r="K71" t="s">
        <v>56</v>
      </c>
      <c r="L71" t="str">
        <f t="shared" si="9"/>
        <v>Encounter.type</v>
      </c>
      <c r="M71" t="s">
        <v>55</v>
      </c>
      <c r="O71" t="s">
        <v>55</v>
      </c>
      <c r="Y71" s="4"/>
      <c r="Z71" s="4"/>
      <c r="AA71" s="8"/>
      <c r="AB71" t="str">
        <f t="shared" si="8"/>
        <v>SearchParameter-us-core-encounter-type.html</v>
      </c>
    </row>
    <row r="72" spans="1:28" ht="19" customHeight="1" x14ac:dyDescent="0.2">
      <c r="A72">
        <v>71</v>
      </c>
      <c r="B72" t="s">
        <v>107</v>
      </c>
      <c r="C72" t="s">
        <v>3</v>
      </c>
      <c r="D72" t="s">
        <v>29</v>
      </c>
      <c r="E72" t="b">
        <v>0</v>
      </c>
      <c r="F72" s="1"/>
      <c r="G72" t="str">
        <f t="shared" si="10"/>
        <v>http://hl7.org/fhir/us/core/StructureDefinition/us-core-goal</v>
      </c>
      <c r="H72" t="s">
        <v>57</v>
      </c>
      <c r="J72" t="s">
        <v>55</v>
      </c>
      <c r="K72" t="s">
        <v>56</v>
      </c>
      <c r="L72" t="str">
        <f t="shared" si="9"/>
        <v>Goal.description</v>
      </c>
      <c r="M72" t="s">
        <v>55</v>
      </c>
      <c r="O72" t="s">
        <v>55</v>
      </c>
      <c r="AA72" s="8"/>
      <c r="AB72" t="str">
        <f t="shared" si="8"/>
        <v>SearchParameter-us-core-goal-description.html</v>
      </c>
    </row>
    <row r="73" spans="1:28" ht="19" customHeight="1" x14ac:dyDescent="0.2">
      <c r="A73">
        <v>72</v>
      </c>
      <c r="B73" t="s">
        <v>107</v>
      </c>
      <c r="C73" t="s">
        <v>159</v>
      </c>
      <c r="D73" t="s">
        <v>29</v>
      </c>
      <c r="E73" t="b">
        <v>0</v>
      </c>
      <c r="F73" s="1" t="s">
        <v>303</v>
      </c>
      <c r="G73" t="str">
        <f t="shared" si="10"/>
        <v>http://hl7.org/fhir/us/core/StructureDefinition/us-core-goal</v>
      </c>
      <c r="H73" t="s">
        <v>55</v>
      </c>
      <c r="J73" t="s">
        <v>55</v>
      </c>
      <c r="K73" t="s">
        <v>56</v>
      </c>
      <c r="L73" t="str">
        <f t="shared" si="9"/>
        <v>Goal.lifecycle-status</v>
      </c>
      <c r="M73" t="s">
        <v>55</v>
      </c>
      <c r="O73" t="s">
        <v>55</v>
      </c>
      <c r="Y73" s="4"/>
      <c r="Z73" s="4"/>
      <c r="AA73" s="8"/>
      <c r="AB73" t="str">
        <f t="shared" si="8"/>
        <v>SearchParameter-us-core-goal-lifecycle-status.html</v>
      </c>
    </row>
    <row r="74" spans="1:28" ht="19" customHeight="1" x14ac:dyDescent="0.2">
      <c r="A74">
        <v>73</v>
      </c>
      <c r="B74" t="s">
        <v>107</v>
      </c>
      <c r="C74" t="s">
        <v>87</v>
      </c>
      <c r="D74" t="s">
        <v>12</v>
      </c>
      <c r="E74" t="b">
        <v>1</v>
      </c>
      <c r="F74" s="1" t="s">
        <v>300</v>
      </c>
      <c r="G74" t="str">
        <f t="shared" si="10"/>
        <v>http://hl7.org/fhir/us/core/StructureDefinition/us-core-goal</v>
      </c>
      <c r="H74" t="s">
        <v>55</v>
      </c>
      <c r="J74" t="s">
        <v>55</v>
      </c>
      <c r="K74" t="s">
        <v>88</v>
      </c>
      <c r="L74" t="str">
        <f t="shared" si="9"/>
        <v>Goal.patient</v>
      </c>
      <c r="M74" t="s">
        <v>55</v>
      </c>
      <c r="O74" t="s">
        <v>55</v>
      </c>
      <c r="Y74" t="str">
        <f>"support searching for all "&amp;LOWER(B74)&amp;"s for a patient"</f>
        <v>support searching for all goals for a patient</v>
      </c>
      <c r="Z74" s="4" t="str">
        <f>"GET [base]/"&amp;B74&amp;"?patient=1137192"</f>
        <v>GET [base]/Goal?patient=1137192</v>
      </c>
      <c r="AA74" s="8" t="str">
        <f>"Fetches a bundle of all "&amp;B74&amp; " resources for the specified patient"</f>
        <v>Fetches a bundle of all Goal resources for the specified patient</v>
      </c>
      <c r="AB74" t="str">
        <f t="shared" si="8"/>
        <v>SearchParameter-us-core-goal-patient.html</v>
      </c>
    </row>
    <row r="75" spans="1:28" ht="19" customHeight="1" x14ac:dyDescent="0.2">
      <c r="A75">
        <v>74</v>
      </c>
      <c r="B75" t="s">
        <v>107</v>
      </c>
      <c r="C75" t="s">
        <v>236</v>
      </c>
      <c r="D75" t="s">
        <v>29</v>
      </c>
      <c r="E75" t="b">
        <v>0</v>
      </c>
      <c r="F75" s="1" t="s">
        <v>302</v>
      </c>
      <c r="G75" t="str">
        <f t="shared" si="10"/>
        <v>http://hl7.org/fhir/us/core/StructureDefinition/us-core-goal</v>
      </c>
      <c r="H75" t="s">
        <v>55</v>
      </c>
      <c r="J75" t="s">
        <v>55</v>
      </c>
      <c r="K75" t="s">
        <v>76</v>
      </c>
      <c r="L75" t="str">
        <f t="shared" si="9"/>
        <v>Goal.target-date</v>
      </c>
      <c r="M75" t="s">
        <v>55</v>
      </c>
      <c r="O75" t="s">
        <v>55</v>
      </c>
      <c r="P75" t="s">
        <v>68</v>
      </c>
      <c r="S75" t="s">
        <v>90</v>
      </c>
      <c r="AA75" s="8"/>
      <c r="AB75" t="str">
        <f t="shared" si="8"/>
        <v>SearchParameter-us-core-goal-target-date.html</v>
      </c>
    </row>
    <row r="76" spans="1:28" ht="19" customHeight="1" x14ac:dyDescent="0.2">
      <c r="A76">
        <v>75</v>
      </c>
      <c r="B76" t="s">
        <v>100</v>
      </c>
      <c r="C76" t="s">
        <v>76</v>
      </c>
      <c r="D76" t="s">
        <v>29</v>
      </c>
      <c r="E76" t="b">
        <v>0</v>
      </c>
      <c r="F76" s="1" t="s">
        <v>301</v>
      </c>
      <c r="G76" t="str">
        <f t="shared" si="10"/>
        <v>http://hl7.org/fhir/us/core/StructureDefinition/us-core-immunization</v>
      </c>
      <c r="H76" t="s">
        <v>55</v>
      </c>
      <c r="J76" t="s">
        <v>55</v>
      </c>
      <c r="K76" t="s">
        <v>76</v>
      </c>
      <c r="L76" t="str">
        <f t="shared" si="9"/>
        <v>Immunization.date</v>
      </c>
      <c r="M76" t="s">
        <v>55</v>
      </c>
      <c r="O76" t="s">
        <v>55</v>
      </c>
      <c r="P76" t="s">
        <v>68</v>
      </c>
      <c r="S76" t="s">
        <v>90</v>
      </c>
      <c r="AA76" s="8"/>
      <c r="AB76" t="str">
        <f t="shared" si="8"/>
        <v>SearchParameter-us-core-immunization-date.html</v>
      </c>
    </row>
    <row r="77" spans="1:28" ht="19" customHeight="1" x14ac:dyDescent="0.2">
      <c r="A77">
        <v>76</v>
      </c>
      <c r="B77" t="s">
        <v>100</v>
      </c>
      <c r="C77" t="s">
        <v>87</v>
      </c>
      <c r="D77" t="s">
        <v>12</v>
      </c>
      <c r="E77" t="b">
        <v>1</v>
      </c>
      <c r="F77" s="1" t="s">
        <v>300</v>
      </c>
      <c r="G77" t="str">
        <f t="shared" si="10"/>
        <v>http://hl7.org/fhir/us/core/StructureDefinition/us-core-immunization</v>
      </c>
      <c r="H77" t="s">
        <v>55</v>
      </c>
      <c r="J77" t="s">
        <v>55</v>
      </c>
      <c r="K77" t="s">
        <v>88</v>
      </c>
      <c r="L77" t="str">
        <f t="shared" si="9"/>
        <v>Immunization.patient</v>
      </c>
      <c r="M77" t="s">
        <v>55</v>
      </c>
      <c r="O77" t="s">
        <v>55</v>
      </c>
      <c r="Y77" t="str">
        <f>"support searching for all "&amp;LOWER(B77)&amp;"s for a patient"</f>
        <v>support searching for all immunizations for a patient</v>
      </c>
      <c r="Z77" s="4" t="str">
        <f>"GET [base]/"&amp;B77&amp;"?patient=1137192"</f>
        <v>GET [base]/Immunization?patient=1137192</v>
      </c>
      <c r="AA77" s="8" t="str">
        <f>"Fetches a bundle of all "&amp;B77&amp; " resources for the specified patient"</f>
        <v>Fetches a bundle of all Immunization resources for the specified patient</v>
      </c>
      <c r="AB77" t="str">
        <f t="shared" si="8"/>
        <v>SearchParameter-us-core-immunization-patient.html</v>
      </c>
    </row>
    <row r="78" spans="1:28" ht="19" customHeight="1" x14ac:dyDescent="0.2">
      <c r="A78">
        <v>77</v>
      </c>
      <c r="B78" t="s">
        <v>100</v>
      </c>
      <c r="C78" t="s">
        <v>60</v>
      </c>
      <c r="D78" t="s">
        <v>29</v>
      </c>
      <c r="E78" t="b">
        <v>0</v>
      </c>
      <c r="F78" s="1" t="s">
        <v>303</v>
      </c>
      <c r="G78" t="str">
        <f t="shared" si="10"/>
        <v>http://hl7.org/fhir/us/core/StructureDefinition/us-core-immunization</v>
      </c>
      <c r="H78" t="s">
        <v>55</v>
      </c>
      <c r="J78" t="s">
        <v>55</v>
      </c>
      <c r="K78" t="s">
        <v>56</v>
      </c>
      <c r="L78" t="str">
        <f t="shared" si="9"/>
        <v>Immunization.status</v>
      </c>
      <c r="M78" t="s">
        <v>55</v>
      </c>
      <c r="O78" t="s">
        <v>55</v>
      </c>
      <c r="Y78" s="4"/>
      <c r="Z78" s="4"/>
      <c r="AA78" s="8"/>
      <c r="AB78" t="str">
        <f t="shared" si="8"/>
        <v>SearchParameter-us-core-immunization-status.html</v>
      </c>
    </row>
    <row r="79" spans="1:28" ht="19" customHeight="1" x14ac:dyDescent="0.2">
      <c r="A79">
        <v>78</v>
      </c>
      <c r="B79" t="s">
        <v>130</v>
      </c>
      <c r="C79" t="s">
        <v>83</v>
      </c>
      <c r="D79" t="s">
        <v>12</v>
      </c>
      <c r="E79" t="b">
        <v>1</v>
      </c>
      <c r="G79" t="str">
        <f t="shared" si="10"/>
        <v>http://hl7.org/fhir/us/core/StructureDefinition/us-core-location</v>
      </c>
      <c r="H79" t="s">
        <v>55</v>
      </c>
      <c r="J79" t="s">
        <v>55</v>
      </c>
      <c r="K79" t="s">
        <v>62</v>
      </c>
      <c r="L79" t="str">
        <f t="shared" si="9"/>
        <v>Location.address</v>
      </c>
      <c r="M79" t="s">
        <v>55</v>
      </c>
      <c r="O79" t="s">
        <v>55</v>
      </c>
      <c r="Y79" t="s">
        <v>135</v>
      </c>
      <c r="Z79" s="4" t="str">
        <f>"GET [base]/"&amp;B79&amp;"?address=Arbor"</f>
        <v>GET [base]/Location?address=Arbor</v>
      </c>
      <c r="AA79" s="8" t="str">
        <f>"Fetches a bundle of all "&amp;B79&amp; " resources that match the address string"</f>
        <v>Fetches a bundle of all Location resources that match the address string</v>
      </c>
      <c r="AB79" t="str">
        <f t="shared" si="8"/>
        <v>SearchParameter-us-core-location-address.html</v>
      </c>
    </row>
    <row r="80" spans="1:28" ht="19" customHeight="1" x14ac:dyDescent="0.2">
      <c r="A80">
        <v>79</v>
      </c>
      <c r="B80" t="s">
        <v>130</v>
      </c>
      <c r="C80" t="s">
        <v>131</v>
      </c>
      <c r="D80" t="s">
        <v>68</v>
      </c>
      <c r="E80" t="b">
        <v>1</v>
      </c>
      <c r="G80" t="str">
        <f t="shared" si="10"/>
        <v>http://hl7.org/fhir/us/core/StructureDefinition/us-core-location</v>
      </c>
      <c r="H80" t="s">
        <v>55</v>
      </c>
      <c r="J80" t="s">
        <v>55</v>
      </c>
      <c r="K80" t="s">
        <v>62</v>
      </c>
      <c r="L80" t="str">
        <f t="shared" si="9"/>
        <v>Location.address-city</v>
      </c>
      <c r="M80" t="s">
        <v>55</v>
      </c>
      <c r="O80" t="s">
        <v>55</v>
      </c>
      <c r="Y80" t="s">
        <v>136</v>
      </c>
      <c r="Z80" s="4" t="str">
        <f>"GET [base]/"&amp;B80&amp;"?address-city=Ann Arbor"</f>
        <v>GET [base]/Location?address-city=Ann Arbor</v>
      </c>
      <c r="AA80" s="8" t="str">
        <f>"Fetches a bundle of all "&amp;B80&amp; " resources for the city"</f>
        <v>Fetches a bundle of all Location resources for the city</v>
      </c>
      <c r="AB80" t="str">
        <f t="shared" si="8"/>
        <v>SearchParameter-us-core-location-address-city.html</v>
      </c>
    </row>
    <row r="81" spans="1:28" ht="19" customHeight="1" x14ac:dyDescent="0.2">
      <c r="A81">
        <v>80</v>
      </c>
      <c r="B81" t="s">
        <v>130</v>
      </c>
      <c r="C81" t="s">
        <v>133</v>
      </c>
      <c r="D81" t="s">
        <v>68</v>
      </c>
      <c r="E81" t="b">
        <v>1</v>
      </c>
      <c r="G81" t="str">
        <f t="shared" si="10"/>
        <v>http://hl7.org/fhir/us/core/StructureDefinition/us-core-location</v>
      </c>
      <c r="H81" t="s">
        <v>55</v>
      </c>
      <c r="J81" t="s">
        <v>55</v>
      </c>
      <c r="K81" t="s">
        <v>62</v>
      </c>
      <c r="L81" t="str">
        <f t="shared" si="9"/>
        <v>Location.address-postalcode</v>
      </c>
      <c r="M81" t="s">
        <v>55</v>
      </c>
      <c r="O81" t="s">
        <v>55</v>
      </c>
      <c r="Y81" t="s">
        <v>138</v>
      </c>
      <c r="Z81" s="4" t="str">
        <f>"GET [base]/"&amp;B81&amp;"?address-postalcode=48104"</f>
        <v>GET [base]/Location?address-postalcode=48104</v>
      </c>
      <c r="AA81" s="8" t="str">
        <f>"Fetches a bundle of all "&amp;B81&amp; " resources for the ZIP code"</f>
        <v>Fetches a bundle of all Location resources for the ZIP code</v>
      </c>
      <c r="AB81" t="str">
        <f t="shared" si="8"/>
        <v>SearchParameter-us-core-location-address-postalcode.html</v>
      </c>
    </row>
    <row r="82" spans="1:28" ht="19" customHeight="1" x14ac:dyDescent="0.2">
      <c r="A82">
        <v>81</v>
      </c>
      <c r="B82" t="s">
        <v>130</v>
      </c>
      <c r="C82" t="s">
        <v>161</v>
      </c>
      <c r="D82" t="s">
        <v>68</v>
      </c>
      <c r="E82" t="b">
        <v>1</v>
      </c>
      <c r="G82" t="str">
        <f t="shared" si="10"/>
        <v>http://hl7.org/fhir/us/core/StructureDefinition/us-core-location</v>
      </c>
      <c r="H82" t="s">
        <v>55</v>
      </c>
      <c r="J82" t="s">
        <v>55</v>
      </c>
      <c r="K82" t="s">
        <v>62</v>
      </c>
      <c r="L82" t="str">
        <f t="shared" si="9"/>
        <v>Location.address-state</v>
      </c>
      <c r="M82" t="s">
        <v>55</v>
      </c>
      <c r="O82" t="s">
        <v>55</v>
      </c>
      <c r="Y82" t="s">
        <v>137</v>
      </c>
      <c r="Z82" s="4" t="s">
        <v>139</v>
      </c>
      <c r="AA82" s="8" t="str">
        <f>"Fetches a bundle of all "&amp;B82&amp; " resources for the state"</f>
        <v>Fetches a bundle of all Location resources for the state</v>
      </c>
      <c r="AB82" t="str">
        <f t="shared" si="8"/>
        <v>SearchParameter-us-core-location-address-state.html</v>
      </c>
    </row>
    <row r="83" spans="1:28" ht="19" customHeight="1" x14ac:dyDescent="0.2">
      <c r="A83">
        <v>82</v>
      </c>
      <c r="B83" t="s">
        <v>130</v>
      </c>
      <c r="C83" t="s">
        <v>22</v>
      </c>
      <c r="D83" t="s">
        <v>12</v>
      </c>
      <c r="E83" t="b">
        <v>1</v>
      </c>
      <c r="G83" t="str">
        <f t="shared" si="10"/>
        <v>http://hl7.org/fhir/us/core/StructureDefinition/us-core-location</v>
      </c>
      <c r="H83" t="s">
        <v>55</v>
      </c>
      <c r="J83" t="s">
        <v>55</v>
      </c>
      <c r="K83" t="s">
        <v>62</v>
      </c>
      <c r="L83" t="str">
        <f t="shared" si="9"/>
        <v>Location.name</v>
      </c>
      <c r="M83" t="s">
        <v>55</v>
      </c>
      <c r="O83" t="s">
        <v>55</v>
      </c>
      <c r="Y83" t="s">
        <v>134</v>
      </c>
      <c r="Z83" s="4" t="str">
        <f>"GET [base]/"&amp;B83&amp;"?name=Health"</f>
        <v>GET [base]/Location?name=Health</v>
      </c>
      <c r="AA83" s="8" t="str">
        <f>"Fetches a bundle of all "&amp;B83&amp; " resources that match the name"</f>
        <v>Fetches a bundle of all Location resources that match the name</v>
      </c>
      <c r="AB83" t="str">
        <f t="shared" si="8"/>
        <v>SearchParameter-us-core-location-name.html</v>
      </c>
    </row>
    <row r="84" spans="1:28" ht="19" customHeight="1" x14ac:dyDescent="0.2">
      <c r="A84">
        <v>83</v>
      </c>
      <c r="B84" t="s">
        <v>398</v>
      </c>
      <c r="C84" t="s">
        <v>87</v>
      </c>
      <c r="D84" t="s">
        <v>12</v>
      </c>
      <c r="E84" t="b">
        <v>1</v>
      </c>
      <c r="F84" s="1" t="s">
        <v>300</v>
      </c>
      <c r="G84" t="str">
        <f t="shared" si="10"/>
        <v>http://hl7.org/fhir/us/core/StructureDefinition/us-core-medicationdispense</v>
      </c>
      <c r="H84" t="s">
        <v>55</v>
      </c>
      <c r="J84" t="s">
        <v>55</v>
      </c>
      <c r="K84" t="s">
        <v>88</v>
      </c>
      <c r="L84" t="str">
        <f t="shared" si="9"/>
        <v>MedicationDispense.patient</v>
      </c>
      <c r="M84" t="s">
        <v>55</v>
      </c>
      <c r="O84" t="s">
        <v>55</v>
      </c>
      <c r="X84" s="6" t="s">
        <v>399</v>
      </c>
      <c r="Z84" s="8" t="s">
        <v>403</v>
      </c>
      <c r="AA84" s="8" t="str">
        <f>"Fetches a bundle of all "&amp;B84&amp; " resources for the specified patient."</f>
        <v>Fetches a bundle of all MedicationDispense resources for the specified patient.</v>
      </c>
      <c r="AB84" t="str">
        <f t="shared" si="8"/>
        <v>SearchParameter-us-core-medicationdispense-patient.html</v>
      </c>
    </row>
    <row r="85" spans="1:28" ht="19" customHeight="1" x14ac:dyDescent="0.2">
      <c r="A85">
        <v>84</v>
      </c>
      <c r="B85" t="s">
        <v>398</v>
      </c>
      <c r="C85" t="s">
        <v>60</v>
      </c>
      <c r="D85" t="s">
        <v>29</v>
      </c>
      <c r="E85" t="b">
        <v>0</v>
      </c>
      <c r="F85" s="1" t="s">
        <v>303</v>
      </c>
      <c r="G85" t="str">
        <f t="shared" si="10"/>
        <v>http://hl7.org/fhir/us/core/StructureDefinition/us-core-medicationdispense</v>
      </c>
      <c r="H85" t="s">
        <v>55</v>
      </c>
      <c r="J85" t="s">
        <v>55</v>
      </c>
      <c r="K85" t="s">
        <v>56</v>
      </c>
      <c r="L85" t="str">
        <f t="shared" si="9"/>
        <v>MedicationDispense.status</v>
      </c>
      <c r="M85" t="s">
        <v>55</v>
      </c>
      <c r="N85" t="s">
        <v>12</v>
      </c>
      <c r="O85" t="s">
        <v>55</v>
      </c>
      <c r="Y85" s="4"/>
      <c r="Z85" s="4"/>
      <c r="AA85" s="8"/>
      <c r="AB85" t="str">
        <f t="shared" si="8"/>
        <v>SearchParameter-us-core-medicationdispense-status.html</v>
      </c>
    </row>
    <row r="86" spans="1:28" ht="19" customHeight="1" x14ac:dyDescent="0.2">
      <c r="A86">
        <v>85</v>
      </c>
      <c r="B86" t="s">
        <v>398</v>
      </c>
      <c r="C86" t="s">
        <v>13</v>
      </c>
      <c r="D86" t="s">
        <v>29</v>
      </c>
      <c r="E86" t="b">
        <v>0</v>
      </c>
      <c r="F86" s="1" t="s">
        <v>303</v>
      </c>
      <c r="G86" t="str">
        <f t="shared" si="10"/>
        <v>http://hl7.org/fhir/us/core/StructureDefinition/us-core-medicationdispense</v>
      </c>
      <c r="H86" t="s">
        <v>55</v>
      </c>
      <c r="J86" t="s">
        <v>55</v>
      </c>
      <c r="K86" t="s">
        <v>56</v>
      </c>
      <c r="L86" t="str">
        <f t="shared" si="9"/>
        <v>MedicationDispense.type</v>
      </c>
      <c r="M86" t="s">
        <v>55</v>
      </c>
      <c r="N86" t="s">
        <v>12</v>
      </c>
      <c r="O86" t="s">
        <v>55</v>
      </c>
      <c r="Y86" s="4"/>
      <c r="Z86" s="4"/>
      <c r="AA86" s="8"/>
      <c r="AB86" t="str">
        <f t="shared" si="8"/>
        <v>SearchParameter-us-core-medicationdispense-type.html</v>
      </c>
    </row>
    <row r="87" spans="1:28" ht="19" customHeight="1" x14ac:dyDescent="0.2">
      <c r="A87">
        <v>86</v>
      </c>
      <c r="B87" t="s">
        <v>108</v>
      </c>
      <c r="C87" t="s">
        <v>124</v>
      </c>
      <c r="D87" t="s">
        <v>29</v>
      </c>
      <c r="E87" t="b">
        <v>0</v>
      </c>
      <c r="F87" s="1" t="s">
        <v>301</v>
      </c>
      <c r="G87" t="str">
        <f t="shared" si="10"/>
        <v>http://hl7.org/fhir/us/core/StructureDefinition/us-core-medicationrequest</v>
      </c>
      <c r="H87" t="s">
        <v>55</v>
      </c>
      <c r="J87" t="s">
        <v>55</v>
      </c>
      <c r="K87" t="s">
        <v>76</v>
      </c>
      <c r="L87" t="str">
        <f t="shared" si="9"/>
        <v>MedicationRequest.authoredon</v>
      </c>
      <c r="M87" t="s">
        <v>55</v>
      </c>
      <c r="O87" t="s">
        <v>55</v>
      </c>
      <c r="P87" t="s">
        <v>68</v>
      </c>
      <c r="S87" t="s">
        <v>90</v>
      </c>
      <c r="AA87" s="8"/>
      <c r="AB87" t="str">
        <f t="shared" si="8"/>
        <v>SearchParameter-us-core-medicationrequest-authoredon.html</v>
      </c>
    </row>
    <row r="88" spans="1:28" ht="19" customHeight="1" x14ac:dyDescent="0.2">
      <c r="A88">
        <v>87</v>
      </c>
      <c r="B88" t="s">
        <v>108</v>
      </c>
      <c r="C88" t="s">
        <v>242</v>
      </c>
      <c r="D88" t="s">
        <v>29</v>
      </c>
      <c r="E88" t="b">
        <v>0</v>
      </c>
      <c r="F88" s="1" t="s">
        <v>300</v>
      </c>
      <c r="G88" t="str">
        <f t="shared" si="10"/>
        <v>http://hl7.org/fhir/us/core/StructureDefinition/us-core-medicationrequest</v>
      </c>
      <c r="H88" t="s">
        <v>55</v>
      </c>
      <c r="J88" t="s">
        <v>55</v>
      </c>
      <c r="K88" t="s">
        <v>88</v>
      </c>
      <c r="L88" t="str">
        <f t="shared" si="9"/>
        <v>MedicationRequest.encounter</v>
      </c>
      <c r="M88" t="s">
        <v>55</v>
      </c>
      <c r="O88" t="s">
        <v>55</v>
      </c>
      <c r="W88" s="6"/>
      <c r="X88" s="6"/>
      <c r="Z88" s="8"/>
      <c r="AA88" s="8"/>
      <c r="AB88" t="str">
        <f t="shared" si="8"/>
        <v>SearchParameter-us-core-medicationrequest-encounter.html</v>
      </c>
    </row>
    <row r="89" spans="1:28" ht="19" customHeight="1" x14ac:dyDescent="0.2">
      <c r="A89">
        <v>88</v>
      </c>
      <c r="B89" t="s">
        <v>108</v>
      </c>
      <c r="C89" t="s">
        <v>241</v>
      </c>
      <c r="D89" t="s">
        <v>29</v>
      </c>
      <c r="E89" t="b">
        <v>0</v>
      </c>
      <c r="F89" s="1" t="s">
        <v>303</v>
      </c>
      <c r="G89" t="str">
        <f t="shared" si="10"/>
        <v>http://hl7.org/fhir/us/core/StructureDefinition/us-core-medicationrequest</v>
      </c>
      <c r="H89" t="s">
        <v>55</v>
      </c>
      <c r="J89" t="s">
        <v>55</v>
      </c>
      <c r="K89" t="s">
        <v>56</v>
      </c>
      <c r="L89" t="str">
        <f t="shared" si="9"/>
        <v>MedicationRequest.intent</v>
      </c>
      <c r="M89" t="s">
        <v>55</v>
      </c>
      <c r="N89" t="s">
        <v>12</v>
      </c>
      <c r="O89" t="s">
        <v>55</v>
      </c>
      <c r="Y89" s="4"/>
      <c r="Z89" s="4"/>
      <c r="AA89" s="8"/>
      <c r="AB89" t="str">
        <f t="shared" si="8"/>
        <v>SearchParameter-us-core-medicationrequest-intent.html</v>
      </c>
    </row>
    <row r="90" spans="1:28" ht="19" customHeight="1" x14ac:dyDescent="0.2">
      <c r="A90">
        <v>89</v>
      </c>
      <c r="B90" t="s">
        <v>108</v>
      </c>
      <c r="C90" t="s">
        <v>87</v>
      </c>
      <c r="D90" t="s">
        <v>29</v>
      </c>
      <c r="E90" t="b">
        <v>0</v>
      </c>
      <c r="F90" s="1" t="s">
        <v>300</v>
      </c>
      <c r="G90" t="str">
        <f t="shared" si="10"/>
        <v>http://hl7.org/fhir/us/core/StructureDefinition/us-core-medicationrequest</v>
      </c>
      <c r="H90" t="s">
        <v>55</v>
      </c>
      <c r="J90" t="s">
        <v>55</v>
      </c>
      <c r="K90" t="s">
        <v>88</v>
      </c>
      <c r="L90" t="str">
        <f t="shared" si="9"/>
        <v>MedicationRequest.patient</v>
      </c>
      <c r="M90" t="s">
        <v>55</v>
      </c>
      <c r="O90" t="s">
        <v>55</v>
      </c>
      <c r="W90" s="6"/>
      <c r="X90" s="6" t="s">
        <v>116</v>
      </c>
      <c r="Z90" s="8"/>
      <c r="AA90" s="8"/>
      <c r="AB90" t="str">
        <f t="shared" si="8"/>
        <v>SearchParameter-us-core-medicationrequest-patient.html</v>
      </c>
    </row>
    <row r="91" spans="1:28" ht="19" customHeight="1" x14ac:dyDescent="0.2">
      <c r="A91">
        <v>90</v>
      </c>
      <c r="B91" t="s">
        <v>108</v>
      </c>
      <c r="C91" t="s">
        <v>60</v>
      </c>
      <c r="D91" t="s">
        <v>29</v>
      </c>
      <c r="E91" t="b">
        <v>0</v>
      </c>
      <c r="F91" s="1" t="s">
        <v>303</v>
      </c>
      <c r="G91" t="str">
        <f t="shared" si="10"/>
        <v>http://hl7.org/fhir/us/core/StructureDefinition/us-core-medicationrequest</v>
      </c>
      <c r="H91" t="s">
        <v>55</v>
      </c>
      <c r="J91" t="s">
        <v>55</v>
      </c>
      <c r="K91" t="s">
        <v>56</v>
      </c>
      <c r="L91" t="str">
        <f t="shared" si="9"/>
        <v>MedicationRequest.status</v>
      </c>
      <c r="M91" t="s">
        <v>55</v>
      </c>
      <c r="N91" t="s">
        <v>12</v>
      </c>
      <c r="O91" t="s">
        <v>55</v>
      </c>
      <c r="Y91" s="4"/>
      <c r="Z91" s="4"/>
      <c r="AA91" s="8"/>
      <c r="AB91" t="str">
        <f t="shared" si="8"/>
        <v>SearchParameter-us-core-medicationrequest-status.html</v>
      </c>
    </row>
    <row r="92" spans="1:28" ht="19" customHeight="1" x14ac:dyDescent="0.2">
      <c r="A92">
        <v>91</v>
      </c>
      <c r="B92" t="s">
        <v>110</v>
      </c>
      <c r="C92" t="s">
        <v>94</v>
      </c>
      <c r="D92" t="s">
        <v>29</v>
      </c>
      <c r="E92" t="b">
        <v>0</v>
      </c>
      <c r="F92" s="1" t="s">
        <v>303</v>
      </c>
      <c r="G92" t="str">
        <f t="shared" si="10"/>
        <v>http://hl7.org/fhir/us/core/StructureDefinition/us-core-observation</v>
      </c>
      <c r="H92" t="s">
        <v>55</v>
      </c>
      <c r="J92" t="s">
        <v>55</v>
      </c>
      <c r="K92" t="s">
        <v>56</v>
      </c>
      <c r="L92" t="str">
        <f t="shared" si="9"/>
        <v>Observation.category</v>
      </c>
      <c r="M92" t="s">
        <v>55</v>
      </c>
      <c r="O92" t="s">
        <v>55</v>
      </c>
      <c r="Y92" s="4"/>
      <c r="Z92" s="4"/>
      <c r="AA92" s="8"/>
      <c r="AB92" t="str">
        <f t="shared" si="8"/>
        <v>SearchParameter-us-core-observation-category.html</v>
      </c>
    </row>
    <row r="93" spans="1:28" ht="19" customHeight="1" x14ac:dyDescent="0.2">
      <c r="A93">
        <v>92</v>
      </c>
      <c r="B93" t="s">
        <v>110</v>
      </c>
      <c r="C93" t="s">
        <v>25</v>
      </c>
      <c r="D93" t="s">
        <v>29</v>
      </c>
      <c r="E93" t="b">
        <v>0</v>
      </c>
      <c r="F93" s="1" t="s">
        <v>303</v>
      </c>
      <c r="G93" t="str">
        <f t="shared" si="10"/>
        <v>http://hl7.org/fhir/us/core/StructureDefinition/us-core-observation</v>
      </c>
      <c r="H93" t="s">
        <v>55</v>
      </c>
      <c r="J93" t="s">
        <v>55</v>
      </c>
      <c r="K93" t="s">
        <v>56</v>
      </c>
      <c r="L93" t="str">
        <f t="shared" si="9"/>
        <v>Observation.code</v>
      </c>
      <c r="M93" t="s">
        <v>55</v>
      </c>
      <c r="N93" t="s">
        <v>68</v>
      </c>
      <c r="O93" t="s">
        <v>55</v>
      </c>
      <c r="Y93" s="4"/>
      <c r="Z93" s="4"/>
      <c r="AA93" s="8"/>
      <c r="AB93" t="str">
        <f t="shared" si="8"/>
        <v>SearchParameter-us-core-observation-code.html</v>
      </c>
    </row>
    <row r="94" spans="1:28" ht="19" customHeight="1" x14ac:dyDescent="0.2">
      <c r="A94">
        <v>93</v>
      </c>
      <c r="B94" t="s">
        <v>110</v>
      </c>
      <c r="C94" t="s">
        <v>76</v>
      </c>
      <c r="D94" t="s">
        <v>29</v>
      </c>
      <c r="E94" t="b">
        <v>0</v>
      </c>
      <c r="F94" s="1" t="s">
        <v>301</v>
      </c>
      <c r="G94" t="str">
        <f t="shared" si="10"/>
        <v>http://hl7.org/fhir/us/core/StructureDefinition/us-core-observation</v>
      </c>
      <c r="H94" t="s">
        <v>55</v>
      </c>
      <c r="J94" t="s">
        <v>55</v>
      </c>
      <c r="K94" t="s">
        <v>76</v>
      </c>
      <c r="L94" t="str">
        <f t="shared" si="9"/>
        <v>Observation.date</v>
      </c>
      <c r="M94" t="s">
        <v>55</v>
      </c>
      <c r="O94" t="s">
        <v>55</v>
      </c>
      <c r="P94" t="s">
        <v>68</v>
      </c>
      <c r="S94" t="s">
        <v>90</v>
      </c>
      <c r="AA94" s="8"/>
      <c r="AB94" t="str">
        <f t="shared" si="8"/>
        <v>SearchParameter-us-core-observation-date.html</v>
      </c>
    </row>
    <row r="95" spans="1:28" ht="144" x14ac:dyDescent="0.2">
      <c r="A95">
        <v>94</v>
      </c>
      <c r="B95" t="s">
        <v>110</v>
      </c>
      <c r="C95" t="s">
        <v>453</v>
      </c>
      <c r="D95" t="s">
        <v>29</v>
      </c>
      <c r="E95" t="b">
        <v>0</v>
      </c>
      <c r="F95" s="1" t="s">
        <v>469</v>
      </c>
      <c r="G95" t="str">
        <f t="shared" ref="G95" si="11">"http://hl7.org/fhir/us/core/StructureDefinition/us-core-"&amp;LOWER(B95)</f>
        <v>http://hl7.org/fhir/us/core/StructureDefinition/us-core-observation</v>
      </c>
      <c r="H95" t="s">
        <v>55</v>
      </c>
      <c r="J95" t="s">
        <v>55</v>
      </c>
      <c r="K95" t="s">
        <v>76</v>
      </c>
      <c r="L95" t="str">
        <f t="shared" ref="L95" si="12">B95&amp;"."&amp;C95</f>
        <v>Observation._lastUpdated</v>
      </c>
      <c r="M95" t="s">
        <v>55</v>
      </c>
      <c r="O95" t="s">
        <v>55</v>
      </c>
      <c r="P95" t="s">
        <v>68</v>
      </c>
      <c r="S95" t="s">
        <v>90</v>
      </c>
      <c r="AA95" s="8"/>
      <c r="AB95" t="str">
        <f t="shared" ref="AB95" si="13">"SearchParameter-us-core-"&amp;LOWER((B95)&amp;"-"&amp;SUBSTITUTE(C95,"_","")&amp;".html")</f>
        <v>SearchParameter-us-core-observation-lastupdated.html</v>
      </c>
    </row>
    <row r="96" spans="1:28" ht="19" customHeight="1" x14ac:dyDescent="0.2">
      <c r="A96">
        <v>95</v>
      </c>
      <c r="B96" t="s">
        <v>110</v>
      </c>
      <c r="C96" t="s">
        <v>87</v>
      </c>
      <c r="D96" t="s">
        <v>29</v>
      </c>
      <c r="E96" t="b">
        <v>0</v>
      </c>
      <c r="F96" s="1" t="s">
        <v>300</v>
      </c>
      <c r="G96" t="str">
        <f t="shared" si="10"/>
        <v>http://hl7.org/fhir/us/core/StructureDefinition/us-core-observation</v>
      </c>
      <c r="H96" t="s">
        <v>55</v>
      </c>
      <c r="J96" t="s">
        <v>55</v>
      </c>
      <c r="K96" t="s">
        <v>88</v>
      </c>
      <c r="L96" t="str">
        <f t="shared" si="9"/>
        <v>Observation.patient</v>
      </c>
      <c r="M96" t="s">
        <v>55</v>
      </c>
      <c r="O96" t="s">
        <v>55</v>
      </c>
      <c r="Y96" t="str">
        <f>"support searching for all "&amp;LOWER(B96)&amp;"s for a patient"</f>
        <v>support searching for all observations for a patient</v>
      </c>
      <c r="Z96" s="4" t="str">
        <f>"GET [base]/"&amp;B96&amp;"?patient=1137192"</f>
        <v>GET [base]/Observation?patient=1137192</v>
      </c>
      <c r="AA96" s="8" t="str">
        <f>"Fetches a bundle of all "&amp;B96&amp; " resources for the specified patient"</f>
        <v>Fetches a bundle of all Observation resources for the specified patient</v>
      </c>
      <c r="AB96" t="str">
        <f t="shared" si="8"/>
        <v>SearchParameter-us-core-observation-patient.html</v>
      </c>
    </row>
    <row r="97" spans="1:28" ht="19" customHeight="1" x14ac:dyDescent="0.2">
      <c r="A97">
        <v>96</v>
      </c>
      <c r="B97" t="s">
        <v>110</v>
      </c>
      <c r="C97" t="s">
        <v>60</v>
      </c>
      <c r="D97" t="s">
        <v>29</v>
      </c>
      <c r="E97" t="b">
        <v>0</v>
      </c>
      <c r="F97" s="1" t="s">
        <v>303</v>
      </c>
      <c r="G97" t="str">
        <f t="shared" si="10"/>
        <v>http://hl7.org/fhir/us/core/StructureDefinition/us-core-observation</v>
      </c>
      <c r="H97" t="s">
        <v>55</v>
      </c>
      <c r="J97" t="s">
        <v>55</v>
      </c>
      <c r="K97" t="s">
        <v>56</v>
      </c>
      <c r="L97" t="str">
        <f t="shared" si="9"/>
        <v>Observation.status</v>
      </c>
      <c r="M97" t="s">
        <v>55</v>
      </c>
      <c r="N97" t="s">
        <v>12</v>
      </c>
      <c r="O97" t="s">
        <v>55</v>
      </c>
      <c r="Y97" s="4"/>
      <c r="Z97" s="4"/>
      <c r="AA97" s="8"/>
      <c r="AB97" t="str">
        <f t="shared" si="8"/>
        <v>SearchParameter-us-core-observation-status.html</v>
      </c>
    </row>
    <row r="98" spans="1:28" ht="19" customHeight="1" x14ac:dyDescent="0.2">
      <c r="A98">
        <v>97</v>
      </c>
      <c r="B98" t="s">
        <v>140</v>
      </c>
      <c r="C98" t="s">
        <v>83</v>
      </c>
      <c r="D98" t="s">
        <v>12</v>
      </c>
      <c r="E98" t="b">
        <v>1</v>
      </c>
      <c r="G98" t="str">
        <f t="shared" si="10"/>
        <v>http://hl7.org/fhir/us/core/StructureDefinition/us-core-organization</v>
      </c>
      <c r="H98" t="s">
        <v>55</v>
      </c>
      <c r="J98" t="s">
        <v>55</v>
      </c>
      <c r="K98" t="s">
        <v>62</v>
      </c>
      <c r="L98" t="str">
        <f t="shared" si="9"/>
        <v>Organization.address</v>
      </c>
      <c r="M98" t="s">
        <v>55</v>
      </c>
      <c r="O98" t="s">
        <v>55</v>
      </c>
      <c r="Y98" t="s">
        <v>142</v>
      </c>
      <c r="Z98" s="4" t="str">
        <f>"GET [base]/"&amp;B98&amp;"?address=Arbor"</f>
        <v>GET [base]/Organization?address=Arbor</v>
      </c>
      <c r="AA98" s="8" t="str">
        <f>"Fetches a bundle of all "&amp;B98&amp; " resources that match the address string"</f>
        <v>Fetches a bundle of all Organization resources that match the address string</v>
      </c>
      <c r="AB98" t="str">
        <f t="shared" si="8"/>
        <v>SearchParameter-us-core-organization-address.html</v>
      </c>
    </row>
    <row r="99" spans="1:28" ht="19" customHeight="1" x14ac:dyDescent="0.2">
      <c r="A99">
        <v>98</v>
      </c>
      <c r="B99" t="s">
        <v>140</v>
      </c>
      <c r="C99" t="s">
        <v>22</v>
      </c>
      <c r="D99" t="s">
        <v>12</v>
      </c>
      <c r="E99" t="b">
        <v>1</v>
      </c>
      <c r="G99" t="str">
        <f t="shared" si="10"/>
        <v>http://hl7.org/fhir/us/core/StructureDefinition/us-core-organization</v>
      </c>
      <c r="H99" t="s">
        <v>55</v>
      </c>
      <c r="J99" t="s">
        <v>55</v>
      </c>
      <c r="K99" t="s">
        <v>62</v>
      </c>
      <c r="L99" t="str">
        <f t="shared" si="9"/>
        <v>Organization.name</v>
      </c>
      <c r="M99" t="s">
        <v>55</v>
      </c>
      <c r="O99" t="s">
        <v>55</v>
      </c>
      <c r="Y99" t="s">
        <v>141</v>
      </c>
      <c r="Z99" s="4" t="str">
        <f>"GET [base]/"&amp;B99&amp;"?name=Health"</f>
        <v>GET [base]/Organization?name=Health</v>
      </c>
      <c r="AA99" s="8" t="str">
        <f>"Fetches a bundle of all "&amp;B99&amp; " resources that match the name"</f>
        <v>Fetches a bundle of all Organization resources that match the name</v>
      </c>
      <c r="AB99" t="str">
        <f t="shared" si="8"/>
        <v>SearchParameter-us-core-organization-name.html</v>
      </c>
    </row>
    <row r="100" spans="1:28" ht="19" customHeight="1" x14ac:dyDescent="0.2">
      <c r="A100">
        <v>99</v>
      </c>
      <c r="B100" t="s">
        <v>20</v>
      </c>
      <c r="C100" t="s">
        <v>54</v>
      </c>
      <c r="D100" t="s">
        <v>12</v>
      </c>
      <c r="E100" t="b">
        <v>1</v>
      </c>
      <c r="G100" t="str">
        <f t="shared" si="10"/>
        <v>http://hl7.org/fhir/us/core/StructureDefinition/us-core-patient</v>
      </c>
      <c r="H100" t="s">
        <v>55</v>
      </c>
      <c r="J100" t="s">
        <v>55</v>
      </c>
      <c r="K100" t="s">
        <v>56</v>
      </c>
      <c r="L100" t="str">
        <f t="shared" si="9"/>
        <v>Patient._id</v>
      </c>
      <c r="M100" t="s">
        <v>55</v>
      </c>
      <c r="O100" t="s">
        <v>55</v>
      </c>
      <c r="Y100" s="22" t="str">
        <f>"support both read " &amp;B100&amp; " by `id` **AND** " &amp;B100&amp; " search"</f>
        <v>support both read Patient by `id` **AND** Patient search</v>
      </c>
      <c r="Z100" s="4" t="s">
        <v>167</v>
      </c>
      <c r="AB100" t="str">
        <f t="shared" si="8"/>
        <v>SearchParameter-us-core-patient-id.html</v>
      </c>
    </row>
    <row r="101" spans="1:28" ht="19" customHeight="1" x14ac:dyDescent="0.2">
      <c r="A101">
        <v>100</v>
      </c>
      <c r="B101" t="s">
        <v>20</v>
      </c>
      <c r="C101" t="s">
        <v>75</v>
      </c>
      <c r="D101" t="s">
        <v>29</v>
      </c>
      <c r="E101" t="b">
        <v>0</v>
      </c>
      <c r="F101" s="1" t="s">
        <v>302</v>
      </c>
      <c r="G101" t="str">
        <f t="shared" si="10"/>
        <v>http://hl7.org/fhir/us/core/StructureDefinition/us-core-patient</v>
      </c>
      <c r="H101" t="s">
        <v>55</v>
      </c>
      <c r="J101" t="s">
        <v>55</v>
      </c>
      <c r="K101" t="s">
        <v>76</v>
      </c>
      <c r="L101" t="str">
        <f t="shared" si="9"/>
        <v>Patient.birthdate</v>
      </c>
      <c r="M101" t="s">
        <v>55</v>
      </c>
      <c r="O101" t="s">
        <v>55</v>
      </c>
      <c r="AB101" t="str">
        <f t="shared" si="8"/>
        <v>SearchParameter-us-core-patient-birthdate.html</v>
      </c>
    </row>
    <row r="102" spans="1:28" ht="19" customHeight="1" x14ac:dyDescent="0.2">
      <c r="A102">
        <v>101</v>
      </c>
      <c r="B102" t="s">
        <v>20</v>
      </c>
      <c r="C102" t="s">
        <v>408</v>
      </c>
      <c r="D102" t="s">
        <v>29</v>
      </c>
      <c r="E102" t="b">
        <v>0</v>
      </c>
      <c r="F102" s="1" t="s">
        <v>302</v>
      </c>
      <c r="G102" t="str">
        <f t="shared" ref="G102:G132" si="14">"http://hl7.org/fhir/us/core/StructureDefinition/us-core-"&amp;LOWER(B102)</f>
        <v>http://hl7.org/fhir/us/core/StructureDefinition/us-core-patient</v>
      </c>
      <c r="H102" t="s">
        <v>55</v>
      </c>
      <c r="J102" t="s">
        <v>55</v>
      </c>
      <c r="K102" t="s">
        <v>76</v>
      </c>
      <c r="L102" t="str">
        <f t="shared" si="9"/>
        <v>Patient.death-date</v>
      </c>
      <c r="M102" t="s">
        <v>55</v>
      </c>
      <c r="O102" t="s">
        <v>55</v>
      </c>
      <c r="AB102" t="str">
        <f t="shared" si="8"/>
        <v>SearchParameter-us-core-patient-death-date.html</v>
      </c>
    </row>
    <row r="103" spans="1:28" ht="19" customHeight="1" x14ac:dyDescent="0.2">
      <c r="A103">
        <v>102</v>
      </c>
      <c r="B103" t="s">
        <v>20</v>
      </c>
      <c r="C103" t="s">
        <v>77</v>
      </c>
      <c r="D103" t="s">
        <v>29</v>
      </c>
      <c r="E103" t="b">
        <v>0</v>
      </c>
      <c r="F103" t="s">
        <v>320</v>
      </c>
      <c r="G103" t="str">
        <f t="shared" si="14"/>
        <v>http://hl7.org/fhir/us/core/StructureDefinition/us-core-patient</v>
      </c>
      <c r="H103" t="s">
        <v>55</v>
      </c>
      <c r="J103" t="s">
        <v>55</v>
      </c>
      <c r="K103" t="s">
        <v>62</v>
      </c>
      <c r="L103" s="5" t="s">
        <v>79</v>
      </c>
      <c r="M103" t="s">
        <v>55</v>
      </c>
      <c r="O103" t="s">
        <v>55</v>
      </c>
      <c r="AB103" t="str">
        <f t="shared" si="8"/>
        <v>SearchParameter-us-core-patient-family.html</v>
      </c>
    </row>
    <row r="104" spans="1:28" ht="19" customHeight="1" x14ac:dyDescent="0.2">
      <c r="A104">
        <v>103</v>
      </c>
      <c r="B104" t="s">
        <v>20</v>
      </c>
      <c r="C104" t="s">
        <v>78</v>
      </c>
      <c r="D104" t="s">
        <v>29</v>
      </c>
      <c r="E104" t="b">
        <v>0</v>
      </c>
      <c r="F104" s="1" t="s">
        <v>303</v>
      </c>
      <c r="G104" t="str">
        <f t="shared" si="14"/>
        <v>http://hl7.org/fhir/us/core/StructureDefinition/us-core-patient</v>
      </c>
      <c r="H104" t="s">
        <v>55</v>
      </c>
      <c r="J104" t="s">
        <v>55</v>
      </c>
      <c r="K104" t="s">
        <v>56</v>
      </c>
      <c r="L104" t="str">
        <f>B104&amp;"."&amp;C104</f>
        <v>Patient.gender</v>
      </c>
      <c r="M104" t="s">
        <v>55</v>
      </c>
      <c r="O104" t="s">
        <v>55</v>
      </c>
      <c r="AA104" s="8"/>
      <c r="AB104" t="str">
        <f t="shared" si="8"/>
        <v>SearchParameter-us-core-patient-gender.html</v>
      </c>
    </row>
    <row r="105" spans="1:28" ht="19" customHeight="1" x14ac:dyDescent="0.2">
      <c r="A105">
        <v>104</v>
      </c>
      <c r="B105" t="s">
        <v>20</v>
      </c>
      <c r="C105" t="s">
        <v>80</v>
      </c>
      <c r="D105" t="s">
        <v>29</v>
      </c>
      <c r="E105" t="b">
        <v>0</v>
      </c>
      <c r="G105" t="str">
        <f t="shared" si="14"/>
        <v>http://hl7.org/fhir/us/core/StructureDefinition/us-core-patient</v>
      </c>
      <c r="H105" t="s">
        <v>55</v>
      </c>
      <c r="J105" t="s">
        <v>55</v>
      </c>
      <c r="K105" t="s">
        <v>62</v>
      </c>
      <c r="L105" s="5" t="s">
        <v>81</v>
      </c>
      <c r="M105" t="s">
        <v>55</v>
      </c>
      <c r="O105" t="s">
        <v>55</v>
      </c>
      <c r="AA105" s="8"/>
      <c r="AB105" t="str">
        <f t="shared" si="8"/>
        <v>SearchParameter-us-core-patient-given.html</v>
      </c>
    </row>
    <row r="106" spans="1:28" ht="19" customHeight="1" x14ac:dyDescent="0.2">
      <c r="A106">
        <v>105</v>
      </c>
      <c r="B106" t="s">
        <v>20</v>
      </c>
      <c r="C106" t="s">
        <v>74</v>
      </c>
      <c r="D106" t="s">
        <v>12</v>
      </c>
      <c r="E106" t="b">
        <v>1</v>
      </c>
      <c r="F106" s="1" t="s">
        <v>303</v>
      </c>
      <c r="G106" t="str">
        <f t="shared" si="14"/>
        <v>http://hl7.org/fhir/us/core/StructureDefinition/us-core-patient</v>
      </c>
      <c r="H106" t="s">
        <v>55</v>
      </c>
      <c r="J106" t="s">
        <v>55</v>
      </c>
      <c r="K106" t="s">
        <v>56</v>
      </c>
      <c r="L106" t="str">
        <f t="shared" ref="L106:L132" si="15">B106&amp;"."&amp;C106</f>
        <v>Patient.identifier</v>
      </c>
      <c r="M106" t="s">
        <v>55</v>
      </c>
      <c r="O106" t="s">
        <v>55</v>
      </c>
      <c r="Y106" s="4" t="s">
        <v>120</v>
      </c>
      <c r="Z106" t="s">
        <v>98</v>
      </c>
      <c r="AA106" s="8" t="str">
        <f>"Fetches a bundle containing any "&amp;B106&amp;" resources matching the identifier"</f>
        <v>Fetches a bundle containing any Patient resources matching the identifier</v>
      </c>
      <c r="AB106" t="str">
        <f t="shared" si="8"/>
        <v>SearchParameter-us-core-patient-identifier.html</v>
      </c>
    </row>
    <row r="107" spans="1:28" ht="19" customHeight="1" x14ac:dyDescent="0.2">
      <c r="A107">
        <v>106</v>
      </c>
      <c r="B107" t="s">
        <v>20</v>
      </c>
      <c r="C107" t="s">
        <v>22</v>
      </c>
      <c r="D107" t="s">
        <v>12</v>
      </c>
      <c r="E107" t="b">
        <v>1</v>
      </c>
      <c r="G107" t="str">
        <f t="shared" si="14"/>
        <v>http://hl7.org/fhir/us/core/StructureDefinition/us-core-patient</v>
      </c>
      <c r="H107" t="s">
        <v>55</v>
      </c>
      <c r="J107" t="s">
        <v>55</v>
      </c>
      <c r="K107" t="s">
        <v>62</v>
      </c>
      <c r="L107" t="str">
        <f t="shared" si="15"/>
        <v>Patient.name</v>
      </c>
      <c r="M107" t="s">
        <v>55</v>
      </c>
      <c r="O107" t="s">
        <v>55</v>
      </c>
      <c r="Y107" s="4" t="s">
        <v>411</v>
      </c>
      <c r="Z107" t="s">
        <v>104</v>
      </c>
      <c r="AA107" s="8" t="str">
        <f>"Fetches a bundle of all "&amp;B107&amp;" resources matching the name"</f>
        <v>Fetches a bundle of all Patient resources matching the name</v>
      </c>
      <c r="AB107" t="str">
        <f t="shared" si="8"/>
        <v>SearchParameter-us-core-patient-name.html</v>
      </c>
    </row>
    <row r="108" spans="1:28" ht="19" customHeight="1" x14ac:dyDescent="0.2">
      <c r="A108">
        <v>107</v>
      </c>
      <c r="B108" t="s">
        <v>147</v>
      </c>
      <c r="C108" t="s">
        <v>54</v>
      </c>
      <c r="D108" t="s">
        <v>68</v>
      </c>
      <c r="E108" t="b">
        <v>1</v>
      </c>
      <c r="G108" t="str">
        <f t="shared" si="14"/>
        <v>http://hl7.org/fhir/us/core/StructureDefinition/us-core-practitioner</v>
      </c>
      <c r="H108" t="s">
        <v>55</v>
      </c>
      <c r="J108" t="s">
        <v>55</v>
      </c>
      <c r="K108" t="s">
        <v>56</v>
      </c>
      <c r="L108" t="str">
        <f t="shared" si="15"/>
        <v>Practitioner._id</v>
      </c>
      <c r="M108" t="s">
        <v>55</v>
      </c>
      <c r="O108" t="s">
        <v>55</v>
      </c>
      <c r="Y108" s="22" t="str">
        <f>"support both read " &amp;B108&amp; " by `id` **AND** " &amp;B108&amp; " search"</f>
        <v>support both read Practitioner by `id` **AND** Practitioner search</v>
      </c>
      <c r="Z108" s="4" t="str">
        <f>"GET [base]/"&amp;B108&amp;"/practitioner-1~GET [base]/"&amp;B108&amp;"?_id=practitioner-1"</f>
        <v>GET [base]/Practitioner/practitioner-1~GET [base]/Practitioner?_id=practitioner-1</v>
      </c>
      <c r="AA108" s="8"/>
      <c r="AB108" t="str">
        <f t="shared" si="8"/>
        <v>SearchParameter-us-core-practitioner-id.html</v>
      </c>
    </row>
    <row r="109" spans="1:28" ht="19" customHeight="1" x14ac:dyDescent="0.2">
      <c r="A109">
        <v>108</v>
      </c>
      <c r="B109" t="s">
        <v>147</v>
      </c>
      <c r="C109" t="s">
        <v>74</v>
      </c>
      <c r="D109" t="s">
        <v>12</v>
      </c>
      <c r="E109" t="b">
        <v>1</v>
      </c>
      <c r="F109" s="1" t="s">
        <v>303</v>
      </c>
      <c r="G109" t="str">
        <f t="shared" si="14"/>
        <v>http://hl7.org/fhir/us/core/StructureDefinition/us-core-practitioner</v>
      </c>
      <c r="H109" t="s">
        <v>55</v>
      </c>
      <c r="J109" t="s">
        <v>55</v>
      </c>
      <c r="K109" t="s">
        <v>56</v>
      </c>
      <c r="L109" t="str">
        <f t="shared" si="15"/>
        <v>Practitioner.identifier</v>
      </c>
      <c r="M109" t="s">
        <v>55</v>
      </c>
      <c r="O109" t="s">
        <v>55</v>
      </c>
      <c r="Y109" s="4" t="s">
        <v>164</v>
      </c>
      <c r="Z109" s="4" t="str">
        <f>"GET [base]/"&amp;B109&amp;"?dentifier=http://hl7.org/fhir/sid/us-npi\|97860456"</f>
        <v>GET [base]/Practitioner?dentifier=http://hl7.org/fhir/sid/us-npi\|97860456</v>
      </c>
      <c r="AA109" s="8" t="str">
        <f>"Fetches a bundle containing any "&amp;B109&amp;" resources matching the identifier"</f>
        <v>Fetches a bundle containing any Practitioner resources matching the identifier</v>
      </c>
      <c r="AB109" t="str">
        <f t="shared" si="8"/>
        <v>SearchParameter-us-core-practitioner-identifier.html</v>
      </c>
    </row>
    <row r="110" spans="1:28" ht="19" customHeight="1" x14ac:dyDescent="0.2">
      <c r="A110">
        <v>109</v>
      </c>
      <c r="B110" t="s">
        <v>147</v>
      </c>
      <c r="C110" t="s">
        <v>22</v>
      </c>
      <c r="D110" t="s">
        <v>12</v>
      </c>
      <c r="E110" t="b">
        <v>1</v>
      </c>
      <c r="G110" t="str">
        <f t="shared" si="14"/>
        <v>http://hl7.org/fhir/us/core/StructureDefinition/us-core-practitioner</v>
      </c>
      <c r="H110" t="s">
        <v>55</v>
      </c>
      <c r="J110" t="s">
        <v>55</v>
      </c>
      <c r="K110" t="s">
        <v>62</v>
      </c>
      <c r="L110" t="str">
        <f t="shared" si="15"/>
        <v>Practitioner.name</v>
      </c>
      <c r="M110" t="s">
        <v>55</v>
      </c>
      <c r="O110" t="s">
        <v>55</v>
      </c>
      <c r="Y110" s="4" t="s">
        <v>148</v>
      </c>
      <c r="Z110" s="4" t="str">
        <f>"GET [base]/"&amp;B110&amp;"?name=Smith"</f>
        <v>GET [base]/Practitioner?name=Smith</v>
      </c>
      <c r="AA110" s="8" t="str">
        <f>"Fetches a bundle of all "&amp;B110&amp;" resources matching the name"</f>
        <v>Fetches a bundle of all Practitioner resources matching the name</v>
      </c>
      <c r="AB110" t="str">
        <f t="shared" si="8"/>
        <v>SearchParameter-us-core-practitioner-name.html</v>
      </c>
    </row>
    <row r="111" spans="1:28" ht="19" customHeight="1" x14ac:dyDescent="0.2">
      <c r="A111">
        <v>110</v>
      </c>
      <c r="B111" t="s">
        <v>149</v>
      </c>
      <c r="C111" t="s">
        <v>151</v>
      </c>
      <c r="D111" t="s">
        <v>12</v>
      </c>
      <c r="E111" t="b">
        <v>1</v>
      </c>
      <c r="F111" s="1" t="s">
        <v>300</v>
      </c>
      <c r="G111" t="str">
        <f t="shared" si="14"/>
        <v>http://hl7.org/fhir/us/core/StructureDefinition/us-core-practitionerrole</v>
      </c>
      <c r="H111" t="s">
        <v>55</v>
      </c>
      <c r="J111" t="s">
        <v>55</v>
      </c>
      <c r="K111" t="s">
        <v>88</v>
      </c>
      <c r="L111" t="str">
        <f t="shared" si="15"/>
        <v>PractitionerRole.practitioner</v>
      </c>
      <c r="M111" t="s">
        <v>55</v>
      </c>
      <c r="O111" t="s">
        <v>55</v>
      </c>
      <c r="U111" t="s">
        <v>152</v>
      </c>
      <c r="X111" t="s">
        <v>153</v>
      </c>
      <c r="Y111" s="4" t="s">
        <v>154</v>
      </c>
      <c r="Z111" s="4" t="str">
        <f>_xlfn.CONCAT("GET [base]/",B111,"?practitioner.identifier=http://hl7.org/fhir/sid/us-npi\|97860456&amp;_include=PractitionerRole:practitioner","&amp;_include=PractitionerRole?endpoint~GET [base]/PractitionerRole?practitioner.name=Henry&amp;_include=PractitionerRole:practitioner&amp;_include=PractitionerRole?endpoint")</f>
        <v>GET [base]/PractitionerRole?practitioner.identifier=http://hl7.org/fhir/sid/us-npi\|97860456&amp;_include=PractitionerRole:practitioner&amp;_include=PractitionerRole?endpoint~GET [base]/PractitionerRole?practitioner.name=Henry&amp;_include=PractitionerRole:practitioner&amp;_include=PractitionerRole?endpoint</v>
      </c>
      <c r="AA111" s="8" t="str">
        <f>"Fetches a bundle containing  "&amp;B111&amp;" resources matching the chained parameter practitioner.name or practitioner.identifier. SHOULD support the _include for PractionerRole.practitioner and PractitionerRole.endpoint."</f>
        <v>Fetches a bundle containing  PractitionerRole resources matching the chained parameter practitioner.name or practitioner.identifier. SHOULD support the _include for PractionerRole.practitioner and PractitionerRole.endpoint.</v>
      </c>
      <c r="AB111" t="str">
        <f t="shared" si="8"/>
        <v>SearchParameter-us-core-practitionerrole-practitioner.html</v>
      </c>
    </row>
    <row r="112" spans="1:28" ht="19" customHeight="1" x14ac:dyDescent="0.2">
      <c r="A112">
        <v>111</v>
      </c>
      <c r="B112" t="s">
        <v>149</v>
      </c>
      <c r="C112" t="s">
        <v>150</v>
      </c>
      <c r="D112" t="s">
        <v>12</v>
      </c>
      <c r="E112" t="b">
        <v>1</v>
      </c>
      <c r="F112" s="1" t="s">
        <v>303</v>
      </c>
      <c r="G112" t="str">
        <f t="shared" si="14"/>
        <v>http://hl7.org/fhir/us/core/StructureDefinition/us-core-practitionerrole</v>
      </c>
      <c r="H112" t="s">
        <v>55</v>
      </c>
      <c r="J112" t="s">
        <v>55</v>
      </c>
      <c r="K112" t="s">
        <v>56</v>
      </c>
      <c r="L112" t="str">
        <f t="shared" si="15"/>
        <v>PractitionerRole.specialty</v>
      </c>
      <c r="M112" t="s">
        <v>55</v>
      </c>
      <c r="O112" t="s">
        <v>55</v>
      </c>
      <c r="X112" t="s">
        <v>153</v>
      </c>
      <c r="Y112" s="4" t="s">
        <v>165</v>
      </c>
      <c r="Z112" s="4" t="str">
        <f>"GET [base]/"&amp;B112&amp;"?specialty=http://nucc.org/provider-taxonomy\|208D0000X"</f>
        <v>GET [base]/PractitionerRole?specialty=http://nucc.org/provider-taxonomy\|208D0000X</v>
      </c>
      <c r="AA112" s="8" t="str">
        <f>"Fetches a bundle containing  "&amp;B112&amp;" resources matching the specialty"</f>
        <v>Fetches a bundle containing  PractitionerRole resources matching the specialty</v>
      </c>
      <c r="AB112" t="str">
        <f t="shared" si="8"/>
        <v>SearchParameter-us-core-practitionerrole-specialty.html</v>
      </c>
    </row>
    <row r="113" spans="1:28" ht="19" customHeight="1" x14ac:dyDescent="0.2">
      <c r="A113">
        <v>112</v>
      </c>
      <c r="B113" t="s">
        <v>109</v>
      </c>
      <c r="C113" t="s">
        <v>25</v>
      </c>
      <c r="D113" t="s">
        <v>29</v>
      </c>
      <c r="E113" t="b">
        <v>0</v>
      </c>
      <c r="F113" s="1" t="s">
        <v>303</v>
      </c>
      <c r="G113" t="str">
        <f t="shared" si="14"/>
        <v>http://hl7.org/fhir/us/core/StructureDefinition/us-core-procedure</v>
      </c>
      <c r="H113" t="s">
        <v>55</v>
      </c>
      <c r="J113" t="s">
        <v>55</v>
      </c>
      <c r="K113" t="s">
        <v>56</v>
      </c>
      <c r="L113" t="str">
        <f t="shared" si="15"/>
        <v>Procedure.code</v>
      </c>
      <c r="M113" t="s">
        <v>55</v>
      </c>
      <c r="N113" t="s">
        <v>68</v>
      </c>
      <c r="O113" t="s">
        <v>55</v>
      </c>
      <c r="Y113" s="4"/>
      <c r="Z113" s="4"/>
      <c r="AA113" s="8"/>
      <c r="AB113" t="str">
        <f t="shared" si="8"/>
        <v>SearchParameter-us-core-procedure-code.html</v>
      </c>
    </row>
    <row r="114" spans="1:28" ht="19" customHeight="1" x14ac:dyDescent="0.2">
      <c r="A114">
        <v>113</v>
      </c>
      <c r="B114" t="s">
        <v>109</v>
      </c>
      <c r="C114" t="s">
        <v>76</v>
      </c>
      <c r="D114" t="s">
        <v>29</v>
      </c>
      <c r="E114" t="b">
        <v>0</v>
      </c>
      <c r="F114" s="1" t="s">
        <v>301</v>
      </c>
      <c r="G114" t="str">
        <f t="shared" si="14"/>
        <v>http://hl7.org/fhir/us/core/StructureDefinition/us-core-procedure</v>
      </c>
      <c r="H114" t="s">
        <v>55</v>
      </c>
      <c r="J114" t="s">
        <v>55</v>
      </c>
      <c r="K114" t="s">
        <v>76</v>
      </c>
      <c r="L114" t="str">
        <f t="shared" si="15"/>
        <v>Procedure.date</v>
      </c>
      <c r="M114" t="s">
        <v>55</v>
      </c>
      <c r="O114" t="s">
        <v>55</v>
      </c>
      <c r="P114" t="s">
        <v>68</v>
      </c>
      <c r="S114" t="s">
        <v>90</v>
      </c>
      <c r="AA114" s="8"/>
      <c r="AB114" t="str">
        <f t="shared" si="8"/>
        <v>SearchParameter-us-core-procedure-date.html</v>
      </c>
    </row>
    <row r="115" spans="1:28" ht="19" customHeight="1" x14ac:dyDescent="0.2">
      <c r="A115">
        <v>114</v>
      </c>
      <c r="B115" t="s">
        <v>109</v>
      </c>
      <c r="C115" t="s">
        <v>87</v>
      </c>
      <c r="D115" t="s">
        <v>12</v>
      </c>
      <c r="E115" t="b">
        <v>1</v>
      </c>
      <c r="F115" s="1" t="s">
        <v>300</v>
      </c>
      <c r="G115" t="str">
        <f t="shared" si="14"/>
        <v>http://hl7.org/fhir/us/core/StructureDefinition/us-core-procedure</v>
      </c>
      <c r="H115" t="s">
        <v>55</v>
      </c>
      <c r="J115" t="s">
        <v>55</v>
      </c>
      <c r="K115" t="s">
        <v>88</v>
      </c>
      <c r="L115" t="str">
        <f t="shared" si="15"/>
        <v>Procedure.patient</v>
      </c>
      <c r="M115" t="s">
        <v>55</v>
      </c>
      <c r="O115" t="s">
        <v>55</v>
      </c>
      <c r="Y115" t="str">
        <f>"support searching for all "&amp;LOWER(B115)&amp;"s for a patient"</f>
        <v>support searching for all procedures for a patient</v>
      </c>
      <c r="Z115" s="4" t="s">
        <v>122</v>
      </c>
      <c r="AA115" s="8" t="str">
        <f>"Fetches a bundle of all "&amp;B115&amp; " resources for the specified patient"</f>
        <v>Fetches a bundle of all Procedure resources for the specified patient</v>
      </c>
      <c r="AB115" t="str">
        <f t="shared" si="8"/>
        <v>SearchParameter-us-core-procedure-patient.html</v>
      </c>
    </row>
    <row r="116" spans="1:28" ht="19" customHeight="1" x14ac:dyDescent="0.2">
      <c r="A116">
        <v>115</v>
      </c>
      <c r="B116" t="s">
        <v>109</v>
      </c>
      <c r="C116" t="s">
        <v>60</v>
      </c>
      <c r="D116" t="s">
        <v>29</v>
      </c>
      <c r="E116" t="b">
        <v>0</v>
      </c>
      <c r="F116" s="1" t="s">
        <v>303</v>
      </c>
      <c r="G116" t="str">
        <f t="shared" si="14"/>
        <v>http://hl7.org/fhir/us/core/StructureDefinition/us-core-procedure</v>
      </c>
      <c r="H116" t="s">
        <v>55</v>
      </c>
      <c r="J116" t="s">
        <v>55</v>
      </c>
      <c r="K116" t="s">
        <v>56</v>
      </c>
      <c r="L116" t="str">
        <f t="shared" si="15"/>
        <v>Procedure.status</v>
      </c>
      <c r="M116" t="s">
        <v>55</v>
      </c>
      <c r="N116" t="s">
        <v>12</v>
      </c>
      <c r="O116" t="s">
        <v>55</v>
      </c>
      <c r="Y116" s="4"/>
      <c r="Z116" s="4"/>
      <c r="AA116" s="8"/>
      <c r="AB116" t="str">
        <f t="shared" si="8"/>
        <v>SearchParameter-us-core-procedure-status.html</v>
      </c>
    </row>
    <row r="117" spans="1:28" ht="19" customHeight="1" x14ac:dyDescent="0.2">
      <c r="A117">
        <v>116</v>
      </c>
      <c r="B117" t="s">
        <v>364</v>
      </c>
      <c r="C117" t="s">
        <v>54</v>
      </c>
      <c r="D117" t="s">
        <v>12</v>
      </c>
      <c r="E117" t="b">
        <v>1</v>
      </c>
      <c r="G117" t="str">
        <f t="shared" si="14"/>
        <v>http://hl7.org/fhir/us/core/StructureDefinition/us-core-questionnaireresponse</v>
      </c>
      <c r="H117" t="s">
        <v>55</v>
      </c>
      <c r="J117" t="s">
        <v>55</v>
      </c>
      <c r="K117" t="s">
        <v>56</v>
      </c>
      <c r="L117" t="str">
        <f t="shared" si="15"/>
        <v>QuestionnaireResponse._id</v>
      </c>
      <c r="M117" t="s">
        <v>55</v>
      </c>
      <c r="O117" t="s">
        <v>55</v>
      </c>
      <c r="Y117" s="22" t="str">
        <f>"support both read " &amp;B117&amp; " by `id` **AND** " &amp;B117&amp; " search"</f>
        <v>support both read QuestionnaireResponse by `id` **AND** QuestionnaireResponse search</v>
      </c>
      <c r="Z117" s="4" t="s">
        <v>415</v>
      </c>
      <c r="AB117" t="str">
        <f t="shared" si="8"/>
        <v>SearchParameter-us-core-questionnaireresponse-id.html</v>
      </c>
    </row>
    <row r="118" spans="1:28" ht="19" customHeight="1" x14ac:dyDescent="0.2">
      <c r="A118">
        <v>117</v>
      </c>
      <c r="B118" t="s">
        <v>364</v>
      </c>
      <c r="C118" t="s">
        <v>339</v>
      </c>
      <c r="D118" t="s">
        <v>29</v>
      </c>
      <c r="E118" t="b">
        <v>0</v>
      </c>
      <c r="F118" s="1" t="s">
        <v>301</v>
      </c>
      <c r="G118" t="str">
        <f t="shared" si="14"/>
        <v>http://hl7.org/fhir/us/core/StructureDefinition/us-core-questionnaireresponse</v>
      </c>
      <c r="H118" t="s">
        <v>55</v>
      </c>
      <c r="J118" t="s">
        <v>55</v>
      </c>
      <c r="K118" t="s">
        <v>76</v>
      </c>
      <c r="L118" t="str">
        <f t="shared" si="15"/>
        <v>QuestionnaireResponse.authored</v>
      </c>
      <c r="M118" t="s">
        <v>55</v>
      </c>
      <c r="O118" t="s">
        <v>55</v>
      </c>
      <c r="P118" s="10" t="s">
        <v>68</v>
      </c>
      <c r="S118" t="s">
        <v>90</v>
      </c>
      <c r="Y118" s="18" t="s">
        <v>419</v>
      </c>
      <c r="AB118" t="str">
        <f t="shared" si="8"/>
        <v>SearchParameter-us-core-questionnaireresponse-authored.html</v>
      </c>
    </row>
    <row r="119" spans="1:28" ht="19" customHeight="1" x14ac:dyDescent="0.2">
      <c r="A119">
        <v>118</v>
      </c>
      <c r="B119" t="s">
        <v>364</v>
      </c>
      <c r="C119" t="s">
        <v>87</v>
      </c>
      <c r="D119" t="s">
        <v>12</v>
      </c>
      <c r="E119" t="b">
        <v>1</v>
      </c>
      <c r="F119" s="1" t="s">
        <v>300</v>
      </c>
      <c r="G119" t="str">
        <f t="shared" si="14"/>
        <v>http://hl7.org/fhir/us/core/StructureDefinition/us-core-questionnaireresponse</v>
      </c>
      <c r="H119" t="s">
        <v>55</v>
      </c>
      <c r="J119" t="s">
        <v>55</v>
      </c>
      <c r="K119" t="s">
        <v>88</v>
      </c>
      <c r="L119" t="str">
        <f t="shared" si="15"/>
        <v>QuestionnaireResponse.patient</v>
      </c>
      <c r="M119" t="s">
        <v>55</v>
      </c>
      <c r="O119" t="s">
        <v>55</v>
      </c>
      <c r="Y119" t="str">
        <f>"support searching for all "&amp;LOWER(B119)&amp;"s for a patient"</f>
        <v>support searching for all questionnaireresponses for a patient</v>
      </c>
      <c r="Z119" s="4" t="str">
        <f>"GET [base]/"&amp;B119&amp;"?patient=1032702"</f>
        <v>GET [base]/QuestionnaireResponse?patient=1032702</v>
      </c>
      <c r="AA119" s="8" t="str">
        <f>"Fetches a bundle of all "&amp;B119&amp; " resources for the specified patient"</f>
        <v>Fetches a bundle of all QuestionnaireResponse resources for the specified patient</v>
      </c>
      <c r="AB119" t="str">
        <f t="shared" si="8"/>
        <v>SearchParameter-us-core-questionnaireresponse-patient.html</v>
      </c>
    </row>
    <row r="120" spans="1:28" ht="19" customHeight="1" x14ac:dyDescent="0.2">
      <c r="A120">
        <v>119</v>
      </c>
      <c r="B120" t="s">
        <v>364</v>
      </c>
      <c r="C120" t="s">
        <v>374</v>
      </c>
      <c r="D120" t="s">
        <v>29</v>
      </c>
      <c r="E120" t="b">
        <v>0</v>
      </c>
      <c r="F120" s="1" t="s">
        <v>300</v>
      </c>
      <c r="G120" t="str">
        <f t="shared" si="14"/>
        <v>http://hl7.org/fhir/us/core/StructureDefinition/us-core-questionnaireresponse</v>
      </c>
      <c r="H120" t="s">
        <v>55</v>
      </c>
      <c r="J120" t="s">
        <v>55</v>
      </c>
      <c r="K120" t="s">
        <v>88</v>
      </c>
      <c r="L120" t="str">
        <f t="shared" si="15"/>
        <v>QuestionnaireResponse.questionnaire</v>
      </c>
      <c r="M120" t="s">
        <v>55</v>
      </c>
      <c r="O120" t="s">
        <v>55</v>
      </c>
      <c r="Y120" s="18" t="s">
        <v>420</v>
      </c>
      <c r="AB120" t="str">
        <f t="shared" si="8"/>
        <v>SearchParameter-us-core-questionnaireresponse-questionnaire.html</v>
      </c>
    </row>
    <row r="121" spans="1:28" ht="19" customHeight="1" x14ac:dyDescent="0.2">
      <c r="A121">
        <v>120</v>
      </c>
      <c r="B121" t="s">
        <v>364</v>
      </c>
      <c r="C121" t="s">
        <v>60</v>
      </c>
      <c r="D121" t="s">
        <v>29</v>
      </c>
      <c r="E121" t="b">
        <v>0</v>
      </c>
      <c r="F121" s="1" t="s">
        <v>303</v>
      </c>
      <c r="G121" t="str">
        <f t="shared" si="14"/>
        <v>http://hl7.org/fhir/us/core/StructureDefinition/us-core-questionnaireresponse</v>
      </c>
      <c r="H121" t="s">
        <v>55</v>
      </c>
      <c r="J121" t="s">
        <v>55</v>
      </c>
      <c r="K121" t="s">
        <v>56</v>
      </c>
      <c r="L121" t="str">
        <f t="shared" si="15"/>
        <v>QuestionnaireResponse.status</v>
      </c>
      <c r="M121" t="s">
        <v>55</v>
      </c>
      <c r="N121" t="s">
        <v>12</v>
      </c>
      <c r="O121" t="s">
        <v>55</v>
      </c>
      <c r="Y121" s="18" t="s">
        <v>416</v>
      </c>
      <c r="AB121" t="str">
        <f t="shared" si="8"/>
        <v>SearchParameter-us-core-questionnaireresponse-status.html</v>
      </c>
    </row>
    <row r="122" spans="1:28" ht="19" customHeight="1" x14ac:dyDescent="0.2">
      <c r="A122">
        <v>121</v>
      </c>
      <c r="B122" t="s">
        <v>345</v>
      </c>
      <c r="C122" t="s">
        <v>54</v>
      </c>
      <c r="D122" t="s">
        <v>12</v>
      </c>
      <c r="E122" t="b">
        <v>1</v>
      </c>
      <c r="G122" t="str">
        <f t="shared" si="14"/>
        <v>http://hl7.org/fhir/us/core/StructureDefinition/us-core-relatedperson</v>
      </c>
      <c r="H122" t="s">
        <v>55</v>
      </c>
      <c r="J122" t="s">
        <v>55</v>
      </c>
      <c r="K122" t="s">
        <v>56</v>
      </c>
      <c r="L122" t="str">
        <f t="shared" si="15"/>
        <v>RelatedPerson._id</v>
      </c>
      <c r="M122" t="s">
        <v>55</v>
      </c>
      <c r="O122" t="s">
        <v>55</v>
      </c>
      <c r="Y122" s="22" t="str">
        <f>"support both read " &amp;B122&amp; " by `id` **AND** " &amp;B122&amp; " search"</f>
        <v>support both read RelatedPerson by `id` **AND** RelatedPerson search</v>
      </c>
      <c r="Z122" s="4" t="s">
        <v>349</v>
      </c>
      <c r="AA122" s="8"/>
      <c r="AB122" t="str">
        <f t="shared" ref="AB122:AB132" si="16">"SearchParameter-us-core-"&amp;LOWER((B122)&amp;"-"&amp;SUBSTITUTE(C122,"_","")&amp;".html")</f>
        <v>SearchParameter-us-core-relatedperson-id.html</v>
      </c>
    </row>
    <row r="123" spans="1:28" ht="19" customHeight="1" x14ac:dyDescent="0.2">
      <c r="A123">
        <v>122</v>
      </c>
      <c r="B123" t="s">
        <v>345</v>
      </c>
      <c r="C123" t="s">
        <v>22</v>
      </c>
      <c r="D123" t="s">
        <v>68</v>
      </c>
      <c r="E123" t="b">
        <v>0</v>
      </c>
      <c r="G123" t="str">
        <f t="shared" si="14"/>
        <v>http://hl7.org/fhir/us/core/StructureDefinition/us-core-relatedperson</v>
      </c>
      <c r="H123" t="s">
        <v>55</v>
      </c>
      <c r="J123" t="s">
        <v>55</v>
      </c>
      <c r="K123" t="s">
        <v>62</v>
      </c>
      <c r="L123" t="str">
        <f t="shared" si="15"/>
        <v>RelatedPerson.name</v>
      </c>
      <c r="M123" t="s">
        <v>55</v>
      </c>
      <c r="O123" t="s">
        <v>55</v>
      </c>
      <c r="Y123" s="4" t="s">
        <v>411</v>
      </c>
      <c r="Z123" s="4" t="str">
        <f>"GET [base]/"&amp;B123&amp;"?"&amp;C123&amp;"=Mary Shaw"</f>
        <v>GET [base]/RelatedPerson?name=Mary Shaw</v>
      </c>
      <c r="AA123" s="8" t="str">
        <f>"Fetches a bundle of all "&amp;B123&amp;" resources matching the name"</f>
        <v>Fetches a bundle of all RelatedPerson resources matching the name</v>
      </c>
      <c r="AB123" t="str">
        <f t="shared" si="16"/>
        <v>SearchParameter-us-core-relatedperson-name.html</v>
      </c>
    </row>
    <row r="124" spans="1:28" ht="19" customHeight="1" x14ac:dyDescent="0.2">
      <c r="A124">
        <v>123</v>
      </c>
      <c r="B124" t="s">
        <v>345</v>
      </c>
      <c r="C124" t="s">
        <v>87</v>
      </c>
      <c r="D124" t="s">
        <v>68</v>
      </c>
      <c r="E124" t="b">
        <v>1</v>
      </c>
      <c r="F124" s="1" t="s">
        <v>300</v>
      </c>
      <c r="G124" t="str">
        <f t="shared" si="14"/>
        <v>http://hl7.org/fhir/us/core/StructureDefinition/us-core-relatedperson</v>
      </c>
      <c r="H124" t="s">
        <v>55</v>
      </c>
      <c r="J124" t="s">
        <v>55</v>
      </c>
      <c r="K124" t="s">
        <v>88</v>
      </c>
      <c r="L124" t="str">
        <f t="shared" si="15"/>
        <v>RelatedPerson.patient</v>
      </c>
      <c r="M124" t="s">
        <v>55</v>
      </c>
      <c r="O124" t="s">
        <v>55</v>
      </c>
      <c r="Y124" t="str">
        <f>"support searching for all "&amp;LOWER(B124)&amp;"s for a patient"</f>
        <v>support searching for all relatedpersons for a patient</v>
      </c>
      <c r="Z124" s="4" t="str">
        <f>"GET [base]/"&amp;B124&amp;"?"&amp;C124&amp;"=1032702"</f>
        <v>GET [base]/RelatedPerson?patient=1032702</v>
      </c>
      <c r="AA124" s="8" t="str">
        <f>"Fetches a bundle of all "&amp;B124&amp; " resources for the specified patient"</f>
        <v>Fetches a bundle of all RelatedPerson resources for the specified patient</v>
      </c>
      <c r="AB124" t="str">
        <f t="shared" si="16"/>
        <v>SearchParameter-us-core-relatedperson-patient.html</v>
      </c>
    </row>
    <row r="125" spans="1:28" ht="19" customHeight="1" x14ac:dyDescent="0.2">
      <c r="A125">
        <v>124</v>
      </c>
      <c r="B125" t="s">
        <v>337</v>
      </c>
      <c r="C125" t="s">
        <v>54</v>
      </c>
      <c r="D125" t="s">
        <v>12</v>
      </c>
      <c r="E125" t="b">
        <v>1</v>
      </c>
      <c r="G125" t="str">
        <f t="shared" si="14"/>
        <v>http://hl7.org/fhir/us/core/StructureDefinition/us-core-servicerequest</v>
      </c>
      <c r="H125" t="s">
        <v>55</v>
      </c>
      <c r="J125" t="s">
        <v>55</v>
      </c>
      <c r="K125" t="s">
        <v>56</v>
      </c>
      <c r="L125" t="str">
        <f t="shared" si="15"/>
        <v>ServiceRequest._id</v>
      </c>
      <c r="M125" t="s">
        <v>55</v>
      </c>
      <c r="O125" t="s">
        <v>55</v>
      </c>
      <c r="Y125" s="22" t="str">
        <f>"support both read " &amp;B125&amp; " by `id` **AND** " &amp;B125&amp; " search"</f>
        <v>support both read ServiceRequest by `id` **AND** ServiceRequest search</v>
      </c>
      <c r="Z125" s="4" t="s">
        <v>338</v>
      </c>
      <c r="AB125" t="str">
        <f t="shared" si="16"/>
        <v>SearchParameter-us-core-servicerequest-id.html</v>
      </c>
    </row>
    <row r="126" spans="1:28" ht="19" customHeight="1" x14ac:dyDescent="0.2">
      <c r="A126">
        <v>125</v>
      </c>
      <c r="B126" t="s">
        <v>337</v>
      </c>
      <c r="C126" t="s">
        <v>339</v>
      </c>
      <c r="D126" t="s">
        <v>29</v>
      </c>
      <c r="E126" t="b">
        <v>0</v>
      </c>
      <c r="F126" s="1" t="s">
        <v>301</v>
      </c>
      <c r="G126" t="str">
        <f t="shared" si="14"/>
        <v>http://hl7.org/fhir/us/core/StructureDefinition/us-core-servicerequest</v>
      </c>
      <c r="H126" t="s">
        <v>55</v>
      </c>
      <c r="J126" t="s">
        <v>55</v>
      </c>
      <c r="K126" t="s">
        <v>76</v>
      </c>
      <c r="L126" t="str">
        <f t="shared" si="15"/>
        <v>ServiceRequest.authored</v>
      </c>
      <c r="M126" t="s">
        <v>55</v>
      </c>
      <c r="O126" t="s">
        <v>55</v>
      </c>
      <c r="P126" s="10" t="s">
        <v>68</v>
      </c>
      <c r="S126" t="s">
        <v>90</v>
      </c>
      <c r="AA126" s="8"/>
      <c r="AB126" t="str">
        <f t="shared" si="16"/>
        <v>SearchParameter-us-core-servicerequest-authored.html</v>
      </c>
    </row>
    <row r="127" spans="1:28" ht="19" customHeight="1" x14ac:dyDescent="0.2">
      <c r="A127">
        <v>126</v>
      </c>
      <c r="B127" t="s">
        <v>337</v>
      </c>
      <c r="C127" t="s">
        <v>94</v>
      </c>
      <c r="D127" t="s">
        <v>29</v>
      </c>
      <c r="E127" t="b">
        <v>0</v>
      </c>
      <c r="F127" s="1" t="s">
        <v>303</v>
      </c>
      <c r="G127" t="str">
        <f t="shared" si="14"/>
        <v>http://hl7.org/fhir/us/core/StructureDefinition/us-core-servicerequest</v>
      </c>
      <c r="H127" t="s">
        <v>55</v>
      </c>
      <c r="J127" t="s">
        <v>55</v>
      </c>
      <c r="K127" t="s">
        <v>56</v>
      </c>
      <c r="L127" t="str">
        <f t="shared" si="15"/>
        <v>ServiceRequest.category</v>
      </c>
      <c r="M127" t="s">
        <v>55</v>
      </c>
      <c r="O127" t="s">
        <v>55</v>
      </c>
      <c r="Y127" s="4"/>
      <c r="Z127" s="4"/>
      <c r="AA127" s="8"/>
      <c r="AB127" t="str">
        <f t="shared" si="16"/>
        <v>SearchParameter-us-core-servicerequest-category.html</v>
      </c>
    </row>
    <row r="128" spans="1:28" ht="19" customHeight="1" x14ac:dyDescent="0.2">
      <c r="A128">
        <v>127</v>
      </c>
      <c r="B128" t="s">
        <v>337</v>
      </c>
      <c r="C128" t="s">
        <v>25</v>
      </c>
      <c r="D128" t="s">
        <v>29</v>
      </c>
      <c r="E128" t="b">
        <v>0</v>
      </c>
      <c r="F128" s="1" t="s">
        <v>303</v>
      </c>
      <c r="G128" t="str">
        <f t="shared" si="14"/>
        <v>http://hl7.org/fhir/us/core/StructureDefinition/us-core-servicerequest</v>
      </c>
      <c r="H128" t="s">
        <v>55</v>
      </c>
      <c r="J128" t="s">
        <v>55</v>
      </c>
      <c r="K128" t="s">
        <v>56</v>
      </c>
      <c r="L128" t="str">
        <f t="shared" si="15"/>
        <v>ServiceRequest.code</v>
      </c>
      <c r="M128" t="s">
        <v>55</v>
      </c>
      <c r="N128" t="s">
        <v>68</v>
      </c>
      <c r="O128" t="s">
        <v>55</v>
      </c>
      <c r="Y128" s="4"/>
      <c r="Z128" s="4"/>
      <c r="AA128" s="8"/>
      <c r="AB128" t="str">
        <f t="shared" si="16"/>
        <v>SearchParameter-us-core-servicerequest-code.html</v>
      </c>
    </row>
    <row r="129" spans="1:28" ht="51" customHeight="1" x14ac:dyDescent="0.2">
      <c r="A129">
        <v>128</v>
      </c>
      <c r="B129" t="s">
        <v>337</v>
      </c>
      <c r="C129" t="s">
        <v>87</v>
      </c>
      <c r="D129" t="s">
        <v>12</v>
      </c>
      <c r="E129" t="b">
        <v>1</v>
      </c>
      <c r="F129" s="1" t="s">
        <v>300</v>
      </c>
      <c r="G129" t="str">
        <f t="shared" si="14"/>
        <v>http://hl7.org/fhir/us/core/StructureDefinition/us-core-servicerequest</v>
      </c>
      <c r="H129" t="s">
        <v>55</v>
      </c>
      <c r="J129" t="s">
        <v>55</v>
      </c>
      <c r="K129" t="s">
        <v>88</v>
      </c>
      <c r="L129" t="str">
        <f t="shared" si="15"/>
        <v>ServiceRequest.patient</v>
      </c>
      <c r="M129" t="s">
        <v>55</v>
      </c>
      <c r="O129" t="s">
        <v>55</v>
      </c>
      <c r="Y129" t="str">
        <f>"support searching for all "&amp;LOWER(B129)&amp;"s for a patient"</f>
        <v>support searching for all servicerequests for a patient</v>
      </c>
      <c r="Z129" s="4" t="str">
        <f>"GET [base]/"&amp;B129&amp;"?patient=1137192"</f>
        <v>GET [base]/ServiceRequest?patient=1137192</v>
      </c>
      <c r="AA129" s="8" t="str">
        <f>"Fetches a bundle of all "&amp;B129&amp; " resources for the specified patient"</f>
        <v>Fetches a bundle of all ServiceRequest resources for the specified patient</v>
      </c>
      <c r="AB129" t="str">
        <f t="shared" si="16"/>
        <v>SearchParameter-us-core-servicerequest-patient.html</v>
      </c>
    </row>
    <row r="130" spans="1:28" ht="19" customHeight="1" x14ac:dyDescent="0.2">
      <c r="A130">
        <v>129</v>
      </c>
      <c r="B130" t="s">
        <v>337</v>
      </c>
      <c r="C130" t="s">
        <v>60</v>
      </c>
      <c r="D130" t="s">
        <v>29</v>
      </c>
      <c r="E130" t="b">
        <v>0</v>
      </c>
      <c r="F130" s="1" t="s">
        <v>303</v>
      </c>
      <c r="G130" t="str">
        <f t="shared" si="14"/>
        <v>http://hl7.org/fhir/us/core/StructureDefinition/us-core-servicerequest</v>
      </c>
      <c r="H130" t="s">
        <v>55</v>
      </c>
      <c r="J130" t="s">
        <v>55</v>
      </c>
      <c r="K130" t="s">
        <v>56</v>
      </c>
      <c r="L130" t="str">
        <f t="shared" si="15"/>
        <v>ServiceRequest.status</v>
      </c>
      <c r="M130" t="s">
        <v>55</v>
      </c>
      <c r="N130" t="s">
        <v>12</v>
      </c>
      <c r="O130" t="s">
        <v>55</v>
      </c>
      <c r="Y130" s="4"/>
      <c r="Z130" s="4"/>
      <c r="AA130" s="8"/>
      <c r="AB130" t="str">
        <f t="shared" si="16"/>
        <v>SearchParameter-us-core-servicerequest-status.html</v>
      </c>
    </row>
    <row r="131" spans="1:28" ht="19" customHeight="1" x14ac:dyDescent="0.2">
      <c r="A131">
        <v>130</v>
      </c>
      <c r="B131" t="s">
        <v>394</v>
      </c>
      <c r="C131" t="s">
        <v>54</v>
      </c>
      <c r="D131" t="s">
        <v>12</v>
      </c>
      <c r="E131" t="b">
        <v>1</v>
      </c>
      <c r="G131" t="str">
        <f t="shared" si="14"/>
        <v>http://hl7.org/fhir/us/core/StructureDefinition/us-core-specimen</v>
      </c>
      <c r="H131" t="s">
        <v>55</v>
      </c>
      <c r="J131" t="s">
        <v>55</v>
      </c>
      <c r="K131" t="s">
        <v>56</v>
      </c>
      <c r="L131" t="str">
        <f t="shared" si="15"/>
        <v>Specimen._id</v>
      </c>
      <c r="M131" t="s">
        <v>55</v>
      </c>
      <c r="O131" t="s">
        <v>55</v>
      </c>
      <c r="Y131" s="22" t="str">
        <f>"support both read " &amp;B131&amp; " by `id` **AND** " &amp;B131&amp; " search"</f>
        <v>support both read Specimen by `id` **AND** Specimen search</v>
      </c>
      <c r="Z131" s="4" t="str">
        <f>"GET [base]/"&amp;B131&amp;"?"&amp;C131&amp;"=123"</f>
        <v>GET [base]/Specimen?_id=123</v>
      </c>
      <c r="AB131" t="str">
        <f t="shared" si="16"/>
        <v>SearchParameter-us-core-specimen-id.html</v>
      </c>
    </row>
    <row r="132" spans="1:28" ht="19" customHeight="1" x14ac:dyDescent="0.2">
      <c r="A132">
        <v>131</v>
      </c>
      <c r="B132" t="s">
        <v>394</v>
      </c>
      <c r="C132" t="s">
        <v>87</v>
      </c>
      <c r="D132" t="s">
        <v>68</v>
      </c>
      <c r="E132" t="b">
        <v>1</v>
      </c>
      <c r="G132" t="str">
        <f t="shared" si="14"/>
        <v>http://hl7.org/fhir/us/core/StructureDefinition/us-core-specimen</v>
      </c>
      <c r="H132" t="s">
        <v>55</v>
      </c>
      <c r="J132" t="s">
        <v>55</v>
      </c>
      <c r="K132" t="s">
        <v>88</v>
      </c>
      <c r="L132" t="str">
        <f t="shared" si="15"/>
        <v>Specimen.patient</v>
      </c>
      <c r="M132" t="s">
        <v>55</v>
      </c>
      <c r="O132" t="s">
        <v>55</v>
      </c>
      <c r="Y132" t="str">
        <f>"support searching for all "&amp;LOWER(B132)&amp;"s for a patient"</f>
        <v>support searching for all specimens for a patient</v>
      </c>
      <c r="Z132" s="4" t="str">
        <f>"GET [base]/"&amp;B132&amp;"?patient=1137192"</f>
        <v>GET [base]/Specimen?patient=1137192</v>
      </c>
      <c r="AA132" s="8" t="str">
        <f>"Fetches a bundle of all "&amp;B132&amp; " resources for the specified patient"</f>
        <v>Fetches a bundle of all Specimen resources for the specified patient</v>
      </c>
      <c r="AB132" t="str">
        <f t="shared" si="16"/>
        <v>SearchParameter-us-core-specimen-patient.html</v>
      </c>
    </row>
  </sheetData>
  <autoFilter ref="A1:AB132" xr:uid="{1CF5B17E-E72E-48B2-A597-9C21C12723F0}">
    <sortState xmlns:xlrd2="http://schemas.microsoft.com/office/spreadsheetml/2017/richdata2" ref="A2:AB132">
      <sortCondition ref="B2:B132"/>
      <sortCondition ref="C2:C132"/>
    </sortState>
  </autoFilter>
  <conditionalFormatting sqref="B1:B1048576">
    <cfRule type="containsText" dxfId="1" priority="1" operator="containsText" text="!">
      <formula>NOT(ISERROR(SEARCH("!",B1)))</formula>
    </cfRule>
  </conditionalFormatting>
  <pageMargins left="0.7" right="0.7" top="0.75" bottom="0.75" header="0.3" footer="0.3"/>
  <pageSetup orientation="portrait" horizontalDpi="0" verticalDpi="0"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32F48A-473A-3546-820D-6A8E9142FE06}">
  <dimension ref="A1:K101"/>
  <sheetViews>
    <sheetView zoomScale="140" zoomScaleNormal="140" workbookViewId="0">
      <pane xSplit="1" ySplit="1" topLeftCell="C2" activePane="bottomRight" state="frozen"/>
      <selection pane="topRight" activeCell="B1" sqref="B1"/>
      <selection pane="bottomLeft" activeCell="A2" sqref="A2"/>
      <selection pane="bottomRight" activeCell="E26" sqref="E26"/>
    </sheetView>
  </sheetViews>
  <sheetFormatPr baseColWidth="10" defaultColWidth="8.83203125" defaultRowHeight="15" x14ac:dyDescent="0.2"/>
  <cols>
    <col min="2" max="2" width="21.1640625" customWidth="1"/>
    <col min="3" max="3" width="96.5" customWidth="1"/>
    <col min="4" max="4" width="33" customWidth="1"/>
    <col min="5" max="5" width="13.33203125" customWidth="1"/>
    <col min="6" max="6" width="12.83203125" bestFit="1" customWidth="1"/>
    <col min="7" max="7" width="21.5" customWidth="1"/>
    <col min="8" max="8" width="121.6640625" customWidth="1"/>
    <col min="9" max="9" width="88.83203125" customWidth="1"/>
    <col min="10" max="10" width="255.83203125" bestFit="1" customWidth="1"/>
    <col min="11" max="11" width="83.5" bestFit="1" customWidth="1"/>
  </cols>
  <sheetData>
    <row r="1" spans="1:11" ht="18" customHeight="1" thickBot="1" x14ac:dyDescent="0.25">
      <c r="A1" t="s">
        <v>470</v>
      </c>
      <c r="B1" s="3" t="s">
        <v>36</v>
      </c>
      <c r="C1" s="3" t="s">
        <v>38</v>
      </c>
      <c r="D1" s="3" t="s">
        <v>471</v>
      </c>
      <c r="E1" s="3" t="s">
        <v>330</v>
      </c>
      <c r="F1" s="3" t="s">
        <v>472</v>
      </c>
      <c r="G1" s="3" t="s">
        <v>473</v>
      </c>
      <c r="H1" s="3" t="s">
        <v>474</v>
      </c>
      <c r="I1" s="3" t="s">
        <v>3</v>
      </c>
      <c r="J1" s="3" t="s">
        <v>52</v>
      </c>
      <c r="K1" s="3" t="s">
        <v>53</v>
      </c>
    </row>
    <row r="2" spans="1:11" ht="16" thickTop="1" x14ac:dyDescent="0.2">
      <c r="A2">
        <v>1</v>
      </c>
      <c r="B2" t="s">
        <v>475</v>
      </c>
      <c r="C2" t="str">
        <f t="shared" ref="C2:C49" si="0">"http://hl7.org/fhir/us/core/StructureDefinition/us-core-"&amp;LOWER(B2)</f>
        <v>http://hl7.org/fhir/us/core/StructureDefinition/us-core-!encounter</v>
      </c>
      <c r="D2" t="s">
        <v>476</v>
      </c>
      <c r="F2" t="s">
        <v>68</v>
      </c>
      <c r="G2" t="s">
        <v>477</v>
      </c>
      <c r="K2" s="4" t="str">
        <f t="shared" ref="K2:K17" si="1">"Fetches a bundle of all "&amp;B2&amp;" resources matching the specified "&amp;SUBSTITUTE(D2,","," and ")</f>
        <v>Fetches a bundle of all !Encounter resources matching the specified class and date</v>
      </c>
    </row>
    <row r="3" spans="1:11" x14ac:dyDescent="0.2">
      <c r="A3">
        <v>2</v>
      </c>
      <c r="B3" t="s">
        <v>475</v>
      </c>
      <c r="C3" t="str">
        <f t="shared" si="0"/>
        <v>http://hl7.org/fhir/us/core/StructureDefinition/us-core-!encounter</v>
      </c>
      <c r="D3" t="s">
        <v>478</v>
      </c>
      <c r="F3" t="s">
        <v>68</v>
      </c>
      <c r="G3" t="s">
        <v>479</v>
      </c>
      <c r="K3" s="4" t="str">
        <f t="shared" si="1"/>
        <v>Fetches a bundle of all !Encounter resources matching the specified class and date and patient</v>
      </c>
    </row>
    <row r="4" spans="1:11" x14ac:dyDescent="0.2">
      <c r="A4">
        <v>3</v>
      </c>
      <c r="B4" t="s">
        <v>475</v>
      </c>
      <c r="C4" t="str">
        <f t="shared" si="0"/>
        <v>http://hl7.org/fhir/us/core/StructureDefinition/us-core-!encounter</v>
      </c>
      <c r="D4" t="s">
        <v>480</v>
      </c>
      <c r="F4" t="s">
        <v>68</v>
      </c>
      <c r="G4" t="s">
        <v>479</v>
      </c>
      <c r="K4" s="4" t="str">
        <f t="shared" si="1"/>
        <v>Fetches a bundle of all !Encounter resources matching the specified class and date and patient and type</v>
      </c>
    </row>
    <row r="5" spans="1:11" x14ac:dyDescent="0.2">
      <c r="A5">
        <v>4</v>
      </c>
      <c r="B5" t="s">
        <v>475</v>
      </c>
      <c r="C5" t="str">
        <f t="shared" si="0"/>
        <v>http://hl7.org/fhir/us/core/StructureDefinition/us-core-!encounter</v>
      </c>
      <c r="D5" t="s">
        <v>481</v>
      </c>
      <c r="F5" t="s">
        <v>68</v>
      </c>
      <c r="G5" t="s">
        <v>477</v>
      </c>
      <c r="K5" s="4" t="str">
        <f t="shared" si="1"/>
        <v>Fetches a bundle of all !Encounter resources matching the specified class and date and type</v>
      </c>
    </row>
    <row r="6" spans="1:11" x14ac:dyDescent="0.2">
      <c r="A6">
        <v>5</v>
      </c>
      <c r="B6" t="s">
        <v>21</v>
      </c>
      <c r="C6" t="str">
        <f t="shared" si="0"/>
        <v>http://hl7.org/fhir/us/core/StructureDefinition/us-core-encounter</v>
      </c>
      <c r="D6" t="s">
        <v>482</v>
      </c>
      <c r="F6" t="s">
        <v>68</v>
      </c>
      <c r="G6" t="s">
        <v>483</v>
      </c>
      <c r="I6" t="s">
        <v>484</v>
      </c>
      <c r="J6" t="s">
        <v>485</v>
      </c>
      <c r="K6" s="4" t="str">
        <f t="shared" si="1"/>
        <v>Fetches a bundle of all Encounter resources matching the specified class and patient</v>
      </c>
    </row>
    <row r="7" spans="1:11" x14ac:dyDescent="0.2">
      <c r="A7">
        <v>6</v>
      </c>
      <c r="B7" t="s">
        <v>475</v>
      </c>
      <c r="C7" t="str">
        <f t="shared" si="0"/>
        <v>http://hl7.org/fhir/us/core/StructureDefinition/us-core-!encounter</v>
      </c>
      <c r="D7" t="s">
        <v>486</v>
      </c>
      <c r="F7" t="s">
        <v>68</v>
      </c>
      <c r="G7" t="s">
        <v>483</v>
      </c>
      <c r="K7" s="4" t="str">
        <f t="shared" si="1"/>
        <v>Fetches a bundle of all !Encounter resources matching the specified class and patient and status</v>
      </c>
    </row>
    <row r="8" spans="1:11" x14ac:dyDescent="0.2">
      <c r="A8">
        <v>7</v>
      </c>
      <c r="B8" t="s">
        <v>475</v>
      </c>
      <c r="C8" t="str">
        <f t="shared" si="0"/>
        <v>http://hl7.org/fhir/us/core/StructureDefinition/us-core-!encounter</v>
      </c>
      <c r="D8" t="s">
        <v>487</v>
      </c>
      <c r="F8" t="s">
        <v>68</v>
      </c>
      <c r="G8" t="s">
        <v>483</v>
      </c>
      <c r="K8" s="4" t="str">
        <f t="shared" si="1"/>
        <v>Fetches a bundle of all !Encounter resources matching the specified class and patient and status and type</v>
      </c>
    </row>
    <row r="9" spans="1:11" x14ac:dyDescent="0.2">
      <c r="A9">
        <v>8</v>
      </c>
      <c r="B9" t="s">
        <v>475</v>
      </c>
      <c r="C9" t="str">
        <f t="shared" si="0"/>
        <v>http://hl7.org/fhir/us/core/StructureDefinition/us-core-!encounter</v>
      </c>
      <c r="D9" t="s">
        <v>488</v>
      </c>
      <c r="F9" t="s">
        <v>68</v>
      </c>
      <c r="G9" t="s">
        <v>483</v>
      </c>
      <c r="J9" s="4"/>
      <c r="K9" s="4" t="str">
        <f t="shared" si="1"/>
        <v>Fetches a bundle of all !Encounter resources matching the specified class and patient and type</v>
      </c>
    </row>
    <row r="10" spans="1:11" x14ac:dyDescent="0.2">
      <c r="A10">
        <v>9</v>
      </c>
      <c r="B10" t="s">
        <v>475</v>
      </c>
      <c r="C10" t="str">
        <f t="shared" si="0"/>
        <v>http://hl7.org/fhir/us/core/StructureDefinition/us-core-!encounter</v>
      </c>
      <c r="D10" t="s">
        <v>489</v>
      </c>
      <c r="F10" t="s">
        <v>68</v>
      </c>
      <c r="G10" t="s">
        <v>56</v>
      </c>
      <c r="I10" s="4"/>
      <c r="J10" s="4"/>
      <c r="K10" s="4" t="str">
        <f t="shared" si="1"/>
        <v>Fetches a bundle of all !Encounter resources matching the specified class and status</v>
      </c>
    </row>
    <row r="11" spans="1:11" x14ac:dyDescent="0.2">
      <c r="A11">
        <v>10</v>
      </c>
      <c r="B11" t="s">
        <v>475</v>
      </c>
      <c r="C11" t="str">
        <f t="shared" si="0"/>
        <v>http://hl7.org/fhir/us/core/StructureDefinition/us-core-!encounter</v>
      </c>
      <c r="D11" t="s">
        <v>490</v>
      </c>
      <c r="F11" t="s">
        <v>68</v>
      </c>
      <c r="G11" t="s">
        <v>56</v>
      </c>
      <c r="I11" s="4"/>
      <c r="K11" s="4" t="str">
        <f t="shared" si="1"/>
        <v>Fetches a bundle of all !Encounter resources matching the specified class and status and type</v>
      </c>
    </row>
    <row r="12" spans="1:11" x14ac:dyDescent="0.2">
      <c r="A12">
        <v>11</v>
      </c>
      <c r="B12" t="s">
        <v>475</v>
      </c>
      <c r="C12" t="str">
        <f t="shared" si="0"/>
        <v>http://hl7.org/fhir/us/core/StructureDefinition/us-core-!encounter</v>
      </c>
      <c r="D12" t="s">
        <v>491</v>
      </c>
      <c r="F12" t="s">
        <v>68</v>
      </c>
      <c r="G12" t="s">
        <v>56</v>
      </c>
      <c r="K12" s="4" t="str">
        <f t="shared" si="1"/>
        <v>Fetches a bundle of all !Encounter resources matching the specified class and type</v>
      </c>
    </row>
    <row r="13" spans="1:11" x14ac:dyDescent="0.2">
      <c r="A13">
        <v>12</v>
      </c>
      <c r="B13" t="s">
        <v>21</v>
      </c>
      <c r="C13" t="str">
        <f t="shared" si="0"/>
        <v>http://hl7.org/fhir/us/core/StructureDefinition/us-core-encounter</v>
      </c>
      <c r="D13" t="s">
        <v>492</v>
      </c>
      <c r="F13" t="s">
        <v>12</v>
      </c>
      <c r="G13" t="s">
        <v>493</v>
      </c>
      <c r="I13" s="4" t="s">
        <v>494</v>
      </c>
      <c r="J13" t="s">
        <v>495</v>
      </c>
      <c r="K13" s="4" t="str">
        <f t="shared" si="1"/>
        <v>Fetches a bundle of all Encounter resources matching the specified date and patient</v>
      </c>
    </row>
    <row r="14" spans="1:11" x14ac:dyDescent="0.2">
      <c r="A14">
        <v>13</v>
      </c>
      <c r="B14" t="s">
        <v>475</v>
      </c>
      <c r="C14" t="str">
        <f t="shared" si="0"/>
        <v>http://hl7.org/fhir/us/core/StructureDefinition/us-core-!encounter</v>
      </c>
      <c r="D14" t="s">
        <v>496</v>
      </c>
      <c r="F14" t="s">
        <v>68</v>
      </c>
      <c r="G14" t="s">
        <v>479</v>
      </c>
      <c r="K14" s="4" t="str">
        <f t="shared" si="1"/>
        <v>Fetches a bundle of all !Encounter resources matching the specified date and patient and type</v>
      </c>
    </row>
    <row r="15" spans="1:11" x14ac:dyDescent="0.2">
      <c r="A15">
        <v>14</v>
      </c>
      <c r="B15" t="s">
        <v>475</v>
      </c>
      <c r="C15" t="str">
        <f t="shared" si="0"/>
        <v>http://hl7.org/fhir/us/core/StructureDefinition/us-core-!encounter</v>
      </c>
      <c r="D15" t="s">
        <v>497</v>
      </c>
      <c r="F15" t="s">
        <v>68</v>
      </c>
      <c r="G15" t="s">
        <v>477</v>
      </c>
      <c r="K15" s="4" t="str">
        <f t="shared" si="1"/>
        <v>Fetches a bundle of all !Encounter resources matching the specified date and type</v>
      </c>
    </row>
    <row r="16" spans="1:11" x14ac:dyDescent="0.2">
      <c r="A16">
        <v>15</v>
      </c>
      <c r="B16" t="s">
        <v>21</v>
      </c>
      <c r="C16" t="str">
        <f t="shared" si="0"/>
        <v>http://hl7.org/fhir/us/core/StructureDefinition/us-core-encounter</v>
      </c>
      <c r="D16" t="s">
        <v>498</v>
      </c>
      <c r="F16" t="s">
        <v>68</v>
      </c>
      <c r="G16" t="s">
        <v>483</v>
      </c>
      <c r="I16" t="s">
        <v>499</v>
      </c>
      <c r="J16" t="s">
        <v>500</v>
      </c>
      <c r="K16" s="4" t="str">
        <f t="shared" si="1"/>
        <v>Fetches a bundle of all Encounter resources matching the specified patient and type</v>
      </c>
    </row>
    <row r="17" spans="1:11" x14ac:dyDescent="0.2">
      <c r="A17">
        <v>16</v>
      </c>
      <c r="B17" t="s">
        <v>21</v>
      </c>
      <c r="C17" t="str">
        <f t="shared" si="0"/>
        <v>http://hl7.org/fhir/us/core/StructureDefinition/us-core-encounter</v>
      </c>
      <c r="D17" t="s">
        <v>501</v>
      </c>
      <c r="F17" t="s">
        <v>68</v>
      </c>
      <c r="G17" t="s">
        <v>88</v>
      </c>
      <c r="I17" t="s">
        <v>499</v>
      </c>
      <c r="J17" t="s">
        <v>502</v>
      </c>
      <c r="K17" s="4" t="str">
        <f t="shared" si="1"/>
        <v>Fetches a bundle of all Encounter resources matching the specified patient and location</v>
      </c>
    </row>
    <row r="18" spans="1:11" ht="16" x14ac:dyDescent="0.2">
      <c r="A18">
        <v>17</v>
      </c>
      <c r="B18" t="s">
        <v>21</v>
      </c>
      <c r="C18" t="str">
        <f t="shared" si="0"/>
        <v>http://hl7.org/fhir/us/core/StructureDefinition/us-core-encounter</v>
      </c>
      <c r="D18" t="s">
        <v>503</v>
      </c>
      <c r="F18" t="s">
        <v>68</v>
      </c>
      <c r="G18" t="s">
        <v>504</v>
      </c>
      <c r="I18" s="4"/>
      <c r="J18" s="24" t="s">
        <v>505</v>
      </c>
      <c r="K18" s="25" t="str">
        <f>"Fetches a bundle of all "&amp;B18&amp;" resources for the specified "&amp;SUBSTITUTE(D18,","," and ") &amp; ". See the US Core General Guidance page for [Searching Using lastUpdated]."</f>
        <v>Fetches a bundle of all Encounter resources for the specified patient and _lastUpdated. See the US Core General Guidance page for [Searching Using lastUpdated].</v>
      </c>
    </row>
    <row r="19" spans="1:11" x14ac:dyDescent="0.2">
      <c r="A19">
        <v>18</v>
      </c>
      <c r="B19" t="s">
        <v>475</v>
      </c>
      <c r="C19" t="str">
        <f t="shared" si="0"/>
        <v>http://hl7.org/fhir/us/core/StructureDefinition/us-core-!encounter</v>
      </c>
      <c r="D19" t="s">
        <v>506</v>
      </c>
      <c r="F19" t="s">
        <v>68</v>
      </c>
      <c r="G19" t="s">
        <v>483</v>
      </c>
      <c r="J19" s="4"/>
      <c r="K19" s="4" t="str">
        <f t="shared" ref="K19:K36" si="2">"Fetches a bundle of all "&amp;B19&amp;" resources matching the specified "&amp;SUBSTITUTE(D19,","," and ")</f>
        <v>Fetches a bundle of all !Encounter resources matching the specified patient and status and type</v>
      </c>
    </row>
    <row r="20" spans="1:11" x14ac:dyDescent="0.2">
      <c r="A20">
        <v>19</v>
      </c>
      <c r="B20" t="s">
        <v>21</v>
      </c>
      <c r="C20" t="str">
        <f t="shared" si="0"/>
        <v>http://hl7.org/fhir/us/core/StructureDefinition/us-core-encounter</v>
      </c>
      <c r="D20" t="s">
        <v>507</v>
      </c>
      <c r="F20" t="s">
        <v>68</v>
      </c>
      <c r="G20" t="s">
        <v>483</v>
      </c>
      <c r="I20" t="s">
        <v>508</v>
      </c>
      <c r="J20" t="s">
        <v>509</v>
      </c>
      <c r="K20" s="4" t="str">
        <f t="shared" si="2"/>
        <v>Fetches a bundle of all Encounter resources matching the specified patient and status</v>
      </c>
    </row>
    <row r="21" spans="1:11" x14ac:dyDescent="0.2">
      <c r="A21">
        <v>20</v>
      </c>
      <c r="B21" t="s">
        <v>21</v>
      </c>
      <c r="C21" t="str">
        <f t="shared" si="0"/>
        <v>http://hl7.org/fhir/us/core/StructureDefinition/us-core-encounter</v>
      </c>
      <c r="D21" t="s">
        <v>510</v>
      </c>
      <c r="F21" t="s">
        <v>68</v>
      </c>
      <c r="G21" t="s">
        <v>483</v>
      </c>
      <c r="I21" t="s">
        <v>508</v>
      </c>
      <c r="J21" t="s">
        <v>511</v>
      </c>
      <c r="K21" s="4" t="str">
        <f t="shared" si="2"/>
        <v>Fetches a bundle of all Encounter resources matching the specified patient and discharge-disposition</v>
      </c>
    </row>
    <row r="22" spans="1:11" x14ac:dyDescent="0.2">
      <c r="A22">
        <v>21</v>
      </c>
      <c r="B22" t="s">
        <v>475</v>
      </c>
      <c r="C22" t="str">
        <f t="shared" si="0"/>
        <v>http://hl7.org/fhir/us/core/StructureDefinition/us-core-!encounter</v>
      </c>
      <c r="D22" t="s">
        <v>512</v>
      </c>
      <c r="F22" t="s">
        <v>68</v>
      </c>
      <c r="G22" t="s">
        <v>56</v>
      </c>
      <c r="I22" s="4"/>
      <c r="J22" s="4"/>
      <c r="K22" s="4" t="str">
        <f t="shared" si="2"/>
        <v>Fetches a bundle of all !Encounter resources matching the specified status and type</v>
      </c>
    </row>
    <row r="23" spans="1:11" x14ac:dyDescent="0.2">
      <c r="A23">
        <v>22</v>
      </c>
      <c r="B23" t="s">
        <v>513</v>
      </c>
      <c r="C23" t="str">
        <f t="shared" si="0"/>
        <v>http://hl7.org/fhir/us/core/StructureDefinition/us-core-!questionnaire</v>
      </c>
      <c r="D23" t="s">
        <v>514</v>
      </c>
      <c r="F23" t="s">
        <v>68</v>
      </c>
      <c r="G23" t="s">
        <v>515</v>
      </c>
      <c r="J23" s="4"/>
      <c r="K23" s="4" t="str">
        <f t="shared" si="2"/>
        <v>Fetches a bundle of all !Questionnaire resources matching the specified context-type-value and publisher</v>
      </c>
    </row>
    <row r="24" spans="1:11" x14ac:dyDescent="0.2">
      <c r="A24">
        <v>23</v>
      </c>
      <c r="B24" t="s">
        <v>513</v>
      </c>
      <c r="C24" t="str">
        <f t="shared" si="0"/>
        <v>http://hl7.org/fhir/us/core/StructureDefinition/us-core-!questionnaire</v>
      </c>
      <c r="D24" t="s">
        <v>516</v>
      </c>
      <c r="F24" t="s">
        <v>68</v>
      </c>
      <c r="G24" t="s">
        <v>517</v>
      </c>
      <c r="K24" s="4" t="str">
        <f t="shared" si="2"/>
        <v>Fetches a bundle of all !Questionnaire resources matching the specified context-type-value and publisher and status</v>
      </c>
    </row>
    <row r="25" spans="1:11" x14ac:dyDescent="0.2">
      <c r="A25">
        <v>24</v>
      </c>
      <c r="B25" t="s">
        <v>513</v>
      </c>
      <c r="C25" t="str">
        <f t="shared" si="0"/>
        <v>http://hl7.org/fhir/us/core/StructureDefinition/us-core-!questionnaire</v>
      </c>
      <c r="D25" t="s">
        <v>518</v>
      </c>
      <c r="F25" t="s">
        <v>68</v>
      </c>
      <c r="G25" t="s">
        <v>519</v>
      </c>
      <c r="I25" s="4"/>
      <c r="K25" s="4" t="str">
        <f t="shared" si="2"/>
        <v>Fetches a bundle of all !Questionnaire resources matching the specified context-type-value and status</v>
      </c>
    </row>
    <row r="26" spans="1:11" x14ac:dyDescent="0.2">
      <c r="A26">
        <v>25</v>
      </c>
      <c r="B26" t="s">
        <v>513</v>
      </c>
      <c r="C26" t="str">
        <f t="shared" si="0"/>
        <v>http://hl7.org/fhir/us/core/StructureDefinition/us-core-!questionnaire</v>
      </c>
      <c r="D26" t="s">
        <v>520</v>
      </c>
      <c r="F26" t="s">
        <v>12</v>
      </c>
      <c r="G26" t="s">
        <v>521</v>
      </c>
      <c r="I26" s="4"/>
      <c r="J26" s="4"/>
      <c r="K26" s="4" t="str">
        <f t="shared" si="2"/>
        <v>Fetches a bundle of all !Questionnaire resources matching the specified publisher and status</v>
      </c>
    </row>
    <row r="27" spans="1:11" x14ac:dyDescent="0.2">
      <c r="A27">
        <v>26</v>
      </c>
      <c r="B27" t="s">
        <v>513</v>
      </c>
      <c r="C27" t="str">
        <f t="shared" si="0"/>
        <v>http://hl7.org/fhir/us/core/StructureDefinition/us-core-!questionnaire</v>
      </c>
      <c r="D27" t="s">
        <v>522</v>
      </c>
      <c r="F27" t="s">
        <v>68</v>
      </c>
      <c r="G27" t="s">
        <v>521</v>
      </c>
      <c r="I27" s="4"/>
      <c r="J27" s="4"/>
      <c r="K27" s="4" t="str">
        <f t="shared" si="2"/>
        <v>Fetches a bundle of all !Questionnaire resources matching the specified publisher and status and version</v>
      </c>
    </row>
    <row r="28" spans="1:11" x14ac:dyDescent="0.2">
      <c r="A28">
        <v>27</v>
      </c>
      <c r="B28" t="s">
        <v>513</v>
      </c>
      <c r="C28" t="str">
        <f t="shared" si="0"/>
        <v>http://hl7.org/fhir/us/core/StructureDefinition/us-core-!questionnaire</v>
      </c>
      <c r="D28" t="s">
        <v>523</v>
      </c>
      <c r="F28" t="s">
        <v>68</v>
      </c>
      <c r="G28" t="s">
        <v>521</v>
      </c>
      <c r="I28" s="4"/>
      <c r="J28" s="4"/>
      <c r="K28" s="4" t="str">
        <f t="shared" si="2"/>
        <v>Fetches a bundle of all !Questionnaire resources matching the specified publisher and version</v>
      </c>
    </row>
    <row r="29" spans="1:11" x14ac:dyDescent="0.2">
      <c r="A29">
        <v>28</v>
      </c>
      <c r="B29" t="s">
        <v>513</v>
      </c>
      <c r="C29" t="str">
        <f t="shared" si="0"/>
        <v>http://hl7.org/fhir/us/core/StructureDefinition/us-core-!questionnaire</v>
      </c>
      <c r="D29" t="s">
        <v>524</v>
      </c>
      <c r="F29" t="s">
        <v>68</v>
      </c>
      <c r="G29" t="s">
        <v>521</v>
      </c>
      <c r="K29" s="4" t="str">
        <f t="shared" si="2"/>
        <v>Fetches a bundle of all !Questionnaire resources matching the specified status and title and version</v>
      </c>
    </row>
    <row r="30" spans="1:11" x14ac:dyDescent="0.2">
      <c r="A30">
        <v>29</v>
      </c>
      <c r="B30" t="s">
        <v>513</v>
      </c>
      <c r="C30" t="str">
        <f t="shared" si="0"/>
        <v>http://hl7.org/fhir/us/core/StructureDefinition/us-core-!questionnaire</v>
      </c>
      <c r="D30" t="s">
        <v>525</v>
      </c>
      <c r="F30" t="s">
        <v>68</v>
      </c>
      <c r="G30" t="s">
        <v>56</v>
      </c>
      <c r="K30" s="4" t="str">
        <f t="shared" si="2"/>
        <v>Fetches a bundle of all !Questionnaire resources matching the specified status and version</v>
      </c>
    </row>
    <row r="31" spans="1:11" x14ac:dyDescent="0.2">
      <c r="A31">
        <v>30</v>
      </c>
      <c r="B31" t="s">
        <v>513</v>
      </c>
      <c r="C31" t="str">
        <f t="shared" si="0"/>
        <v>http://hl7.org/fhir/us/core/StructureDefinition/us-core-!questionnaire</v>
      </c>
      <c r="D31" t="s">
        <v>526</v>
      </c>
      <c r="F31" t="s">
        <v>68</v>
      </c>
      <c r="G31" t="s">
        <v>521</v>
      </c>
      <c r="K31" s="4" t="str">
        <f t="shared" si="2"/>
        <v>Fetches a bundle of all !Questionnaire resources matching the specified title and version</v>
      </c>
    </row>
    <row r="32" spans="1:11" x14ac:dyDescent="0.2">
      <c r="A32">
        <v>31</v>
      </c>
      <c r="B32" t="s">
        <v>20</v>
      </c>
      <c r="C32" t="str">
        <f t="shared" si="0"/>
        <v>http://hl7.org/fhir/us/core/StructureDefinition/us-core-patient</v>
      </c>
      <c r="D32" t="s">
        <v>527</v>
      </c>
      <c r="F32" t="s">
        <v>68</v>
      </c>
      <c r="G32" t="s">
        <v>528</v>
      </c>
      <c r="I32" s="4" t="s">
        <v>529</v>
      </c>
      <c r="J32" s="4" t="s">
        <v>530</v>
      </c>
      <c r="K32" s="4" t="str">
        <f t="shared" si="2"/>
        <v>Fetches a bundle of all Patient resources matching the specified birthdate and family</v>
      </c>
    </row>
    <row r="33" spans="1:11" x14ac:dyDescent="0.2">
      <c r="A33">
        <v>32</v>
      </c>
      <c r="B33" t="s">
        <v>20</v>
      </c>
      <c r="C33" t="str">
        <f t="shared" si="0"/>
        <v>http://hl7.org/fhir/us/core/StructureDefinition/us-core-patient</v>
      </c>
      <c r="D33" t="s">
        <v>531</v>
      </c>
      <c r="F33" t="s">
        <v>68</v>
      </c>
      <c r="G33" t="s">
        <v>528</v>
      </c>
      <c r="I33" s="4" t="s">
        <v>532</v>
      </c>
      <c r="J33" s="4" t="s">
        <v>533</v>
      </c>
      <c r="K33" s="4" t="str">
        <f t="shared" si="2"/>
        <v>Fetches a bundle of all Patient resources matching the specified death-date and family</v>
      </c>
    </row>
    <row r="34" spans="1:11" x14ac:dyDescent="0.2">
      <c r="A34">
        <v>33</v>
      </c>
      <c r="B34" t="s">
        <v>20</v>
      </c>
      <c r="C34" t="str">
        <f t="shared" si="0"/>
        <v>http://hl7.org/fhir/us/core/StructureDefinition/us-core-patient</v>
      </c>
      <c r="D34" t="s">
        <v>534</v>
      </c>
      <c r="F34" t="s">
        <v>12</v>
      </c>
      <c r="G34" t="s">
        <v>528</v>
      </c>
      <c r="I34" s="4" t="s">
        <v>535</v>
      </c>
      <c r="J34" s="4" t="s">
        <v>536</v>
      </c>
      <c r="K34" s="4" t="str">
        <f t="shared" si="2"/>
        <v>Fetches a bundle of all Patient resources matching the specified birthdate and name</v>
      </c>
    </row>
    <row r="35" spans="1:11" x14ac:dyDescent="0.2">
      <c r="A35">
        <v>34</v>
      </c>
      <c r="B35" t="s">
        <v>20</v>
      </c>
      <c r="C35" t="str">
        <f t="shared" si="0"/>
        <v>http://hl7.org/fhir/us/core/StructureDefinition/us-core-patient</v>
      </c>
      <c r="D35" t="s">
        <v>537</v>
      </c>
      <c r="F35" t="s">
        <v>68</v>
      </c>
      <c r="G35" t="s">
        <v>521</v>
      </c>
      <c r="I35" s="4" t="s">
        <v>538</v>
      </c>
      <c r="J35" s="4" t="s">
        <v>539</v>
      </c>
      <c r="K35" s="4" t="str">
        <f t="shared" si="2"/>
        <v>Fetches a bundle of all Patient resources matching the specified family and gender</v>
      </c>
    </row>
    <row r="36" spans="1:11" x14ac:dyDescent="0.2">
      <c r="A36">
        <v>35</v>
      </c>
      <c r="B36" t="s">
        <v>20</v>
      </c>
      <c r="C36" t="str">
        <f t="shared" si="0"/>
        <v>http://hl7.org/fhir/us/core/StructureDefinition/us-core-patient</v>
      </c>
      <c r="D36" t="s">
        <v>540</v>
      </c>
      <c r="F36" t="s">
        <v>12</v>
      </c>
      <c r="G36" t="s">
        <v>521</v>
      </c>
      <c r="I36" s="4" t="s">
        <v>541</v>
      </c>
      <c r="J36" s="4" t="s">
        <v>542</v>
      </c>
      <c r="K36" s="4" t="str">
        <f t="shared" si="2"/>
        <v>Fetches a bundle of all Patient resources matching the specified gender and name</v>
      </c>
    </row>
    <row r="37" spans="1:11" x14ac:dyDescent="0.2">
      <c r="A37">
        <v>36</v>
      </c>
      <c r="B37" t="s">
        <v>92</v>
      </c>
      <c r="C37" t="str">
        <f t="shared" si="0"/>
        <v>http://hl7.org/fhir/us/core/StructureDefinition/us-core-condition</v>
      </c>
      <c r="D37" t="s">
        <v>543</v>
      </c>
      <c r="F37" t="s">
        <v>68</v>
      </c>
      <c r="G37" t="s">
        <v>483</v>
      </c>
      <c r="H37" t="s">
        <v>544</v>
      </c>
      <c r="I37" s="4" t="s">
        <v>545</v>
      </c>
      <c r="J37" s="4" t="s">
        <v>546</v>
      </c>
      <c r="K37" s="4" t="s">
        <v>547</v>
      </c>
    </row>
    <row r="38" spans="1:11" x14ac:dyDescent="0.2">
      <c r="A38">
        <v>37</v>
      </c>
      <c r="B38" t="s">
        <v>92</v>
      </c>
      <c r="C38" t="str">
        <f t="shared" si="0"/>
        <v>http://hl7.org/fhir/us/core/StructureDefinition/us-core-condition</v>
      </c>
      <c r="D38" t="s">
        <v>548</v>
      </c>
      <c r="F38" t="s">
        <v>12</v>
      </c>
      <c r="G38" t="s">
        <v>483</v>
      </c>
      <c r="I38" s="4" t="s">
        <v>549</v>
      </c>
      <c r="J38" s="4" t="s">
        <v>550</v>
      </c>
      <c r="K38" s="4" t="s">
        <v>551</v>
      </c>
    </row>
    <row r="39" spans="1:11" ht="16" x14ac:dyDescent="0.2">
      <c r="A39">
        <v>38</v>
      </c>
      <c r="B39" t="s">
        <v>92</v>
      </c>
      <c r="C39" t="str">
        <f t="shared" si="0"/>
        <v>http://hl7.org/fhir/us/core/StructureDefinition/us-core-condition</v>
      </c>
      <c r="D39" t="s">
        <v>552</v>
      </c>
      <c r="F39" t="s">
        <v>68</v>
      </c>
      <c r="G39" t="s">
        <v>483</v>
      </c>
      <c r="H39" t="s">
        <v>544</v>
      </c>
      <c r="I39" s="4" t="s">
        <v>553</v>
      </c>
      <c r="J39" s="25" t="s">
        <v>554</v>
      </c>
      <c r="K39" s="4" t="s">
        <v>555</v>
      </c>
    </row>
    <row r="40" spans="1:11" x14ac:dyDescent="0.2">
      <c r="A40">
        <v>39</v>
      </c>
      <c r="B40" t="s">
        <v>92</v>
      </c>
      <c r="C40" t="str">
        <f t="shared" si="0"/>
        <v>http://hl7.org/fhir/us/core/StructureDefinition/us-core-condition</v>
      </c>
      <c r="D40" t="s">
        <v>556</v>
      </c>
      <c r="F40" t="s">
        <v>68</v>
      </c>
      <c r="G40" t="s">
        <v>483</v>
      </c>
      <c r="I40" s="4" t="s">
        <v>549</v>
      </c>
      <c r="J40" s="4" t="s">
        <v>557</v>
      </c>
      <c r="K40" s="4" t="s">
        <v>558</v>
      </c>
    </row>
    <row r="41" spans="1:11" x14ac:dyDescent="0.2">
      <c r="A41">
        <v>41</v>
      </c>
      <c r="B41" t="s">
        <v>92</v>
      </c>
      <c r="C41" t="str">
        <f t="shared" si="0"/>
        <v>http://hl7.org/fhir/us/core/StructureDefinition/us-core-condition</v>
      </c>
      <c r="D41" t="s">
        <v>559</v>
      </c>
      <c r="F41" t="s">
        <v>68</v>
      </c>
      <c r="G41" t="s">
        <v>483</v>
      </c>
      <c r="I41" s="4" t="s">
        <v>560</v>
      </c>
      <c r="J41" s="4" t="s">
        <v>561</v>
      </c>
      <c r="K41" s="4" t="s">
        <v>562</v>
      </c>
    </row>
    <row r="42" spans="1:11" x14ac:dyDescent="0.2">
      <c r="A42">
        <v>42</v>
      </c>
      <c r="B42" t="s">
        <v>92</v>
      </c>
      <c r="C42" t="str">
        <f t="shared" si="0"/>
        <v>http://hl7.org/fhir/us/core/StructureDefinition/us-core-condition</v>
      </c>
      <c r="D42" t="s">
        <v>563</v>
      </c>
      <c r="F42" t="s">
        <v>68</v>
      </c>
      <c r="G42" t="s">
        <v>504</v>
      </c>
      <c r="I42" s="4" t="s">
        <v>564</v>
      </c>
      <c r="J42" s="4" t="s">
        <v>565</v>
      </c>
      <c r="K42" s="4" t="s">
        <v>566</v>
      </c>
    </row>
    <row r="43" spans="1:11" x14ac:dyDescent="0.2">
      <c r="A43">
        <v>43</v>
      </c>
      <c r="B43" t="s">
        <v>92</v>
      </c>
      <c r="C43" t="str">
        <f t="shared" si="0"/>
        <v>http://hl7.org/fhir/us/core/StructureDefinition/us-core-condition</v>
      </c>
      <c r="D43" t="s">
        <v>567</v>
      </c>
      <c r="F43" t="s">
        <v>68</v>
      </c>
      <c r="G43" t="s">
        <v>504</v>
      </c>
      <c r="I43" s="4" t="s">
        <v>564</v>
      </c>
      <c r="J43" s="4" t="s">
        <v>568</v>
      </c>
      <c r="K43" s="4" t="s">
        <v>566</v>
      </c>
    </row>
    <row r="44" spans="1:11" x14ac:dyDescent="0.2">
      <c r="A44">
        <v>44</v>
      </c>
      <c r="B44" t="s">
        <v>92</v>
      </c>
      <c r="C44" t="str">
        <f t="shared" si="0"/>
        <v>http://hl7.org/fhir/us/core/StructureDefinition/us-core-condition</v>
      </c>
      <c r="D44" t="s">
        <v>569</v>
      </c>
      <c r="F44" t="s">
        <v>68</v>
      </c>
      <c r="G44" t="s">
        <v>504</v>
      </c>
      <c r="I44" s="4" t="s">
        <v>564</v>
      </c>
      <c r="J44" s="4" t="s">
        <v>570</v>
      </c>
      <c r="K44" s="4" t="s">
        <v>566</v>
      </c>
    </row>
    <row r="45" spans="1:11" x14ac:dyDescent="0.2">
      <c r="A45">
        <v>45</v>
      </c>
      <c r="B45" t="s">
        <v>92</v>
      </c>
      <c r="C45" t="str">
        <f t="shared" si="0"/>
        <v>http://hl7.org/fhir/us/core/StructureDefinition/us-core-condition</v>
      </c>
      <c r="D45" t="s">
        <v>571</v>
      </c>
      <c r="F45" t="s">
        <v>68</v>
      </c>
      <c r="G45" t="s">
        <v>504</v>
      </c>
      <c r="I45" s="4" t="s">
        <v>564</v>
      </c>
      <c r="J45" s="4" t="s">
        <v>572</v>
      </c>
      <c r="K45" s="4" t="s">
        <v>566</v>
      </c>
    </row>
    <row r="46" spans="1:11" ht="16" x14ac:dyDescent="0.2">
      <c r="A46">
        <v>40</v>
      </c>
      <c r="B46" t="s">
        <v>92</v>
      </c>
      <c r="C46" t="str">
        <f t="shared" si="0"/>
        <v>http://hl7.org/fhir/us/core/StructureDefinition/us-core-condition</v>
      </c>
      <c r="D46" t="s">
        <v>503</v>
      </c>
      <c r="F46" t="s">
        <v>68</v>
      </c>
      <c r="G46" t="s">
        <v>504</v>
      </c>
      <c r="I46" s="4"/>
      <c r="J46" s="25" t="s">
        <v>573</v>
      </c>
      <c r="K46" s="25" t="str">
        <f>"Fetches a bundle of all "&amp;B46&amp;" resources for the specified "&amp;SUBSTITUTE(D46,","," and ") &amp; ". See the US Core General Guidance page for [Searching Using lastUpdated]."</f>
        <v>Fetches a bundle of all Condition resources for the specified patient and _lastUpdated. See the US Core General Guidance page for [Searching Using lastUpdated].</v>
      </c>
    </row>
    <row r="47" spans="1:11" x14ac:dyDescent="0.2">
      <c r="A47">
        <v>46</v>
      </c>
      <c r="B47" t="s">
        <v>19</v>
      </c>
      <c r="C47" t="str">
        <f t="shared" si="0"/>
        <v>http://hl7.org/fhir/us/core/StructureDefinition/us-core-allergyintolerance</v>
      </c>
      <c r="D47" t="s">
        <v>543</v>
      </c>
      <c r="F47" t="s">
        <v>68</v>
      </c>
      <c r="G47" t="s">
        <v>483</v>
      </c>
      <c r="I47" s="4" t="s">
        <v>574</v>
      </c>
      <c r="J47" s="4" t="s">
        <v>575</v>
      </c>
      <c r="K47" s="4" t="s">
        <v>576</v>
      </c>
    </row>
    <row r="48" spans="1:11" x14ac:dyDescent="0.2">
      <c r="A48">
        <v>47</v>
      </c>
      <c r="B48" t="s">
        <v>100</v>
      </c>
      <c r="C48" t="str">
        <f t="shared" si="0"/>
        <v>http://hl7.org/fhir/us/core/StructureDefinition/us-core-immunization</v>
      </c>
      <c r="D48" t="s">
        <v>577</v>
      </c>
      <c r="F48" t="s">
        <v>68</v>
      </c>
      <c r="G48" t="s">
        <v>493</v>
      </c>
      <c r="I48" s="4" t="s">
        <v>578</v>
      </c>
      <c r="J48" s="4" t="s">
        <v>579</v>
      </c>
      <c r="K48" s="4" t="str">
        <f>"Fetches a bundle of all "&amp;B48&amp;" resources for the specified "&amp;SUBSTITUTE(D48,","," and ")</f>
        <v>Fetches a bundle of all Immunization resources for the specified patient and date</v>
      </c>
    </row>
    <row r="49" spans="1:11" x14ac:dyDescent="0.2">
      <c r="A49">
        <v>48</v>
      </c>
      <c r="B49" t="s">
        <v>100</v>
      </c>
      <c r="C49" t="str">
        <f t="shared" si="0"/>
        <v>http://hl7.org/fhir/us/core/StructureDefinition/us-core-immunization</v>
      </c>
      <c r="D49" t="s">
        <v>507</v>
      </c>
      <c r="F49" t="s">
        <v>68</v>
      </c>
      <c r="G49" t="s">
        <v>504</v>
      </c>
      <c r="I49" s="4" t="s">
        <v>580</v>
      </c>
      <c r="J49" s="4" t="s">
        <v>581</v>
      </c>
      <c r="K49" s="4" t="str">
        <f>"Fetches a bundle of all "&amp;B49&amp;" resources for the specified "&amp;SUBSTITUTE(D49,","," and ")</f>
        <v>Fetches a bundle of all Immunization resources for the specified patient and status</v>
      </c>
    </row>
    <row r="50" spans="1:11" x14ac:dyDescent="0.2">
      <c r="A50">
        <v>49</v>
      </c>
      <c r="B50" t="s">
        <v>106</v>
      </c>
      <c r="C50" t="s">
        <v>582</v>
      </c>
      <c r="D50" t="s">
        <v>507</v>
      </c>
      <c r="F50" t="s">
        <v>68</v>
      </c>
      <c r="G50" t="s">
        <v>483</v>
      </c>
      <c r="I50" s="4" t="s">
        <v>583</v>
      </c>
      <c r="J50" s="4" t="s">
        <v>584</v>
      </c>
      <c r="K50" s="4" t="str">
        <f>"Fetches a bundle of all "&amp;B50&amp;" resources for the specified "&amp;SUBSTITUTE(D50,","," and ")</f>
        <v>Fetches a bundle of all DiagnosticReport resources for the specified patient and status</v>
      </c>
    </row>
    <row r="51" spans="1:11" ht="16" x14ac:dyDescent="0.2">
      <c r="A51">
        <v>50</v>
      </c>
      <c r="B51" t="s">
        <v>106</v>
      </c>
      <c r="C51" t="s">
        <v>582</v>
      </c>
      <c r="D51" t="s">
        <v>548</v>
      </c>
      <c r="F51" t="s">
        <v>12</v>
      </c>
      <c r="G51" t="s">
        <v>483</v>
      </c>
      <c r="H51" t="s">
        <v>585</v>
      </c>
      <c r="I51" s="4" t="s">
        <v>586</v>
      </c>
      <c r="J51" s="26" t="s">
        <v>587</v>
      </c>
      <c r="K51" s="4" t="str">
        <f>"Fetches a bundle of all "&amp;B51&amp;" resources for the specified patient and  a category code = `LAB`"</f>
        <v>Fetches a bundle of all DiagnosticReport resources for the specified patient and  a category code = `LAB`</v>
      </c>
    </row>
    <row r="52" spans="1:11" ht="16" x14ac:dyDescent="0.2">
      <c r="A52">
        <v>51</v>
      </c>
      <c r="B52" t="s">
        <v>106</v>
      </c>
      <c r="C52" t="s">
        <v>582</v>
      </c>
      <c r="D52" t="s">
        <v>559</v>
      </c>
      <c r="F52" t="s">
        <v>12</v>
      </c>
      <c r="G52" t="s">
        <v>483</v>
      </c>
      <c r="I52" s="4" t="s">
        <v>588</v>
      </c>
      <c r="J52" s="26" t="s">
        <v>589</v>
      </c>
      <c r="K52" s="4" t="str">
        <f>"Fetches a bundle of all "&amp;B52&amp;" resources for the specified patient and  report code(s).  SHOULD support search by multiple report codes."</f>
        <v>Fetches a bundle of all DiagnosticReport resources for the specified patient and  report code(s).  SHOULD support search by multiple report codes.</v>
      </c>
    </row>
    <row r="53" spans="1:11" ht="16" x14ac:dyDescent="0.2">
      <c r="A53">
        <v>52</v>
      </c>
      <c r="B53" t="s">
        <v>106</v>
      </c>
      <c r="C53" t="s">
        <v>582</v>
      </c>
      <c r="D53" t="s">
        <v>590</v>
      </c>
      <c r="F53" t="s">
        <v>12</v>
      </c>
      <c r="G53" t="s">
        <v>591</v>
      </c>
      <c r="H53" t="s">
        <v>585</v>
      </c>
      <c r="I53" s="4" t="s">
        <v>592</v>
      </c>
      <c r="J53" s="26" t="s">
        <v>593</v>
      </c>
      <c r="K53" s="4" t="str">
        <f>"Fetches a bundle of all "&amp;B53&amp;" resources for the specified patient and date and a category code = `LAB`"</f>
        <v>Fetches a bundle of all DiagnosticReport resources for the specified patient and date and a category code = `LAB`</v>
      </c>
    </row>
    <row r="54" spans="1:11" ht="16" x14ac:dyDescent="0.2">
      <c r="A54">
        <v>53</v>
      </c>
      <c r="B54" t="s">
        <v>106</v>
      </c>
      <c r="C54" t="str">
        <f>"http://hl7.org/fhir/us/core/StructureDefinition/us-core-"&amp;LOWER(B54)</f>
        <v>http://hl7.org/fhir/us/core/StructureDefinition/us-core-diagnosticreport</v>
      </c>
      <c r="D54" t="s">
        <v>594</v>
      </c>
      <c r="F54" t="s">
        <v>68</v>
      </c>
      <c r="G54" t="s">
        <v>591</v>
      </c>
      <c r="I54" s="4"/>
      <c r="J54" s="24" t="s">
        <v>595</v>
      </c>
      <c r="K54" s="25" t="str">
        <f>"Fetches a bundle of all "&amp;B54&amp;" resources for the specified "&amp;SUBSTITUTE(D54,","," and ") &amp; ". See the US Core General Guidance page for [Searching Using lastUpdated]."</f>
        <v>Fetches a bundle of all DiagnosticReport resources for the specified patient and category and _lastUpdated. See the US Core General Guidance page for [Searching Using lastUpdated].</v>
      </c>
    </row>
    <row r="55" spans="1:11" x14ac:dyDescent="0.2">
      <c r="A55">
        <v>54</v>
      </c>
      <c r="B55" t="s">
        <v>106</v>
      </c>
      <c r="C55" t="s">
        <v>582</v>
      </c>
      <c r="D55" t="s">
        <v>596</v>
      </c>
      <c r="F55" t="s">
        <v>68</v>
      </c>
      <c r="G55" t="s">
        <v>591</v>
      </c>
      <c r="I55" s="4" t="s">
        <v>597</v>
      </c>
      <c r="J55" s="4" t="s">
        <v>598</v>
      </c>
      <c r="K55" s="4" t="str">
        <f>"Fetches a bundle of all "&amp;B55&amp;" resources for the specified patient and date and report code(s).  SHOULD support search by multiple report codes."</f>
        <v>Fetches a bundle of all DiagnosticReport resources for the specified patient and date and report code(s).  SHOULD support search by multiple report codes.</v>
      </c>
    </row>
    <row r="56" spans="1:11" x14ac:dyDescent="0.2">
      <c r="A56">
        <v>55</v>
      </c>
      <c r="B56" t="s">
        <v>107</v>
      </c>
      <c r="C56" t="str">
        <f t="shared" ref="C56:C66" si="3">"http://hl7.org/fhir/us/core/StructureDefinition/us-core-"&amp;LOWER(B56)</f>
        <v>http://hl7.org/fhir/us/core/StructureDefinition/us-core-goal</v>
      </c>
      <c r="D56" t="s">
        <v>599</v>
      </c>
      <c r="F56" t="s">
        <v>68</v>
      </c>
      <c r="G56" t="s">
        <v>483</v>
      </c>
      <c r="I56" s="4" t="s">
        <v>600</v>
      </c>
      <c r="J56" s="4" t="s">
        <v>601</v>
      </c>
      <c r="K56" s="4" t="str">
        <f>"Fetches a bundle of all "&amp;B56&amp;" resources for the specified "&amp;SUBSTITUTE(D56,","," and ")</f>
        <v>Fetches a bundle of all Goal resources for the specified patient and lifecycle-status</v>
      </c>
    </row>
    <row r="57" spans="1:11" x14ac:dyDescent="0.2">
      <c r="A57">
        <v>56</v>
      </c>
      <c r="B57" t="s">
        <v>107</v>
      </c>
      <c r="C57" t="str">
        <f t="shared" si="3"/>
        <v>http://hl7.org/fhir/us/core/StructureDefinition/us-core-goal</v>
      </c>
      <c r="D57" t="s">
        <v>602</v>
      </c>
      <c r="F57" t="s">
        <v>68</v>
      </c>
      <c r="G57" t="s">
        <v>504</v>
      </c>
      <c r="I57" s="4" t="s">
        <v>603</v>
      </c>
      <c r="J57" s="4" t="s">
        <v>604</v>
      </c>
      <c r="K57" s="4" t="str">
        <f>"Fetches a bundle of all "&amp;B57&amp;" resources for the specified "&amp;SUBSTITUTE(D57,","," and ")</f>
        <v>Fetches a bundle of all Goal resources for the specified patient and target-date</v>
      </c>
    </row>
    <row r="58" spans="1:11" x14ac:dyDescent="0.2">
      <c r="A58">
        <v>57</v>
      </c>
      <c r="B58" t="s">
        <v>108</v>
      </c>
      <c r="C58" t="str">
        <f t="shared" si="3"/>
        <v>http://hl7.org/fhir/us/core/StructureDefinition/us-core-medicationrequest</v>
      </c>
      <c r="D58" t="s">
        <v>605</v>
      </c>
      <c r="F58" t="s">
        <v>12</v>
      </c>
      <c r="G58" t="s">
        <v>483</v>
      </c>
      <c r="H58" t="s">
        <v>606</v>
      </c>
      <c r="I58" s="4" t="s">
        <v>607</v>
      </c>
      <c r="J58" s="4" t="s">
        <v>608</v>
      </c>
      <c r="K58" s="4" t="s">
        <v>609</v>
      </c>
    </row>
    <row r="59" spans="1:11" x14ac:dyDescent="0.2">
      <c r="A59">
        <v>58</v>
      </c>
      <c r="B59" t="s">
        <v>108</v>
      </c>
      <c r="C59" t="str">
        <f t="shared" si="3"/>
        <v>http://hl7.org/fhir/us/core/StructureDefinition/us-core-medicationrequest</v>
      </c>
      <c r="D59" t="s">
        <v>610</v>
      </c>
      <c r="F59" t="s">
        <v>12</v>
      </c>
      <c r="G59" t="s">
        <v>483</v>
      </c>
      <c r="H59" t="s">
        <v>606</v>
      </c>
      <c r="I59" s="4" t="s">
        <v>611</v>
      </c>
      <c r="J59" s="4" t="s">
        <v>612</v>
      </c>
      <c r="K59" s="4" t="s">
        <v>613</v>
      </c>
    </row>
    <row r="60" spans="1:11" x14ac:dyDescent="0.2">
      <c r="A60">
        <v>59</v>
      </c>
      <c r="B60" t="s">
        <v>108</v>
      </c>
      <c r="C60" t="str">
        <f t="shared" si="3"/>
        <v>http://hl7.org/fhir/us/core/StructureDefinition/us-core-medicationrequest</v>
      </c>
      <c r="D60" t="s">
        <v>614</v>
      </c>
      <c r="F60" t="s">
        <v>68</v>
      </c>
      <c r="G60" t="s">
        <v>483</v>
      </c>
      <c r="H60" t="s">
        <v>606</v>
      </c>
      <c r="I60" s="4" t="s">
        <v>611</v>
      </c>
      <c r="J60" s="4" t="s">
        <v>615</v>
      </c>
      <c r="K60" s="4" t="s">
        <v>616</v>
      </c>
    </row>
    <row r="61" spans="1:11" x14ac:dyDescent="0.2">
      <c r="A61">
        <v>60</v>
      </c>
      <c r="B61" t="s">
        <v>108</v>
      </c>
      <c r="C61" t="str">
        <f t="shared" si="3"/>
        <v>http://hl7.org/fhir/us/core/StructureDefinition/us-core-medicationrequest</v>
      </c>
      <c r="D61" t="s">
        <v>617</v>
      </c>
      <c r="F61" t="s">
        <v>68</v>
      </c>
      <c r="G61" t="s">
        <v>591</v>
      </c>
      <c r="H61" t="s">
        <v>606</v>
      </c>
      <c r="I61" s="4" t="s">
        <v>618</v>
      </c>
      <c r="J61" s="4" t="s">
        <v>619</v>
      </c>
      <c r="K61" s="4" t="s">
        <v>620</v>
      </c>
    </row>
    <row r="62" spans="1:11" x14ac:dyDescent="0.2">
      <c r="A62">
        <v>61</v>
      </c>
      <c r="B62" t="s">
        <v>249</v>
      </c>
      <c r="C62" t="str">
        <f t="shared" si="3"/>
        <v>http://hl7.org/fhir/us/core/StructureDefinition/us-core-!medicationstatement</v>
      </c>
      <c r="D62" t="s">
        <v>507</v>
      </c>
      <c r="F62" t="s">
        <v>68</v>
      </c>
      <c r="G62" t="s">
        <v>483</v>
      </c>
      <c r="I62" s="4" t="s">
        <v>621</v>
      </c>
      <c r="J62" s="4" t="s">
        <v>622</v>
      </c>
      <c r="K62" s="4" t="str">
        <f>"Fetches a bundle of all "&amp;B62&amp;" resources for the specified "&amp;SUBSTITUTE(D62,","," and ")</f>
        <v>Fetches a bundle of all !MedicationStatement resources for the specified patient and status</v>
      </c>
    </row>
    <row r="63" spans="1:11" x14ac:dyDescent="0.2">
      <c r="A63">
        <v>62</v>
      </c>
      <c r="B63" t="s">
        <v>249</v>
      </c>
      <c r="C63" t="str">
        <f t="shared" si="3"/>
        <v>http://hl7.org/fhir/us/core/StructureDefinition/us-core-!medicationstatement</v>
      </c>
      <c r="D63" t="s">
        <v>623</v>
      </c>
      <c r="F63" t="s">
        <v>68</v>
      </c>
      <c r="G63" t="s">
        <v>504</v>
      </c>
      <c r="I63" s="4" t="s">
        <v>624</v>
      </c>
      <c r="J63" s="4" t="s">
        <v>625</v>
      </c>
      <c r="K63" s="4" t="s">
        <v>626</v>
      </c>
    </row>
    <row r="64" spans="1:11" x14ac:dyDescent="0.2">
      <c r="A64">
        <v>63</v>
      </c>
      <c r="B64" t="s">
        <v>109</v>
      </c>
      <c r="C64" t="str">
        <f t="shared" si="3"/>
        <v>http://hl7.org/fhir/us/core/StructureDefinition/us-core-procedure</v>
      </c>
      <c r="D64" t="s">
        <v>507</v>
      </c>
      <c r="F64" t="s">
        <v>68</v>
      </c>
      <c r="G64" t="s">
        <v>483</v>
      </c>
      <c r="I64" s="4" t="s">
        <v>627</v>
      </c>
      <c r="J64" s="4" t="s">
        <v>628</v>
      </c>
      <c r="K64" s="4" t="str">
        <f>"Fetches a bundle of all "&amp;B64&amp;" resources for the specified "&amp;SUBSTITUTE(D64,","," and ")</f>
        <v>Fetches a bundle of all Procedure resources for the specified patient and status</v>
      </c>
    </row>
    <row r="65" spans="1:11" x14ac:dyDescent="0.2">
      <c r="A65">
        <v>64</v>
      </c>
      <c r="B65" t="s">
        <v>109</v>
      </c>
      <c r="C65" t="str">
        <f t="shared" si="3"/>
        <v>http://hl7.org/fhir/us/core/StructureDefinition/us-core-procedure</v>
      </c>
      <c r="D65" t="s">
        <v>577</v>
      </c>
      <c r="F65" t="s">
        <v>12</v>
      </c>
      <c r="G65" t="s">
        <v>483</v>
      </c>
      <c r="I65" s="4" t="s">
        <v>629</v>
      </c>
      <c r="J65" s="4" t="s">
        <v>630</v>
      </c>
      <c r="K65" s="4" t="str">
        <f>"Fetches a bundle of all "&amp;B65&amp;" resources for the specified "&amp;SUBSTITUTE(D65,","," and ")</f>
        <v>Fetches a bundle of all Procedure resources for the specified patient and date</v>
      </c>
    </row>
    <row r="66" spans="1:11" x14ac:dyDescent="0.2">
      <c r="A66">
        <v>65</v>
      </c>
      <c r="B66" t="s">
        <v>109</v>
      </c>
      <c r="C66" t="str">
        <f t="shared" si="3"/>
        <v>http://hl7.org/fhir/us/core/StructureDefinition/us-core-procedure</v>
      </c>
      <c r="D66" t="s">
        <v>596</v>
      </c>
      <c r="F66" t="s">
        <v>68</v>
      </c>
      <c r="G66" t="s">
        <v>591</v>
      </c>
      <c r="I66" s="4" t="s">
        <v>631</v>
      </c>
      <c r="J66" s="4" t="s">
        <v>632</v>
      </c>
      <c r="K66" s="4" t="str">
        <f>"Fetches a bundle of all "&amp;B66&amp;" resources for the specified patient and date and procedure code(s).  SHOULD support search by multiple codes."</f>
        <v>Fetches a bundle of all Procedure resources for the specified patient and date and procedure code(s).  SHOULD support search by multiple codes.</v>
      </c>
    </row>
    <row r="67" spans="1:11" x14ac:dyDescent="0.2">
      <c r="A67">
        <v>66</v>
      </c>
      <c r="B67" t="s">
        <v>110</v>
      </c>
      <c r="C67" t="s">
        <v>633</v>
      </c>
      <c r="D67" t="s">
        <v>634</v>
      </c>
      <c r="F67" t="s">
        <v>68</v>
      </c>
      <c r="G67" t="s">
        <v>483</v>
      </c>
      <c r="H67" t="s">
        <v>635</v>
      </c>
      <c r="I67" s="4" t="s">
        <v>636</v>
      </c>
      <c r="J67" s="4" t="s">
        <v>637</v>
      </c>
      <c r="K67" s="4" t="s">
        <v>638</v>
      </c>
    </row>
    <row r="68" spans="1:11" x14ac:dyDescent="0.2">
      <c r="A68">
        <v>67</v>
      </c>
      <c r="B68" t="s">
        <v>110</v>
      </c>
      <c r="C68" t="s">
        <v>633</v>
      </c>
      <c r="D68" t="s">
        <v>548</v>
      </c>
      <c r="F68" t="s">
        <v>12</v>
      </c>
      <c r="G68" t="s">
        <v>483</v>
      </c>
      <c r="H68" t="s">
        <v>635</v>
      </c>
      <c r="I68" s="4" t="s">
        <v>639</v>
      </c>
      <c r="J68" s="4" t="s">
        <v>640</v>
      </c>
      <c r="K68" s="4" t="str">
        <f>"Fetches a bundle of all "&amp;B68&amp;" resources for the specified patient and a category code = `laboratory`"</f>
        <v>Fetches a bundle of all Observation resources for the specified patient and a category code = `laboratory`</v>
      </c>
    </row>
    <row r="69" spans="1:11" ht="31" x14ac:dyDescent="0.2">
      <c r="A69">
        <v>68</v>
      </c>
      <c r="B69" t="s">
        <v>110</v>
      </c>
      <c r="C69" t="s">
        <v>633</v>
      </c>
      <c r="D69" t="s">
        <v>559</v>
      </c>
      <c r="F69" t="s">
        <v>12</v>
      </c>
      <c r="G69" t="s">
        <v>483</v>
      </c>
      <c r="I69" s="4" t="s">
        <v>641</v>
      </c>
      <c r="J69" s="8" t="s">
        <v>642</v>
      </c>
      <c r="K69" s="4" t="str">
        <f>"Fetches a bundle of all "&amp;B69&amp;" resources for the specified patient and observation code(s).  SHOULD support search by multiple report codes. The Observation `code` parameter searches `Observation.code only."</f>
        <v>Fetches a bundle of all Observation resources for the specified patient and observation code(s).  SHOULD support search by multiple report codes. The Observation `code` parameter searches `Observation.code only.</v>
      </c>
    </row>
    <row r="70" spans="1:11" x14ac:dyDescent="0.2">
      <c r="A70">
        <v>69</v>
      </c>
      <c r="B70" t="s">
        <v>110</v>
      </c>
      <c r="C70" t="s">
        <v>633</v>
      </c>
      <c r="D70" t="s">
        <v>590</v>
      </c>
      <c r="F70" t="s">
        <v>12</v>
      </c>
      <c r="G70" t="s">
        <v>591</v>
      </c>
      <c r="H70" t="s">
        <v>635</v>
      </c>
      <c r="I70" s="4" t="s">
        <v>643</v>
      </c>
      <c r="J70" s="4" t="s">
        <v>644</v>
      </c>
      <c r="K70" s="4" t="str">
        <f>"Fetches a bundle of all "&amp;B70&amp;" resources for the specified patient and date and a category code = `laboratory`"</f>
        <v>Fetches a bundle of all Observation resources for the specified patient and date and a category code = `laboratory`</v>
      </c>
    </row>
    <row r="71" spans="1:11" ht="16" x14ac:dyDescent="0.2">
      <c r="A71">
        <v>70</v>
      </c>
      <c r="B71" t="s">
        <v>110</v>
      </c>
      <c r="C71" t="s">
        <v>633</v>
      </c>
      <c r="D71" t="s">
        <v>594</v>
      </c>
      <c r="F71" t="s">
        <v>68</v>
      </c>
      <c r="G71" t="s">
        <v>591</v>
      </c>
      <c r="I71" s="4"/>
      <c r="J71" s="24" t="s">
        <v>645</v>
      </c>
      <c r="K71" s="25" t="str">
        <f>"Fetches a bundle of all "&amp;B71&amp;" resources for the specified "&amp;SUBSTITUTE(D71,","," and ") &amp; ". See the US Core General Guidance page for [Searching Using lastUpdated]."</f>
        <v>Fetches a bundle of all Observation resources for the specified patient and category and _lastUpdated. See the US Core General Guidance page for [Searching Using lastUpdated].</v>
      </c>
    </row>
    <row r="72" spans="1:11" x14ac:dyDescent="0.2">
      <c r="A72">
        <v>71</v>
      </c>
      <c r="B72" t="s">
        <v>110</v>
      </c>
      <c r="C72" t="s">
        <v>633</v>
      </c>
      <c r="D72" t="s">
        <v>596</v>
      </c>
      <c r="F72" t="s">
        <v>68</v>
      </c>
      <c r="G72" t="s">
        <v>591</v>
      </c>
      <c r="I72" s="4" t="s">
        <v>646</v>
      </c>
      <c r="J72" s="4" t="s">
        <v>647</v>
      </c>
      <c r="K72" s="4" t="str">
        <f>"Fetches a bundle of all "&amp;B72&amp;" resources for the specified patient and date and report code(s).  SHOULD support search by multiple report codes."</f>
        <v>Fetches a bundle of all Observation resources for the specified patient and date and report code(s).  SHOULD support search by multiple report codes.</v>
      </c>
    </row>
    <row r="73" spans="1:11" x14ac:dyDescent="0.2">
      <c r="A73">
        <v>72</v>
      </c>
      <c r="B73" t="s">
        <v>125</v>
      </c>
      <c r="C73" t="s">
        <v>127</v>
      </c>
      <c r="D73" t="s">
        <v>548</v>
      </c>
      <c r="F73" t="s">
        <v>12</v>
      </c>
      <c r="G73" t="s">
        <v>483</v>
      </c>
      <c r="H73" t="s">
        <v>648</v>
      </c>
      <c r="I73" s="4" t="s">
        <v>649</v>
      </c>
      <c r="J73" s="4" t="s">
        <v>650</v>
      </c>
      <c r="K73" s="4" t="str">
        <f>"Fetches a bundle of all "&amp;B73&amp;" resources for the specified "&amp;SUBSTITUTE(D73,","," and ")&amp;"=`assess-plan`"</f>
        <v>Fetches a bundle of all CarePlan resources for the specified patient and category=`assess-plan`</v>
      </c>
    </row>
    <row r="74" spans="1:11" x14ac:dyDescent="0.2">
      <c r="A74">
        <v>73</v>
      </c>
      <c r="B74" t="s">
        <v>125</v>
      </c>
      <c r="C74" t="s">
        <v>127</v>
      </c>
      <c r="D74" t="s">
        <v>590</v>
      </c>
      <c r="F74" t="s">
        <v>68</v>
      </c>
      <c r="G74" t="s">
        <v>591</v>
      </c>
      <c r="H74" t="s">
        <v>648</v>
      </c>
      <c r="I74" s="4" t="s">
        <v>651</v>
      </c>
      <c r="J74" s="4" t="s">
        <v>652</v>
      </c>
      <c r="K74" s="4" t="s">
        <v>653</v>
      </c>
    </row>
    <row r="75" spans="1:11" x14ac:dyDescent="0.2">
      <c r="A75">
        <v>74</v>
      </c>
      <c r="B75" t="s">
        <v>125</v>
      </c>
      <c r="C75" t="s">
        <v>127</v>
      </c>
      <c r="D75" t="s">
        <v>634</v>
      </c>
      <c r="F75" t="s">
        <v>68</v>
      </c>
      <c r="G75" t="s">
        <v>483</v>
      </c>
      <c r="H75" t="s">
        <v>648</v>
      </c>
      <c r="I75" s="4" t="s">
        <v>654</v>
      </c>
      <c r="J75" s="4" t="s">
        <v>655</v>
      </c>
      <c r="K75" s="4" t="s">
        <v>656</v>
      </c>
    </row>
    <row r="76" spans="1:11" x14ac:dyDescent="0.2">
      <c r="A76">
        <v>75</v>
      </c>
      <c r="B76" t="s">
        <v>125</v>
      </c>
      <c r="C76" t="s">
        <v>127</v>
      </c>
      <c r="D76" t="s">
        <v>657</v>
      </c>
      <c r="F76" t="s">
        <v>68</v>
      </c>
      <c r="G76" t="s">
        <v>591</v>
      </c>
      <c r="H76" t="s">
        <v>648</v>
      </c>
      <c r="I76" s="4" t="s">
        <v>658</v>
      </c>
      <c r="J76" s="4" t="s">
        <v>659</v>
      </c>
      <c r="K76" s="4" t="s">
        <v>660</v>
      </c>
    </row>
    <row r="77" spans="1:11" ht="136" x14ac:dyDescent="0.2">
      <c r="A77">
        <v>76</v>
      </c>
      <c r="B77" t="s">
        <v>128</v>
      </c>
      <c r="C77" t="str">
        <f t="shared" ref="C77:C83" si="4">"http://hl7.org/fhir/us/core/StructureDefinition/us-core-"&amp;LOWER(B77)</f>
        <v>http://hl7.org/fhir/us/core/StructureDefinition/us-core-careteam</v>
      </c>
      <c r="D77" t="s">
        <v>507</v>
      </c>
      <c r="F77" t="s">
        <v>12</v>
      </c>
      <c r="G77" t="s">
        <v>483</v>
      </c>
      <c r="H77" t="s">
        <v>661</v>
      </c>
      <c r="I77" s="4" t="s">
        <v>662</v>
      </c>
      <c r="J77" s="4" t="s">
        <v>663</v>
      </c>
      <c r="K77" s="8" t="s">
        <v>664</v>
      </c>
    </row>
    <row r="78" spans="1:11" x14ac:dyDescent="0.2">
      <c r="A78">
        <v>77</v>
      </c>
      <c r="B78" t="s">
        <v>105</v>
      </c>
      <c r="C78" t="str">
        <f t="shared" si="4"/>
        <v>http://hl7.org/fhir/us/core/StructureDefinition/us-core-documentreference</v>
      </c>
      <c r="D78" t="s">
        <v>507</v>
      </c>
      <c r="F78" t="s">
        <v>68</v>
      </c>
      <c r="G78" t="s">
        <v>483</v>
      </c>
      <c r="I78" s="4" t="s">
        <v>665</v>
      </c>
      <c r="J78" s="4" t="s">
        <v>666</v>
      </c>
      <c r="K78" s="4" t="str">
        <f>"Fetches a bundle of all "&amp;B78&amp;" resources for the specified "&amp;SUBSTITUTE(D78,","," and ") &amp;". See the implementation notes above for how to access the actual document."</f>
        <v>Fetches a bundle of all DocumentReference resources for the specified patient and status. See the implementation notes above for how to access the actual document.</v>
      </c>
    </row>
    <row r="79" spans="1:11" ht="20.25" customHeight="1" x14ac:dyDescent="0.2">
      <c r="A79">
        <v>78</v>
      </c>
      <c r="B79" t="s">
        <v>667</v>
      </c>
      <c r="C79" t="str">
        <f t="shared" si="4"/>
        <v>http://hl7.org/fhir/us/core/StructureDefinition/us-core-!documentreference</v>
      </c>
      <c r="D79" t="s">
        <v>668</v>
      </c>
      <c r="F79" t="s">
        <v>68</v>
      </c>
      <c r="G79" t="s">
        <v>504</v>
      </c>
      <c r="I79" s="4" t="s">
        <v>665</v>
      </c>
      <c r="J79" s="4"/>
      <c r="K79" s="4" t="str">
        <f>"Fetches a bundle of all "&amp;B79&amp;" resources for the specified "&amp;SUBSTITUTE(D79,","," and ") &amp;". See the implementation notes above for how to access the actual document."</f>
        <v>Fetches a bundle of all !DocumentReference resources for the specified patient and period. See the implementation notes above for how to access the actual document.</v>
      </c>
    </row>
    <row r="80" spans="1:11" x14ac:dyDescent="0.2">
      <c r="A80">
        <v>79</v>
      </c>
      <c r="B80" t="s">
        <v>105</v>
      </c>
      <c r="C80" t="str">
        <f t="shared" si="4"/>
        <v>http://hl7.org/fhir/us/core/StructureDefinition/us-core-documentreference</v>
      </c>
      <c r="D80" t="s">
        <v>548</v>
      </c>
      <c r="F80" t="s">
        <v>12</v>
      </c>
      <c r="G80" t="s">
        <v>483</v>
      </c>
      <c r="H80" t="s">
        <v>669</v>
      </c>
      <c r="I80" s="4" t="s">
        <v>670</v>
      </c>
      <c r="J80" s="4" t="s">
        <v>671</v>
      </c>
      <c r="K80" s="4" t="s">
        <v>672</v>
      </c>
    </row>
    <row r="81" spans="1:11" ht="20.25" customHeight="1" x14ac:dyDescent="0.2">
      <c r="A81">
        <v>80</v>
      </c>
      <c r="B81" t="s">
        <v>105</v>
      </c>
      <c r="C81" t="str">
        <f t="shared" si="4"/>
        <v>http://hl7.org/fhir/us/core/StructureDefinition/us-core-documentreference</v>
      </c>
      <c r="D81" t="s">
        <v>590</v>
      </c>
      <c r="F81" t="s">
        <v>12</v>
      </c>
      <c r="G81" t="s">
        <v>591</v>
      </c>
      <c r="H81" t="s">
        <v>669</v>
      </c>
      <c r="I81" s="4" t="s">
        <v>673</v>
      </c>
      <c r="J81" s="26" t="s">
        <v>674</v>
      </c>
      <c r="K81" s="4" t="s">
        <v>675</v>
      </c>
    </row>
    <row r="82" spans="1:11" x14ac:dyDescent="0.2">
      <c r="A82">
        <v>81</v>
      </c>
      <c r="B82" t="s">
        <v>105</v>
      </c>
      <c r="C82" t="str">
        <f t="shared" si="4"/>
        <v>http://hl7.org/fhir/us/core/StructureDefinition/us-core-documentreference</v>
      </c>
      <c r="D82" t="s">
        <v>498</v>
      </c>
      <c r="F82" t="s">
        <v>12</v>
      </c>
      <c r="G82" t="s">
        <v>483</v>
      </c>
      <c r="I82" s="4" t="s">
        <v>676</v>
      </c>
      <c r="J82" s="4" t="s">
        <v>677</v>
      </c>
      <c r="K82" s="4" t="s">
        <v>678</v>
      </c>
    </row>
    <row r="83" spans="1:11" ht="20.25" customHeight="1" x14ac:dyDescent="0.2">
      <c r="A83">
        <v>82</v>
      </c>
      <c r="B83" t="s">
        <v>105</v>
      </c>
      <c r="C83" t="str">
        <f t="shared" si="4"/>
        <v>http://hl7.org/fhir/us/core/StructureDefinition/us-core-documentreference</v>
      </c>
      <c r="D83" t="s">
        <v>679</v>
      </c>
      <c r="F83" t="s">
        <v>68</v>
      </c>
      <c r="G83" t="s">
        <v>591</v>
      </c>
      <c r="I83" s="4" t="s">
        <v>680</v>
      </c>
      <c r="J83" s="4" t="s">
        <v>681</v>
      </c>
      <c r="K83" s="4" t="str">
        <f>"Fetches a bundle of all "&amp;B83&amp;" resources for the specified "&amp;SUBSTITUTE(D83,","," and ") &amp;". See the implementation notes above for how to access the actual document."</f>
        <v>Fetches a bundle of all DocumentReference resources for the specified patient and type and period. See the implementation notes above for how to access the actual document.</v>
      </c>
    </row>
    <row r="84" spans="1:11" x14ac:dyDescent="0.2">
      <c r="A84">
        <v>83</v>
      </c>
      <c r="B84" t="s">
        <v>129</v>
      </c>
      <c r="C84" t="s">
        <v>682</v>
      </c>
      <c r="D84" t="s">
        <v>498</v>
      </c>
      <c r="F84" t="s">
        <v>68</v>
      </c>
      <c r="G84" t="s">
        <v>483</v>
      </c>
      <c r="I84" s="4" t="s">
        <v>683</v>
      </c>
      <c r="J84" s="4" t="s">
        <v>684</v>
      </c>
      <c r="K84" s="4" t="s">
        <v>685</v>
      </c>
    </row>
    <row r="85" spans="1:11" x14ac:dyDescent="0.2">
      <c r="A85">
        <v>84</v>
      </c>
      <c r="B85" t="s">
        <v>129</v>
      </c>
      <c r="C85" t="s">
        <v>682</v>
      </c>
      <c r="D85" t="s">
        <v>507</v>
      </c>
      <c r="F85" t="s">
        <v>68</v>
      </c>
      <c r="G85" t="s">
        <v>483</v>
      </c>
      <c r="I85" s="4" t="s">
        <v>686</v>
      </c>
      <c r="J85" s="4" t="s">
        <v>687</v>
      </c>
      <c r="K85" s="4" t="s">
        <v>688</v>
      </c>
    </row>
    <row r="86" spans="1:11" x14ac:dyDescent="0.2">
      <c r="A86">
        <v>85</v>
      </c>
      <c r="B86" t="s">
        <v>128</v>
      </c>
      <c r="C86" t="str">
        <f t="shared" ref="C86:C100" si="5">"http://hl7.org/fhir/us/core/StructureDefinition/us-core-"&amp;LOWER(B86)</f>
        <v>http://hl7.org/fhir/us/core/StructureDefinition/us-core-careteam</v>
      </c>
      <c r="D86" t="s">
        <v>689</v>
      </c>
      <c r="F86" t="s">
        <v>68</v>
      </c>
      <c r="G86" t="s">
        <v>483</v>
      </c>
      <c r="I86" s="4" t="s">
        <v>690</v>
      </c>
      <c r="J86" s="4" t="s">
        <v>691</v>
      </c>
      <c r="K86" s="4" t="s">
        <v>692</v>
      </c>
    </row>
    <row r="87" spans="1:11" x14ac:dyDescent="0.2">
      <c r="A87">
        <v>86</v>
      </c>
      <c r="B87" t="s">
        <v>337</v>
      </c>
      <c r="C87" t="str">
        <f t="shared" si="5"/>
        <v>http://hl7.org/fhir/us/core/StructureDefinition/us-core-servicerequest</v>
      </c>
      <c r="D87" t="s">
        <v>507</v>
      </c>
      <c r="F87" t="s">
        <v>68</v>
      </c>
      <c r="G87" t="s">
        <v>483</v>
      </c>
      <c r="I87" s="4" t="s">
        <v>693</v>
      </c>
      <c r="J87" s="4" t="s">
        <v>694</v>
      </c>
      <c r="K87" s="4" t="str">
        <f>"Fetches a bundle of all "&amp;B87&amp;" resources for the specified "&amp;SUBSTITUTE(D87,","," and ")</f>
        <v>Fetches a bundle of all ServiceRequest resources for the specified patient and status</v>
      </c>
    </row>
    <row r="88" spans="1:11" x14ac:dyDescent="0.2">
      <c r="A88">
        <v>87</v>
      </c>
      <c r="B88" t="s">
        <v>337</v>
      </c>
      <c r="C88" t="str">
        <f t="shared" si="5"/>
        <v>http://hl7.org/fhir/us/core/StructureDefinition/us-core-servicerequest</v>
      </c>
      <c r="D88" t="s">
        <v>548</v>
      </c>
      <c r="F88" t="s">
        <v>12</v>
      </c>
      <c r="G88" t="s">
        <v>483</v>
      </c>
      <c r="I88" s="4" t="s">
        <v>695</v>
      </c>
      <c r="J88" s="4" t="s">
        <v>696</v>
      </c>
      <c r="K88" s="4" t="str">
        <f>"Fetches a bundle of all "&amp;B88&amp;" resources for the specified patient and  a category code"</f>
        <v>Fetches a bundle of all ServiceRequest resources for the specified patient and  a category code</v>
      </c>
    </row>
    <row r="89" spans="1:11" x14ac:dyDescent="0.2">
      <c r="A89">
        <v>88</v>
      </c>
      <c r="B89" t="s">
        <v>337</v>
      </c>
      <c r="C89" t="str">
        <f t="shared" si="5"/>
        <v>http://hl7.org/fhir/us/core/StructureDefinition/us-core-servicerequest</v>
      </c>
      <c r="D89" t="s">
        <v>559</v>
      </c>
      <c r="F89" t="s">
        <v>12</v>
      </c>
      <c r="G89" t="s">
        <v>483</v>
      </c>
      <c r="I89" s="4" t="s">
        <v>697</v>
      </c>
      <c r="J89" s="4" t="s">
        <v>698</v>
      </c>
      <c r="K89" s="4" t="str">
        <f>"Fetches a bundle of all "&amp;B89&amp;" resources for the specified patient and  report code(s).  SHOULD support search by multiple report codes."</f>
        <v>Fetches a bundle of all ServiceRequest resources for the specified patient and  report code(s).  SHOULD support search by multiple report codes.</v>
      </c>
    </row>
    <row r="90" spans="1:11" x14ac:dyDescent="0.2">
      <c r="A90">
        <v>89</v>
      </c>
      <c r="B90" t="s">
        <v>337</v>
      </c>
      <c r="C90" t="str">
        <f t="shared" si="5"/>
        <v>http://hl7.org/fhir/us/core/StructureDefinition/us-core-servicerequest</v>
      </c>
      <c r="D90" t="s">
        <v>699</v>
      </c>
      <c r="F90" t="s">
        <v>12</v>
      </c>
      <c r="G90" t="s">
        <v>591</v>
      </c>
      <c r="I90" s="4" t="s">
        <v>700</v>
      </c>
      <c r="J90" s="4" t="s">
        <v>701</v>
      </c>
      <c r="K90" s="4" t="str">
        <f>"Fetches a bundle of all "&amp;B90&amp;" resources for the specified patient and date and a category code"</f>
        <v>Fetches a bundle of all ServiceRequest resources for the specified patient and date and a category code</v>
      </c>
    </row>
    <row r="91" spans="1:11" x14ac:dyDescent="0.2">
      <c r="A91">
        <v>90</v>
      </c>
      <c r="B91" t="s">
        <v>337</v>
      </c>
      <c r="C91" t="str">
        <f t="shared" si="5"/>
        <v>http://hl7.org/fhir/us/core/StructureDefinition/us-core-servicerequest</v>
      </c>
      <c r="D91" t="s">
        <v>702</v>
      </c>
      <c r="F91" t="s">
        <v>68</v>
      </c>
      <c r="G91" t="s">
        <v>591</v>
      </c>
      <c r="I91" s="4" t="s">
        <v>703</v>
      </c>
      <c r="J91" s="4" t="s">
        <v>704</v>
      </c>
      <c r="K91" s="4" t="str">
        <f>"Fetches a bundle of all "&amp;B91&amp;" resources for the specified patient and date and service code(s).  SHOULD support search by multiple report codes."</f>
        <v>Fetches a bundle of all ServiceRequest resources for the specified patient and date and service code(s).  SHOULD support search by multiple report codes.</v>
      </c>
    </row>
    <row r="92" spans="1:11" x14ac:dyDescent="0.2">
      <c r="A92">
        <v>91</v>
      </c>
      <c r="B92" t="s">
        <v>107</v>
      </c>
      <c r="C92" t="str">
        <f t="shared" si="5"/>
        <v>http://hl7.org/fhir/us/core/StructureDefinition/us-core-goal</v>
      </c>
      <c r="D92" t="s">
        <v>705</v>
      </c>
      <c r="F92" t="s">
        <v>68</v>
      </c>
      <c r="G92" t="s">
        <v>483</v>
      </c>
      <c r="I92" s="4" t="s">
        <v>706</v>
      </c>
      <c r="J92" s="4" t="s">
        <v>707</v>
      </c>
      <c r="K92" s="4" t="str">
        <f>"Fetches a bundle of all "&amp;B92&amp;" resources for the specified "&amp;SUBSTITUTE(D92,","," and ")</f>
        <v>Fetches a bundle of all Goal resources for the specified patient and description</v>
      </c>
    </row>
    <row r="93" spans="1:11" x14ac:dyDescent="0.2">
      <c r="A93">
        <v>92</v>
      </c>
      <c r="B93" t="s">
        <v>364</v>
      </c>
      <c r="C93" t="str">
        <f t="shared" si="5"/>
        <v>http://hl7.org/fhir/us/core/StructureDefinition/us-core-questionnaireresponse</v>
      </c>
      <c r="D93" t="s">
        <v>507</v>
      </c>
      <c r="F93" t="s">
        <v>68</v>
      </c>
      <c r="G93" t="s">
        <v>483</v>
      </c>
      <c r="I93" t="s">
        <v>708</v>
      </c>
      <c r="J93" s="4" t="s">
        <v>709</v>
      </c>
      <c r="K93" s="4" t="str">
        <f>"Fetches a bundle of all "&amp;B93&amp;" resources for the specified "&amp;SUBSTITUTE(D93,","," and ")</f>
        <v>Fetches a bundle of all QuestionnaireResponse resources for the specified patient and status</v>
      </c>
    </row>
    <row r="94" spans="1:11" x14ac:dyDescent="0.2">
      <c r="A94">
        <v>93</v>
      </c>
      <c r="B94" t="s">
        <v>437</v>
      </c>
      <c r="C94" t="str">
        <f t="shared" si="5"/>
        <v>http://hl7.org/fhir/us/core/StructureDefinition/us-core-!questionnaireresponse</v>
      </c>
      <c r="D94" t="s">
        <v>710</v>
      </c>
      <c r="F94" t="s">
        <v>68</v>
      </c>
      <c r="G94" t="s">
        <v>483</v>
      </c>
      <c r="H94" t="s">
        <v>711</v>
      </c>
      <c r="I94" t="s">
        <v>708</v>
      </c>
      <c r="J94" s="4" t="s">
        <v>712</v>
      </c>
      <c r="K94" t="str">
        <f>"Fetches a bundle of all "&amp;B94&amp;" resources for the specified "&amp;SUBSTITUTE(D94,","," and  ") &amp; "= 'sdoh'"</f>
        <v>Fetches a bundle of all !QuestionnaireResponse resources for the specified patient and  _tag= 'sdoh'</v>
      </c>
    </row>
    <row r="95" spans="1:11" x14ac:dyDescent="0.2">
      <c r="A95">
        <v>94</v>
      </c>
      <c r="B95" t="s">
        <v>364</v>
      </c>
      <c r="C95" t="str">
        <f t="shared" si="5"/>
        <v>http://hl7.org/fhir/us/core/StructureDefinition/us-core-questionnaireresponse</v>
      </c>
      <c r="D95" t="s">
        <v>713</v>
      </c>
      <c r="F95" t="s">
        <v>68</v>
      </c>
      <c r="G95" t="s">
        <v>504</v>
      </c>
      <c r="I95" t="s">
        <v>708</v>
      </c>
      <c r="J95" s="4" t="s">
        <v>714</v>
      </c>
      <c r="K95" s="4" t="str">
        <f>"Fetches a bundle of all "&amp;B95&amp;" resources for the specified patient and date"</f>
        <v>Fetches a bundle of all QuestionnaireResponse resources for the specified patient and date</v>
      </c>
    </row>
    <row r="96" spans="1:11" x14ac:dyDescent="0.2">
      <c r="A96">
        <v>95</v>
      </c>
      <c r="B96" t="s">
        <v>437</v>
      </c>
      <c r="C96" t="str">
        <f t="shared" si="5"/>
        <v>http://hl7.org/fhir/us/core/StructureDefinition/us-core-!questionnaireresponse</v>
      </c>
      <c r="D96" s="16" t="s">
        <v>715</v>
      </c>
      <c r="F96" t="s">
        <v>68</v>
      </c>
      <c r="G96" t="s">
        <v>591</v>
      </c>
      <c r="H96" t="s">
        <v>711</v>
      </c>
      <c r="I96" t="s">
        <v>708</v>
      </c>
      <c r="J96" s="4" t="s">
        <v>716</v>
      </c>
      <c r="K96" t="str">
        <f>"Fetches a bundle of all "&amp;B96&amp;" resources tagged as 'sdoh' for the specified patient and date"</f>
        <v>Fetches a bundle of all !QuestionnaireResponse resources tagged as 'sdoh' for the specified patient and date</v>
      </c>
    </row>
    <row r="97" spans="1:11" x14ac:dyDescent="0.2">
      <c r="A97">
        <v>96</v>
      </c>
      <c r="B97" t="s">
        <v>364</v>
      </c>
      <c r="C97" t="str">
        <f t="shared" si="5"/>
        <v>http://hl7.org/fhir/us/core/StructureDefinition/us-core-questionnaireresponse</v>
      </c>
      <c r="D97" s="16" t="s">
        <v>717</v>
      </c>
      <c r="F97" t="s">
        <v>68</v>
      </c>
      <c r="G97" t="s">
        <v>88</v>
      </c>
      <c r="I97" t="s">
        <v>708</v>
      </c>
      <c r="J97" s="4" t="s">
        <v>718</v>
      </c>
      <c r="K97" t="str">
        <f>"Fetches a bundle of all "&amp;B97&amp;" resources for the specified patient that have been completed against a specified form."</f>
        <v>Fetches a bundle of all QuestionnaireResponse resources for the specified patient that have been completed against a specified form.</v>
      </c>
    </row>
    <row r="98" spans="1:11" ht="151" customHeight="1" x14ac:dyDescent="0.2">
      <c r="A98">
        <v>97</v>
      </c>
      <c r="B98" s="16" t="s">
        <v>398</v>
      </c>
      <c r="C98" t="str">
        <f t="shared" si="5"/>
        <v>http://hl7.org/fhir/us/core/StructureDefinition/us-core-medicationdispense</v>
      </c>
      <c r="D98" s="16" t="s">
        <v>507</v>
      </c>
      <c r="E98" s="16"/>
      <c r="F98" s="16" t="s">
        <v>68</v>
      </c>
      <c r="G98" s="16" t="s">
        <v>483</v>
      </c>
      <c r="H98" s="16"/>
      <c r="I98" s="4" t="s">
        <v>719</v>
      </c>
      <c r="J98" s="4" t="s">
        <v>720</v>
      </c>
      <c r="K98" t="str">
        <f>"Fetches a bundle of all "&amp;B98&amp;" resources for the specified patient that have a given dispense status (e.g., dispensed, not dispensed))."</f>
        <v>Fetches a bundle of all MedicationDispense resources for the specified patient that have a given dispense status (e.g., dispensed, not dispensed)).</v>
      </c>
    </row>
    <row r="99" spans="1:11" x14ac:dyDescent="0.2">
      <c r="A99">
        <v>98</v>
      </c>
      <c r="B99" s="16" t="s">
        <v>398</v>
      </c>
      <c r="C99" t="str">
        <f t="shared" si="5"/>
        <v>http://hl7.org/fhir/us/core/StructureDefinition/us-core-medicationdispense</v>
      </c>
      <c r="D99" s="16" t="s">
        <v>506</v>
      </c>
      <c r="E99" s="16"/>
      <c r="F99" s="16" t="s">
        <v>68</v>
      </c>
      <c r="G99" s="16" t="s">
        <v>483</v>
      </c>
      <c r="H99" s="16"/>
      <c r="I99" s="4" t="s">
        <v>721</v>
      </c>
      <c r="J99" s="4" t="s">
        <v>722</v>
      </c>
      <c r="K99" t="str">
        <f>"Fetches a bundle of all "&amp;B99&amp;" resources for the specified patient that have a given dispense status (e.g., dispensed, not dispensed) and type of dispense (e.g., partially dispensed)."</f>
        <v>Fetches a bundle of all MedicationDispense resources for the specified patient that have a given dispense status (e.g., dispensed, not dispensed) and type of dispense (e.g., partially dispensed).</v>
      </c>
    </row>
    <row r="100" spans="1:11" x14ac:dyDescent="0.2">
      <c r="A100">
        <v>99</v>
      </c>
      <c r="B100" s="16" t="s">
        <v>401</v>
      </c>
      <c r="C100" t="str">
        <f t="shared" si="5"/>
        <v>http://hl7.org/fhir/us/core/StructureDefinition/us-core-!medicationdispense</v>
      </c>
      <c r="D100" s="16" t="s">
        <v>723</v>
      </c>
      <c r="E100" s="16"/>
      <c r="F100" s="16" t="s">
        <v>68</v>
      </c>
      <c r="G100" s="16" t="s">
        <v>504</v>
      </c>
      <c r="H100" s="16"/>
      <c r="I100" s="4" t="s">
        <v>724</v>
      </c>
      <c r="J100" s="4" t="s">
        <v>725</v>
      </c>
      <c r="K100" t="str">
        <f>"Fetches a bundle of all "&amp;B99&amp;" resources for the specified patient for a given dispense and date or range"</f>
        <v>Fetches a bundle of all MedicationDispense resources for the specified patient for a given dispense and date or range</v>
      </c>
    </row>
    <row r="101" spans="1:11" x14ac:dyDescent="0.2">
      <c r="A101">
        <v>100</v>
      </c>
      <c r="B101" s="16" t="s">
        <v>345</v>
      </c>
      <c r="C101" s="27" t="s">
        <v>344</v>
      </c>
      <c r="D101" s="16" t="s">
        <v>726</v>
      </c>
      <c r="E101" s="16"/>
      <c r="F101" s="16" t="s">
        <v>68</v>
      </c>
      <c r="G101" s="16" t="s">
        <v>727</v>
      </c>
      <c r="H101" s="16"/>
      <c r="I101" s="4"/>
      <c r="J101" s="4" t="s">
        <v>728</v>
      </c>
      <c r="K101" t="str">
        <f>"Fetches a bundle of all "&amp;B101&amp;" resources for the specified patient that may match any of the string fields in the name element (including family, give, prefix, suffix, suffix, and/or text)"</f>
        <v>Fetches a bundle of all RelatedPerson resources for the specified patient that may match any of the string fields in the name element (including family, give, prefix, suffix, suffix, and/or text)</v>
      </c>
    </row>
  </sheetData>
  <autoFilter ref="A1:K101" xr:uid="{331E0B16-168F-459B-8951-3DF614BF0371}"/>
  <conditionalFormatting sqref="B1:B100 B102:B1048576">
    <cfRule type="containsText" dxfId="0" priority="1" operator="containsText" text="!">
      <formula>NOT(ISERROR(SEARCH("!",B1)))</formula>
    </cfRule>
  </conditionalFormatting>
  <hyperlinks>
    <hyperlink ref="C101" r:id="rId1" xr:uid="{E5D9E9A5-D437-E344-976B-BF6F06BE5521}"/>
  </hyperlinks>
  <pageMargins left="0.75" right="0.75" top="1" bottom="1" header="0.5" footer="0.5"/>
  <pageSetup orientation="portrait" horizontalDpi="0" verticalDpi="0"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2"/>
  <sheetViews>
    <sheetView tabSelected="1" topLeftCell="A7" zoomScale="150" zoomScaleNormal="150" workbookViewId="0">
      <selection activeCell="D7" sqref="D7"/>
    </sheetView>
  </sheetViews>
  <sheetFormatPr baseColWidth="10" defaultColWidth="8.83203125" defaultRowHeight="15" x14ac:dyDescent="0.2"/>
  <cols>
    <col min="1" max="1" width="24.6640625" customWidth="1"/>
    <col min="2" max="2" width="95.5" bestFit="1" customWidth="1"/>
  </cols>
  <sheetData>
    <row r="1" spans="1:2" x14ac:dyDescent="0.2">
      <c r="A1" t="s">
        <v>0</v>
      </c>
      <c r="B1" t="s">
        <v>1</v>
      </c>
    </row>
    <row r="2" spans="1:2" x14ac:dyDescent="0.2">
      <c r="A2" t="s">
        <v>2</v>
      </c>
      <c r="B2" t="s">
        <v>227</v>
      </c>
    </row>
    <row r="3" spans="1:2" x14ac:dyDescent="0.2">
      <c r="A3" t="s">
        <v>65</v>
      </c>
      <c r="B3" t="s">
        <v>730</v>
      </c>
    </row>
    <row r="4" spans="1:2" x14ac:dyDescent="0.2">
      <c r="A4" t="s">
        <v>263</v>
      </c>
      <c r="B4" t="s">
        <v>264</v>
      </c>
    </row>
    <row r="5" spans="1:2" ht="256" customHeight="1" x14ac:dyDescent="0.2">
      <c r="A5" t="s">
        <v>3</v>
      </c>
      <c r="B5" s="1" t="s">
        <v>731</v>
      </c>
    </row>
    <row r="6" spans="1:2" x14ac:dyDescent="0.2">
      <c r="A6" t="s">
        <v>4</v>
      </c>
      <c r="B6" t="s">
        <v>5</v>
      </c>
    </row>
    <row r="7" spans="1:2" ht="408" customHeight="1" x14ac:dyDescent="0.2">
      <c r="A7" t="s">
        <v>6</v>
      </c>
      <c r="B7" s="1" t="s">
        <v>738</v>
      </c>
    </row>
    <row r="8" spans="1:2" ht="103.5" customHeight="1" x14ac:dyDescent="0.2">
      <c r="A8" t="s">
        <v>7</v>
      </c>
      <c r="B8" s="2" t="s">
        <v>341</v>
      </c>
    </row>
    <row r="9" spans="1:2" x14ac:dyDescent="0.2">
      <c r="A9" t="s">
        <v>304</v>
      </c>
      <c r="B9" t="s">
        <v>306</v>
      </c>
    </row>
    <row r="10" spans="1:2" x14ac:dyDescent="0.2">
      <c r="A10" t="s">
        <v>305</v>
      </c>
      <c r="B10" t="s">
        <v>307</v>
      </c>
    </row>
    <row r="11" spans="1:2" x14ac:dyDescent="0.2">
      <c r="A11" t="s">
        <v>316</v>
      </c>
      <c r="B11" s="14" t="s">
        <v>318</v>
      </c>
    </row>
    <row r="12" spans="1:2" x14ac:dyDescent="0.2">
      <c r="A12" t="s">
        <v>317</v>
      </c>
      <c r="B12" t="s">
        <v>68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CC787-78D8-4AA0-BE43-37746049F77C}">
  <dimension ref="A1:D3"/>
  <sheetViews>
    <sheetView zoomScale="110" zoomScaleNormal="110" workbookViewId="0">
      <selection activeCell="C16" sqref="C16"/>
    </sheetView>
  </sheetViews>
  <sheetFormatPr baseColWidth="10" defaultColWidth="8.83203125" defaultRowHeight="15" x14ac:dyDescent="0.2"/>
  <cols>
    <col min="1" max="1" width="61.5" customWidth="1"/>
    <col min="2" max="2" width="71" bestFit="1" customWidth="1"/>
    <col min="3" max="3" width="33.33203125" bestFit="1" customWidth="1"/>
  </cols>
  <sheetData>
    <row r="1" spans="1:4" x14ac:dyDescent="0.2">
      <c r="A1" t="s">
        <v>22</v>
      </c>
      <c r="B1" t="s">
        <v>315</v>
      </c>
      <c r="C1" t="s">
        <v>58</v>
      </c>
      <c r="D1" t="s">
        <v>14</v>
      </c>
    </row>
    <row r="2" spans="1:4" x14ac:dyDescent="0.2">
      <c r="A2" t="s">
        <v>735</v>
      </c>
      <c r="B2" s="27" t="s">
        <v>736</v>
      </c>
      <c r="C2" s="21" t="s">
        <v>737</v>
      </c>
      <c r="D2" t="s">
        <v>12</v>
      </c>
    </row>
    <row r="3" spans="1:4" ht="16" x14ac:dyDescent="0.2">
      <c r="A3" s="20" t="s">
        <v>412</v>
      </c>
      <c r="B3" s="20" t="s">
        <v>323</v>
      </c>
      <c r="C3" s="20" t="s">
        <v>324</v>
      </c>
      <c r="D3" s="20" t="s">
        <v>68</v>
      </c>
    </row>
  </sheetData>
  <hyperlinks>
    <hyperlink ref="C2" r:id="rId1" xr:uid="{394BAD8E-355B-BE4E-8E7E-F9CB92E00996}"/>
    <hyperlink ref="B2" r:id="rId2" xr:uid="{9D3F47C7-A80C-8543-AACA-A93F68C6B9CF}"/>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EBB963-62EF-8346-A79F-04E3300CC06A}">
  <dimension ref="A1:F2"/>
  <sheetViews>
    <sheetView zoomScale="120" zoomScaleNormal="120" workbookViewId="0">
      <selection activeCell="A15" sqref="A15"/>
    </sheetView>
  </sheetViews>
  <sheetFormatPr baseColWidth="10" defaultColWidth="8.83203125" defaultRowHeight="15" x14ac:dyDescent="0.2"/>
  <cols>
    <col min="2" max="2" width="13.33203125" customWidth="1"/>
    <col min="3" max="3" width="24.83203125" bestFit="1" customWidth="1"/>
    <col min="4" max="4" width="65" bestFit="1" customWidth="1"/>
    <col min="5" max="5" width="50.6640625" customWidth="1"/>
    <col min="6" max="6" width="16.6640625" customWidth="1"/>
  </cols>
  <sheetData>
    <row r="1" spans="1:6" x14ac:dyDescent="0.2">
      <c r="A1" t="s">
        <v>308</v>
      </c>
      <c r="B1" t="s">
        <v>309</v>
      </c>
      <c r="C1" t="s">
        <v>22</v>
      </c>
      <c r="D1" t="s">
        <v>315</v>
      </c>
      <c r="E1" t="s">
        <v>58</v>
      </c>
      <c r="F1" t="s">
        <v>14</v>
      </c>
    </row>
    <row r="2" spans="1:6" ht="16" x14ac:dyDescent="0.2">
      <c r="B2" s="16"/>
      <c r="C2" t="s">
        <v>322</v>
      </c>
      <c r="D2" s="15" t="s">
        <v>321</v>
      </c>
      <c r="E2" s="15" t="s">
        <v>325</v>
      </c>
      <c r="F2" t="s">
        <v>12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62"/>
  <sheetViews>
    <sheetView topLeftCell="A13" zoomScale="140" zoomScaleNormal="140" workbookViewId="0">
      <selection activeCell="B64" sqref="B64"/>
    </sheetView>
  </sheetViews>
  <sheetFormatPr baseColWidth="10" defaultColWidth="8.83203125" defaultRowHeight="15" x14ac:dyDescent="0.2"/>
  <cols>
    <col min="1" max="1" width="94" bestFit="1" customWidth="1"/>
    <col min="2" max="2" width="60.5" bestFit="1" customWidth="1"/>
    <col min="3" max="3" width="9.33203125" customWidth="1"/>
    <col min="4" max="4" width="20.1640625" customWidth="1"/>
    <col min="5" max="5" width="16.1640625" customWidth="1"/>
  </cols>
  <sheetData>
    <row r="1" spans="1:5" x14ac:dyDescent="0.2">
      <c r="A1" t="s">
        <v>8</v>
      </c>
      <c r="B1" t="s">
        <v>9</v>
      </c>
      <c r="C1" t="s">
        <v>58</v>
      </c>
      <c r="D1" t="s">
        <v>10</v>
      </c>
      <c r="E1" t="s">
        <v>11</v>
      </c>
    </row>
    <row r="2" spans="1:5" x14ac:dyDescent="0.2">
      <c r="A2" s="17" t="s">
        <v>71</v>
      </c>
      <c r="B2" t="s">
        <v>199</v>
      </c>
      <c r="D2" t="s">
        <v>12</v>
      </c>
      <c r="E2" t="s">
        <v>19</v>
      </c>
    </row>
    <row r="3" spans="1:5" x14ac:dyDescent="0.2">
      <c r="A3" s="17" t="s">
        <v>127</v>
      </c>
      <c r="B3" t="s">
        <v>191</v>
      </c>
      <c r="D3" t="s">
        <v>12</v>
      </c>
      <c r="E3" t="s">
        <v>125</v>
      </c>
    </row>
    <row r="4" spans="1:5" x14ac:dyDescent="0.2">
      <c r="A4" s="17" t="s">
        <v>170</v>
      </c>
      <c r="B4" t="s">
        <v>171</v>
      </c>
      <c r="D4" t="s">
        <v>12</v>
      </c>
      <c r="E4" t="s">
        <v>128</v>
      </c>
    </row>
    <row r="5" spans="1:5" x14ac:dyDescent="0.2">
      <c r="A5" s="17" t="s">
        <v>379</v>
      </c>
      <c r="B5" t="s">
        <v>355</v>
      </c>
      <c r="D5" t="s">
        <v>12</v>
      </c>
      <c r="E5" t="s">
        <v>92</v>
      </c>
    </row>
    <row r="6" spans="1:5" x14ac:dyDescent="0.2">
      <c r="A6" s="17" t="s">
        <v>380</v>
      </c>
      <c r="B6" t="s">
        <v>360</v>
      </c>
      <c r="D6" t="s">
        <v>12</v>
      </c>
      <c r="E6" t="s">
        <v>92</v>
      </c>
    </row>
    <row r="7" spans="1:5" x14ac:dyDescent="0.2">
      <c r="A7" t="s">
        <v>381</v>
      </c>
      <c r="B7" t="s">
        <v>382</v>
      </c>
      <c r="D7" t="s">
        <v>12</v>
      </c>
      <c r="E7" t="s">
        <v>383</v>
      </c>
    </row>
    <row r="8" spans="1:5" x14ac:dyDescent="0.2">
      <c r="A8" s="17" t="s">
        <v>243</v>
      </c>
      <c r="B8" t="s">
        <v>256</v>
      </c>
      <c r="D8" t="s">
        <v>12</v>
      </c>
      <c r="E8" t="s">
        <v>129</v>
      </c>
    </row>
    <row r="9" spans="1:5" x14ac:dyDescent="0.2">
      <c r="A9" s="17" t="s">
        <v>112</v>
      </c>
      <c r="B9" t="s">
        <v>188</v>
      </c>
      <c r="D9" t="s">
        <v>12</v>
      </c>
      <c r="E9" t="s">
        <v>106</v>
      </c>
    </row>
    <row r="10" spans="1:5" x14ac:dyDescent="0.2">
      <c r="A10" s="17" t="s">
        <v>111</v>
      </c>
      <c r="B10" t="s">
        <v>196</v>
      </c>
      <c r="D10" t="s">
        <v>12</v>
      </c>
      <c r="E10" t="s">
        <v>106</v>
      </c>
    </row>
    <row r="11" spans="1:5" x14ac:dyDescent="0.2">
      <c r="A11" s="17" t="s">
        <v>177</v>
      </c>
      <c r="B11" t="s">
        <v>178</v>
      </c>
      <c r="D11" t="s">
        <v>12</v>
      </c>
      <c r="E11" t="s">
        <v>105</v>
      </c>
    </row>
    <row r="12" spans="1:5" x14ac:dyDescent="0.2">
      <c r="A12" t="s">
        <v>410</v>
      </c>
      <c r="B12" t="s">
        <v>198</v>
      </c>
      <c r="D12" t="s">
        <v>12</v>
      </c>
      <c r="E12" t="s">
        <v>21</v>
      </c>
    </row>
    <row r="13" spans="1:5" ht="16" x14ac:dyDescent="0.2">
      <c r="A13" s="19" t="s">
        <v>366</v>
      </c>
      <c r="B13" t="s">
        <v>352</v>
      </c>
      <c r="D13" t="s">
        <v>12</v>
      </c>
      <c r="E13" t="s">
        <v>353</v>
      </c>
    </row>
    <row r="14" spans="1:5" ht="16" x14ac:dyDescent="0.2">
      <c r="A14" s="19" t="s">
        <v>367</v>
      </c>
      <c r="B14" t="s">
        <v>357</v>
      </c>
      <c r="D14" t="s">
        <v>12</v>
      </c>
      <c r="E14" t="s">
        <v>353</v>
      </c>
    </row>
    <row r="15" spans="1:5" ht="16" x14ac:dyDescent="0.2">
      <c r="A15" s="19" t="s">
        <v>368</v>
      </c>
      <c r="B15" t="s">
        <v>358</v>
      </c>
      <c r="D15" t="s">
        <v>12</v>
      </c>
      <c r="E15" t="s">
        <v>353</v>
      </c>
    </row>
    <row r="16" spans="1:5" ht="16" x14ac:dyDescent="0.2">
      <c r="A16" s="19" t="s">
        <v>369</v>
      </c>
      <c r="B16" t="s">
        <v>359</v>
      </c>
      <c r="D16" t="s">
        <v>12</v>
      </c>
      <c r="E16" t="s">
        <v>353</v>
      </c>
    </row>
    <row r="17" spans="1:5" ht="16" x14ac:dyDescent="0.2">
      <c r="A17" s="19" t="s">
        <v>370</v>
      </c>
      <c r="B17" t="s">
        <v>361</v>
      </c>
      <c r="D17" t="s">
        <v>12</v>
      </c>
      <c r="E17" t="s">
        <v>353</v>
      </c>
    </row>
    <row r="18" spans="1:5" ht="16" x14ac:dyDescent="0.2">
      <c r="A18" s="19" t="s">
        <v>371</v>
      </c>
      <c r="B18" t="s">
        <v>365</v>
      </c>
      <c r="D18" t="s">
        <v>12</v>
      </c>
      <c r="E18" t="s">
        <v>353</v>
      </c>
    </row>
    <row r="19" spans="1:5" x14ac:dyDescent="0.2">
      <c r="A19" t="s">
        <v>192</v>
      </c>
      <c r="B19" t="s">
        <v>193</v>
      </c>
      <c r="D19" t="s">
        <v>12</v>
      </c>
      <c r="E19" t="s">
        <v>107</v>
      </c>
    </row>
    <row r="20" spans="1:5" x14ac:dyDescent="0.2">
      <c r="A20" t="s">
        <v>174</v>
      </c>
      <c r="B20" t="s">
        <v>175</v>
      </c>
      <c r="D20" t="s">
        <v>12</v>
      </c>
      <c r="E20" t="s">
        <v>100</v>
      </c>
    </row>
    <row r="21" spans="1:5" x14ac:dyDescent="0.2">
      <c r="A21" s="17" t="s">
        <v>194</v>
      </c>
      <c r="B21" t="s">
        <v>195</v>
      </c>
      <c r="D21" t="s">
        <v>12</v>
      </c>
      <c r="E21" t="s">
        <v>130</v>
      </c>
    </row>
    <row r="22" spans="1:5" x14ac:dyDescent="0.2">
      <c r="A22" s="17" t="s">
        <v>185</v>
      </c>
      <c r="B22" t="s">
        <v>186</v>
      </c>
      <c r="D22" t="s">
        <v>12</v>
      </c>
      <c r="E22" t="s">
        <v>187</v>
      </c>
    </row>
    <row r="23" spans="1:5" x14ac:dyDescent="0.2">
      <c r="A23" s="17" t="s">
        <v>179</v>
      </c>
      <c r="B23" t="s">
        <v>180</v>
      </c>
      <c r="D23" t="s">
        <v>12</v>
      </c>
      <c r="E23" t="s">
        <v>108</v>
      </c>
    </row>
    <row r="24" spans="1:5" x14ac:dyDescent="0.2">
      <c r="A24" t="s">
        <v>396</v>
      </c>
      <c r="B24" t="s">
        <v>397</v>
      </c>
      <c r="D24" t="s">
        <v>12</v>
      </c>
      <c r="E24" t="s">
        <v>398</v>
      </c>
    </row>
    <row r="25" spans="1:5" x14ac:dyDescent="0.2">
      <c r="A25" s="17" t="s">
        <v>238</v>
      </c>
      <c r="B25" t="s">
        <v>237</v>
      </c>
      <c r="D25" t="s">
        <v>12</v>
      </c>
      <c r="E25" t="s">
        <v>110</v>
      </c>
    </row>
    <row r="26" spans="1:5" x14ac:dyDescent="0.2">
      <c r="A26" t="s">
        <v>390</v>
      </c>
      <c r="B26" t="s">
        <v>386</v>
      </c>
      <c r="D26" t="s">
        <v>12</v>
      </c>
      <c r="E26" t="s">
        <v>110</v>
      </c>
    </row>
    <row r="27" spans="1:5" x14ac:dyDescent="0.2">
      <c r="A27" t="s">
        <v>389</v>
      </c>
      <c r="B27" t="s">
        <v>387</v>
      </c>
      <c r="D27" t="s">
        <v>12</v>
      </c>
      <c r="E27" t="s">
        <v>110</v>
      </c>
    </row>
    <row r="28" spans="1:5" x14ac:dyDescent="0.2">
      <c r="A28" t="s">
        <v>391</v>
      </c>
      <c r="B28" t="s">
        <v>388</v>
      </c>
      <c r="D28" t="s">
        <v>12</v>
      </c>
      <c r="E28" t="s">
        <v>110</v>
      </c>
    </row>
    <row r="29" spans="1:5" x14ac:dyDescent="0.2">
      <c r="A29" s="17" t="s">
        <v>422</v>
      </c>
      <c r="B29" t="s">
        <v>354</v>
      </c>
      <c r="D29" t="s">
        <v>12</v>
      </c>
      <c r="E29" t="s">
        <v>110</v>
      </c>
    </row>
    <row r="30" spans="1:5" x14ac:dyDescent="0.2">
      <c r="A30" s="17" t="s">
        <v>293</v>
      </c>
      <c r="B30" t="s">
        <v>284</v>
      </c>
      <c r="D30" t="s">
        <v>12</v>
      </c>
      <c r="E30" t="s">
        <v>110</v>
      </c>
    </row>
    <row r="31" spans="1:5" x14ac:dyDescent="0.2">
      <c r="A31" t="s">
        <v>421</v>
      </c>
      <c r="B31" t="s">
        <v>426</v>
      </c>
      <c r="D31" t="s">
        <v>12</v>
      </c>
      <c r="E31" t="s">
        <v>110</v>
      </c>
    </row>
    <row r="32" spans="1:5" x14ac:dyDescent="0.2">
      <c r="A32" t="s">
        <v>448</v>
      </c>
      <c r="B32" t="s">
        <v>449</v>
      </c>
      <c r="D32" t="s">
        <v>12</v>
      </c>
      <c r="E32" t="s">
        <v>110</v>
      </c>
    </row>
    <row r="33" spans="1:5" x14ac:dyDescent="0.2">
      <c r="A33" t="s">
        <v>450</v>
      </c>
      <c r="B33" t="s">
        <v>451</v>
      </c>
      <c r="D33" t="s">
        <v>12</v>
      </c>
      <c r="E33" t="s">
        <v>110</v>
      </c>
    </row>
    <row r="34" spans="1:5" x14ac:dyDescent="0.2">
      <c r="A34" s="17" t="s">
        <v>292</v>
      </c>
      <c r="B34" t="s">
        <v>283</v>
      </c>
      <c r="D34" t="s">
        <v>12</v>
      </c>
      <c r="E34" t="s">
        <v>110</v>
      </c>
    </row>
    <row r="35" spans="1:5" x14ac:dyDescent="0.2">
      <c r="A35" s="17" t="s">
        <v>291</v>
      </c>
      <c r="B35" t="s">
        <v>282</v>
      </c>
      <c r="D35" t="s">
        <v>12</v>
      </c>
      <c r="E35" t="s">
        <v>110</v>
      </c>
    </row>
    <row r="36" spans="1:5" x14ac:dyDescent="0.2">
      <c r="A36" s="17" t="s">
        <v>299</v>
      </c>
      <c r="B36" t="s">
        <v>298</v>
      </c>
      <c r="D36" t="s">
        <v>12</v>
      </c>
      <c r="E36" t="s">
        <v>110</v>
      </c>
    </row>
    <row r="37" spans="1:5" x14ac:dyDescent="0.2">
      <c r="A37" s="17" t="s">
        <v>255</v>
      </c>
      <c r="B37" t="s">
        <v>254</v>
      </c>
      <c r="D37" t="s">
        <v>12</v>
      </c>
      <c r="E37" t="s">
        <v>110</v>
      </c>
    </row>
    <row r="38" spans="1:5" x14ac:dyDescent="0.2">
      <c r="A38" s="17" t="s">
        <v>155</v>
      </c>
      <c r="B38" t="s">
        <v>176</v>
      </c>
      <c r="D38" t="s">
        <v>12</v>
      </c>
      <c r="E38" t="s">
        <v>110</v>
      </c>
    </row>
    <row r="39" spans="1:5" x14ac:dyDescent="0.2">
      <c r="A39" s="17" t="s">
        <v>336</v>
      </c>
      <c r="B39" t="s">
        <v>356</v>
      </c>
      <c r="D39" t="s">
        <v>12</v>
      </c>
      <c r="E39" t="s">
        <v>110</v>
      </c>
    </row>
    <row r="40" spans="1:5" x14ac:dyDescent="0.2">
      <c r="A40" s="17" t="s">
        <v>288</v>
      </c>
      <c r="B40" t="s">
        <v>279</v>
      </c>
      <c r="D40" t="s">
        <v>12</v>
      </c>
      <c r="E40" t="s">
        <v>110</v>
      </c>
    </row>
    <row r="41" spans="1:5" x14ac:dyDescent="0.2">
      <c r="A41" s="17" t="s">
        <v>289</v>
      </c>
      <c r="B41" t="s">
        <v>280</v>
      </c>
      <c r="D41" t="s">
        <v>12</v>
      </c>
      <c r="E41" t="s">
        <v>110</v>
      </c>
    </row>
    <row r="42" spans="1:5" x14ac:dyDescent="0.2">
      <c r="A42" t="s">
        <v>287</v>
      </c>
      <c r="B42" t="s">
        <v>278</v>
      </c>
      <c r="D42" t="s">
        <v>12</v>
      </c>
      <c r="E42" t="s">
        <v>110</v>
      </c>
    </row>
    <row r="43" spans="1:5" x14ac:dyDescent="0.2">
      <c r="A43" t="s">
        <v>425</v>
      </c>
      <c r="B43" t="s">
        <v>427</v>
      </c>
      <c r="D43" t="s">
        <v>12</v>
      </c>
      <c r="E43" t="s">
        <v>110</v>
      </c>
    </row>
    <row r="44" spans="1:5" x14ac:dyDescent="0.2">
      <c r="A44" t="s">
        <v>446</v>
      </c>
      <c r="B44" t="s">
        <v>447</v>
      </c>
      <c r="D44" t="s">
        <v>12</v>
      </c>
      <c r="E44" t="s">
        <v>110</v>
      </c>
    </row>
    <row r="45" spans="1:5" x14ac:dyDescent="0.2">
      <c r="A45" s="17" t="s">
        <v>286</v>
      </c>
      <c r="B45" t="s">
        <v>277</v>
      </c>
      <c r="D45" t="s">
        <v>12</v>
      </c>
      <c r="E45" t="s">
        <v>110</v>
      </c>
    </row>
    <row r="46" spans="1:5" x14ac:dyDescent="0.2">
      <c r="A46" s="17" t="s">
        <v>423</v>
      </c>
      <c r="B46" t="s">
        <v>362</v>
      </c>
      <c r="D46" t="s">
        <v>12</v>
      </c>
      <c r="E46" t="s">
        <v>110</v>
      </c>
    </row>
    <row r="47" spans="1:5" x14ac:dyDescent="0.2">
      <c r="A47" t="s">
        <v>424</v>
      </c>
      <c r="B47" t="s">
        <v>428</v>
      </c>
      <c r="D47" t="s">
        <v>12</v>
      </c>
      <c r="E47" t="s">
        <v>110</v>
      </c>
    </row>
    <row r="48" spans="1:5" x14ac:dyDescent="0.2">
      <c r="A48" s="17" t="s">
        <v>297</v>
      </c>
      <c r="B48" t="s">
        <v>296</v>
      </c>
      <c r="D48" t="s">
        <v>12</v>
      </c>
      <c r="E48" t="s">
        <v>110</v>
      </c>
    </row>
    <row r="49" spans="1:5" x14ac:dyDescent="0.2">
      <c r="A49" s="17" t="s">
        <v>295</v>
      </c>
      <c r="B49" t="s">
        <v>409</v>
      </c>
      <c r="D49" t="s">
        <v>12</v>
      </c>
      <c r="E49" t="s">
        <v>110</v>
      </c>
    </row>
    <row r="50" spans="1:5" x14ac:dyDescent="0.2">
      <c r="A50" s="17" t="s">
        <v>290</v>
      </c>
      <c r="B50" t="s">
        <v>281</v>
      </c>
      <c r="D50" t="s">
        <v>12</v>
      </c>
      <c r="E50" t="s">
        <v>110</v>
      </c>
    </row>
    <row r="51" spans="1:5" x14ac:dyDescent="0.2">
      <c r="A51" s="17" t="s">
        <v>285</v>
      </c>
      <c r="B51" t="s">
        <v>276</v>
      </c>
      <c r="D51" t="s">
        <v>12</v>
      </c>
      <c r="E51" t="s">
        <v>110</v>
      </c>
    </row>
    <row r="52" spans="1:5" x14ac:dyDescent="0.2">
      <c r="A52" s="17" t="s">
        <v>181</v>
      </c>
      <c r="B52" t="s">
        <v>182</v>
      </c>
      <c r="D52" t="s">
        <v>12</v>
      </c>
      <c r="E52" t="s">
        <v>140</v>
      </c>
    </row>
    <row r="53" spans="1:5" x14ac:dyDescent="0.2">
      <c r="A53" s="17" t="s">
        <v>73</v>
      </c>
      <c r="B53" t="s">
        <v>197</v>
      </c>
      <c r="D53" t="s">
        <v>12</v>
      </c>
      <c r="E53" t="s">
        <v>20</v>
      </c>
    </row>
    <row r="54" spans="1:5" x14ac:dyDescent="0.2">
      <c r="A54" s="17" t="s">
        <v>172</v>
      </c>
      <c r="B54" t="s">
        <v>173</v>
      </c>
      <c r="D54" t="s">
        <v>12</v>
      </c>
      <c r="E54" t="s">
        <v>147</v>
      </c>
    </row>
    <row r="55" spans="1:5" x14ac:dyDescent="0.2">
      <c r="A55" s="17" t="s">
        <v>189</v>
      </c>
      <c r="B55" t="s">
        <v>190</v>
      </c>
      <c r="D55" t="s">
        <v>12</v>
      </c>
      <c r="E55" t="s">
        <v>149</v>
      </c>
    </row>
    <row r="56" spans="1:5" x14ac:dyDescent="0.2">
      <c r="A56" s="17" t="s">
        <v>183</v>
      </c>
      <c r="B56" t="s">
        <v>184</v>
      </c>
      <c r="D56" t="s">
        <v>12</v>
      </c>
      <c r="E56" t="s">
        <v>109</v>
      </c>
    </row>
    <row r="57" spans="1:5" x14ac:dyDescent="0.2">
      <c r="A57" s="17" t="s">
        <v>251</v>
      </c>
      <c r="B57" t="s">
        <v>252</v>
      </c>
      <c r="D57" t="s">
        <v>12</v>
      </c>
      <c r="E57" t="s">
        <v>250</v>
      </c>
    </row>
    <row r="58" spans="1:5" x14ac:dyDescent="0.2">
      <c r="A58" t="s">
        <v>430</v>
      </c>
      <c r="B58" t="s">
        <v>431</v>
      </c>
      <c r="D58" t="s">
        <v>12</v>
      </c>
      <c r="E58" t="s">
        <v>432</v>
      </c>
    </row>
    <row r="59" spans="1:5" x14ac:dyDescent="0.2">
      <c r="A59" t="s">
        <v>429</v>
      </c>
      <c r="B59" t="s">
        <v>363</v>
      </c>
      <c r="D59" t="s">
        <v>12</v>
      </c>
      <c r="E59" t="s">
        <v>364</v>
      </c>
    </row>
    <row r="60" spans="1:5" x14ac:dyDescent="0.2">
      <c r="A60" s="17" t="s">
        <v>344</v>
      </c>
      <c r="B60" t="s">
        <v>342</v>
      </c>
      <c r="D60" t="s">
        <v>12</v>
      </c>
      <c r="E60" t="s">
        <v>345</v>
      </c>
    </row>
    <row r="61" spans="1:5" x14ac:dyDescent="0.2">
      <c r="A61" s="17" t="s">
        <v>340</v>
      </c>
      <c r="B61" t="s">
        <v>343</v>
      </c>
      <c r="D61" t="s">
        <v>12</v>
      </c>
      <c r="E61" t="s">
        <v>337</v>
      </c>
    </row>
    <row r="62" spans="1:5" x14ac:dyDescent="0.2">
      <c r="A62" t="s">
        <v>392</v>
      </c>
      <c r="B62" t="s">
        <v>393</v>
      </c>
      <c r="D62" t="s">
        <v>12</v>
      </c>
      <c r="E62" t="s">
        <v>394</v>
      </c>
    </row>
  </sheetData>
  <sortState xmlns:xlrd2="http://schemas.microsoft.com/office/spreadsheetml/2017/richdata2" ref="A2:E46">
    <sortCondition ref="E2:E46"/>
    <sortCondition ref="B2:B46"/>
  </sortState>
  <conditionalFormatting sqref="A1:A1048576">
    <cfRule type="containsText" dxfId="3" priority="1" operator="containsText" text="!">
      <formula>NOT(ISERROR(SEARCH("!",A1)))</formula>
    </cfRule>
  </conditionalFormatting>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Y69"/>
  <sheetViews>
    <sheetView zoomScale="140" zoomScaleNormal="140" workbookViewId="0">
      <selection activeCell="A10" sqref="A10"/>
    </sheetView>
  </sheetViews>
  <sheetFormatPr baseColWidth="10" defaultColWidth="8.83203125" defaultRowHeight="29" customHeight="1" x14ac:dyDescent="0.2"/>
  <cols>
    <col min="1" max="1" width="16" customWidth="1"/>
    <col min="2" max="2" width="12" customWidth="1"/>
    <col min="3" max="3" width="99.6640625" style="1" customWidth="1"/>
    <col min="4" max="4" width="9.33203125" style="1" customWidth="1"/>
    <col min="5" max="5" width="14.33203125" style="1" customWidth="1"/>
    <col min="6" max="6" width="11.33203125" customWidth="1"/>
    <col min="7" max="7" width="9" customWidth="1"/>
    <col min="8" max="14" width="17.5" customWidth="1"/>
    <col min="15" max="15" width="20.5" customWidth="1"/>
    <col min="16" max="19" width="17.5" customWidth="1"/>
    <col min="20" max="21" width="20.5" customWidth="1"/>
    <col min="22" max="25" width="38.83203125" bestFit="1" customWidth="1"/>
  </cols>
  <sheetData>
    <row r="1" spans="1:25" ht="29" customHeight="1" thickBot="1" x14ac:dyDescent="0.25">
      <c r="A1" t="s">
        <v>13</v>
      </c>
      <c r="B1" t="s">
        <v>14</v>
      </c>
      <c r="C1" s="1" t="s">
        <v>6</v>
      </c>
      <c r="D1" s="1" t="s">
        <v>38</v>
      </c>
      <c r="E1" s="1" t="s">
        <v>273</v>
      </c>
      <c r="F1" t="s">
        <v>15</v>
      </c>
      <c r="G1" t="s">
        <v>228</v>
      </c>
      <c r="H1" t="s">
        <v>16</v>
      </c>
      <c r="I1" t="s">
        <v>229</v>
      </c>
      <c r="J1" t="s">
        <v>17</v>
      </c>
      <c r="K1" t="s">
        <v>230</v>
      </c>
      <c r="L1" t="s">
        <v>222</v>
      </c>
      <c r="M1" t="s">
        <v>231</v>
      </c>
      <c r="N1" t="s">
        <v>223</v>
      </c>
      <c r="O1" t="s">
        <v>232</v>
      </c>
      <c r="P1" t="s">
        <v>225</v>
      </c>
      <c r="Q1" t="s">
        <v>233</v>
      </c>
      <c r="R1" t="s">
        <v>226</v>
      </c>
      <c r="S1" t="s">
        <v>234</v>
      </c>
      <c r="T1" t="s">
        <v>18</v>
      </c>
      <c r="U1" t="s">
        <v>235</v>
      </c>
      <c r="V1" s="3" t="s">
        <v>311</v>
      </c>
      <c r="W1" s="3" t="s">
        <v>310</v>
      </c>
      <c r="X1" s="3" t="s">
        <v>312</v>
      </c>
      <c r="Y1" s="3" t="s">
        <v>313</v>
      </c>
    </row>
    <row r="2" spans="1:25" ht="29" customHeight="1" thickTop="1" x14ac:dyDescent="0.25">
      <c r="A2" t="s">
        <v>19</v>
      </c>
      <c r="B2" t="s">
        <v>12</v>
      </c>
      <c r="C2" s="2"/>
      <c r="D2" s="2"/>
      <c r="E2" s="2"/>
      <c r="X2" s="13" t="s">
        <v>261</v>
      </c>
      <c r="Y2" s="13" t="s">
        <v>12</v>
      </c>
    </row>
    <row r="3" spans="1:25" ht="29" customHeight="1" x14ac:dyDescent="0.25">
      <c r="A3" t="s">
        <v>125</v>
      </c>
      <c r="B3" t="s">
        <v>12</v>
      </c>
      <c r="C3" s="1" t="s">
        <v>734</v>
      </c>
      <c r="X3" s="13" t="s">
        <v>261</v>
      </c>
      <c r="Y3" s="13" t="s">
        <v>12</v>
      </c>
    </row>
    <row r="4" spans="1:25" ht="29" customHeight="1" x14ac:dyDescent="0.25">
      <c r="A4" t="s">
        <v>128</v>
      </c>
      <c r="B4" t="s">
        <v>12</v>
      </c>
      <c r="C4" s="1" t="s">
        <v>467</v>
      </c>
      <c r="V4" t="s">
        <v>346</v>
      </c>
      <c r="W4" t="s">
        <v>335</v>
      </c>
      <c r="X4" s="13" t="s">
        <v>261</v>
      </c>
      <c r="Y4" s="13" t="s">
        <v>12</v>
      </c>
    </row>
    <row r="5" spans="1:25" ht="29" customHeight="1" x14ac:dyDescent="0.25">
      <c r="A5" t="s">
        <v>92</v>
      </c>
      <c r="B5" t="s">
        <v>12</v>
      </c>
      <c r="C5" s="1" t="s">
        <v>445</v>
      </c>
      <c r="X5" s="13" t="s">
        <v>261</v>
      </c>
      <c r="Y5" s="13" t="s">
        <v>12</v>
      </c>
    </row>
    <row r="6" spans="1:25" ht="29" customHeight="1" x14ac:dyDescent="0.25">
      <c r="A6" t="s">
        <v>383</v>
      </c>
      <c r="B6" t="s">
        <v>12</v>
      </c>
      <c r="X6" s="13" t="s">
        <v>261</v>
      </c>
      <c r="Y6" s="13" t="s">
        <v>12</v>
      </c>
    </row>
    <row r="7" spans="1:25" ht="29" customHeight="1" x14ac:dyDescent="0.25">
      <c r="A7" t="s">
        <v>129</v>
      </c>
      <c r="B7" t="s">
        <v>12</v>
      </c>
      <c r="C7" s="1" t="s">
        <v>378</v>
      </c>
      <c r="X7" s="13" t="s">
        <v>261</v>
      </c>
      <c r="Y7" s="13" t="s">
        <v>12</v>
      </c>
    </row>
    <row r="8" spans="1:25" ht="29" customHeight="1" x14ac:dyDescent="0.25">
      <c r="A8" t="s">
        <v>106</v>
      </c>
      <c r="B8" t="s">
        <v>12</v>
      </c>
      <c r="C8" s="2" t="s">
        <v>454</v>
      </c>
      <c r="X8" s="13" t="s">
        <v>261</v>
      </c>
      <c r="Y8" s="13" t="s">
        <v>12</v>
      </c>
    </row>
    <row r="9" spans="1:25" ht="29" customHeight="1" x14ac:dyDescent="0.25">
      <c r="A9" t="s">
        <v>105</v>
      </c>
      <c r="B9" t="s">
        <v>12</v>
      </c>
      <c r="C9" s="2" t="s">
        <v>455</v>
      </c>
      <c r="X9" s="13" t="s">
        <v>261</v>
      </c>
      <c r="Y9" s="13" t="s">
        <v>12</v>
      </c>
    </row>
    <row r="10" spans="1:25" ht="29" customHeight="1" x14ac:dyDescent="0.25">
      <c r="A10" t="s">
        <v>21</v>
      </c>
      <c r="B10" t="s">
        <v>12</v>
      </c>
      <c r="C10" s="1" t="s">
        <v>456</v>
      </c>
      <c r="X10" s="13" t="s">
        <v>261</v>
      </c>
      <c r="Y10" s="13" t="s">
        <v>12</v>
      </c>
    </row>
    <row r="11" spans="1:25" ht="29" customHeight="1" x14ac:dyDescent="0.25">
      <c r="A11" t="s">
        <v>443</v>
      </c>
      <c r="B11" t="s">
        <v>12</v>
      </c>
      <c r="C11" s="23" t="s">
        <v>732</v>
      </c>
      <c r="X11" s="13"/>
      <c r="Y11" s="13"/>
    </row>
    <row r="12" spans="1:25" ht="29" customHeight="1" x14ac:dyDescent="0.25">
      <c r="A12" t="s">
        <v>107</v>
      </c>
      <c r="B12" t="s">
        <v>12</v>
      </c>
      <c r="C12" s="1" t="s">
        <v>435</v>
      </c>
      <c r="X12" s="13" t="s">
        <v>261</v>
      </c>
      <c r="Y12" s="13" t="s">
        <v>12</v>
      </c>
    </row>
    <row r="13" spans="1:25" ht="29" customHeight="1" x14ac:dyDescent="0.25">
      <c r="A13" t="s">
        <v>440</v>
      </c>
      <c r="B13" t="s">
        <v>29</v>
      </c>
      <c r="C13" s="23" t="s">
        <v>441</v>
      </c>
      <c r="X13" s="13"/>
      <c r="Y13" s="13"/>
    </row>
    <row r="14" spans="1:25" ht="29" customHeight="1" x14ac:dyDescent="0.25">
      <c r="A14" t="s">
        <v>100</v>
      </c>
      <c r="B14" t="s">
        <v>12</v>
      </c>
      <c r="C14" s="1" t="s">
        <v>377</v>
      </c>
      <c r="X14" s="13" t="s">
        <v>261</v>
      </c>
      <c r="Y14" s="13" t="s">
        <v>12</v>
      </c>
    </row>
    <row r="15" spans="1:25" ht="29" customHeight="1" x14ac:dyDescent="0.25">
      <c r="A15" t="s">
        <v>130</v>
      </c>
      <c r="B15" t="s">
        <v>12</v>
      </c>
      <c r="C15" s="1" t="s">
        <v>459</v>
      </c>
      <c r="X15" s="13"/>
      <c r="Y15" s="13"/>
    </row>
    <row r="16" spans="1:25" ht="29" customHeight="1" x14ac:dyDescent="0.25">
      <c r="A16" t="s">
        <v>438</v>
      </c>
      <c r="B16" t="s">
        <v>12</v>
      </c>
      <c r="C16" s="23" t="s">
        <v>733</v>
      </c>
      <c r="X16" s="13"/>
      <c r="Y16" s="13"/>
    </row>
    <row r="17" spans="1:25" ht="29" customHeight="1" x14ac:dyDescent="0.25">
      <c r="A17" t="s">
        <v>187</v>
      </c>
      <c r="B17" t="s">
        <v>12</v>
      </c>
      <c r="C17" s="1" t="s">
        <v>274</v>
      </c>
      <c r="X17" s="13"/>
      <c r="Y17" s="13"/>
    </row>
    <row r="18" spans="1:25" ht="29" customHeight="1" x14ac:dyDescent="0.25">
      <c r="A18" t="s">
        <v>108</v>
      </c>
      <c r="B18" t="s">
        <v>12</v>
      </c>
      <c r="C18" s="1" t="s">
        <v>466</v>
      </c>
      <c r="V18" t="s">
        <v>68</v>
      </c>
      <c r="W18" s="6" t="s">
        <v>116</v>
      </c>
      <c r="X18" s="13" t="s">
        <v>261</v>
      </c>
      <c r="Y18" s="13" t="s">
        <v>12</v>
      </c>
    </row>
    <row r="19" spans="1:25" ht="29" customHeight="1" x14ac:dyDescent="0.25">
      <c r="A19" t="s">
        <v>398</v>
      </c>
      <c r="B19" t="s">
        <v>12</v>
      </c>
      <c r="C19" s="1" t="s">
        <v>468</v>
      </c>
      <c r="V19" t="s">
        <v>68</v>
      </c>
      <c r="W19" s="6" t="s">
        <v>399</v>
      </c>
      <c r="X19" s="13" t="s">
        <v>261</v>
      </c>
      <c r="Y19" s="13" t="s">
        <v>12</v>
      </c>
    </row>
    <row r="20" spans="1:25" ht="29" customHeight="1" x14ac:dyDescent="0.25">
      <c r="A20" t="s">
        <v>249</v>
      </c>
      <c r="B20" t="s">
        <v>12</v>
      </c>
      <c r="C20" s="1" t="s">
        <v>275</v>
      </c>
      <c r="V20" t="s">
        <v>68</v>
      </c>
      <c r="W20" s="6" t="s">
        <v>224</v>
      </c>
      <c r="X20" s="13" t="s">
        <v>261</v>
      </c>
      <c r="Y20" s="13" t="s">
        <v>12</v>
      </c>
    </row>
    <row r="21" spans="1:25" ht="29" customHeight="1" x14ac:dyDescent="0.25">
      <c r="A21" t="s">
        <v>110</v>
      </c>
      <c r="B21" t="s">
        <v>12</v>
      </c>
      <c r="C21" s="1" t="s">
        <v>457</v>
      </c>
      <c r="X21" s="13" t="s">
        <v>261</v>
      </c>
      <c r="Y21" s="13" t="s">
        <v>12</v>
      </c>
    </row>
    <row r="22" spans="1:25" ht="29" customHeight="1" x14ac:dyDescent="0.25">
      <c r="A22" t="s">
        <v>140</v>
      </c>
      <c r="B22" t="s">
        <v>12</v>
      </c>
      <c r="C22" s="1" t="s">
        <v>458</v>
      </c>
      <c r="X22" s="13"/>
      <c r="Y22" s="13"/>
    </row>
    <row r="23" spans="1:25" ht="29" customHeight="1" x14ac:dyDescent="0.25">
      <c r="A23" t="s">
        <v>20</v>
      </c>
      <c r="B23" t="s">
        <v>12</v>
      </c>
      <c r="C23" s="1" t="s">
        <v>460</v>
      </c>
      <c r="X23" s="13" t="s">
        <v>261</v>
      </c>
      <c r="Y23" s="13" t="s">
        <v>12</v>
      </c>
    </row>
    <row r="24" spans="1:25" ht="29" customHeight="1" x14ac:dyDescent="0.25">
      <c r="A24" t="s">
        <v>147</v>
      </c>
      <c r="B24" t="s">
        <v>12</v>
      </c>
      <c r="C24" s="1" t="s">
        <v>461</v>
      </c>
      <c r="X24" s="13"/>
      <c r="Y24" s="13"/>
    </row>
    <row r="25" spans="1:25" ht="29" customHeight="1" x14ac:dyDescent="0.25">
      <c r="A25" t="s">
        <v>149</v>
      </c>
      <c r="B25" t="s">
        <v>12</v>
      </c>
      <c r="C25" s="1" t="s">
        <v>452</v>
      </c>
      <c r="V25" t="s">
        <v>314</v>
      </c>
      <c r="W25" t="s">
        <v>153</v>
      </c>
      <c r="X25" s="13"/>
      <c r="Y25" s="13"/>
    </row>
    <row r="26" spans="1:25" ht="29" customHeight="1" x14ac:dyDescent="0.25">
      <c r="A26" t="s">
        <v>109</v>
      </c>
      <c r="B26" t="s">
        <v>12</v>
      </c>
      <c r="C26" s="1" t="s">
        <v>462</v>
      </c>
      <c r="X26" s="13" t="s">
        <v>261</v>
      </c>
      <c r="Y26" s="13" t="s">
        <v>12</v>
      </c>
    </row>
    <row r="27" spans="1:25" ht="29" customHeight="1" x14ac:dyDescent="0.2">
      <c r="A27" t="s">
        <v>250</v>
      </c>
      <c r="B27" t="s">
        <v>12</v>
      </c>
      <c r="C27" s="1" t="s">
        <v>434</v>
      </c>
    </row>
    <row r="28" spans="1:25" ht="29" customHeight="1" x14ac:dyDescent="0.25">
      <c r="A28" t="s">
        <v>432</v>
      </c>
      <c r="B28" t="s">
        <v>68</v>
      </c>
      <c r="C28" s="1" t="s">
        <v>465</v>
      </c>
      <c r="X28" s="13"/>
      <c r="Y28" s="13"/>
    </row>
    <row r="29" spans="1:25" ht="29" customHeight="1" x14ac:dyDescent="0.25">
      <c r="A29" t="s">
        <v>364</v>
      </c>
      <c r="B29" t="s">
        <v>68</v>
      </c>
      <c r="C29" s="1" t="s">
        <v>465</v>
      </c>
      <c r="X29" s="13" t="s">
        <v>261</v>
      </c>
      <c r="Y29" s="13" t="s">
        <v>68</v>
      </c>
    </row>
    <row r="30" spans="1:25" ht="29" customHeight="1" x14ac:dyDescent="0.25">
      <c r="A30" t="s">
        <v>345</v>
      </c>
      <c r="B30" t="s">
        <v>12</v>
      </c>
      <c r="C30" s="1" t="s">
        <v>463</v>
      </c>
      <c r="X30" s="13" t="s">
        <v>261</v>
      </c>
      <c r="Y30" s="13" t="s">
        <v>12</v>
      </c>
    </row>
    <row r="31" spans="1:25" ht="29" customHeight="1" x14ac:dyDescent="0.25">
      <c r="A31" t="s">
        <v>337</v>
      </c>
      <c r="B31" t="s">
        <v>12</v>
      </c>
      <c r="C31" s="2" t="s">
        <v>729</v>
      </c>
      <c r="X31" s="13" t="s">
        <v>261</v>
      </c>
      <c r="Y31" s="13" t="s">
        <v>12</v>
      </c>
    </row>
    <row r="32" spans="1:25" ht="29" customHeight="1" x14ac:dyDescent="0.25">
      <c r="A32" t="s">
        <v>394</v>
      </c>
      <c r="B32" t="s">
        <v>12</v>
      </c>
      <c r="C32" s="1" t="s">
        <v>464</v>
      </c>
      <c r="X32" s="13"/>
      <c r="Y32" s="13"/>
    </row>
    <row r="33" spans="1:2" ht="29" customHeight="1" x14ac:dyDescent="0.2">
      <c r="A33" t="s">
        <v>259</v>
      </c>
      <c r="B33" t="s">
        <v>68</v>
      </c>
    </row>
    <row r="66" spans="22:25" ht="29" customHeight="1" x14ac:dyDescent="0.2">
      <c r="V66" s="6"/>
      <c r="X66" s="6"/>
      <c r="Y66" s="6"/>
    </row>
    <row r="69" spans="22:25" ht="29" customHeight="1" x14ac:dyDescent="0.2">
      <c r="Y69" s="6"/>
    </row>
  </sheetData>
  <sortState xmlns:xlrd2="http://schemas.microsoft.com/office/spreadsheetml/2017/richdata2" ref="A2:A26">
    <sortCondition ref="A2:A26"/>
  </sortState>
  <conditionalFormatting sqref="A1:A1048576">
    <cfRule type="containsText" dxfId="2" priority="1" operator="containsText" text="!">
      <formula>NOT(ISERROR(SEARCH("!",A1)))</formula>
    </cfRule>
  </conditionalFormatting>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4"/>
  <sheetViews>
    <sheetView zoomScale="160" zoomScaleNormal="160" workbookViewId="0">
      <selection activeCell="A3" sqref="A3"/>
    </sheetView>
  </sheetViews>
  <sheetFormatPr baseColWidth="10" defaultColWidth="8.83203125" defaultRowHeight="15" x14ac:dyDescent="0.2"/>
  <cols>
    <col min="2" max="2" width="13" customWidth="1"/>
    <col min="3" max="3" width="23.6640625" customWidth="1"/>
    <col min="4" max="4" width="9.83203125" customWidth="1"/>
    <col min="5" max="5" width="89" customWidth="1"/>
  </cols>
  <sheetData>
    <row r="1" spans="1:5" ht="16" thickBot="1" x14ac:dyDescent="0.25">
      <c r="A1" t="s">
        <v>22</v>
      </c>
      <c r="B1" t="s">
        <v>23</v>
      </c>
      <c r="C1" t="s">
        <v>13</v>
      </c>
      <c r="D1" t="s">
        <v>24</v>
      </c>
      <c r="E1" t="s">
        <v>6</v>
      </c>
    </row>
    <row r="2" spans="1:5" ht="129" thickBot="1" x14ac:dyDescent="0.25">
      <c r="A2" s="11" t="s">
        <v>200</v>
      </c>
      <c r="B2" t="s">
        <v>221</v>
      </c>
      <c r="C2" s="12" t="s">
        <v>105</v>
      </c>
      <c r="D2" t="s">
        <v>12</v>
      </c>
      <c r="E2" s="1" t="s">
        <v>376</v>
      </c>
    </row>
    <row r="3" spans="1:5" ht="48" x14ac:dyDescent="0.2">
      <c r="A3" t="s">
        <v>257</v>
      </c>
      <c r="B3" t="s">
        <v>258</v>
      </c>
      <c r="C3" t="s">
        <v>259</v>
      </c>
      <c r="D3" t="s">
        <v>68</v>
      </c>
      <c r="E3" s="1" t="s">
        <v>436</v>
      </c>
    </row>
    <row r="4" spans="1:5" x14ac:dyDescent="0.2">
      <c r="E4" s="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I10"/>
  <sheetViews>
    <sheetView zoomScale="120" zoomScaleNormal="120" workbookViewId="0">
      <pane xSplit="1" ySplit="1" topLeftCell="G2" activePane="bottomRight" state="frozen"/>
      <selection pane="topRight" activeCell="B1" sqref="B1"/>
      <selection pane="bottomLeft" activeCell="A2" sqref="A2"/>
      <selection pane="bottomRight" activeCell="H2" sqref="H2"/>
    </sheetView>
  </sheetViews>
  <sheetFormatPr baseColWidth="10" defaultColWidth="8.83203125" defaultRowHeight="15" x14ac:dyDescent="0.2"/>
  <cols>
    <col min="1" max="1" width="10.6640625" customWidth="1"/>
    <col min="2" max="2" width="18.83203125" customWidth="1"/>
    <col min="3" max="3" width="15" customWidth="1"/>
    <col min="5" max="6" width="29.1640625" customWidth="1"/>
    <col min="7" max="7" width="68.6640625" customWidth="1"/>
    <col min="8" max="8" width="58.33203125" style="1" customWidth="1"/>
    <col min="9" max="9" width="28.1640625" customWidth="1"/>
    <col min="12" max="12" width="36.5" customWidth="1"/>
    <col min="14" max="14" width="36.5" customWidth="1"/>
    <col min="17" max="17" width="36.5" customWidth="1"/>
    <col min="18" max="18" width="17.33203125" customWidth="1"/>
    <col min="19" max="20" width="20.1640625" bestFit="1" customWidth="1"/>
    <col min="21" max="21" width="22.1640625" bestFit="1" customWidth="1"/>
    <col min="22" max="23" width="31.33203125" customWidth="1"/>
    <col min="26" max="26" width="22.6640625" customWidth="1"/>
    <col min="27" max="27" width="38.33203125" customWidth="1"/>
    <col min="28" max="28" width="23" customWidth="1"/>
    <col min="29" max="31" width="36.5" customWidth="1"/>
    <col min="32" max="32" width="16.33203125" bestFit="1" customWidth="1"/>
    <col min="33" max="33" width="16.83203125" bestFit="1" customWidth="1"/>
    <col min="34" max="34" width="17.33203125" customWidth="1"/>
  </cols>
  <sheetData>
    <row r="1" spans="1:35" ht="16" x14ac:dyDescent="0.2">
      <c r="A1" t="s">
        <v>25</v>
      </c>
      <c r="B1" t="s">
        <v>201</v>
      </c>
      <c r="C1" t="s">
        <v>202</v>
      </c>
      <c r="D1" t="s">
        <v>203</v>
      </c>
      <c r="E1" t="s">
        <v>204</v>
      </c>
      <c r="F1" t="s">
        <v>384</v>
      </c>
      <c r="G1" t="s">
        <v>205</v>
      </c>
      <c r="H1" s="1" t="s">
        <v>239</v>
      </c>
      <c r="I1" t="s">
        <v>206</v>
      </c>
      <c r="J1" t="s">
        <v>207</v>
      </c>
      <c r="K1" t="s">
        <v>208</v>
      </c>
      <c r="L1" t="s">
        <v>444</v>
      </c>
      <c r="M1" t="s">
        <v>209</v>
      </c>
      <c r="N1" t="s">
        <v>442</v>
      </c>
      <c r="O1" t="s">
        <v>210</v>
      </c>
      <c r="P1" t="s">
        <v>211</v>
      </c>
      <c r="Q1" t="s">
        <v>439</v>
      </c>
      <c r="R1" t="s">
        <v>212</v>
      </c>
      <c r="S1" t="s">
        <v>400</v>
      </c>
      <c r="T1" t="s">
        <v>213</v>
      </c>
      <c r="U1" t="s">
        <v>214</v>
      </c>
      <c r="V1" t="s">
        <v>215</v>
      </c>
      <c r="W1" t="s">
        <v>262</v>
      </c>
      <c r="X1" t="s">
        <v>216</v>
      </c>
      <c r="Y1" t="s">
        <v>217</v>
      </c>
      <c r="Z1" t="s">
        <v>218</v>
      </c>
      <c r="AA1" t="s">
        <v>219</v>
      </c>
      <c r="AB1" t="s">
        <v>220</v>
      </c>
      <c r="AC1" t="s">
        <v>253</v>
      </c>
      <c r="AD1" t="s">
        <v>433</v>
      </c>
      <c r="AE1" t="s">
        <v>372</v>
      </c>
      <c r="AF1" t="s">
        <v>347</v>
      </c>
      <c r="AG1" t="s">
        <v>348</v>
      </c>
      <c r="AH1" t="s">
        <v>395</v>
      </c>
      <c r="AI1" t="s">
        <v>260</v>
      </c>
    </row>
    <row r="2" spans="1:35" ht="64" x14ac:dyDescent="0.2">
      <c r="A2" t="s">
        <v>26</v>
      </c>
      <c r="B2" t="s">
        <v>29</v>
      </c>
      <c r="C2" t="s">
        <v>29</v>
      </c>
      <c r="D2" t="s">
        <v>29</v>
      </c>
      <c r="E2" t="s">
        <v>29</v>
      </c>
      <c r="F2" t="s">
        <v>29</v>
      </c>
      <c r="G2" t="s">
        <v>29</v>
      </c>
      <c r="H2" s="1" t="s">
        <v>240</v>
      </c>
      <c r="I2" t="s">
        <v>12</v>
      </c>
      <c r="J2" t="s">
        <v>12</v>
      </c>
      <c r="K2" t="s">
        <v>29</v>
      </c>
      <c r="L2" t="s">
        <v>29</v>
      </c>
      <c r="M2" t="s">
        <v>29</v>
      </c>
      <c r="N2" t="s">
        <v>29</v>
      </c>
      <c r="O2" t="s">
        <v>29</v>
      </c>
      <c r="P2" t="s">
        <v>29</v>
      </c>
      <c r="Q2" t="s">
        <v>29</v>
      </c>
      <c r="R2" t="s">
        <v>29</v>
      </c>
      <c r="S2" t="s">
        <v>29</v>
      </c>
      <c r="T2" t="s">
        <v>29</v>
      </c>
      <c r="U2" t="s">
        <v>29</v>
      </c>
      <c r="V2" t="s">
        <v>29</v>
      </c>
      <c r="X2" t="s">
        <v>29</v>
      </c>
      <c r="Y2" t="s">
        <v>29</v>
      </c>
      <c r="Z2" t="s">
        <v>29</v>
      </c>
      <c r="AA2" t="s">
        <v>29</v>
      </c>
      <c r="AB2" t="s">
        <v>29</v>
      </c>
      <c r="AC2" t="s">
        <v>29</v>
      </c>
      <c r="AD2" t="s">
        <v>29</v>
      </c>
      <c r="AE2" t="s">
        <v>29</v>
      </c>
      <c r="AF2" t="s">
        <v>29</v>
      </c>
      <c r="AG2" t="s">
        <v>29</v>
      </c>
      <c r="AH2" t="s">
        <v>29</v>
      </c>
    </row>
    <row r="3" spans="1:35" x14ac:dyDescent="0.2">
      <c r="A3" t="s">
        <v>27</v>
      </c>
      <c r="B3" t="s">
        <v>12</v>
      </c>
      <c r="C3" t="s">
        <v>12</v>
      </c>
      <c r="D3" t="s">
        <v>12</v>
      </c>
      <c r="E3" t="s">
        <v>12</v>
      </c>
      <c r="F3" t="s">
        <v>12</v>
      </c>
      <c r="G3" t="s">
        <v>12</v>
      </c>
      <c r="I3" t="s">
        <v>12</v>
      </c>
      <c r="J3" t="s">
        <v>12</v>
      </c>
      <c r="K3" t="s">
        <v>12</v>
      </c>
      <c r="L3" t="s">
        <v>29</v>
      </c>
      <c r="M3" t="s">
        <v>12</v>
      </c>
      <c r="N3" t="s">
        <v>29</v>
      </c>
      <c r="O3" t="s">
        <v>12</v>
      </c>
      <c r="P3" t="s">
        <v>12</v>
      </c>
      <c r="Q3" t="s">
        <v>29</v>
      </c>
      <c r="R3" t="s">
        <v>29</v>
      </c>
      <c r="S3" t="s">
        <v>12</v>
      </c>
      <c r="T3" t="s">
        <v>12</v>
      </c>
      <c r="U3" t="s">
        <v>12</v>
      </c>
      <c r="V3" t="s">
        <v>12</v>
      </c>
      <c r="W3" s="1"/>
      <c r="X3" t="s">
        <v>12</v>
      </c>
      <c r="Y3" t="s">
        <v>12</v>
      </c>
      <c r="Z3" t="s">
        <v>12</v>
      </c>
      <c r="AA3" t="s">
        <v>12</v>
      </c>
      <c r="AB3" t="s">
        <v>12</v>
      </c>
      <c r="AC3" t="s">
        <v>29</v>
      </c>
      <c r="AD3" t="s">
        <v>29</v>
      </c>
      <c r="AE3" t="s">
        <v>68</v>
      </c>
      <c r="AF3" t="s">
        <v>12</v>
      </c>
      <c r="AG3" t="s">
        <v>29</v>
      </c>
      <c r="AH3" t="s">
        <v>29</v>
      </c>
    </row>
    <row r="4" spans="1:35" x14ac:dyDescent="0.2">
      <c r="A4" t="s">
        <v>28</v>
      </c>
      <c r="B4" t="s">
        <v>12</v>
      </c>
      <c r="C4" t="s">
        <v>12</v>
      </c>
      <c r="D4" t="s">
        <v>12</v>
      </c>
      <c r="E4" t="s">
        <v>12</v>
      </c>
      <c r="F4" t="s">
        <v>12</v>
      </c>
      <c r="G4" t="s">
        <v>12</v>
      </c>
      <c r="I4" t="s">
        <v>12</v>
      </c>
      <c r="J4" t="s">
        <v>12</v>
      </c>
      <c r="K4" t="s">
        <v>12</v>
      </c>
      <c r="L4" t="s">
        <v>68</v>
      </c>
      <c r="M4" t="s">
        <v>12</v>
      </c>
      <c r="N4" t="s">
        <v>68</v>
      </c>
      <c r="O4" t="s">
        <v>12</v>
      </c>
      <c r="P4" t="s">
        <v>12</v>
      </c>
      <c r="Q4" t="s">
        <v>68</v>
      </c>
      <c r="R4" t="s">
        <v>12</v>
      </c>
      <c r="S4" t="s">
        <v>12</v>
      </c>
      <c r="T4" t="s">
        <v>12</v>
      </c>
      <c r="U4" t="s">
        <v>12</v>
      </c>
      <c r="V4" t="s">
        <v>12</v>
      </c>
      <c r="X4" t="s">
        <v>12</v>
      </c>
      <c r="Y4" t="s">
        <v>12</v>
      </c>
      <c r="Z4" t="s">
        <v>12</v>
      </c>
      <c r="AA4" t="s">
        <v>12</v>
      </c>
      <c r="AB4" t="s">
        <v>12</v>
      </c>
      <c r="AC4" t="s">
        <v>12</v>
      </c>
      <c r="AD4" t="s">
        <v>68</v>
      </c>
      <c r="AE4" t="s">
        <v>68</v>
      </c>
      <c r="AF4" t="s">
        <v>12</v>
      </c>
      <c r="AG4" t="s">
        <v>12</v>
      </c>
      <c r="AH4" t="s">
        <v>12</v>
      </c>
    </row>
    <row r="5" spans="1:35" x14ac:dyDescent="0.2">
      <c r="A5" t="s">
        <v>30</v>
      </c>
      <c r="B5" t="s">
        <v>68</v>
      </c>
      <c r="C5" t="s">
        <v>68</v>
      </c>
      <c r="D5" t="s">
        <v>68</v>
      </c>
      <c r="E5" t="s">
        <v>68</v>
      </c>
      <c r="F5" t="s">
        <v>68</v>
      </c>
      <c r="G5" t="s">
        <v>68</v>
      </c>
      <c r="I5" t="s">
        <v>68</v>
      </c>
      <c r="J5" t="s">
        <v>68</v>
      </c>
      <c r="K5" t="s">
        <v>68</v>
      </c>
      <c r="L5" t="s">
        <v>68</v>
      </c>
      <c r="M5" t="s">
        <v>68</v>
      </c>
      <c r="N5" t="s">
        <v>68</v>
      </c>
      <c r="O5" t="s">
        <v>68</v>
      </c>
      <c r="P5" t="s">
        <v>68</v>
      </c>
      <c r="Q5" t="s">
        <v>68</v>
      </c>
      <c r="R5" t="s">
        <v>68</v>
      </c>
      <c r="S5" t="s">
        <v>68</v>
      </c>
      <c r="T5" t="s">
        <v>68</v>
      </c>
      <c r="U5" t="s">
        <v>68</v>
      </c>
      <c r="V5" t="s">
        <v>68</v>
      </c>
      <c r="X5" t="s">
        <v>68</v>
      </c>
      <c r="Y5" t="s">
        <v>68</v>
      </c>
      <c r="Z5" t="s">
        <v>68</v>
      </c>
      <c r="AA5" t="s">
        <v>68</v>
      </c>
      <c r="AB5" t="s">
        <v>68</v>
      </c>
      <c r="AC5" t="s">
        <v>68</v>
      </c>
      <c r="AD5" t="s">
        <v>68</v>
      </c>
      <c r="AE5" t="s">
        <v>68</v>
      </c>
      <c r="AF5" t="s">
        <v>68</v>
      </c>
      <c r="AG5" t="s">
        <v>68</v>
      </c>
      <c r="AH5" t="s">
        <v>68</v>
      </c>
    </row>
    <row r="6" spans="1:35" x14ac:dyDescent="0.2">
      <c r="A6" t="s">
        <v>31</v>
      </c>
      <c r="B6" t="s">
        <v>29</v>
      </c>
      <c r="C6" t="s">
        <v>29</v>
      </c>
      <c r="D6" t="s">
        <v>29</v>
      </c>
      <c r="E6" t="s">
        <v>29</v>
      </c>
      <c r="F6" t="s">
        <v>29</v>
      </c>
      <c r="G6" t="s">
        <v>29</v>
      </c>
      <c r="I6" t="s">
        <v>29</v>
      </c>
      <c r="J6" t="s">
        <v>29</v>
      </c>
      <c r="K6" t="s">
        <v>29</v>
      </c>
      <c r="L6" t="s">
        <v>29</v>
      </c>
      <c r="M6" t="s">
        <v>29</v>
      </c>
      <c r="N6" t="s">
        <v>29</v>
      </c>
      <c r="O6" t="s">
        <v>29</v>
      </c>
      <c r="P6" t="s">
        <v>29</v>
      </c>
      <c r="Q6" t="s">
        <v>29</v>
      </c>
      <c r="R6" t="s">
        <v>29</v>
      </c>
      <c r="S6" t="s">
        <v>29</v>
      </c>
      <c r="T6" t="s">
        <v>29</v>
      </c>
      <c r="U6" t="s">
        <v>29</v>
      </c>
      <c r="V6" t="s">
        <v>29</v>
      </c>
      <c r="X6" t="s">
        <v>29</v>
      </c>
      <c r="Y6" t="s">
        <v>29</v>
      </c>
      <c r="Z6" t="s">
        <v>29</v>
      </c>
      <c r="AA6" t="s">
        <v>29</v>
      </c>
      <c r="AB6" t="s">
        <v>29</v>
      </c>
      <c r="AC6" t="s">
        <v>29</v>
      </c>
      <c r="AD6" t="s">
        <v>29</v>
      </c>
      <c r="AE6" t="s">
        <v>29</v>
      </c>
      <c r="AF6" t="s">
        <v>29</v>
      </c>
      <c r="AG6" t="s">
        <v>29</v>
      </c>
      <c r="AH6" t="s">
        <v>29</v>
      </c>
    </row>
    <row r="7" spans="1:35" x14ac:dyDescent="0.2">
      <c r="A7" t="s">
        <v>32</v>
      </c>
      <c r="B7" t="s">
        <v>29</v>
      </c>
      <c r="C7" t="s">
        <v>29</v>
      </c>
      <c r="D7" t="s">
        <v>29</v>
      </c>
      <c r="E7" t="s">
        <v>29</v>
      </c>
      <c r="F7" t="s">
        <v>29</v>
      </c>
      <c r="G7" t="s">
        <v>29</v>
      </c>
      <c r="I7" t="s">
        <v>29</v>
      </c>
      <c r="J7" t="s">
        <v>29</v>
      </c>
      <c r="K7" t="s">
        <v>29</v>
      </c>
      <c r="L7" t="s">
        <v>29</v>
      </c>
      <c r="M7" t="s">
        <v>29</v>
      </c>
      <c r="N7" t="s">
        <v>29</v>
      </c>
      <c r="O7" t="s">
        <v>29</v>
      </c>
      <c r="P7" t="s">
        <v>29</v>
      </c>
      <c r="Q7" t="s">
        <v>29</v>
      </c>
      <c r="R7" t="s">
        <v>29</v>
      </c>
      <c r="S7" t="s">
        <v>29</v>
      </c>
      <c r="T7" t="s">
        <v>29</v>
      </c>
      <c r="U7" t="s">
        <v>29</v>
      </c>
      <c r="V7" t="s">
        <v>29</v>
      </c>
      <c r="X7" t="s">
        <v>29</v>
      </c>
      <c r="Y7" t="s">
        <v>29</v>
      </c>
      <c r="Z7" t="s">
        <v>29</v>
      </c>
      <c r="AA7" t="s">
        <v>29</v>
      </c>
      <c r="AB7" t="s">
        <v>29</v>
      </c>
      <c r="AC7" t="s">
        <v>29</v>
      </c>
      <c r="AD7" t="s">
        <v>29</v>
      </c>
      <c r="AE7" t="s">
        <v>29</v>
      </c>
      <c r="AF7" t="s">
        <v>29</v>
      </c>
      <c r="AG7" t="s">
        <v>29</v>
      </c>
      <c r="AH7" t="s">
        <v>29</v>
      </c>
    </row>
    <row r="8" spans="1:35" x14ac:dyDescent="0.2">
      <c r="A8" t="s">
        <v>33</v>
      </c>
      <c r="B8" t="s">
        <v>29</v>
      </c>
      <c r="C8" t="s">
        <v>29</v>
      </c>
      <c r="D8" t="s">
        <v>29</v>
      </c>
      <c r="E8" t="s">
        <v>29</v>
      </c>
      <c r="F8" t="s">
        <v>29</v>
      </c>
      <c r="G8" t="s">
        <v>29</v>
      </c>
      <c r="I8" t="s">
        <v>29</v>
      </c>
      <c r="J8" t="s">
        <v>29</v>
      </c>
      <c r="K8" t="s">
        <v>29</v>
      </c>
      <c r="L8" t="s">
        <v>29</v>
      </c>
      <c r="M8" t="s">
        <v>29</v>
      </c>
      <c r="N8" t="s">
        <v>29</v>
      </c>
      <c r="O8" t="s">
        <v>29</v>
      </c>
      <c r="P8" t="s">
        <v>29</v>
      </c>
      <c r="Q8" t="s">
        <v>29</v>
      </c>
      <c r="R8" t="s">
        <v>29</v>
      </c>
      <c r="S8" t="s">
        <v>29</v>
      </c>
      <c r="T8" t="s">
        <v>29</v>
      </c>
      <c r="U8" t="s">
        <v>29</v>
      </c>
      <c r="V8" t="s">
        <v>29</v>
      </c>
      <c r="X8" t="s">
        <v>29</v>
      </c>
      <c r="Y8" t="s">
        <v>29</v>
      </c>
      <c r="Z8" t="s">
        <v>29</v>
      </c>
      <c r="AA8" t="s">
        <v>29</v>
      </c>
      <c r="AB8" t="s">
        <v>29</v>
      </c>
      <c r="AC8" t="s">
        <v>29</v>
      </c>
      <c r="AD8" t="s">
        <v>29</v>
      </c>
      <c r="AE8" t="s">
        <v>29</v>
      </c>
      <c r="AF8" t="s">
        <v>29</v>
      </c>
      <c r="AG8" t="s">
        <v>29</v>
      </c>
      <c r="AH8" t="s">
        <v>29</v>
      </c>
    </row>
    <row r="9" spans="1:35" x14ac:dyDescent="0.2">
      <c r="A9" t="s">
        <v>34</v>
      </c>
      <c r="B9" t="s">
        <v>68</v>
      </c>
      <c r="C9" t="s">
        <v>68</v>
      </c>
      <c r="D9" t="s">
        <v>68</v>
      </c>
      <c r="E9" t="s">
        <v>68</v>
      </c>
      <c r="F9" t="s">
        <v>68</v>
      </c>
      <c r="G9" t="s">
        <v>68</v>
      </c>
      <c r="I9" t="s">
        <v>68</v>
      </c>
      <c r="J9" t="s">
        <v>68</v>
      </c>
      <c r="K9" t="s">
        <v>68</v>
      </c>
      <c r="L9" t="s">
        <v>29</v>
      </c>
      <c r="M9" t="s">
        <v>68</v>
      </c>
      <c r="N9" t="s">
        <v>29</v>
      </c>
      <c r="O9" t="s">
        <v>68</v>
      </c>
      <c r="P9" t="s">
        <v>68</v>
      </c>
      <c r="Q9" t="s">
        <v>29</v>
      </c>
      <c r="R9" t="s">
        <v>68</v>
      </c>
      <c r="S9" t="s">
        <v>68</v>
      </c>
      <c r="T9" t="s">
        <v>68</v>
      </c>
      <c r="U9" t="s">
        <v>68</v>
      </c>
      <c r="V9" t="s">
        <v>68</v>
      </c>
      <c r="X9" t="s">
        <v>68</v>
      </c>
      <c r="Y9" t="s">
        <v>68</v>
      </c>
      <c r="Z9" t="s">
        <v>68</v>
      </c>
      <c r="AA9" t="s">
        <v>68</v>
      </c>
      <c r="AB9" t="s">
        <v>68</v>
      </c>
      <c r="AC9" t="s">
        <v>68</v>
      </c>
      <c r="AD9" t="s">
        <v>29</v>
      </c>
      <c r="AE9" t="s">
        <v>68</v>
      </c>
      <c r="AF9" t="s">
        <v>68</v>
      </c>
      <c r="AG9" t="s">
        <v>68</v>
      </c>
      <c r="AH9" t="s">
        <v>68</v>
      </c>
    </row>
    <row r="10" spans="1:35" x14ac:dyDescent="0.2">
      <c r="A10" t="s">
        <v>35</v>
      </c>
      <c r="B10" t="s">
        <v>29</v>
      </c>
      <c r="C10" t="s">
        <v>29</v>
      </c>
      <c r="D10" t="s">
        <v>29</v>
      </c>
      <c r="E10" t="s">
        <v>29</v>
      </c>
      <c r="F10" t="s">
        <v>29</v>
      </c>
      <c r="G10" t="s">
        <v>29</v>
      </c>
      <c r="I10" t="s">
        <v>29</v>
      </c>
      <c r="J10" t="s">
        <v>29</v>
      </c>
      <c r="K10" t="s">
        <v>29</v>
      </c>
      <c r="L10" t="s">
        <v>29</v>
      </c>
      <c r="M10" t="s">
        <v>29</v>
      </c>
      <c r="N10" t="s">
        <v>29</v>
      </c>
      <c r="O10" t="s">
        <v>29</v>
      </c>
      <c r="P10" t="s">
        <v>29</v>
      </c>
      <c r="Q10" t="s">
        <v>29</v>
      </c>
      <c r="R10" t="s">
        <v>29</v>
      </c>
      <c r="S10" t="s">
        <v>29</v>
      </c>
      <c r="T10" t="s">
        <v>29</v>
      </c>
      <c r="U10" t="s">
        <v>29</v>
      </c>
      <c r="V10" t="s">
        <v>29</v>
      </c>
      <c r="X10" t="s">
        <v>29</v>
      </c>
      <c r="Y10" t="s">
        <v>29</v>
      </c>
      <c r="Z10" t="s">
        <v>29</v>
      </c>
      <c r="AA10" t="s">
        <v>29</v>
      </c>
      <c r="AB10" t="s">
        <v>29</v>
      </c>
      <c r="AC10" t="s">
        <v>29</v>
      </c>
      <c r="AD10" t="s">
        <v>29</v>
      </c>
      <c r="AE10" t="s">
        <v>29</v>
      </c>
      <c r="AF10" t="s">
        <v>29</v>
      </c>
      <c r="AG10" t="s">
        <v>29</v>
      </c>
      <c r="AH10" t="s">
        <v>29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B526E8-FEFB-4D61-9493-6CABF1663041}">
  <dimension ref="A1:C5"/>
  <sheetViews>
    <sheetView zoomScale="150" zoomScaleNormal="150" workbookViewId="0">
      <selection activeCell="A7" sqref="A7"/>
    </sheetView>
  </sheetViews>
  <sheetFormatPr baseColWidth="10" defaultColWidth="8.83203125" defaultRowHeight="15" x14ac:dyDescent="0.2"/>
  <cols>
    <col min="3" max="3" width="51.1640625" customWidth="1"/>
  </cols>
  <sheetData>
    <row r="1" spans="1:3" ht="16" x14ac:dyDescent="0.2">
      <c r="A1" t="s">
        <v>25</v>
      </c>
      <c r="B1" t="s">
        <v>24</v>
      </c>
      <c r="C1" s="1" t="s">
        <v>244</v>
      </c>
    </row>
    <row r="2" spans="1:3" ht="59.25" customHeight="1" x14ac:dyDescent="0.2">
      <c r="A2" t="s">
        <v>245</v>
      </c>
      <c r="B2" t="s">
        <v>29</v>
      </c>
      <c r="C2" s="1"/>
    </row>
    <row r="3" spans="1:3" x14ac:dyDescent="0.2">
      <c r="A3" t="s">
        <v>246</v>
      </c>
      <c r="B3" t="s">
        <v>29</v>
      </c>
      <c r="C3" s="1"/>
    </row>
    <row r="4" spans="1:3" x14ac:dyDescent="0.2">
      <c r="A4" t="s">
        <v>247</v>
      </c>
      <c r="B4" t="s">
        <v>29</v>
      </c>
      <c r="C4" s="1"/>
    </row>
    <row r="5" spans="1:3" x14ac:dyDescent="0.2">
      <c r="A5" t="s">
        <v>248</v>
      </c>
      <c r="B5" t="s">
        <v>29</v>
      </c>
      <c r="C5"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config</vt:lpstr>
      <vt:lpstr>meta</vt:lpstr>
      <vt:lpstr>igs</vt:lpstr>
      <vt:lpstr>capstatements</vt:lpstr>
      <vt:lpstr>profiles</vt:lpstr>
      <vt:lpstr>resources</vt:lpstr>
      <vt:lpstr>ops</vt:lpstr>
      <vt:lpstr>interactions</vt:lpstr>
      <vt:lpstr>rest_interactions</vt:lpstr>
      <vt:lpstr>sps</vt:lpstr>
      <vt:lpstr>sp_combos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Eric Haas</cp:lastModifiedBy>
  <dcterms:created xsi:type="dcterms:W3CDTF">2019-02-19T18:23:22Z</dcterms:created>
  <dcterms:modified xsi:type="dcterms:W3CDTF">2024-11-22T21:07:38Z</dcterms:modified>
</cp:coreProperties>
</file>