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ources\truc\pronos-wc22\input\"/>
    </mc:Choice>
  </mc:AlternateContent>
  <xr:revisionPtr revIDLastSave="0" documentId="13_ncr:1_{21D14CBC-52E4-4478-80DF-B521B007A99C}" xr6:coauthVersionLast="47" xr6:coauthVersionMax="47" xr10:uidLastSave="{00000000-0000-0000-0000-000000000000}"/>
  <workbookProtection workbookAlgorithmName="SHA-512" workbookHashValue="OLDqIayLToM0k9W+KkSJpXxHr0LOyADPD6luRKe39RBZjszxD2n9UQREhB8BRXUYaQs6QnHD9V1Xw79gd+22Mg==" workbookSaltValue="ql3HRuF4eFHgmhOWjJQRgA==" workbookSpinCount="100000" lockStructure="1"/>
  <bookViews>
    <workbookView xWindow="28680" yWindow="-120" windowWidth="25440" windowHeight="15390" xr2:uid="{11F57643-5901-4862-A8CD-1199A1DC0F16}"/>
  </bookViews>
  <sheets>
    <sheet name="Entrez vos résultats !" sheetId="1" r:id="rId1"/>
  </sheets>
  <definedNames>
    <definedName name="_xlnm.Print_Area" localSheetId="0">'Entrez vos résultats !'!$B$3:$W$69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D11" i="1"/>
  <c r="AP87" i="1" l="1"/>
  <c r="AO87" i="1"/>
  <c r="AM87" i="1"/>
  <c r="AU86" i="1"/>
  <c r="AT87" i="1" s="1"/>
  <c r="AS86" i="1"/>
  <c r="AP86" i="1"/>
  <c r="AO86" i="1"/>
  <c r="AQ86" i="1" s="1"/>
  <c r="AM86" i="1"/>
  <c r="AU85" i="1"/>
  <c r="AS87" i="1" s="1"/>
  <c r="AT85" i="1"/>
  <c r="AP85" i="1"/>
  <c r="AO85" i="1"/>
  <c r="AM85" i="1"/>
  <c r="AU84" i="1"/>
  <c r="AR87" i="1" s="1"/>
  <c r="AT84" i="1"/>
  <c r="AS84" i="1"/>
  <c r="AR85" i="1" s="1"/>
  <c r="AP84" i="1"/>
  <c r="AO84" i="1"/>
  <c r="AM84" i="1"/>
  <c r="AT77" i="1"/>
  <c r="AR77" i="1"/>
  <c r="AP77" i="1"/>
  <c r="AO77" i="1"/>
  <c r="AM77" i="1"/>
  <c r="AU76" i="1"/>
  <c r="AS76" i="1"/>
  <c r="AT75" i="1" s="1"/>
  <c r="AP76" i="1"/>
  <c r="AO76" i="1"/>
  <c r="AM76" i="1"/>
  <c r="AU75" i="1"/>
  <c r="AS77" i="1" s="1"/>
  <c r="AR75" i="1"/>
  <c r="AP75" i="1"/>
  <c r="AO75" i="1"/>
  <c r="AM75" i="1"/>
  <c r="AU74" i="1"/>
  <c r="AT74" i="1"/>
  <c r="BB74" i="1" s="1"/>
  <c r="AS74" i="1"/>
  <c r="AP74" i="1"/>
  <c r="AO74" i="1"/>
  <c r="AM74" i="1"/>
  <c r="AP69" i="1"/>
  <c r="AO69" i="1"/>
  <c r="AM69" i="1"/>
  <c r="G69" i="1"/>
  <c r="D69" i="1"/>
  <c r="AU68" i="1"/>
  <c r="AT69" i="1" s="1"/>
  <c r="AS68" i="1"/>
  <c r="AT67" i="1" s="1"/>
  <c r="AP68" i="1"/>
  <c r="AO68" i="1"/>
  <c r="AM68" i="1"/>
  <c r="G68" i="1"/>
  <c r="D68" i="1"/>
  <c r="AU67" i="1"/>
  <c r="AS69" i="1" s="1"/>
  <c r="AP67" i="1"/>
  <c r="AO67" i="1"/>
  <c r="AM67" i="1"/>
  <c r="G67" i="1"/>
  <c r="D67" i="1"/>
  <c r="G66" i="1"/>
  <c r="D66" i="1"/>
  <c r="AU65" i="1"/>
  <c r="AR69" i="1" s="1"/>
  <c r="AT65" i="1"/>
  <c r="AS65" i="1"/>
  <c r="AP65" i="1"/>
  <c r="AO65" i="1"/>
  <c r="AM65" i="1"/>
  <c r="I64" i="1"/>
  <c r="N63" i="1"/>
  <c r="G61" i="1"/>
  <c r="D61" i="1"/>
  <c r="AP60" i="1"/>
  <c r="AO60" i="1"/>
  <c r="AM60" i="1"/>
  <c r="G60" i="1"/>
  <c r="D60" i="1"/>
  <c r="AU59" i="1"/>
  <c r="AS59" i="1"/>
  <c r="AR59" i="1"/>
  <c r="AP59" i="1"/>
  <c r="AO59" i="1"/>
  <c r="AM59" i="1"/>
  <c r="U59" i="1"/>
  <c r="G59" i="1"/>
  <c r="D59" i="1"/>
  <c r="AU58" i="1"/>
  <c r="AS60" i="1" s="1"/>
  <c r="AT58" i="1"/>
  <c r="AP58" i="1"/>
  <c r="AO58" i="1"/>
  <c r="AM58" i="1"/>
  <c r="G58" i="1"/>
  <c r="D58" i="1"/>
  <c r="AU57" i="1"/>
  <c r="AR60" i="1" s="1"/>
  <c r="AT57" i="1"/>
  <c r="AS57" i="1"/>
  <c r="AR58" i="1" s="1"/>
  <c r="AP57" i="1"/>
  <c r="AO57" i="1"/>
  <c r="AM57" i="1"/>
  <c r="U57" i="1"/>
  <c r="I56" i="1"/>
  <c r="U55" i="1"/>
  <c r="N55" i="1"/>
  <c r="G53" i="1"/>
  <c r="D53" i="1"/>
  <c r="U52" i="1"/>
  <c r="G52" i="1"/>
  <c r="D52" i="1"/>
  <c r="G51" i="1"/>
  <c r="D51" i="1"/>
  <c r="G50" i="1"/>
  <c r="D50" i="1"/>
  <c r="U49" i="1"/>
  <c r="AS48" i="1"/>
  <c r="AP48" i="1"/>
  <c r="AO48" i="1"/>
  <c r="AM48" i="1"/>
  <c r="U48" i="1"/>
  <c r="I48" i="1"/>
  <c r="AU47" i="1"/>
  <c r="AS47" i="1"/>
  <c r="AT46" i="1" s="1"/>
  <c r="AP47" i="1"/>
  <c r="AO47" i="1"/>
  <c r="AM47" i="1"/>
  <c r="N47" i="1"/>
  <c r="AU46" i="1"/>
  <c r="AP46" i="1"/>
  <c r="AO46" i="1"/>
  <c r="AM46" i="1"/>
  <c r="AU45" i="1"/>
  <c r="AR48" i="1" s="1"/>
  <c r="AT45" i="1"/>
  <c r="AR47" i="1" s="1"/>
  <c r="AS45" i="1"/>
  <c r="AP45" i="1"/>
  <c r="AO45" i="1"/>
  <c r="AM45" i="1"/>
  <c r="G45" i="1"/>
  <c r="D45" i="1"/>
  <c r="U44" i="1"/>
  <c r="G44" i="1"/>
  <c r="D44" i="1"/>
  <c r="U43" i="1"/>
  <c r="G43" i="1"/>
  <c r="D43" i="1"/>
  <c r="G42" i="1"/>
  <c r="D42" i="1"/>
  <c r="I40" i="1"/>
  <c r="N39" i="1"/>
  <c r="G37" i="1"/>
  <c r="D37" i="1"/>
  <c r="G36" i="1"/>
  <c r="D36" i="1"/>
  <c r="AP35" i="1"/>
  <c r="AO35" i="1"/>
  <c r="AM35" i="1"/>
  <c r="G35" i="1"/>
  <c r="D35" i="1"/>
  <c r="AU34" i="1"/>
  <c r="AT35" i="1" s="1"/>
  <c r="AS34" i="1"/>
  <c r="AP34" i="1"/>
  <c r="AO34" i="1"/>
  <c r="AQ34" i="1" s="1"/>
  <c r="AM34" i="1"/>
  <c r="G34" i="1"/>
  <c r="D34" i="1"/>
  <c r="AU33" i="1"/>
  <c r="AT33" i="1"/>
  <c r="AR33" i="1"/>
  <c r="AP33" i="1"/>
  <c r="AO33" i="1"/>
  <c r="AM33" i="1"/>
  <c r="I32" i="1"/>
  <c r="N31" i="1"/>
  <c r="G29" i="1"/>
  <c r="D29" i="1"/>
  <c r="G28" i="1"/>
  <c r="D28" i="1"/>
  <c r="AU27" i="1"/>
  <c r="AR35" i="1" s="1"/>
  <c r="AT27" i="1"/>
  <c r="BB27" i="1" s="1"/>
  <c r="AS27" i="1"/>
  <c r="AP27" i="1"/>
  <c r="AO27" i="1"/>
  <c r="AM27" i="1"/>
  <c r="G27" i="1"/>
  <c r="D27" i="1"/>
  <c r="G26" i="1"/>
  <c r="D26" i="1"/>
  <c r="I24" i="1"/>
  <c r="N23" i="1"/>
  <c r="AT22" i="1"/>
  <c r="AS22" i="1"/>
  <c r="AP22" i="1"/>
  <c r="AO22" i="1"/>
  <c r="AM22" i="1"/>
  <c r="AU21" i="1"/>
  <c r="AS21" i="1"/>
  <c r="AT20" i="1" s="1"/>
  <c r="AP21" i="1"/>
  <c r="AO21" i="1"/>
  <c r="AM21" i="1"/>
  <c r="G21" i="1"/>
  <c r="D21" i="1"/>
  <c r="AU20" i="1"/>
  <c r="AP20" i="1"/>
  <c r="AO20" i="1"/>
  <c r="AM20" i="1"/>
  <c r="G20" i="1"/>
  <c r="D20" i="1"/>
  <c r="AU19" i="1"/>
  <c r="AR22" i="1" s="1"/>
  <c r="AT19" i="1"/>
  <c r="AS19" i="1"/>
  <c r="AR20" i="1" s="1"/>
  <c r="AP19" i="1"/>
  <c r="AO19" i="1"/>
  <c r="AM19" i="1"/>
  <c r="G19" i="1"/>
  <c r="D19" i="1"/>
  <c r="G18" i="1"/>
  <c r="D18" i="1"/>
  <c r="I16" i="1"/>
  <c r="N15" i="1"/>
  <c r="AP14" i="1"/>
  <c r="AO14" i="1"/>
  <c r="AM14" i="1"/>
  <c r="AU13" i="1"/>
  <c r="AS13" i="1"/>
  <c r="AT12" i="1" s="1"/>
  <c r="AP13" i="1"/>
  <c r="AO13" i="1"/>
  <c r="AM13" i="1"/>
  <c r="G13" i="1"/>
  <c r="D13" i="1"/>
  <c r="AU12" i="1"/>
  <c r="AS14" i="1" s="1"/>
  <c r="AP12" i="1"/>
  <c r="AO12" i="1"/>
  <c r="AM12" i="1"/>
  <c r="D12" i="1"/>
  <c r="AU11" i="1"/>
  <c r="AT11" i="1"/>
  <c r="AR13" i="1" s="1"/>
  <c r="AS11" i="1"/>
  <c r="AR12" i="1" s="1"/>
  <c r="AP11" i="1"/>
  <c r="AO11" i="1"/>
  <c r="AM11" i="1"/>
  <c r="G11" i="1"/>
  <c r="G10" i="1"/>
  <c r="D10" i="1"/>
  <c r="I8" i="1"/>
  <c r="BW7" i="1"/>
  <c r="N7" i="1"/>
  <c r="BB19" i="1" l="1"/>
  <c r="BC58" i="1"/>
  <c r="BB84" i="1"/>
  <c r="AR86" i="1"/>
  <c r="AN86" i="1" s="1"/>
  <c r="AQ84" i="1"/>
  <c r="AX84" i="1" s="1"/>
  <c r="AN87" i="1"/>
  <c r="AZ75" i="1"/>
  <c r="AR76" i="1"/>
  <c r="BB76" i="1" s="1"/>
  <c r="AN74" i="1"/>
  <c r="AQ77" i="1"/>
  <c r="AN77" i="1"/>
  <c r="BC76" i="1"/>
  <c r="AQ75" i="1"/>
  <c r="AQ69" i="1"/>
  <c r="BA65" i="1"/>
  <c r="BB65" i="1"/>
  <c r="AQ65" i="1"/>
  <c r="AR68" i="1"/>
  <c r="AN68" i="1" s="1"/>
  <c r="BC69" i="1"/>
  <c r="BC68" i="1"/>
  <c r="AR67" i="1"/>
  <c r="AZ67" i="1" s="1"/>
  <c r="AQ67" i="1"/>
  <c r="BA67" i="1"/>
  <c r="AZ59" i="1"/>
  <c r="AZ58" i="1"/>
  <c r="BB57" i="1"/>
  <c r="AN59" i="1"/>
  <c r="AQ57" i="1"/>
  <c r="AT60" i="1"/>
  <c r="BB60" i="1" s="1"/>
  <c r="BB59" i="1"/>
  <c r="BC59" i="1"/>
  <c r="BC47" i="1"/>
  <c r="BC46" i="1"/>
  <c r="BA45" i="1"/>
  <c r="AQ47" i="1"/>
  <c r="AT48" i="1"/>
  <c r="AQ48" i="1"/>
  <c r="AX48" i="1" s="1"/>
  <c r="AR46" i="1"/>
  <c r="BA46" i="1" s="1"/>
  <c r="AZ45" i="1"/>
  <c r="BC33" i="1"/>
  <c r="AR34" i="1"/>
  <c r="BB34" i="1" s="1"/>
  <c r="AS35" i="1"/>
  <c r="BA35" i="1" s="1"/>
  <c r="AQ33" i="1"/>
  <c r="AW34" i="1" s="1"/>
  <c r="BB35" i="1"/>
  <c r="AZ20" i="1"/>
  <c r="BC21" i="1"/>
  <c r="BC20" i="1"/>
  <c r="AZ74" i="1"/>
  <c r="BB77" i="1"/>
  <c r="AN27" i="1"/>
  <c r="AN58" i="1"/>
  <c r="BA58" i="1"/>
  <c r="BA60" i="1"/>
  <c r="AZ27" i="1"/>
  <c r="AN45" i="1"/>
  <c r="AN47" i="1"/>
  <c r="AQ58" i="1"/>
  <c r="BA74" i="1"/>
  <c r="BA75" i="1"/>
  <c r="AQ85" i="1"/>
  <c r="AQ60" i="1"/>
  <c r="AQ68" i="1"/>
  <c r="AQ74" i="1"/>
  <c r="AQ76" i="1"/>
  <c r="BB87" i="1"/>
  <c r="BA27" i="1"/>
  <c r="BA85" i="1"/>
  <c r="AQ27" i="1"/>
  <c r="AQ45" i="1"/>
  <c r="AX45" i="1" s="1"/>
  <c r="AQ46" i="1"/>
  <c r="AW47" i="1" s="1"/>
  <c r="BB47" i="1"/>
  <c r="BC67" i="1"/>
  <c r="BC85" i="1"/>
  <c r="BC87" i="1"/>
  <c r="BC34" i="1"/>
  <c r="BC48" i="1"/>
  <c r="AQ59" i="1"/>
  <c r="BC75" i="1"/>
  <c r="BC77" i="1"/>
  <c r="BA87" i="1"/>
  <c r="BA12" i="1"/>
  <c r="BC12" i="1"/>
  <c r="AQ19" i="1"/>
  <c r="AQ13" i="1"/>
  <c r="BA11" i="1"/>
  <c r="AQ22" i="1"/>
  <c r="AN22" i="1"/>
  <c r="AR21" i="1"/>
  <c r="BB21" i="1" s="1"/>
  <c r="BB22" i="1"/>
  <c r="AQ21" i="1"/>
  <c r="AN19" i="1"/>
  <c r="AN20" i="1"/>
  <c r="AR14" i="1"/>
  <c r="BA14" i="1" s="1"/>
  <c r="AQ11" i="1"/>
  <c r="BB11" i="1"/>
  <c r="AQ14" i="1"/>
  <c r="BB13" i="1"/>
  <c r="AZ13" i="1"/>
  <c r="AT14" i="1"/>
  <c r="BC14" i="1" s="1"/>
  <c r="AQ12" i="1"/>
  <c r="AN84" i="1"/>
  <c r="BA84" i="1"/>
  <c r="BC13" i="1"/>
  <c r="AQ20" i="1"/>
  <c r="BC22" i="1"/>
  <c r="BB45" i="1"/>
  <c r="AZ65" i="1"/>
  <c r="BB69" i="1"/>
  <c r="BA69" i="1"/>
  <c r="AN69" i="1"/>
  <c r="AQ87" i="1"/>
  <c r="AY86" i="1" s="1"/>
  <c r="BC86" i="1"/>
  <c r="AN11" i="1"/>
  <c r="AN12" i="1"/>
  <c r="BA20" i="1"/>
  <c r="BB48" i="1"/>
  <c r="BA48" i="1"/>
  <c r="AN48" i="1"/>
  <c r="BA57" i="1"/>
  <c r="AZ57" i="1"/>
  <c r="AN57" i="1"/>
  <c r="AZ84" i="1"/>
  <c r="AZ11" i="1"/>
  <c r="AZ19" i="1"/>
  <c r="AN67" i="1"/>
  <c r="AZ12" i="1"/>
  <c r="AN13" i="1"/>
  <c r="BA19" i="1"/>
  <c r="BB68" i="1"/>
  <c r="AZ68" i="1"/>
  <c r="BA33" i="1"/>
  <c r="AZ33" i="1"/>
  <c r="AN33" i="1"/>
  <c r="AQ35" i="1"/>
  <c r="AV68" i="1"/>
  <c r="AZ47" i="1"/>
  <c r="AN85" i="1"/>
  <c r="BA77" i="1"/>
  <c r="BA22" i="1"/>
  <c r="AN65" i="1"/>
  <c r="AN75" i="1"/>
  <c r="AZ85" i="1"/>
  <c r="AX33" i="1" l="1"/>
  <c r="AZ34" i="1"/>
  <c r="AN34" i="1"/>
  <c r="AV33" i="1"/>
  <c r="AZ86" i="1"/>
  <c r="BB86" i="1"/>
  <c r="AW84" i="1"/>
  <c r="AV86" i="1"/>
  <c r="AY85" i="1"/>
  <c r="AY75" i="1"/>
  <c r="AW77" i="1"/>
  <c r="AW76" i="1"/>
  <c r="AN76" i="1"/>
  <c r="BH74" i="1" s="1"/>
  <c r="AZ76" i="1"/>
  <c r="AX75" i="1"/>
  <c r="AX74" i="1"/>
  <c r="AV76" i="1"/>
  <c r="AX77" i="1"/>
  <c r="AY76" i="1"/>
  <c r="AW69" i="1"/>
  <c r="AX67" i="1"/>
  <c r="AY67" i="1"/>
  <c r="AY65" i="1"/>
  <c r="AV69" i="1"/>
  <c r="AY68" i="1"/>
  <c r="AV67" i="1"/>
  <c r="AW65" i="1"/>
  <c r="AV60" i="1"/>
  <c r="AW57" i="1"/>
  <c r="AV58" i="1"/>
  <c r="BC60" i="1"/>
  <c r="AN60" i="1"/>
  <c r="BH57" i="1" s="1"/>
  <c r="AY59" i="1"/>
  <c r="AX57" i="1"/>
  <c r="AW60" i="1"/>
  <c r="AY47" i="1"/>
  <c r="AY45" i="1"/>
  <c r="AV48" i="1"/>
  <c r="AZ46" i="1"/>
  <c r="AN46" i="1"/>
  <c r="BH45" i="1" s="1"/>
  <c r="BC35" i="1"/>
  <c r="AN35" i="1"/>
  <c r="BH27" i="1" s="1"/>
  <c r="AW35" i="1"/>
  <c r="AX27" i="1"/>
  <c r="AV34" i="1"/>
  <c r="AW27" i="1"/>
  <c r="AX58" i="1"/>
  <c r="AY46" i="1"/>
  <c r="AV85" i="1"/>
  <c r="AY84" i="1"/>
  <c r="AX46" i="1"/>
  <c r="AY19" i="1"/>
  <c r="AV21" i="1"/>
  <c r="AX69" i="1"/>
  <c r="AW59" i="1"/>
  <c r="AY74" i="1"/>
  <c r="AX65" i="1"/>
  <c r="AW68" i="1"/>
  <c r="AW86" i="1"/>
  <c r="AV75" i="1"/>
  <c r="AW74" i="1"/>
  <c r="AV59" i="1"/>
  <c r="AV46" i="1"/>
  <c r="AV47" i="1"/>
  <c r="AV77" i="1"/>
  <c r="AW48" i="1"/>
  <c r="AV87" i="1"/>
  <c r="AW87" i="1"/>
  <c r="AX85" i="1"/>
  <c r="AX87" i="1"/>
  <c r="AW45" i="1"/>
  <c r="AX60" i="1"/>
  <c r="AY58" i="1"/>
  <c r="AY57" i="1"/>
  <c r="AX12" i="1"/>
  <c r="AV13" i="1"/>
  <c r="AX11" i="1"/>
  <c r="AV14" i="1"/>
  <c r="AV22" i="1"/>
  <c r="AN21" i="1"/>
  <c r="BH19" i="1" s="1"/>
  <c r="AZ21" i="1"/>
  <c r="AX19" i="1"/>
  <c r="AY21" i="1"/>
  <c r="AX22" i="1"/>
  <c r="AY13" i="1"/>
  <c r="AY11" i="1"/>
  <c r="AX14" i="1"/>
  <c r="AN14" i="1"/>
  <c r="BH11" i="1" s="1"/>
  <c r="BB14" i="1"/>
  <c r="AW14" i="1"/>
  <c r="AW11" i="1"/>
  <c r="AW13" i="1"/>
  <c r="AY12" i="1"/>
  <c r="AV12" i="1"/>
  <c r="BH84" i="1"/>
  <c r="AY27" i="1"/>
  <c r="AX20" i="1"/>
  <c r="AW22" i="1"/>
  <c r="AW21" i="1"/>
  <c r="AY20" i="1"/>
  <c r="AY34" i="1"/>
  <c r="AW19" i="1"/>
  <c r="AY33" i="1"/>
  <c r="AV20" i="1"/>
  <c r="BH65" i="1"/>
  <c r="AX35" i="1"/>
  <c r="AV35" i="1"/>
  <c r="BI19" i="1" l="1"/>
  <c r="BK19" i="1"/>
  <c r="BJ19" i="1"/>
  <c r="BL19" i="1"/>
  <c r="BJ65" i="1"/>
  <c r="BI65" i="1"/>
  <c r="BL65" i="1"/>
  <c r="BK65" i="1"/>
  <c r="BL74" i="1"/>
  <c r="BK74" i="1"/>
  <c r="BI74" i="1"/>
  <c r="BJ74" i="1"/>
  <c r="BL11" i="1"/>
  <c r="BK11" i="1"/>
  <c r="BJ11" i="1"/>
  <c r="BI11" i="1"/>
  <c r="BI84" i="1"/>
  <c r="BK84" i="1"/>
  <c r="BL84" i="1"/>
  <c r="BJ84" i="1"/>
  <c r="BL45" i="1"/>
  <c r="BK45" i="1"/>
  <c r="BJ45" i="1"/>
  <c r="BI45" i="1"/>
  <c r="BL27" i="1"/>
  <c r="BK27" i="1"/>
  <c r="BJ27" i="1"/>
  <c r="BI27" i="1"/>
  <c r="BK57" i="1"/>
  <c r="BJ57" i="1"/>
  <c r="BI57" i="1"/>
  <c r="BL57" i="1"/>
  <c r="BM84" i="1" l="1"/>
  <c r="BU84" i="1" s="1"/>
  <c r="BE84" i="1" s="1"/>
  <c r="BD85" i="1" s="1"/>
  <c r="BP84" i="1"/>
  <c r="BV85" i="1" s="1"/>
  <c r="BF85" i="1" s="1"/>
  <c r="BE86" i="1" s="1"/>
  <c r="BN84" i="1"/>
  <c r="BV84" i="1" s="1"/>
  <c r="BF84" i="1" s="1"/>
  <c r="BD86" i="1" s="1"/>
  <c r="BQ74" i="1"/>
  <c r="BW75" i="1" s="1"/>
  <c r="BG75" i="1" s="1"/>
  <c r="BE77" i="1" s="1"/>
  <c r="BR74" i="1"/>
  <c r="BW76" i="1" s="1"/>
  <c r="BG76" i="1" s="1"/>
  <c r="BF77" i="1" s="1"/>
  <c r="BN74" i="1"/>
  <c r="BV74" i="1" s="1"/>
  <c r="BF74" i="1" s="1"/>
  <c r="BD76" i="1" s="1"/>
  <c r="BR65" i="1"/>
  <c r="BW68" i="1" s="1"/>
  <c r="BG68" i="1" s="1"/>
  <c r="BF69" i="1" s="1"/>
  <c r="BO65" i="1"/>
  <c r="BW65" i="1" s="1"/>
  <c r="BG65" i="1" s="1"/>
  <c r="BD69" i="1" s="1"/>
  <c r="BN65" i="1"/>
  <c r="BV65" i="1" s="1"/>
  <c r="BF65" i="1" s="1"/>
  <c r="BD68" i="1" s="1"/>
  <c r="BQ65" i="1"/>
  <c r="BW67" i="1" s="1"/>
  <c r="BG67" i="1" s="1"/>
  <c r="BE69" i="1" s="1"/>
  <c r="BQ57" i="1"/>
  <c r="BW58" i="1" s="1"/>
  <c r="BG58" i="1" s="1"/>
  <c r="BE60" i="1" s="1"/>
  <c r="BN57" i="1"/>
  <c r="BV57" i="1" s="1"/>
  <c r="BF57" i="1" s="1"/>
  <c r="BD59" i="1" s="1"/>
  <c r="BR45" i="1"/>
  <c r="BW47" i="1" s="1"/>
  <c r="BG47" i="1" s="1"/>
  <c r="BF48" i="1" s="1"/>
  <c r="BO45" i="1"/>
  <c r="BW45" i="1" s="1"/>
  <c r="BG45" i="1" s="1"/>
  <c r="BD48" i="1" s="1"/>
  <c r="BM45" i="1"/>
  <c r="BU45" i="1" s="1"/>
  <c r="BE45" i="1" s="1"/>
  <c r="BP27" i="1"/>
  <c r="BV33" i="1" s="1"/>
  <c r="BF33" i="1" s="1"/>
  <c r="BE34" i="1" s="1"/>
  <c r="BO27" i="1"/>
  <c r="BW27" i="1" s="1"/>
  <c r="BG27" i="1" s="1"/>
  <c r="BD35" i="1" s="1"/>
  <c r="BO19" i="1"/>
  <c r="BW19" i="1" s="1"/>
  <c r="BG19" i="1" s="1"/>
  <c r="BD22" i="1" s="1"/>
  <c r="BR27" i="1"/>
  <c r="BW34" i="1" s="1"/>
  <c r="BG34" i="1" s="1"/>
  <c r="BF35" i="1" s="1"/>
  <c r="BQ45" i="1"/>
  <c r="BW46" i="1" s="1"/>
  <c r="BG46" i="1" s="1"/>
  <c r="BE48" i="1" s="1"/>
  <c r="BM65" i="1"/>
  <c r="BU65" i="1" s="1"/>
  <c r="BE65" i="1" s="1"/>
  <c r="BD67" i="1" s="1"/>
  <c r="BP45" i="1"/>
  <c r="BV46" i="1" s="1"/>
  <c r="BF46" i="1" s="1"/>
  <c r="BE47" i="1" s="1"/>
  <c r="BR57" i="1"/>
  <c r="BW59" i="1" s="1"/>
  <c r="BG59" i="1" s="1"/>
  <c r="BF60" i="1" s="1"/>
  <c r="BP57" i="1"/>
  <c r="BV58" i="1" s="1"/>
  <c r="BF58" i="1" s="1"/>
  <c r="BE59" i="1" s="1"/>
  <c r="BN45" i="1"/>
  <c r="BV45" i="1" s="1"/>
  <c r="BF45" i="1" s="1"/>
  <c r="BD47" i="1" s="1"/>
  <c r="BR84" i="1"/>
  <c r="BW86" i="1" s="1"/>
  <c r="BG86" i="1" s="1"/>
  <c r="BF87" i="1" s="1"/>
  <c r="BR19" i="1"/>
  <c r="BW21" i="1" s="1"/>
  <c r="BG21" i="1" s="1"/>
  <c r="BF22" i="1" s="1"/>
  <c r="BN19" i="1"/>
  <c r="BV19" i="1" s="1"/>
  <c r="BF19" i="1" s="1"/>
  <c r="BD21" i="1" s="1"/>
  <c r="BP19" i="1"/>
  <c r="BV20" i="1" s="1"/>
  <c r="BF20" i="1" s="1"/>
  <c r="BE21" i="1" s="1"/>
  <c r="BQ19" i="1"/>
  <c r="BW20" i="1" s="1"/>
  <c r="BG20" i="1" s="1"/>
  <c r="BE22" i="1" s="1"/>
  <c r="BM19" i="1"/>
  <c r="BU19" i="1" s="1"/>
  <c r="BE19" i="1" s="1"/>
  <c r="BD20" i="1" s="1"/>
  <c r="BR11" i="1"/>
  <c r="BW13" i="1" s="1"/>
  <c r="BG13" i="1" s="1"/>
  <c r="BF14" i="1" s="1"/>
  <c r="BO11" i="1"/>
  <c r="BW11" i="1" s="1"/>
  <c r="BG11" i="1" s="1"/>
  <c r="BD14" i="1" s="1"/>
  <c r="BP11" i="1"/>
  <c r="BV12" i="1" s="1"/>
  <c r="BF12" i="1" s="1"/>
  <c r="BE13" i="1" s="1"/>
  <c r="BS45" i="1" a="1"/>
  <c r="BQ11" i="1"/>
  <c r="BW12" i="1" s="1"/>
  <c r="BG12" i="1" s="1"/>
  <c r="BE14" i="1" s="1"/>
  <c r="BO84" i="1"/>
  <c r="BW84" i="1" s="1"/>
  <c r="BG84" i="1" s="1"/>
  <c r="BD87" i="1" s="1"/>
  <c r="BN11" i="1"/>
  <c r="BV11" i="1" s="1"/>
  <c r="BF11" i="1" s="1"/>
  <c r="BD13" i="1" s="1"/>
  <c r="BM11" i="1"/>
  <c r="BM74" i="1"/>
  <c r="BU74" i="1" s="1"/>
  <c r="BE74" i="1" s="1"/>
  <c r="BQ27" i="1"/>
  <c r="BW33" i="1" s="1"/>
  <c r="BG33" i="1" s="1"/>
  <c r="BE35" i="1" s="1"/>
  <c r="BM27" i="1"/>
  <c r="BU27" i="1" s="1"/>
  <c r="BE27" i="1" s="1"/>
  <c r="BP74" i="1"/>
  <c r="BV75" i="1" s="1"/>
  <c r="BF75" i="1" s="1"/>
  <c r="BE76" i="1" s="1"/>
  <c r="BP65" i="1"/>
  <c r="BV67" i="1" s="1"/>
  <c r="BF67" i="1" s="1"/>
  <c r="BE68" i="1" s="1"/>
  <c r="BO57" i="1"/>
  <c r="BW57" i="1" s="1"/>
  <c r="BG57" i="1" s="1"/>
  <c r="BD60" i="1" s="1"/>
  <c r="BN27" i="1"/>
  <c r="BV27" i="1" s="1"/>
  <c r="BF27" i="1" s="1"/>
  <c r="BD34" i="1" s="1"/>
  <c r="BQ84" i="1"/>
  <c r="BW85" i="1" s="1"/>
  <c r="BG85" i="1" s="1"/>
  <c r="BE87" i="1" s="1"/>
  <c r="BO74" i="1"/>
  <c r="BW74" i="1" s="1"/>
  <c r="BG74" i="1" s="1"/>
  <c r="BD77" i="1" s="1"/>
  <c r="BM57" i="1"/>
  <c r="BU57" i="1" s="1"/>
  <c r="BE57" i="1" s="1"/>
  <c r="BS27" i="1" a="1"/>
  <c r="BS19" i="1" a="1"/>
  <c r="AL86" i="1" l="1"/>
  <c r="AL76" i="1"/>
  <c r="AL77" i="1"/>
  <c r="AL67" i="1"/>
  <c r="AL69" i="1"/>
  <c r="AL65" i="1"/>
  <c r="AL68" i="1"/>
  <c r="AL60" i="1"/>
  <c r="AL59" i="1"/>
  <c r="AL48" i="1"/>
  <c r="AL47" i="1"/>
  <c r="BS45" i="1"/>
  <c r="BS27" i="1"/>
  <c r="AL34" i="1"/>
  <c r="AL35" i="1"/>
  <c r="AL85" i="1"/>
  <c r="AL84" i="1"/>
  <c r="AL22" i="1"/>
  <c r="BS19" i="1"/>
  <c r="AL21" i="1"/>
  <c r="AL19" i="1"/>
  <c r="AL20" i="1"/>
  <c r="AL14" i="1"/>
  <c r="AL13" i="1"/>
  <c r="BD58" i="1"/>
  <c r="AL58" i="1" s="1"/>
  <c r="AL57" i="1"/>
  <c r="BU11" i="1"/>
  <c r="BE11" i="1" s="1"/>
  <c r="BU7" i="1"/>
  <c r="BS11" i="1" a="1"/>
  <c r="BS11" i="1" s="1"/>
  <c r="AL27" i="1"/>
  <c r="BD33" i="1"/>
  <c r="AL33" i="1" s="1"/>
  <c r="AL87" i="1"/>
  <c r="BD46" i="1"/>
  <c r="AL46" i="1" s="1"/>
  <c r="AL45" i="1"/>
  <c r="BS84" i="1" a="1"/>
  <c r="BS84" i="1" s="1"/>
  <c r="BS65" i="1" a="1"/>
  <c r="BS65" i="1" s="1"/>
  <c r="BS57" i="1" a="1"/>
  <c r="BS57" i="1" s="1"/>
  <c r="AL74" i="1"/>
  <c r="BD75" i="1"/>
  <c r="AL75" i="1" s="1"/>
  <c r="BS74" i="1" a="1"/>
  <c r="BS74" i="1" s="1"/>
  <c r="AK86" i="1" l="1"/>
  <c r="N66" i="1" s="1"/>
  <c r="AK67" i="1"/>
  <c r="M49" i="1" s="1"/>
  <c r="AK65" i="1"/>
  <c r="N48" i="1" s="1"/>
  <c r="AK69" i="1"/>
  <c r="J51" i="1" s="1"/>
  <c r="AK68" i="1"/>
  <c r="AJ68" i="1" s="1"/>
  <c r="AK19" i="1"/>
  <c r="J16" i="1" s="1"/>
  <c r="AK20" i="1"/>
  <c r="K17" i="1" s="1"/>
  <c r="AK22" i="1"/>
  <c r="M19" i="1" s="1"/>
  <c r="AK21" i="1"/>
  <c r="AJ21" i="1" s="1"/>
  <c r="AK35" i="1"/>
  <c r="AK33" i="1"/>
  <c r="AK27" i="1"/>
  <c r="AK34" i="1"/>
  <c r="AK84" i="1"/>
  <c r="AK87" i="1"/>
  <c r="AK77" i="1"/>
  <c r="AK74" i="1"/>
  <c r="AK76" i="1"/>
  <c r="AK75" i="1"/>
  <c r="AK85" i="1"/>
  <c r="AL11" i="1"/>
  <c r="BD12" i="1"/>
  <c r="AL12" i="1" s="1"/>
  <c r="AK45" i="1"/>
  <c r="AK47" i="1"/>
  <c r="AK46" i="1"/>
  <c r="AK48" i="1"/>
  <c r="AK60" i="1"/>
  <c r="AK59" i="1"/>
  <c r="AK58" i="1"/>
  <c r="AK57" i="1"/>
  <c r="J66" i="1" l="1"/>
  <c r="AJ86" i="1"/>
  <c r="K66" i="1"/>
  <c r="L66" i="1"/>
  <c r="M66" i="1"/>
  <c r="K50" i="1"/>
  <c r="L50" i="1"/>
  <c r="N50" i="1"/>
  <c r="M50" i="1"/>
  <c r="J50" i="1"/>
  <c r="N49" i="1"/>
  <c r="J49" i="1"/>
  <c r="K49" i="1"/>
  <c r="L49" i="1"/>
  <c r="K51" i="1"/>
  <c r="N51" i="1"/>
  <c r="AJ67" i="1"/>
  <c r="K48" i="1"/>
  <c r="L51" i="1"/>
  <c r="L48" i="1"/>
  <c r="AJ69" i="1"/>
  <c r="M51" i="1"/>
  <c r="M48" i="1"/>
  <c r="J48" i="1"/>
  <c r="AJ65" i="1"/>
  <c r="AI67" i="1"/>
  <c r="I49" i="1" s="1"/>
  <c r="J19" i="1"/>
  <c r="L19" i="1"/>
  <c r="AJ22" i="1"/>
  <c r="J18" i="1"/>
  <c r="N18" i="1"/>
  <c r="M16" i="1"/>
  <c r="L17" i="1"/>
  <c r="L16" i="1"/>
  <c r="AJ20" i="1"/>
  <c r="AI20" i="1"/>
  <c r="I17" i="1" s="1"/>
  <c r="U12" i="1" s="1"/>
  <c r="M17" i="1"/>
  <c r="K16" i="1"/>
  <c r="N17" i="1"/>
  <c r="N16" i="1"/>
  <c r="AJ19" i="1"/>
  <c r="J17" i="1"/>
  <c r="K19" i="1"/>
  <c r="N19" i="1"/>
  <c r="K18" i="1"/>
  <c r="M18" i="1"/>
  <c r="L18" i="1"/>
  <c r="N42" i="1"/>
  <c r="AJ59" i="1"/>
  <c r="M42" i="1"/>
  <c r="L42" i="1"/>
  <c r="K42" i="1"/>
  <c r="J42" i="1"/>
  <c r="AJ87" i="1"/>
  <c r="N67" i="1"/>
  <c r="M67" i="1"/>
  <c r="K67" i="1"/>
  <c r="L67" i="1"/>
  <c r="J67" i="1"/>
  <c r="K24" i="1"/>
  <c r="J24" i="1"/>
  <c r="AJ27" i="1"/>
  <c r="N24" i="1"/>
  <c r="M24" i="1"/>
  <c r="L24" i="1"/>
  <c r="AI68" i="1"/>
  <c r="AI33" i="1"/>
  <c r="I25" i="1" s="1"/>
  <c r="M25" i="1"/>
  <c r="L25" i="1"/>
  <c r="K25" i="1"/>
  <c r="AJ33" i="1"/>
  <c r="N25" i="1"/>
  <c r="J25" i="1"/>
  <c r="AJ60" i="1"/>
  <c r="N43" i="1"/>
  <c r="M43" i="1"/>
  <c r="L43" i="1"/>
  <c r="K43" i="1"/>
  <c r="J43" i="1"/>
  <c r="J35" i="1"/>
  <c r="L35" i="1"/>
  <c r="AJ48" i="1"/>
  <c r="N35" i="1"/>
  <c r="M35" i="1"/>
  <c r="K35" i="1"/>
  <c r="AK11" i="1"/>
  <c r="AK13" i="1"/>
  <c r="AK14" i="1"/>
  <c r="J11" i="1" s="1"/>
  <c r="AK12" i="1"/>
  <c r="L27" i="1"/>
  <c r="K27" i="1"/>
  <c r="AJ35" i="1"/>
  <c r="J27" i="1"/>
  <c r="N27" i="1"/>
  <c r="M27" i="1"/>
  <c r="N33" i="1"/>
  <c r="M33" i="1"/>
  <c r="AJ46" i="1"/>
  <c r="J33" i="1"/>
  <c r="L33" i="1"/>
  <c r="K33" i="1"/>
  <c r="AI46" i="1"/>
  <c r="I33" i="1" s="1"/>
  <c r="AJ85" i="1"/>
  <c r="M65" i="1"/>
  <c r="AI85" i="1"/>
  <c r="I65" i="1" s="1"/>
  <c r="L65" i="1"/>
  <c r="K65" i="1"/>
  <c r="J65" i="1"/>
  <c r="N65" i="1"/>
  <c r="N57" i="1"/>
  <c r="M57" i="1"/>
  <c r="L57" i="1"/>
  <c r="K57" i="1"/>
  <c r="AJ75" i="1"/>
  <c r="AI75" i="1"/>
  <c r="I57" i="1" s="1"/>
  <c r="J57" i="1"/>
  <c r="N34" i="1"/>
  <c r="M34" i="1"/>
  <c r="AJ47" i="1"/>
  <c r="J34" i="1"/>
  <c r="K34" i="1"/>
  <c r="L34" i="1"/>
  <c r="AJ45" i="1"/>
  <c r="N32" i="1"/>
  <c r="M32" i="1"/>
  <c r="L32" i="1"/>
  <c r="K32" i="1"/>
  <c r="J32" i="1"/>
  <c r="J58" i="1"/>
  <c r="N58" i="1"/>
  <c r="L58" i="1"/>
  <c r="AJ76" i="1"/>
  <c r="M58" i="1"/>
  <c r="K58" i="1"/>
  <c r="M40" i="1"/>
  <c r="L40" i="1"/>
  <c r="K40" i="1"/>
  <c r="J40" i="1"/>
  <c r="AJ57" i="1"/>
  <c r="N40" i="1"/>
  <c r="M56" i="1"/>
  <c r="L56" i="1"/>
  <c r="K56" i="1"/>
  <c r="AJ74" i="1"/>
  <c r="J56" i="1"/>
  <c r="N56" i="1"/>
  <c r="K64" i="1"/>
  <c r="J64" i="1"/>
  <c r="M64" i="1"/>
  <c r="AJ84" i="1"/>
  <c r="N64" i="1"/>
  <c r="L64" i="1"/>
  <c r="N41" i="1"/>
  <c r="AJ58" i="1"/>
  <c r="M41" i="1"/>
  <c r="AI58" i="1"/>
  <c r="I41" i="1" s="1"/>
  <c r="L41" i="1"/>
  <c r="J41" i="1"/>
  <c r="K41" i="1"/>
  <c r="K59" i="1"/>
  <c r="AJ77" i="1"/>
  <c r="J59" i="1"/>
  <c r="M59" i="1"/>
  <c r="L59" i="1"/>
  <c r="N59" i="1"/>
  <c r="AJ34" i="1"/>
  <c r="M26" i="1"/>
  <c r="AI34" i="1"/>
  <c r="I26" i="1" s="1"/>
  <c r="L26" i="1"/>
  <c r="K26" i="1"/>
  <c r="N26" i="1"/>
  <c r="J26" i="1"/>
  <c r="U22" i="1" l="1"/>
  <c r="U18" i="1"/>
  <c r="U20" i="1"/>
  <c r="U16" i="1"/>
  <c r="AI47" i="1"/>
  <c r="I34" i="1" s="1"/>
  <c r="U9" i="1" s="1"/>
  <c r="U14" i="1"/>
  <c r="U8" i="1"/>
  <c r="AI86" i="1"/>
  <c r="I66" i="1" s="1"/>
  <c r="J68" i="1" s="1"/>
  <c r="AI21" i="1"/>
  <c r="AI22" i="1" s="1"/>
  <c r="I19" i="1" s="1"/>
  <c r="AJ12" i="1"/>
  <c r="K9" i="1"/>
  <c r="N9" i="1"/>
  <c r="AI12" i="1"/>
  <c r="I9" i="1" s="1"/>
  <c r="J9" i="1"/>
  <c r="L9" i="1"/>
  <c r="M9" i="1"/>
  <c r="AJ14" i="1"/>
  <c r="L11" i="1"/>
  <c r="N11" i="1"/>
  <c r="M11" i="1"/>
  <c r="K11" i="1"/>
  <c r="J10" i="1"/>
  <c r="M10" i="1"/>
  <c r="N10" i="1"/>
  <c r="K10" i="1"/>
  <c r="AJ13" i="1"/>
  <c r="L10" i="1"/>
  <c r="I50" i="1"/>
  <c r="AI69" i="1"/>
  <c r="I51" i="1" s="1"/>
  <c r="J28" i="1"/>
  <c r="U15" i="1"/>
  <c r="AI35" i="1"/>
  <c r="I27" i="1" s="1"/>
  <c r="J8" i="1"/>
  <c r="AJ11" i="1"/>
  <c r="N8" i="1"/>
  <c r="M8" i="1"/>
  <c r="K8" i="1"/>
  <c r="L8" i="1"/>
  <c r="AI59" i="1"/>
  <c r="AI76" i="1"/>
  <c r="AI48" i="1" l="1"/>
  <c r="I35" i="1" s="1"/>
  <c r="AI87" i="1"/>
  <c r="I67" i="1" s="1"/>
  <c r="U19" i="1"/>
  <c r="U29" i="1" s="1"/>
  <c r="J36" i="1"/>
  <c r="U27" i="1"/>
  <c r="U33" i="1"/>
  <c r="I18" i="1"/>
  <c r="U11" i="1" s="1"/>
  <c r="U10" i="1"/>
  <c r="AI13" i="1"/>
  <c r="I10" i="1" s="1"/>
  <c r="U13" i="1" s="1"/>
  <c r="U32" i="1" s="1"/>
  <c r="I58" i="1"/>
  <c r="AI77" i="1"/>
  <c r="I59" i="1" s="1"/>
  <c r="J52" i="1"/>
  <c r="U17" i="1"/>
  <c r="U28" i="1" s="1"/>
  <c r="I42" i="1"/>
  <c r="AI60" i="1"/>
  <c r="I43" i="1" s="1"/>
  <c r="U37" i="1" l="1"/>
  <c r="U38" i="1"/>
  <c r="J20" i="1"/>
  <c r="AI14" i="1"/>
  <c r="I11" i="1" s="1"/>
  <c r="U26" i="1"/>
  <c r="U36" i="1" s="1"/>
  <c r="J12" i="1"/>
  <c r="J60" i="1"/>
  <c r="U23" i="1"/>
  <c r="U31" i="1" s="1"/>
  <c r="U21" i="1"/>
  <c r="U30" i="1" s="1"/>
  <c r="J44" i="1"/>
  <c r="U39" i="1" l="1"/>
</calcChain>
</file>

<file path=xl/sharedStrings.xml><?xml version="1.0" encoding="utf-8"?>
<sst xmlns="http://schemas.openxmlformats.org/spreadsheetml/2006/main" count="587" uniqueCount="119">
  <si>
    <t>Classement</t>
  </si>
  <si>
    <t>Pts</t>
  </si>
  <si>
    <t>BP</t>
  </si>
  <si>
    <t>BC</t>
  </si>
  <si>
    <t>T.A.B.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</si>
  <si>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</si>
  <si>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</si>
  <si>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</si>
  <si>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</si>
  <si>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</si>
  <si>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</si>
  <si>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</si>
  <si>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</si>
  <si>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</si>
  <si>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</si>
  <si>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</si>
  <si>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</si>
  <si>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</si>
  <si>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</si>
  <si>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</si>
  <si>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</si>
  <si>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</si>
  <si>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</si>
  <si>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</si>
  <si>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</si>
  <si>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</si>
  <si>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</si>
  <si>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</si>
  <si>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</si>
  <si>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</si>
  <si>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</si>
  <si>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</si>
  <si>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</si>
  <si>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</si>
  <si>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</si>
  <si>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</si>
  <si>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Arabie Saoudite</t>
  </si>
  <si>
    <t>Uruguay</t>
  </si>
  <si>
    <t>Rank</t>
  </si>
  <si>
    <t>Team</t>
  </si>
  <si>
    <t>GF</t>
  </si>
  <si>
    <t>GA</t>
  </si>
  <si>
    <t>GD</t>
  </si>
  <si>
    <t>Ag1</t>
  </si>
  <si>
    <t>Ag2</t>
  </si>
  <si>
    <t>Ag3</t>
  </si>
  <si>
    <t>Ag4</t>
  </si>
  <si>
    <t>Sp1</t>
  </si>
  <si>
    <t>Sp2</t>
  </si>
  <si>
    <t>Sp3</t>
  </si>
  <si>
    <t>Sp4</t>
  </si>
  <si>
    <t>T123</t>
  </si>
  <si>
    <t>T124</t>
  </si>
  <si>
    <t>T134</t>
  </si>
  <si>
    <t>T234</t>
  </si>
  <si>
    <t>Rk1</t>
  </si>
  <si>
    <t>Rk2</t>
  </si>
  <si>
    <t>Rk3</t>
  </si>
  <si>
    <t>Rk4</t>
  </si>
  <si>
    <t>T1234</t>
  </si>
  <si>
    <t>T12</t>
  </si>
  <si>
    <t>T13</t>
  </si>
  <si>
    <t>T14</t>
  </si>
  <si>
    <t>T23</t>
  </si>
  <si>
    <t>T24</t>
  </si>
  <si>
    <t>T34</t>
  </si>
  <si>
    <t>NoT</t>
  </si>
  <si>
    <t>sRk1</t>
  </si>
  <si>
    <t>sRk2</t>
  </si>
  <si>
    <t>sRk3</t>
  </si>
  <si>
    <t>sRk4</t>
  </si>
  <si>
    <t>x</t>
  </si>
  <si>
    <t>Maroc</t>
  </si>
  <si>
    <t>Iran</t>
  </si>
  <si>
    <t>Portugal</t>
  </si>
  <si>
    <t>Espagne</t>
  </si>
  <si>
    <t>France</t>
  </si>
  <si>
    <t>Danemark</t>
  </si>
  <si>
    <t>Argentine</t>
  </si>
  <si>
    <t>Croatie</t>
  </si>
  <si>
    <t>Serbie</t>
  </si>
  <si>
    <t>Brésil</t>
  </si>
  <si>
    <t>Suisse</t>
  </si>
  <si>
    <t>3ème place</t>
  </si>
  <si>
    <t>Allemagne</t>
  </si>
  <si>
    <t>Mexique</t>
  </si>
  <si>
    <t>Corée du sud</t>
  </si>
  <si>
    <t>Champion du monde</t>
  </si>
  <si>
    <t>2ème place</t>
  </si>
  <si>
    <t>Belgique</t>
  </si>
  <si>
    <t>Tunisie</t>
  </si>
  <si>
    <t>Angleterre</t>
  </si>
  <si>
    <t>4ème place</t>
  </si>
  <si>
    <t>Japon</t>
  </si>
  <si>
    <t>Pologne</t>
  </si>
  <si>
    <t>Sénégal</t>
  </si>
  <si>
    <t>Groupe A / Faites vos pronostics</t>
  </si>
  <si>
    <t>Groupe B / Faites vos pronostics</t>
  </si>
  <si>
    <t>Groupe C / Faites vos pronostics</t>
  </si>
  <si>
    <t>Groupe D / Faites vos pronostics</t>
  </si>
  <si>
    <t>Groupe E / Faites vos pronostics</t>
  </si>
  <si>
    <t>Groupe F / Faites vos pronostics</t>
  </si>
  <si>
    <t>Groupe G / Faites vos pronostics</t>
  </si>
  <si>
    <t>Groupe H / Faites vos pronostics</t>
  </si>
  <si>
    <t>Huitièmes de finale / Faites vos pronostics</t>
  </si>
  <si>
    <t>Quarts de finale / Faites vos pronostics</t>
  </si>
  <si>
    <t>Demi-finales / Faites vos pronostics</t>
  </si>
  <si>
    <t>3ème place / Faites vos pronostics</t>
  </si>
  <si>
    <t>FINALE / Faites vos pronostics</t>
  </si>
  <si>
    <t>Qatar</t>
  </si>
  <si>
    <t>Equateur</t>
  </si>
  <si>
    <t>Pays-Bas</t>
  </si>
  <si>
    <t>Etats-Unis</t>
  </si>
  <si>
    <t>Barragiste</t>
  </si>
  <si>
    <t>Canada</t>
  </si>
  <si>
    <t>Cameroun</t>
  </si>
  <si>
    <t>Ghana</t>
  </si>
  <si>
    <t>Pronostiquez sur la Coupe du monde 2022 !</t>
  </si>
  <si>
    <t>Calendrier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</si>
</sst>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;@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rgb="FFFF8184"/>
      <name val="Arial"/>
      <family val="2"/>
    </font>
    <font>
      <u/>
      <sz val="11"/>
      <color rgb="FFFF8184"/>
      <name val="Arial"/>
      <family val="2"/>
    </font>
    <font>
      <u/>
      <sz val="11"/>
      <color indexed="12"/>
      <name val="Arial"/>
      <family val="2"/>
    </font>
    <font>
      <sz val="8"/>
      <color theme="2" tint="-0.749992370372631"/>
      <name val="Arial"/>
      <family val="2"/>
    </font>
    <font>
      <sz val="8"/>
      <color theme="1" tint="0.499984740745262"/>
      <name val="Arial"/>
      <family val="2"/>
    </font>
    <font>
      <b/>
      <sz val="8"/>
      <color theme="5" tint="-0.249977111117893"/>
      <name val="Arial"/>
      <family val="2"/>
    </font>
    <font>
      <b/>
      <sz val="8"/>
      <color rgb="FF002060"/>
      <name val="Arial"/>
      <family val="2"/>
    </font>
    <font>
      <b/>
      <sz val="8"/>
      <color indexed="9"/>
      <name val="Arial"/>
      <family val="2"/>
    </font>
    <font>
      <sz val="8"/>
      <color theme="0"/>
      <name val="Arial"/>
      <family val="2"/>
    </font>
    <font>
      <b/>
      <sz val="8"/>
      <color rgb="FFFF9900"/>
      <name val="Arial"/>
      <family val="2"/>
    </font>
    <font>
      <b/>
      <sz val="8"/>
      <name val="Arial"/>
      <family val="2"/>
    </font>
    <font>
      <b/>
      <sz val="8"/>
      <color rgb="FF009900"/>
      <name val="Arial"/>
      <family val="2"/>
    </font>
    <font>
      <sz val="8"/>
      <color theme="2" tint="-0.499984740745262"/>
      <name val="Arial"/>
      <family val="2"/>
    </font>
    <font>
      <b/>
      <sz val="8"/>
      <color rgb="FFFF7C80"/>
      <name val="Arial"/>
      <family val="2"/>
    </font>
    <font>
      <b/>
      <sz val="8"/>
      <color theme="1" tint="0.34998626667073579"/>
      <name val="Arial"/>
      <family val="2"/>
    </font>
    <font>
      <sz val="12"/>
      <name val="Arial"/>
      <family val="2"/>
    </font>
    <font>
      <b/>
      <sz val="8"/>
      <color rgb="FFCC66FF"/>
      <name val="Arial"/>
      <family val="2"/>
    </font>
    <font>
      <b/>
      <sz val="10"/>
      <name val="Arial"/>
      <family val="2"/>
    </font>
    <font>
      <b/>
      <sz val="8"/>
      <color rgb="FFFF8184"/>
      <name val="Arial"/>
      <family val="2"/>
    </font>
    <font>
      <b/>
      <sz val="9"/>
      <name val="Arial"/>
      <family val="2"/>
    </font>
    <font>
      <b/>
      <sz val="9"/>
      <name val="Calibri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color theme="4" tint="-0.249977111117893"/>
      <name val="Arial"/>
      <family val="2"/>
    </font>
    <font>
      <b/>
      <sz val="18"/>
      <color rgb="FF00206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0DD7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B9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685FF"/>
        <bgColor indexed="64"/>
      </patternFill>
    </fill>
    <fill>
      <patternFill patternType="solid">
        <fgColor rgb="FFFFB7B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C8FF"/>
        <bgColor indexed="64"/>
      </patternFill>
    </fill>
    <fill>
      <patternFill patternType="solid">
        <fgColor rgb="FFF8CDB2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/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1498764000366222"/>
      </bottom>
      <diagonal/>
    </border>
    <border>
      <left/>
      <right/>
      <top style="thin">
        <color theme="0" tint="-0.1498764000366222"/>
      </top>
      <bottom/>
      <diagonal/>
    </border>
    <border>
      <left/>
      <right/>
      <top/>
      <bottom style="thin">
        <color theme="0" tint="-0.1498458815271462"/>
      </bottom>
      <diagonal/>
    </border>
    <border>
      <left/>
      <right/>
      <top style="thin">
        <color theme="0" tint="-0.1498458815271462"/>
      </top>
      <bottom/>
      <diagonal/>
    </border>
    <border>
      <left/>
      <right/>
      <top/>
      <bottom style="thin">
        <color theme="0" tint="-0.14981536301767021"/>
      </bottom>
      <diagonal/>
    </border>
    <border>
      <left/>
      <right/>
      <top style="thin">
        <color theme="0" tint="-0.14981536301767021"/>
      </top>
      <bottom/>
      <diagonal/>
    </border>
    <border>
      <left/>
      <right/>
      <top/>
      <bottom style="thin">
        <color theme="0" tint="-0.1497848445081942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2">
    <xf numFmtId="0" fontId="0" fillId="0" borderId="0" xfId="0"/>
    <xf numFmtId="0" fontId="1" fillId="0" borderId="0" xfId="0" applyFont="1" applyFill="1" applyBorder="1" applyProtection="1">
      <protection locked="0"/>
    </xf>
    <xf numFmtId="20" fontId="1" fillId="0" borderId="0" xfId="0" applyNumberFormat="1" applyFont="1" applyFill="1" applyBorder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3" fillId="0" borderId="0" xfId="1" applyFont="1" applyFill="1" applyAlignment="1" applyProtection="1">
      <protection locked="0"/>
    </xf>
    <xf numFmtId="0" fontId="1" fillId="0" borderId="0" xfId="0" quotePrefix="1" applyFont="1" applyFill="1" applyProtection="1">
      <protection locked="0"/>
    </xf>
    <xf numFmtId="0" fontId="1" fillId="0" borderId="0" xfId="0" quotePrefix="1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7" fillId="0" borderId="0" xfId="1" applyFont="1" applyFill="1" applyAlignment="1" applyProtection="1">
      <alignment horizontal="left" vertical="center"/>
      <protection locked="0"/>
    </xf>
    <xf numFmtId="0" fontId="7" fillId="0" borderId="0" xfId="1" applyFont="1" applyFill="1" applyAlignment="1" applyProtection="1">
      <alignment horizontal="left"/>
      <protection locked="0"/>
    </xf>
    <xf numFmtId="0" fontId="8" fillId="0" borderId="0" xfId="1" applyFont="1" applyFill="1" applyAlignment="1" applyProtection="1">
      <alignment horizontal="left"/>
      <protection locked="0"/>
    </xf>
    <xf numFmtId="0" fontId="12" fillId="3" borderId="2" xfId="0" applyFont="1" applyFill="1" applyBorder="1" applyAlignment="1" applyProtection="1">
      <alignment horizontal="center" vertical="center"/>
      <protection locked="0"/>
    </xf>
    <xf numFmtId="0" fontId="12" fillId="3" borderId="3" xfId="0" applyFont="1" applyFill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2" fillId="0" borderId="5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Protection="1"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13" fillId="0" borderId="8" xfId="0" applyFont="1" applyFill="1" applyBorder="1" applyAlignment="1" applyProtection="1">
      <alignment horizontal="center" vertical="center"/>
      <protection locked="0"/>
    </xf>
    <xf numFmtId="0" fontId="13" fillId="0" borderId="9" xfId="0" applyFont="1" applyFill="1" applyBorder="1" applyAlignment="1" applyProtection="1">
      <alignment horizontal="center" vertic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165" fontId="1" fillId="0" borderId="0" xfId="0" applyNumberFormat="1" applyFont="1" applyFill="1" applyProtection="1">
      <protection locked="0"/>
    </xf>
    <xf numFmtId="165" fontId="1" fillId="0" borderId="0" xfId="0" applyNumberFormat="1" applyFont="1" applyFill="1" applyBorder="1" applyProtection="1">
      <protection locked="0"/>
    </xf>
    <xf numFmtId="2" fontId="1" fillId="0" borderId="0" xfId="0" applyNumberFormat="1" applyFont="1" applyFill="1" applyBorder="1" applyProtection="1">
      <protection locked="0"/>
    </xf>
    <xf numFmtId="2" fontId="1" fillId="0" borderId="12" xfId="0" applyNumberFormat="1" applyFont="1" applyFill="1" applyBorder="1" applyAlignment="1" applyProtection="1">
      <alignment horizontal="center"/>
      <protection locked="0"/>
    </xf>
    <xf numFmtId="0" fontId="1" fillId="0" borderId="13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14" xfId="0" applyFont="1" applyFill="1" applyBorder="1" applyAlignment="1" applyProtection="1">
      <alignment horizontal="center"/>
      <protection locked="0"/>
    </xf>
    <xf numFmtId="0" fontId="1" fillId="0" borderId="15" xfId="0" applyFont="1" applyFill="1" applyBorder="1" applyAlignment="1" applyProtection="1">
      <alignment horizontal="center"/>
      <protection locked="0"/>
    </xf>
    <xf numFmtId="165" fontId="1" fillId="0" borderId="0" xfId="0" applyNumberFormat="1" applyFont="1" applyFill="1" applyBorder="1" applyAlignment="1" applyProtection="1">
      <alignment horizontal="center"/>
      <protection locked="0"/>
    </xf>
    <xf numFmtId="165" fontId="1" fillId="0" borderId="1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2" fontId="1" fillId="0" borderId="13" xfId="0" applyNumberFormat="1" applyFont="1" applyFill="1" applyBorder="1" applyAlignment="1" applyProtection="1">
      <alignment horizontal="center"/>
      <protection locked="0"/>
    </xf>
    <xf numFmtId="165" fontId="1" fillId="0" borderId="14" xfId="0" applyNumberFormat="1" applyFont="1" applyFill="1" applyBorder="1" applyAlignment="1" applyProtection="1">
      <alignment horizontal="center"/>
      <protection locked="0"/>
    </xf>
    <xf numFmtId="2" fontId="1" fillId="0" borderId="20" xfId="0" applyNumberFormat="1" applyFont="1" applyFill="1" applyBorder="1" applyAlignment="1" applyProtection="1">
      <alignment horizontal="center"/>
      <protection locked="0"/>
    </xf>
    <xf numFmtId="0" fontId="1" fillId="0" borderId="20" xfId="0" applyFont="1" applyFill="1" applyBorder="1" applyProtection="1">
      <protection locked="0"/>
    </xf>
    <xf numFmtId="0" fontId="1" fillId="0" borderId="21" xfId="0" applyFont="1" applyFill="1" applyBorder="1" applyAlignment="1" applyProtection="1">
      <alignment horizontal="center"/>
      <protection locked="0"/>
    </xf>
    <xf numFmtId="0" fontId="1" fillId="0" borderId="22" xfId="0" applyFont="1" applyFill="1" applyBorder="1" applyAlignment="1" applyProtection="1">
      <alignment horizontal="center"/>
      <protection locked="0"/>
    </xf>
    <xf numFmtId="165" fontId="1" fillId="0" borderId="21" xfId="0" applyNumberFormat="1" applyFont="1" applyFill="1" applyBorder="1" applyAlignment="1" applyProtection="1">
      <alignment horizontal="center"/>
      <protection locked="0"/>
    </xf>
    <xf numFmtId="165" fontId="1" fillId="0" borderId="16" xfId="0" applyNumberFormat="1" applyFont="1" applyFill="1" applyBorder="1" applyAlignment="1" applyProtection="1">
      <alignment horizontal="center"/>
      <protection locked="0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6" fillId="0" borderId="0" xfId="0" applyFont="1" applyFill="1" applyProtection="1">
      <protection locked="0"/>
    </xf>
    <xf numFmtId="0" fontId="17" fillId="3" borderId="5" xfId="0" applyFont="1" applyFill="1" applyBorder="1" applyAlignment="1" applyProtection="1">
      <alignment horizontal="center" vertical="center"/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/>
      <protection locked="0"/>
    </xf>
    <xf numFmtId="0" fontId="19" fillId="3" borderId="5" xfId="0" applyFont="1" applyFill="1" applyBorder="1" applyAlignment="1" applyProtection="1">
      <alignment horizontal="center" vertical="center"/>
      <protection locked="0"/>
    </xf>
    <xf numFmtId="0" fontId="11" fillId="3" borderId="5" xfId="0" applyFont="1" applyFill="1" applyBorder="1" applyAlignment="1" applyProtection="1">
      <alignment horizontal="center" vertical="center"/>
      <protection locked="0"/>
    </xf>
    <xf numFmtId="164" fontId="9" fillId="0" borderId="0" xfId="0" applyNumberFormat="1" applyFont="1" applyFill="1" applyBorder="1" applyAlignment="1" applyProtection="1">
      <alignment horizontal="center" vertical="center" wrapText="1"/>
      <protection locked="0"/>
    </xf>
    <xf numFmtId="2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13" fillId="0" borderId="30" xfId="0" applyFont="1" applyFill="1" applyBorder="1" applyAlignment="1" applyProtection="1">
      <alignment horizontal="center" vertical="center"/>
      <protection locked="0"/>
    </xf>
    <xf numFmtId="0" fontId="13" fillId="0" borderId="13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14" xfId="0" applyFont="1" applyFill="1" applyBorder="1" applyAlignment="1" applyProtection="1">
      <alignment horizontal="center" vertical="center"/>
      <protection locked="0"/>
    </xf>
    <xf numFmtId="0" fontId="13" fillId="0" borderId="15" xfId="0" applyFont="1" applyFill="1" applyBorder="1" applyAlignment="1" applyProtection="1">
      <alignment horizontal="center" vertical="center"/>
      <protection locked="0"/>
    </xf>
    <xf numFmtId="0" fontId="13" fillId="0" borderId="16" xfId="0" applyFont="1" applyFill="1" applyBorder="1" applyAlignment="1" applyProtection="1">
      <alignment horizontal="center" vertical="center"/>
      <protection locked="0"/>
    </xf>
    <xf numFmtId="0" fontId="20" fillId="3" borderId="5" xfId="0" applyFont="1" applyFill="1" applyBorder="1" applyAlignment="1" applyProtection="1">
      <alignment horizontal="center" vertical="center"/>
      <protection locked="0"/>
    </xf>
    <xf numFmtId="0" fontId="5" fillId="14" borderId="0" xfId="0" applyNumberFormat="1" applyFont="1" applyFill="1" applyBorder="1" applyAlignment="1" applyProtection="1">
      <alignment vertical="center"/>
    </xf>
    <xf numFmtId="0" fontId="22" fillId="3" borderId="5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vertical="center"/>
      <protection locked="0"/>
    </xf>
    <xf numFmtId="0" fontId="24" fillId="3" borderId="5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Alignment="1" applyProtection="1">
      <alignment horizontal="left" vertical="center"/>
      <protection locked="0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horizontal="left" vertical="center"/>
      <protection locked="0"/>
    </xf>
    <xf numFmtId="0" fontId="1" fillId="0" borderId="0" xfId="0" applyNumberFormat="1" applyFont="1" applyFill="1" applyBorder="1" applyProtection="1">
      <protection locked="0"/>
    </xf>
    <xf numFmtId="0" fontId="1" fillId="0" borderId="0" xfId="0" applyNumberFormat="1" applyFont="1" applyFill="1" applyBorder="1" applyAlignment="1" applyProtection="1">
      <alignment horizontal="right"/>
      <protection locked="0"/>
    </xf>
    <xf numFmtId="0" fontId="26" fillId="0" borderId="0" xfId="0" applyFont="1" applyFill="1" applyAlignment="1" applyProtection="1">
      <alignment vertical="center"/>
      <protection locked="0"/>
    </xf>
    <xf numFmtId="0" fontId="23" fillId="0" borderId="0" xfId="0" applyFont="1" applyFill="1" applyAlignment="1" applyProtection="1">
      <alignment vertical="top"/>
      <protection locked="0"/>
    </xf>
    <xf numFmtId="0" fontId="28" fillId="0" borderId="0" xfId="0" applyFont="1" applyFill="1" applyAlignment="1" applyProtection="1">
      <alignment vertical="center"/>
      <protection locked="0"/>
    </xf>
    <xf numFmtId="0" fontId="28" fillId="0" borderId="0" xfId="0" applyFont="1" applyFill="1" applyAlignment="1" applyProtection="1">
      <alignment vertical="top"/>
      <protection locked="0"/>
    </xf>
    <xf numFmtId="0" fontId="27" fillId="0" borderId="0" xfId="0" applyFont="1" applyFill="1" applyAlignment="1" applyProtection="1">
      <alignment vertical="top"/>
      <protection locked="0"/>
    </xf>
    <xf numFmtId="0" fontId="25" fillId="0" borderId="0" xfId="0" applyFont="1" applyFill="1" applyAlignment="1" applyProtection="1">
      <alignment horizontal="left" vertical="top"/>
      <protection locked="0"/>
    </xf>
    <xf numFmtId="0" fontId="23" fillId="0" borderId="0" xfId="0" applyFont="1" applyFill="1" applyAlignment="1" applyProtection="1">
      <alignment horizontal="left"/>
      <protection locked="0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0" fontId="29" fillId="3" borderId="1" xfId="0" applyFont="1" applyFill="1" applyBorder="1" applyAlignment="1" applyProtection="1">
      <alignment horizontal="center" vertical="center"/>
      <protection locked="0"/>
    </xf>
    <xf numFmtId="0" fontId="29" fillId="4" borderId="0" xfId="0" applyFont="1" applyFill="1" applyBorder="1" applyAlignment="1" applyProtection="1">
      <alignment vertical="center"/>
    </xf>
    <xf numFmtId="0" fontId="29" fillId="3" borderId="0" xfId="0" applyFont="1" applyFill="1" applyBorder="1" applyAlignment="1" applyProtection="1">
      <alignment vertical="center"/>
    </xf>
    <xf numFmtId="164" fontId="9" fillId="3" borderId="0" xfId="0" applyNumberFormat="1" applyFont="1" applyFill="1" applyBorder="1" applyAlignment="1" applyProtection="1">
      <alignment horizontal="center" vertical="center" wrapText="1"/>
    </xf>
    <xf numFmtId="20" fontId="10" fillId="3" borderId="0" xfId="0" applyNumberFormat="1" applyFont="1" applyFill="1" applyBorder="1" applyAlignment="1" applyProtection="1">
      <alignment horizontal="center" vertical="center"/>
    </xf>
    <xf numFmtId="0" fontId="29" fillId="3" borderId="0" xfId="0" applyNumberFormat="1" applyFont="1" applyFill="1" applyBorder="1" applyAlignment="1" applyProtection="1">
      <alignment vertical="center"/>
    </xf>
    <xf numFmtId="164" fontId="9" fillId="4" borderId="0" xfId="0" applyNumberFormat="1" applyFont="1" applyFill="1" applyBorder="1" applyAlignment="1" applyProtection="1">
      <alignment horizontal="center" vertical="center" wrapText="1"/>
    </xf>
    <xf numFmtId="20" fontId="10" fillId="4" borderId="0" xfId="0" applyNumberFormat="1" applyFont="1" applyFill="1" applyBorder="1" applyAlignment="1" applyProtection="1">
      <alignment horizontal="center" vertical="center"/>
    </xf>
    <xf numFmtId="0" fontId="29" fillId="4" borderId="0" xfId="0" applyNumberFormat="1" applyFont="1" applyFill="1" applyBorder="1" applyAlignment="1" applyProtection="1">
      <alignment vertical="center"/>
    </xf>
    <xf numFmtId="0" fontId="29" fillId="3" borderId="0" xfId="0" applyFont="1" applyFill="1" applyBorder="1" applyAlignment="1" applyProtection="1">
      <alignment horizontal="right" vertical="center"/>
    </xf>
    <xf numFmtId="0" fontId="29" fillId="4" borderId="0" xfId="0" applyFont="1" applyFill="1" applyBorder="1" applyAlignment="1" applyProtection="1">
      <alignment horizontal="right" vertical="center"/>
    </xf>
    <xf numFmtId="1" fontId="29" fillId="4" borderId="0" xfId="0" applyNumberFormat="1" applyFont="1" applyFill="1" applyBorder="1" applyAlignment="1" applyProtection="1">
      <alignment horizontal="center" vertical="center"/>
    </xf>
    <xf numFmtId="0" fontId="29" fillId="4" borderId="0" xfId="0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4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5" fillId="3" borderId="0" xfId="0" applyNumberFormat="1" applyFont="1" applyFill="1" applyBorder="1" applyAlignment="1" applyProtection="1">
      <alignment vertical="center"/>
    </xf>
    <xf numFmtId="0" fontId="15" fillId="4" borderId="0" xfId="0" applyFont="1" applyFill="1" applyBorder="1" applyAlignment="1" applyProtection="1">
      <alignment vertical="center"/>
    </xf>
    <xf numFmtId="0" fontId="15" fillId="3" borderId="0" xfId="0" applyFont="1" applyFill="1" applyBorder="1" applyAlignment="1" applyProtection="1">
      <alignment vertical="center"/>
    </xf>
    <xf numFmtId="0" fontId="15" fillId="3" borderId="0" xfId="0" applyFont="1" applyFill="1" applyBorder="1" applyAlignment="1" applyProtection="1">
      <alignment horizontal="right" vertical="center"/>
    </xf>
    <xf numFmtId="0" fontId="15" fillId="4" borderId="0" xfId="0" applyFont="1" applyFill="1" applyBorder="1" applyAlignment="1" applyProtection="1">
      <alignment horizontal="right" vertical="center"/>
    </xf>
    <xf numFmtId="0" fontId="17" fillId="3" borderId="0" xfId="0" applyFont="1" applyFill="1" applyBorder="1" applyAlignment="1" applyProtection="1">
      <alignment vertical="center"/>
    </xf>
    <xf numFmtId="0" fontId="17" fillId="4" borderId="0" xfId="0" applyFont="1" applyFill="1" applyBorder="1" applyAlignment="1" applyProtection="1">
      <alignment vertical="center"/>
    </xf>
    <xf numFmtId="0" fontId="17" fillId="3" borderId="0" xfId="0" applyFont="1" applyFill="1" applyBorder="1" applyAlignment="1" applyProtection="1">
      <alignment horizontal="right" vertical="center"/>
    </xf>
    <xf numFmtId="0" fontId="17" fillId="4" borderId="0" xfId="0" applyFont="1" applyFill="1" applyBorder="1" applyAlignment="1" applyProtection="1">
      <alignment horizontal="right" vertical="center"/>
    </xf>
    <xf numFmtId="0" fontId="19" fillId="3" borderId="0" xfId="0" applyFont="1" applyFill="1" applyBorder="1" applyAlignment="1" applyProtection="1">
      <alignment vertical="center"/>
    </xf>
    <xf numFmtId="0" fontId="19" fillId="4" borderId="0" xfId="0" applyFont="1" applyFill="1" applyBorder="1" applyAlignment="1" applyProtection="1">
      <alignment vertical="center"/>
    </xf>
    <xf numFmtId="0" fontId="19" fillId="3" borderId="0" xfId="0" applyFont="1" applyFill="1" applyBorder="1" applyAlignment="1" applyProtection="1">
      <alignment horizontal="right" vertical="center"/>
    </xf>
    <xf numFmtId="0" fontId="19" fillId="4" borderId="0" xfId="0" applyFont="1" applyFill="1" applyBorder="1" applyAlignment="1" applyProtection="1">
      <alignment horizontal="right" vertical="center"/>
    </xf>
    <xf numFmtId="0" fontId="11" fillId="3" borderId="0" xfId="0" applyFont="1" applyFill="1" applyBorder="1" applyAlignment="1" applyProtection="1">
      <alignment vertical="center"/>
    </xf>
    <xf numFmtId="0" fontId="11" fillId="4" borderId="0" xfId="0" applyFont="1" applyFill="1" applyBorder="1" applyAlignment="1" applyProtection="1">
      <alignment vertical="center"/>
    </xf>
    <xf numFmtId="0" fontId="11" fillId="3" borderId="0" xfId="0" applyFont="1" applyFill="1" applyBorder="1" applyAlignment="1" applyProtection="1">
      <alignment horizontal="right" vertical="center"/>
    </xf>
    <xf numFmtId="0" fontId="11" fillId="4" borderId="0" xfId="0" applyFont="1" applyFill="1" applyBorder="1" applyAlignment="1" applyProtection="1">
      <alignment horizontal="right" vertical="center"/>
    </xf>
    <xf numFmtId="0" fontId="20" fillId="3" borderId="0" xfId="0" applyFont="1" applyFill="1" applyBorder="1" applyAlignment="1" applyProtection="1">
      <alignment vertical="center"/>
    </xf>
    <xf numFmtId="0" fontId="20" fillId="4" borderId="0" xfId="0" applyFont="1" applyFill="1" applyBorder="1" applyAlignment="1" applyProtection="1">
      <alignment vertical="center"/>
    </xf>
    <xf numFmtId="0" fontId="20" fillId="3" borderId="0" xfId="0" applyFont="1" applyFill="1" applyBorder="1" applyAlignment="1" applyProtection="1">
      <alignment horizontal="right" vertical="center"/>
    </xf>
    <xf numFmtId="0" fontId="20" fillId="4" borderId="0" xfId="0" applyFont="1" applyFill="1" applyBorder="1" applyAlignment="1" applyProtection="1">
      <alignment horizontal="right" vertical="center"/>
    </xf>
    <xf numFmtId="0" fontId="22" fillId="3" borderId="0" xfId="0" applyFont="1" applyFill="1" applyBorder="1" applyAlignment="1" applyProtection="1">
      <alignment vertical="center"/>
    </xf>
    <xf numFmtId="0" fontId="22" fillId="4" borderId="0" xfId="0" applyFont="1" applyFill="1" applyBorder="1" applyAlignment="1" applyProtection="1">
      <alignment vertical="center"/>
    </xf>
    <xf numFmtId="0" fontId="22" fillId="3" borderId="0" xfId="0" applyFont="1" applyFill="1" applyBorder="1" applyAlignment="1" applyProtection="1">
      <alignment horizontal="right" vertical="center"/>
    </xf>
    <xf numFmtId="0" fontId="22" fillId="4" borderId="0" xfId="0" applyFont="1" applyFill="1" applyBorder="1" applyAlignment="1" applyProtection="1">
      <alignment horizontal="right" vertical="center"/>
    </xf>
    <xf numFmtId="0" fontId="24" fillId="3" borderId="0" xfId="0" applyFont="1" applyFill="1" applyBorder="1" applyAlignment="1" applyProtection="1">
      <alignment vertical="center"/>
    </xf>
    <xf numFmtId="0" fontId="24" fillId="4" borderId="0" xfId="0" applyFont="1" applyFill="1" applyBorder="1" applyAlignment="1" applyProtection="1">
      <alignment vertical="center"/>
    </xf>
    <xf numFmtId="0" fontId="24" fillId="3" borderId="0" xfId="0" applyFont="1" applyFill="1" applyBorder="1" applyAlignment="1" applyProtection="1">
      <alignment horizontal="right" vertical="center"/>
    </xf>
    <xf numFmtId="0" fontId="24" fillId="4" borderId="0" xfId="0" applyFont="1" applyFill="1" applyBorder="1" applyAlignment="1" applyProtection="1">
      <alignment horizontal="right" vertical="center"/>
    </xf>
    <xf numFmtId="1" fontId="15" fillId="4" borderId="0" xfId="0" applyNumberFormat="1" applyFont="1" applyFill="1" applyBorder="1" applyAlignment="1" applyProtection="1">
      <alignment horizontal="center" vertical="center"/>
    </xf>
    <xf numFmtId="0" fontId="15" fillId="4" borderId="0" xfId="0" applyFont="1" applyFill="1" applyBorder="1" applyAlignment="1" applyProtection="1">
      <alignment horizontal="center" vertical="center"/>
    </xf>
    <xf numFmtId="0" fontId="14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/>
    </xf>
    <xf numFmtId="0" fontId="14" fillId="0" borderId="0" xfId="0" applyFont="1" applyFill="1" applyBorder="1" applyAlignment="1" applyProtection="1">
      <alignment vertical="center"/>
    </xf>
    <xf numFmtId="0" fontId="1" fillId="8" borderId="0" xfId="0" applyFont="1" applyFill="1" applyBorder="1" applyAlignment="1" applyProtection="1">
      <alignment horizontal="center" vertical="center"/>
    </xf>
    <xf numFmtId="0" fontId="5" fillId="7" borderId="0" xfId="0" applyNumberFormat="1" applyFont="1" applyFill="1" applyBorder="1" applyAlignment="1" applyProtection="1">
      <alignment vertical="center"/>
    </xf>
    <xf numFmtId="1" fontId="17" fillId="4" borderId="0" xfId="0" applyNumberFormat="1" applyFont="1" applyFill="1" applyBorder="1" applyAlignment="1" applyProtection="1">
      <alignment horizontal="center" vertical="center"/>
    </xf>
    <xf numFmtId="0" fontId="17" fillId="4" borderId="0" xfId="0" applyFont="1" applyFill="1" applyBorder="1" applyAlignment="1" applyProtection="1">
      <alignment horizontal="center" vertical="center"/>
    </xf>
    <xf numFmtId="0" fontId="1" fillId="10" borderId="0" xfId="0" applyFont="1" applyFill="1" applyBorder="1" applyAlignment="1" applyProtection="1">
      <alignment horizontal="center" vertical="center"/>
    </xf>
    <xf numFmtId="0" fontId="5" fillId="9" borderId="0" xfId="0" applyNumberFormat="1" applyFont="1" applyFill="1" applyBorder="1" applyAlignment="1" applyProtection="1">
      <alignment vertical="center"/>
    </xf>
    <xf numFmtId="1" fontId="19" fillId="4" borderId="0" xfId="0" applyNumberFormat="1" applyFont="1" applyFill="1" applyBorder="1" applyAlignment="1" applyProtection="1">
      <alignment horizontal="center" vertical="center"/>
    </xf>
    <xf numFmtId="0" fontId="19" fillId="4" borderId="0" xfId="0" applyFont="1" applyFill="1" applyBorder="1" applyAlignment="1" applyProtection="1">
      <alignment horizontal="center" vertical="center"/>
    </xf>
    <xf numFmtId="0" fontId="1" fillId="19" borderId="0" xfId="0" applyFont="1" applyFill="1" applyBorder="1" applyAlignment="1" applyProtection="1">
      <alignment horizontal="center" vertical="center"/>
    </xf>
    <xf numFmtId="0" fontId="5" fillId="11" borderId="0" xfId="0" applyNumberFormat="1" applyFont="1" applyFill="1" applyBorder="1" applyAlignment="1" applyProtection="1">
      <alignment vertical="center"/>
    </xf>
    <xf numFmtId="1" fontId="11" fillId="4" borderId="0" xfId="0" applyNumberFormat="1" applyFont="1" applyFill="1" applyBorder="1" applyAlignment="1" applyProtection="1">
      <alignment horizontal="center" vertical="center"/>
    </xf>
    <xf numFmtId="0" fontId="11" fillId="4" borderId="0" xfId="0" applyFont="1" applyFill="1" applyBorder="1" applyAlignment="1" applyProtection="1">
      <alignment horizontal="center" vertical="center"/>
    </xf>
    <xf numFmtId="0" fontId="1" fillId="13" borderId="0" xfId="0" applyFont="1" applyFill="1" applyBorder="1" applyAlignment="1" applyProtection="1">
      <alignment horizontal="center" vertical="center"/>
    </xf>
    <xf numFmtId="0" fontId="5" fillId="12" borderId="0" xfId="0" applyNumberFormat="1" applyFont="1" applyFill="1" applyBorder="1" applyAlignment="1" applyProtection="1">
      <alignment vertical="center"/>
    </xf>
    <xf numFmtId="1" fontId="20" fillId="4" borderId="0" xfId="0" applyNumberFormat="1" applyFont="1" applyFill="1" applyBorder="1" applyAlignment="1" applyProtection="1">
      <alignment horizontal="center" vertical="center"/>
    </xf>
    <xf numFmtId="0" fontId="20" fillId="4" borderId="0" xfId="0" applyFont="1" applyFill="1" applyBorder="1" applyAlignment="1" applyProtection="1">
      <alignment horizontal="center" vertical="center"/>
    </xf>
    <xf numFmtId="0" fontId="1" fillId="15" borderId="0" xfId="0" applyFont="1" applyFill="1" applyBorder="1" applyAlignment="1" applyProtection="1">
      <alignment horizontal="center" vertical="center"/>
    </xf>
    <xf numFmtId="1" fontId="22" fillId="4" borderId="0" xfId="0" applyNumberFormat="1" applyFont="1" applyFill="1" applyBorder="1" applyAlignment="1" applyProtection="1">
      <alignment horizontal="center" vertical="center"/>
    </xf>
    <xf numFmtId="0" fontId="22" fillId="4" borderId="0" xfId="0" applyFont="1" applyFill="1" applyBorder="1" applyAlignment="1" applyProtection="1">
      <alignment horizontal="center" vertical="center"/>
    </xf>
    <xf numFmtId="0" fontId="1" fillId="16" borderId="0" xfId="0" applyFont="1" applyFill="1" applyBorder="1" applyAlignment="1" applyProtection="1">
      <alignment horizontal="center" vertical="center"/>
    </xf>
    <xf numFmtId="0" fontId="5" fillId="10" borderId="0" xfId="0" applyNumberFormat="1" applyFont="1" applyFill="1" applyBorder="1" applyAlignment="1" applyProtection="1">
      <alignment vertical="center"/>
    </xf>
    <xf numFmtId="1" fontId="24" fillId="4" borderId="0" xfId="0" applyNumberFormat="1" applyFont="1" applyFill="1" applyBorder="1" applyAlignment="1" applyProtection="1">
      <alignment horizontal="center" vertical="center"/>
    </xf>
    <xf numFmtId="0" fontId="24" fillId="4" borderId="0" xfId="0" applyFont="1" applyFill="1" applyBorder="1" applyAlignment="1" applyProtection="1">
      <alignment horizontal="center" vertical="center"/>
    </xf>
    <xf numFmtId="0" fontId="1" fillId="0" borderId="0" xfId="0" applyFont="1" applyFill="1" applyProtection="1"/>
    <xf numFmtId="0" fontId="1" fillId="18" borderId="0" xfId="0" applyFont="1" applyFill="1" applyBorder="1" applyAlignment="1" applyProtection="1">
      <alignment vertical="center"/>
    </xf>
    <xf numFmtId="0" fontId="5" fillId="17" borderId="0" xfId="0" applyNumberFormat="1" applyFont="1" applyFill="1" applyBorder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6" borderId="0" xfId="0" applyFont="1" applyFill="1" applyBorder="1" applyAlignment="1" applyProtection="1">
      <alignment horizontal="center" vertical="center"/>
    </xf>
    <xf numFmtId="0" fontId="5" fillId="5" borderId="0" xfId="0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 applyProtection="1">
      <alignment horizontal="left" vertical="center"/>
    </xf>
    <xf numFmtId="0" fontId="12" fillId="0" borderId="4" xfId="0" applyFont="1" applyFill="1" applyBorder="1" applyAlignment="1" applyProtection="1">
      <alignment horizontal="left" vertical="center"/>
    </xf>
    <xf numFmtId="0" fontId="12" fillId="0" borderId="6" xfId="0" applyFont="1" applyFill="1" applyBorder="1" applyAlignment="1" applyProtection="1">
      <alignment horizontal="left" vertical="center"/>
    </xf>
    <xf numFmtId="0" fontId="12" fillId="0" borderId="11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8" xfId="0" applyFont="1" applyFill="1" applyBorder="1" applyAlignment="1" applyProtection="1">
      <alignment horizontal="left" vertical="center"/>
    </xf>
    <xf numFmtId="0" fontId="12" fillId="0" borderId="19" xfId="0" applyFont="1" applyFill="1" applyBorder="1" applyAlignment="1" applyProtection="1">
      <alignment horizontal="left" vertical="center"/>
    </xf>
    <xf numFmtId="0" fontId="12" fillId="0" borderId="23" xfId="0" applyFont="1" applyFill="1" applyBorder="1" applyAlignment="1" applyProtection="1">
      <alignment horizontal="left" vertical="center"/>
    </xf>
    <xf numFmtId="0" fontId="12" fillId="0" borderId="24" xfId="0" applyFont="1" applyFill="1" applyBorder="1" applyAlignment="1" applyProtection="1">
      <alignment horizontal="left" vertical="center"/>
    </xf>
    <xf numFmtId="0" fontId="12" fillId="0" borderId="25" xfId="0" applyFont="1" applyFill="1" applyBorder="1" applyAlignment="1" applyProtection="1">
      <alignment horizontal="left" vertical="center"/>
    </xf>
    <xf numFmtId="0" fontId="12" fillId="0" borderId="26" xfId="0" applyFont="1" applyFill="1" applyBorder="1" applyAlignment="1" applyProtection="1">
      <alignment horizontal="left" vertical="center"/>
    </xf>
    <xf numFmtId="0" fontId="12" fillId="0" borderId="27" xfId="0" applyFont="1" applyFill="1" applyBorder="1" applyAlignment="1" applyProtection="1">
      <alignment horizontal="left" vertical="center"/>
    </xf>
    <xf numFmtId="0" fontId="12" fillId="0" borderId="28" xfId="0" applyFont="1" applyFill="1" applyBorder="1" applyAlignment="1" applyProtection="1">
      <alignment horizontal="left" vertical="center"/>
    </xf>
    <xf numFmtId="0" fontId="12" fillId="0" borderId="29" xfId="0" applyFont="1" applyFill="1" applyBorder="1" applyAlignment="1" applyProtection="1">
      <alignment horizontal="left" vertical="center"/>
    </xf>
    <xf numFmtId="0" fontId="5" fillId="2" borderId="0" xfId="0" applyNumberFormat="1" applyFont="1" applyFill="1" applyBorder="1" applyAlignment="1" applyProtection="1">
      <alignment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3" fillId="0" borderId="0" xfId="1" applyFill="1" applyAlignment="1" applyProtection="1">
      <alignment horizontal="center" vertical="top"/>
      <protection locked="0"/>
    </xf>
    <xf numFmtId="164" fontId="9" fillId="0" borderId="24" xfId="0" applyNumberFormat="1" applyFont="1" applyFill="1" applyBorder="1" applyAlignment="1" applyProtection="1">
      <alignment horizontal="center" vertical="center" wrapText="1"/>
    </xf>
    <xf numFmtId="164" fontId="9" fillId="0" borderId="25" xfId="0" applyNumberFormat="1" applyFont="1" applyFill="1" applyBorder="1" applyAlignment="1" applyProtection="1">
      <alignment horizontal="center" vertical="center" wrapText="1"/>
    </xf>
    <xf numFmtId="20" fontId="10" fillId="0" borderId="24" xfId="0" applyNumberFormat="1" applyFont="1" applyFill="1" applyBorder="1" applyAlignment="1" applyProtection="1">
      <alignment horizontal="left" vertical="center"/>
    </xf>
    <xf numFmtId="20" fontId="10" fillId="0" borderId="25" xfId="0" applyNumberFormat="1" applyFont="1" applyFill="1" applyBorder="1" applyAlignment="1" applyProtection="1">
      <alignment horizontal="left" vertical="center"/>
    </xf>
    <xf numFmtId="0" fontId="30" fillId="0" borderId="0" xfId="1" applyFont="1" applyFill="1" applyBorder="1" applyAlignment="1" applyProtection="1">
      <alignment horizontal="center" vertical="center"/>
      <protection locked="0"/>
    </xf>
    <xf numFmtId="0" fontId="4" fillId="17" borderId="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horizontal="center" vertical="center" wrapText="1"/>
    </xf>
    <xf numFmtId="164" fontId="9" fillId="0" borderId="4" xfId="0" applyNumberFormat="1" applyFont="1" applyFill="1" applyBorder="1" applyAlignment="1" applyProtection="1">
      <alignment horizontal="center" vertical="center" wrapText="1"/>
    </xf>
    <xf numFmtId="20" fontId="10" fillId="0" borderId="0" xfId="0" applyNumberFormat="1" applyFont="1" applyFill="1" applyBorder="1" applyAlignment="1" applyProtection="1">
      <alignment horizontal="left" vertical="center"/>
    </xf>
    <xf numFmtId="20" fontId="10" fillId="0" borderId="4" xfId="0" applyNumberFormat="1" applyFont="1" applyFill="1" applyBorder="1" applyAlignment="1" applyProtection="1">
      <alignment horizontal="left" vertical="center"/>
    </xf>
    <xf numFmtId="164" fontId="9" fillId="0" borderId="6" xfId="0" applyNumberFormat="1" applyFont="1" applyFill="1" applyBorder="1" applyAlignment="1" applyProtection="1">
      <alignment horizontal="center" vertical="center" wrapText="1"/>
    </xf>
    <xf numFmtId="164" fontId="9" fillId="0" borderId="11" xfId="0" applyNumberFormat="1" applyFont="1" applyFill="1" applyBorder="1" applyAlignment="1" applyProtection="1">
      <alignment horizontal="center" vertical="center" wrapText="1"/>
    </xf>
    <xf numFmtId="20" fontId="10" fillId="0" borderId="6" xfId="0" applyNumberFormat="1" applyFont="1" applyFill="1" applyBorder="1" applyAlignment="1" applyProtection="1">
      <alignment horizontal="left" vertical="center"/>
    </xf>
    <xf numFmtId="20" fontId="10" fillId="0" borderId="11" xfId="0" applyNumberFormat="1" applyFont="1" applyFill="1" applyBorder="1" applyAlignment="1" applyProtection="1">
      <alignment horizontal="left" vertical="center"/>
    </xf>
    <xf numFmtId="164" fontId="9" fillId="0" borderId="17" xfId="0" applyNumberFormat="1" applyFont="1" applyFill="1" applyBorder="1" applyAlignment="1" applyProtection="1">
      <alignment horizontal="center" vertical="center" wrapText="1"/>
    </xf>
    <xf numFmtId="164" fontId="9" fillId="0" borderId="18" xfId="0" applyNumberFormat="1" applyFont="1" applyFill="1" applyBorder="1" applyAlignment="1" applyProtection="1">
      <alignment horizontal="center" vertical="center" wrapText="1"/>
    </xf>
    <xf numFmtId="20" fontId="10" fillId="0" borderId="17" xfId="0" applyNumberFormat="1" applyFont="1" applyFill="1" applyBorder="1" applyAlignment="1" applyProtection="1">
      <alignment horizontal="left" vertical="center"/>
    </xf>
    <xf numFmtId="20" fontId="10" fillId="0" borderId="18" xfId="0" applyNumberFormat="1" applyFont="1" applyFill="1" applyBorder="1" applyAlignment="1" applyProtection="1">
      <alignment horizontal="left" vertical="center"/>
    </xf>
    <xf numFmtId="164" fontId="9" fillId="0" borderId="19" xfId="0" applyNumberFormat="1" applyFont="1" applyFill="1" applyBorder="1" applyAlignment="1" applyProtection="1">
      <alignment horizontal="center" vertical="center" wrapText="1"/>
    </xf>
    <xf numFmtId="164" fontId="9" fillId="0" borderId="23" xfId="0" applyNumberFormat="1" applyFont="1" applyFill="1" applyBorder="1" applyAlignment="1" applyProtection="1">
      <alignment horizontal="center" vertical="center" wrapText="1"/>
    </xf>
    <xf numFmtId="20" fontId="10" fillId="0" borderId="19" xfId="0" applyNumberFormat="1" applyFont="1" applyFill="1" applyBorder="1" applyAlignment="1" applyProtection="1">
      <alignment horizontal="left" vertical="center"/>
    </xf>
    <xf numFmtId="20" fontId="10" fillId="0" borderId="23" xfId="0" applyNumberFormat="1" applyFont="1" applyFill="1" applyBorder="1" applyAlignment="1" applyProtection="1">
      <alignment horizontal="left" vertical="center"/>
    </xf>
    <xf numFmtId="0" fontId="4" fillId="5" borderId="0" xfId="0" applyNumberFormat="1" applyFont="1" applyFill="1" applyBorder="1" applyAlignment="1" applyProtection="1">
      <alignment horizontal="center" vertical="center"/>
    </xf>
    <xf numFmtId="164" fontId="9" fillId="0" borderId="26" xfId="0" applyNumberFormat="1" applyFont="1" applyFill="1" applyBorder="1" applyAlignment="1" applyProtection="1">
      <alignment horizontal="center" vertical="center" wrapText="1"/>
    </xf>
    <xf numFmtId="164" fontId="9" fillId="0" borderId="27" xfId="0" applyNumberFormat="1" applyFont="1" applyFill="1" applyBorder="1" applyAlignment="1" applyProtection="1">
      <alignment horizontal="center" vertical="center" wrapText="1"/>
    </xf>
    <xf numFmtId="20" fontId="10" fillId="0" borderId="26" xfId="0" applyNumberFormat="1" applyFont="1" applyFill="1" applyBorder="1" applyAlignment="1" applyProtection="1">
      <alignment horizontal="left" vertical="center"/>
    </xf>
    <xf numFmtId="20" fontId="10" fillId="0" borderId="27" xfId="0" applyNumberFormat="1" applyFont="1" applyFill="1" applyBorder="1" applyAlignment="1" applyProtection="1">
      <alignment horizontal="left" vertical="center"/>
    </xf>
    <xf numFmtId="164" fontId="9" fillId="0" borderId="28" xfId="0" applyNumberFormat="1" applyFont="1" applyFill="1" applyBorder="1" applyAlignment="1" applyProtection="1">
      <alignment horizontal="center" vertical="center" wrapText="1"/>
    </xf>
    <xf numFmtId="164" fontId="9" fillId="0" borderId="29" xfId="0" applyNumberFormat="1" applyFont="1" applyFill="1" applyBorder="1" applyAlignment="1" applyProtection="1">
      <alignment horizontal="center" vertical="center" wrapText="1"/>
    </xf>
    <xf numFmtId="20" fontId="10" fillId="0" borderId="28" xfId="0" applyNumberFormat="1" applyFont="1" applyFill="1" applyBorder="1" applyAlignment="1" applyProtection="1">
      <alignment horizontal="left" vertical="center"/>
    </xf>
    <xf numFmtId="20" fontId="10" fillId="0" borderId="29" xfId="0" applyNumberFormat="1" applyFont="1" applyFill="1" applyBorder="1" applyAlignment="1" applyProtection="1">
      <alignment horizontal="left" vertical="center"/>
    </xf>
    <xf numFmtId="0" fontId="4" fillId="7" borderId="0" xfId="0" applyNumberFormat="1" applyFont="1" applyFill="1" applyBorder="1" applyAlignment="1" applyProtection="1">
      <alignment horizontal="center" vertical="center"/>
    </xf>
    <xf numFmtId="20" fontId="18" fillId="0" borderId="0" xfId="0" applyNumberFormat="1" applyFont="1" applyFill="1" applyBorder="1" applyAlignment="1" applyProtection="1">
      <alignment horizontal="center" vertical="center"/>
    </xf>
    <xf numFmtId="20" fontId="18" fillId="0" borderId="4" xfId="0" applyNumberFormat="1" applyFont="1" applyFill="1" applyBorder="1" applyAlignment="1" applyProtection="1">
      <alignment horizontal="center" vertical="center"/>
    </xf>
    <xf numFmtId="20" fontId="18" fillId="0" borderId="17" xfId="0" applyNumberFormat="1" applyFont="1" applyFill="1" applyBorder="1" applyAlignment="1" applyProtection="1">
      <alignment horizontal="center" vertical="center"/>
    </xf>
    <xf numFmtId="20" fontId="18" fillId="0" borderId="18" xfId="0" applyNumberFormat="1" applyFont="1" applyFill="1" applyBorder="1" applyAlignment="1" applyProtection="1">
      <alignment horizontal="center" vertical="center"/>
    </xf>
    <xf numFmtId="20" fontId="18" fillId="0" borderId="19" xfId="0" applyNumberFormat="1" applyFont="1" applyFill="1" applyBorder="1" applyAlignment="1" applyProtection="1">
      <alignment horizontal="center" vertical="center"/>
    </xf>
    <xf numFmtId="20" fontId="18" fillId="0" borderId="23" xfId="0" applyNumberFormat="1" applyFont="1" applyFill="1" applyBorder="1" applyAlignment="1" applyProtection="1">
      <alignment horizontal="center" vertical="center"/>
    </xf>
    <xf numFmtId="0" fontId="4" fillId="9" borderId="0" xfId="0" applyNumberFormat="1" applyFont="1" applyFill="1" applyBorder="1" applyAlignment="1" applyProtection="1">
      <alignment horizontal="center" vertical="center"/>
    </xf>
    <xf numFmtId="0" fontId="4" fillId="12" borderId="0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center" vertical="center"/>
    </xf>
    <xf numFmtId="20" fontId="10" fillId="0" borderId="0" xfId="0" applyNumberFormat="1" applyFont="1" applyFill="1" applyBorder="1" applyAlignment="1" applyProtection="1">
      <alignment horizontal="center" vertical="center"/>
    </xf>
    <xf numFmtId="20" fontId="10" fillId="0" borderId="4" xfId="0" applyNumberFormat="1" applyFont="1" applyFill="1" applyBorder="1" applyAlignment="1" applyProtection="1">
      <alignment horizontal="center" vertical="center"/>
    </xf>
    <xf numFmtId="0" fontId="4" fillId="11" borderId="0" xfId="0" applyNumberFormat="1" applyFont="1" applyFill="1" applyBorder="1" applyAlignment="1" applyProtection="1">
      <alignment horizontal="center" vertical="center"/>
    </xf>
    <xf numFmtId="0" fontId="4" fillId="10" borderId="0" xfId="0" applyNumberFormat="1" applyFont="1" applyFill="1" applyBorder="1" applyAlignment="1" applyProtection="1">
      <alignment horizontal="center" vertical="center"/>
    </xf>
    <xf numFmtId="0" fontId="27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0" fontId="4" fillId="14" borderId="0" xfId="0" applyNumberFormat="1" applyFont="1" applyFill="1" applyBorder="1" applyAlignment="1" applyProtection="1">
      <alignment horizontal="center" vertical="center"/>
    </xf>
  </cellXfs>
  <cellStyles count="2">
    <cellStyle name="Lien hypertexte" xfId="1" builtinId="8"/>
    <cellStyle name="Normal" xfId="0" builtinId="0"/>
  </cellStyles>
  <dxfs count="8"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theme="5" tint="-0.24994659260841701"/>
      </font>
      <fill>
        <patternFill>
          <bgColor theme="4" tint="0.39994506668294322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0" tint="-0.499984740745262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8CDB2"/>
      <color rgb="FF2DC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upedumonde2022.net/" TargetMode="External"/><Relationship Id="rId1" Type="http://schemas.openxmlformats.org/officeDocument/2006/relationships/hyperlink" Target="https://coupedumonde2022.net/mondial-qatar-2022/calendr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7B6E-A8C8-4514-8951-109C8154FB42}">
  <dimension ref="B1:BX88"/>
  <sheetViews>
    <sheetView showGridLines="0" tabSelected="1" zoomScale="110" zoomScaleNormal="110" workbookViewId="0">
      <selection activeCell="U2" sqref="U2"/>
    </sheetView>
  </sheetViews>
  <sheetFormatPr baseColWidth="10" defaultColWidth="11.42578125" defaultRowHeight="11.25" x14ac:dyDescent="0.2"/>
  <cols>
    <col min="1" max="1" width="1.28515625" style="5" customWidth="1"/>
    <col min="2" max="2" width="7.28515625" style="1" customWidth="1"/>
    <col min="3" max="3" width="6.85546875" style="2" customWidth="1"/>
    <col min="4" max="4" width="14.5703125" style="1" customWidth="1"/>
    <col min="5" max="6" width="2.5703125" style="3" customWidth="1"/>
    <col min="7" max="7" width="14.5703125" style="4" customWidth="1"/>
    <col min="8" max="8" width="2.5703125" style="5" customWidth="1"/>
    <col min="9" max="9" width="2.7109375" style="5" customWidth="1"/>
    <col min="10" max="10" width="15.28515625" style="5" customWidth="1"/>
    <col min="11" max="11" width="4" style="5" bestFit="1" customWidth="1"/>
    <col min="12" max="13" width="3.5703125" style="5" bestFit="1" customWidth="1"/>
    <col min="14" max="14" width="3.42578125" style="5" bestFit="1" customWidth="1"/>
    <col min="15" max="15" width="1.28515625" style="5" customWidth="1"/>
    <col min="16" max="18" width="1.5703125" style="5" customWidth="1"/>
    <col min="19" max="19" width="7.85546875" style="5" customWidth="1"/>
    <col min="20" max="20" width="9.140625" style="5" customWidth="1"/>
    <col min="21" max="21" width="20.42578125" style="5" customWidth="1"/>
    <col min="22" max="22" width="5.42578125" style="5" customWidth="1"/>
    <col min="23" max="23" width="5" style="5" customWidth="1"/>
    <col min="24" max="24" width="5.5703125" style="5" customWidth="1"/>
    <col min="25" max="26" width="9.5703125" style="5" customWidth="1"/>
    <col min="27" max="27" width="20.42578125" style="5" customWidth="1"/>
    <col min="28" max="28" width="3" style="5" customWidth="1"/>
    <col min="29" max="29" width="5" style="5" customWidth="1"/>
    <col min="30" max="31" width="9.5703125" style="5" customWidth="1"/>
    <col min="32" max="32" width="16.5703125" style="5" customWidth="1"/>
    <col min="33" max="33" width="38.5703125" style="5" customWidth="1"/>
    <col min="34" max="34" width="7.28515625" style="5" customWidth="1"/>
    <col min="35" max="37" width="9.5703125" style="5" hidden="1" customWidth="1"/>
    <col min="38" max="38" width="5.28515625" style="5" hidden="1" customWidth="1"/>
    <col min="39" max="39" width="11.42578125" style="5" hidden="1" customWidth="1"/>
    <col min="40" max="40" width="3.42578125" style="5" hidden="1" customWidth="1"/>
    <col min="41" max="41" width="3.28515625" style="5" hidden="1" customWidth="1"/>
    <col min="42" max="43" width="3.42578125" style="5" hidden="1" customWidth="1"/>
    <col min="44" max="44" width="5.7109375" style="5" hidden="1" customWidth="1"/>
    <col min="45" max="47" width="4" style="5" hidden="1" customWidth="1"/>
    <col min="48" max="48" width="5.5703125" style="5" hidden="1" customWidth="1"/>
    <col min="49" max="51" width="5.7109375" style="5" hidden="1" customWidth="1"/>
    <col min="52" max="55" width="6" style="5" hidden="1" customWidth="1"/>
    <col min="56" max="59" width="5.42578125" style="5" hidden="1" customWidth="1"/>
    <col min="60" max="60" width="5.7109375" style="5" hidden="1" customWidth="1"/>
    <col min="61" max="71" width="5.5703125" style="5" hidden="1" customWidth="1"/>
    <col min="72" max="75" width="6.5703125" style="5" hidden="1" customWidth="1"/>
    <col min="76" max="16384" width="11.42578125" style="5"/>
  </cols>
  <sheetData>
    <row r="1" spans="2:75" ht="4.3499999999999996" customHeight="1" x14ac:dyDescent="0.2"/>
    <row r="2" spans="2:75" ht="13.9" customHeight="1" x14ac:dyDescent="0.2">
      <c r="K2" s="6"/>
      <c r="L2" s="7"/>
      <c r="M2" s="7"/>
      <c r="N2" s="7"/>
      <c r="O2" s="7"/>
      <c r="P2" s="7"/>
      <c r="Q2" s="7"/>
      <c r="R2" s="7"/>
      <c r="S2" s="7"/>
      <c r="T2" s="7"/>
      <c r="U2" s="181" t="s">
        <v>118</v>
      </c>
      <c r="V2" s="7"/>
      <c r="W2" s="7"/>
    </row>
    <row r="3" spans="2:75" ht="16.899999999999999" customHeight="1" x14ac:dyDescent="0.2">
      <c r="B3" s="186" t="s">
        <v>117</v>
      </c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AF3" s="8"/>
      <c r="AG3" s="8"/>
      <c r="AH3" s="8"/>
      <c r="AI3" s="8"/>
      <c r="AJ3" s="8"/>
      <c r="AK3" s="8"/>
      <c r="AL3" s="8"/>
      <c r="AM3" s="8"/>
      <c r="AN3" s="8"/>
      <c r="BC3" s="9"/>
      <c r="BD3" s="10"/>
      <c r="BE3" s="3"/>
      <c r="BF3" s="3"/>
      <c r="BG3" s="3"/>
    </row>
    <row r="4" spans="2:75" ht="11.65" customHeight="1" x14ac:dyDescent="0.2"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AF4" s="11"/>
      <c r="AG4" s="11"/>
      <c r="AH4" s="11"/>
      <c r="AI4" s="11"/>
      <c r="AJ4" s="11"/>
      <c r="AK4" s="11"/>
      <c r="AL4" s="11"/>
      <c r="AM4" s="11"/>
      <c r="AN4" s="11"/>
      <c r="BC4" s="9"/>
      <c r="BD4" s="10"/>
      <c r="BE4" s="3"/>
      <c r="BF4" s="3"/>
      <c r="BG4" s="3"/>
    </row>
    <row r="5" spans="2:75" ht="6" customHeight="1" x14ac:dyDescent="0.2">
      <c r="I5" s="12"/>
      <c r="BD5" s="3"/>
      <c r="BE5" s="3"/>
      <c r="BF5" s="3"/>
      <c r="BG5" s="3"/>
    </row>
    <row r="6" spans="2:75" ht="3" customHeight="1" x14ac:dyDescent="0.2">
      <c r="AK6" s="1"/>
      <c r="BD6" s="3"/>
      <c r="BE6" s="3"/>
      <c r="BF6" s="3"/>
      <c r="BG6" s="3"/>
    </row>
    <row r="7" spans="2:75" ht="14.25" customHeight="1" x14ac:dyDescent="0.2">
      <c r="B7" s="187" t="s">
        <v>96</v>
      </c>
      <c r="C7" s="187"/>
      <c r="D7" s="187"/>
      <c r="E7" s="187"/>
      <c r="F7" s="187"/>
      <c r="G7" s="187"/>
      <c r="H7" s="13"/>
      <c r="I7" s="159"/>
      <c r="J7" s="160" t="s">
        <v>0</v>
      </c>
      <c r="K7" s="160" t="s">
        <v>1</v>
      </c>
      <c r="L7" s="160" t="s">
        <v>2</v>
      </c>
      <c r="M7" s="160" t="s">
        <v>3</v>
      </c>
      <c r="N7" s="160" t="str">
        <f>"+/-"</f>
        <v>+/-</v>
      </c>
      <c r="O7" s="13"/>
      <c r="P7" s="13"/>
      <c r="Q7" s="13"/>
      <c r="R7" s="13"/>
      <c r="S7" s="188" t="s">
        <v>104</v>
      </c>
      <c r="T7" s="188"/>
      <c r="U7" s="188"/>
      <c r="V7" s="188"/>
      <c r="W7" s="179" t="s">
        <v>4</v>
      </c>
      <c r="X7" s="14"/>
      <c r="Y7" s="14"/>
      <c r="Z7" s="14"/>
      <c r="AA7" s="14"/>
      <c r="AB7" s="15"/>
      <c r="AC7" s="15"/>
      <c r="AD7" s="16"/>
      <c r="AE7" s="16"/>
      <c r="AF7" s="17"/>
      <c r="AG7" s="17"/>
      <c r="AK7" s="1" t="s">
        <v>5</v>
      </c>
      <c r="AL7" s="1" t="s">
        <v>6</v>
      </c>
      <c r="AM7" s="1" t="s">
        <v>7</v>
      </c>
      <c r="AN7" s="1" t="s">
        <v>8</v>
      </c>
      <c r="AO7" s="1" t="s">
        <v>9</v>
      </c>
      <c r="AP7" s="1" t="s">
        <v>10</v>
      </c>
      <c r="AQ7" s="1" t="s">
        <v>11</v>
      </c>
      <c r="AR7" s="1" t="s">
        <v>12</v>
      </c>
      <c r="AS7" s="1" t="s">
        <v>13</v>
      </c>
      <c r="AT7" s="1" t="s">
        <v>14</v>
      </c>
      <c r="AU7" s="1" t="s">
        <v>15</v>
      </c>
      <c r="AV7" s="1" t="s">
        <v>16</v>
      </c>
      <c r="AW7" s="1" t="s">
        <v>17</v>
      </c>
      <c r="AX7" s="1" t="s">
        <v>18</v>
      </c>
      <c r="AY7" s="1" t="s">
        <v>19</v>
      </c>
      <c r="AZ7" s="1" t="s">
        <v>20</v>
      </c>
      <c r="BA7" s="1" t="s">
        <v>21</v>
      </c>
      <c r="BB7" s="1" t="s">
        <v>22</v>
      </c>
      <c r="BC7" s="1" t="s">
        <v>23</v>
      </c>
      <c r="BD7" s="1" t="s">
        <v>3</v>
      </c>
      <c r="BE7" s="1" t="s">
        <v>24</v>
      </c>
      <c r="BF7" s="1" t="s">
        <v>25</v>
      </c>
      <c r="BG7" s="1" t="s">
        <v>26</v>
      </c>
      <c r="BH7" s="1" t="s">
        <v>27</v>
      </c>
      <c r="BI7" s="1" t="s">
        <v>28</v>
      </c>
      <c r="BJ7" s="1" t="s">
        <v>29</v>
      </c>
      <c r="BK7" s="1" t="s">
        <v>30</v>
      </c>
      <c r="BL7" s="1" t="s">
        <v>31</v>
      </c>
      <c r="BM7" s="1" t="s">
        <v>32</v>
      </c>
      <c r="BN7" s="1" t="s">
        <v>33</v>
      </c>
      <c r="BO7" s="1" t="s">
        <v>34</v>
      </c>
      <c r="BP7" s="1" t="s">
        <v>35</v>
      </c>
      <c r="BQ7" s="1" t="s">
        <v>2</v>
      </c>
      <c r="BR7" s="1" t="s">
        <v>35</v>
      </c>
      <c r="BS7" s="1" t="s">
        <v>2</v>
      </c>
      <c r="BU7" s="5">
        <f>IF($BM11,IF(E8-F8&lt;0,-0.5,IF(F8-E8&lt;0,0.5,0)),IF($BI11,IF($AZ11&gt;$AZ12,-0.5,IF($AZ11&lt;$AZ12,0.5,0)),IF($BJ11,IF($BA11&gt;$BA12,-0.5, IF($BA11&lt;$BA12,0.5,0)),0)))</f>
        <v>0</v>
      </c>
      <c r="BW7" s="5">
        <f>F12-E12</f>
        <v>0</v>
      </c>
    </row>
    <row r="8" spans="2:75" ht="14.25" customHeight="1" x14ac:dyDescent="0.2">
      <c r="B8" s="86">
        <v>44886</v>
      </c>
      <c r="C8" s="87">
        <v>0.70833333333333337</v>
      </c>
      <c r="D8" s="88" t="s">
        <v>109</v>
      </c>
      <c r="E8" s="83"/>
      <c r="F8" s="83"/>
      <c r="G8" s="92" t="s">
        <v>110</v>
      </c>
      <c r="H8" s="13"/>
      <c r="I8" s="94">
        <f>AI11</f>
        <v>1</v>
      </c>
      <c r="J8" s="84" t="str">
        <f>INDEX(AM11:AM14,MATCH(AK11,$AL11:$AL14,0))</f>
        <v>Qatar</v>
      </c>
      <c r="K8" s="95">
        <f>INDEX(AN11:AN14,MATCH(AK11,$AL11:$AL14,0))</f>
        <v>0</v>
      </c>
      <c r="L8" s="95">
        <f>INDEX(AO11:AO14,MATCH(AK11,$AL11:$AL14,0))</f>
        <v>0</v>
      </c>
      <c r="M8" s="95">
        <f>INDEX(AP11:AP14,MATCH(AK11,$AL11:$AL14,0))</f>
        <v>0</v>
      </c>
      <c r="N8" s="95">
        <f>INDEX(AQ11:AQ14,MATCH(AK11,$AL11:$AL14,0))</f>
        <v>0</v>
      </c>
      <c r="O8" s="13"/>
      <c r="P8" s="13"/>
      <c r="Q8" s="13"/>
      <c r="R8" s="13"/>
      <c r="S8" s="189">
        <v>43281</v>
      </c>
      <c r="T8" s="191">
        <v>0.66666666666666663</v>
      </c>
      <c r="U8" s="165" t="str">
        <f>IF(OR(I25&lt;2),"C1",T(J24))</f>
        <v>C1</v>
      </c>
      <c r="V8" s="18"/>
      <c r="W8" s="19"/>
      <c r="X8" s="14"/>
      <c r="Y8" s="14"/>
      <c r="Z8" s="14"/>
      <c r="AA8" s="14"/>
      <c r="AB8" s="15"/>
      <c r="AC8" s="15"/>
      <c r="AD8" s="16"/>
      <c r="AE8" s="16"/>
      <c r="AF8" s="17"/>
      <c r="AG8" s="17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</row>
    <row r="9" spans="2:75" ht="14.25" customHeight="1" x14ac:dyDescent="0.2">
      <c r="B9" s="89">
        <v>44886</v>
      </c>
      <c r="C9" s="90">
        <v>0.45833333333333331</v>
      </c>
      <c r="D9" s="91" t="s">
        <v>95</v>
      </c>
      <c r="E9" s="83"/>
      <c r="F9" s="83"/>
      <c r="G9" s="93" t="s">
        <v>111</v>
      </c>
      <c r="H9" s="13"/>
      <c r="I9" s="94">
        <f>AI12</f>
        <v>1</v>
      </c>
      <c r="J9" s="84" t="str">
        <f>INDEX(AM11:AM14,MATCH(AK12,$AL11:$AL14,0))</f>
        <v>Equateur</v>
      </c>
      <c r="K9" s="95">
        <f>INDEX(AN11:AN14,MATCH(AK12,$AL11:$AL14,0))</f>
        <v>0</v>
      </c>
      <c r="L9" s="95">
        <f>INDEX(AO11:AO14,MATCH(AK12,$AL11:$AL14,0))</f>
        <v>0</v>
      </c>
      <c r="M9" s="95">
        <f>INDEX(AP11:AP14,MATCH(AK12,$AL11:$AL14,0))</f>
        <v>0</v>
      </c>
      <c r="N9" s="95">
        <f>INDEX(AQ11:AQ14,MATCH(AK12,$AL11:$AL14,0))</f>
        <v>0</v>
      </c>
      <c r="O9" s="13"/>
      <c r="P9" s="13"/>
      <c r="Q9" s="13"/>
      <c r="R9" s="13"/>
      <c r="S9" s="190"/>
      <c r="T9" s="192"/>
      <c r="U9" s="166" t="str">
        <f>IF(OR(I34&lt;3,I33&lt;2),"D2",T(J33))</f>
        <v>D2</v>
      </c>
      <c r="V9" s="20"/>
      <c r="W9" s="20"/>
      <c r="X9" s="14"/>
      <c r="Y9" s="14"/>
      <c r="Z9" s="14"/>
      <c r="AA9" s="14"/>
      <c r="AB9" s="15"/>
      <c r="AC9" s="15"/>
      <c r="AD9" s="16"/>
      <c r="AE9" s="16"/>
      <c r="AF9" s="17"/>
      <c r="AG9" s="17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</row>
    <row r="10" spans="2:75" ht="14.25" customHeight="1" x14ac:dyDescent="0.2">
      <c r="B10" s="86">
        <v>44890</v>
      </c>
      <c r="C10" s="87">
        <v>0.58333333333333337</v>
      </c>
      <c r="D10" s="85" t="str">
        <f>D8</f>
        <v>Qatar</v>
      </c>
      <c r="E10" s="83"/>
      <c r="F10" s="83"/>
      <c r="G10" s="92" t="str">
        <f>D9</f>
        <v>Sénégal</v>
      </c>
      <c r="H10" s="13"/>
      <c r="I10" s="96">
        <f>AI13</f>
        <v>1</v>
      </c>
      <c r="J10" s="21" t="str">
        <f>INDEX(AM11:AM14,MATCH(AK13,$AL11:$AL14,0))</f>
        <v>Sénégal</v>
      </c>
      <c r="K10" s="97">
        <f>INDEX(AN11:AN14,MATCH(AK13,$AL11:$AL14,0))</f>
        <v>0</v>
      </c>
      <c r="L10" s="97">
        <f>INDEX(AO11:AO14,MATCH(AK13,$AL11:$AL14,0))</f>
        <v>0</v>
      </c>
      <c r="M10" s="97">
        <f>INDEX(AP11:AP14,MATCH(AK13,$AL11:$AL14,0))</f>
        <v>0</v>
      </c>
      <c r="N10" s="97">
        <f>INDEX(AQ11:AQ14,MATCH(AK13,$AL11:$AL14,0))</f>
        <v>0</v>
      </c>
      <c r="O10" s="13"/>
      <c r="P10" s="13"/>
      <c r="Q10" s="13"/>
      <c r="R10" s="13"/>
      <c r="S10" s="193">
        <v>43281</v>
      </c>
      <c r="T10" s="195">
        <v>0.83333333333333337</v>
      </c>
      <c r="U10" s="167" t="str">
        <f>IF(OR(I9&lt;2),"A1",T(J8))</f>
        <v>A1</v>
      </c>
      <c r="V10" s="23"/>
      <c r="W10" s="23"/>
      <c r="X10" s="14"/>
      <c r="Y10" s="14"/>
      <c r="Z10" s="14"/>
      <c r="AA10" s="14"/>
      <c r="AB10" s="14"/>
      <c r="AC10" s="14"/>
      <c r="AD10" s="24"/>
      <c r="AE10" s="24"/>
      <c r="AK10" s="1"/>
      <c r="AL10" s="25" t="s">
        <v>38</v>
      </c>
      <c r="AM10" s="26" t="s">
        <v>39</v>
      </c>
      <c r="AN10" s="27" t="s">
        <v>1</v>
      </c>
      <c r="AO10" s="25" t="s">
        <v>40</v>
      </c>
      <c r="AP10" s="27" t="s">
        <v>41</v>
      </c>
      <c r="AQ10" s="28" t="s">
        <v>42</v>
      </c>
      <c r="AR10" s="27" t="s">
        <v>43</v>
      </c>
      <c r="AS10" s="27" t="s">
        <v>44</v>
      </c>
      <c r="AT10" s="27" t="s">
        <v>45</v>
      </c>
      <c r="AU10" s="27" t="s">
        <v>46</v>
      </c>
      <c r="AV10" s="25" t="s">
        <v>47</v>
      </c>
      <c r="AW10" s="27" t="s">
        <v>48</v>
      </c>
      <c r="AX10" s="27" t="s">
        <v>49</v>
      </c>
      <c r="AY10" s="28" t="s">
        <v>50</v>
      </c>
      <c r="AZ10" s="25" t="s">
        <v>51</v>
      </c>
      <c r="BA10" s="27" t="s">
        <v>52</v>
      </c>
      <c r="BB10" s="27" t="s">
        <v>53</v>
      </c>
      <c r="BC10" s="28" t="s">
        <v>54</v>
      </c>
      <c r="BD10" s="25" t="s">
        <v>55</v>
      </c>
      <c r="BE10" s="27" t="s">
        <v>56</v>
      </c>
      <c r="BF10" s="27" t="s">
        <v>57</v>
      </c>
      <c r="BG10" s="28" t="s">
        <v>58</v>
      </c>
      <c r="BH10" s="25" t="s">
        <v>59</v>
      </c>
      <c r="BI10" s="27" t="s">
        <v>51</v>
      </c>
      <c r="BJ10" s="27" t="s">
        <v>52</v>
      </c>
      <c r="BK10" s="27" t="s">
        <v>53</v>
      </c>
      <c r="BL10" s="27" t="s">
        <v>54</v>
      </c>
      <c r="BM10" s="27" t="s">
        <v>60</v>
      </c>
      <c r="BN10" s="27" t="s">
        <v>61</v>
      </c>
      <c r="BO10" s="27" t="s">
        <v>62</v>
      </c>
      <c r="BP10" s="27" t="s">
        <v>63</v>
      </c>
      <c r="BQ10" s="27" t="s">
        <v>64</v>
      </c>
      <c r="BR10" s="27" t="s">
        <v>65</v>
      </c>
      <c r="BS10" s="27" t="s">
        <v>66</v>
      </c>
      <c r="BT10" s="25" t="s">
        <v>67</v>
      </c>
      <c r="BU10" s="27" t="s">
        <v>68</v>
      </c>
      <c r="BV10" s="27" t="s">
        <v>69</v>
      </c>
      <c r="BW10" s="28" t="s">
        <v>70</v>
      </c>
    </row>
    <row r="11" spans="2:75" ht="14.25" customHeight="1" x14ac:dyDescent="0.2">
      <c r="B11" s="89">
        <v>44890</v>
      </c>
      <c r="C11" s="90">
        <v>0.70833333333333337</v>
      </c>
      <c r="D11" s="84" t="str">
        <f>G9</f>
        <v>Pays-Bas</v>
      </c>
      <c r="E11" s="83"/>
      <c r="F11" s="83"/>
      <c r="G11" s="93" t="str">
        <f>G8</f>
        <v>Equateur</v>
      </c>
      <c r="H11" s="13"/>
      <c r="I11" s="96">
        <f>AI14</f>
        <v>1</v>
      </c>
      <c r="J11" s="21" t="str">
        <f>INDEX(AM11:AM14,MATCH(AK14,$AL11:$AL14,0))</f>
        <v>Pays-Bas</v>
      </c>
      <c r="K11" s="97">
        <f>INDEX(AN11:AN14,MATCH(AK14,$AL11:$AL14,0))</f>
        <v>0</v>
      </c>
      <c r="L11" s="97">
        <f>INDEX(AO11:AO14,MATCH(AK14,$AL11:$AL14,0))</f>
        <v>0</v>
      </c>
      <c r="M11" s="97">
        <f>INDEX(AP11:AP14,MATCH(AK14,$AL11:$AL14,0))</f>
        <v>0</v>
      </c>
      <c r="N11" s="97">
        <f>INDEX(AQ11:AQ14,MATCH(AK14,$AL11:$AL14,0))</f>
        <v>0</v>
      </c>
      <c r="O11" s="13"/>
      <c r="P11" s="13"/>
      <c r="Q11" s="13"/>
      <c r="R11" s="13"/>
      <c r="S11" s="194"/>
      <c r="T11" s="196"/>
      <c r="U11" s="168" t="str">
        <f>IF(OR(I18&lt;3,I17&lt;2),"B2",T(J17))</f>
        <v>B2</v>
      </c>
      <c r="V11" s="23"/>
      <c r="W11" s="23"/>
      <c r="X11" s="14"/>
      <c r="Y11" s="14"/>
      <c r="Z11" s="14"/>
      <c r="AA11" s="14"/>
      <c r="AB11" s="14"/>
      <c r="AC11" s="14"/>
      <c r="AD11" s="24"/>
      <c r="AE11" s="24"/>
      <c r="AI11" s="30">
        <v>1</v>
      </c>
      <c r="AJ11" s="31">
        <f>ROUND(AK11,0)</f>
        <v>2</v>
      </c>
      <c r="AK11" s="32">
        <f>MIN(AL11:AL14)</f>
        <v>2.4500000000000002</v>
      </c>
      <c r="AL11" s="33">
        <f>SUM(BD11:BG11)+2.45</f>
        <v>2.4500000000000002</v>
      </c>
      <c r="AM11" s="34" t="str">
        <f>D8</f>
        <v>Qatar</v>
      </c>
      <c r="AN11" s="35">
        <f>SUM(AR11:AU11)</f>
        <v>0</v>
      </c>
      <c r="AO11" s="36">
        <f>E8+E10+F12</f>
        <v>0</v>
      </c>
      <c r="AP11" s="35">
        <f>F8+F10+E12</f>
        <v>0</v>
      </c>
      <c r="AQ11" s="37">
        <f>AO11-AP11</f>
        <v>0</v>
      </c>
      <c r="AR11" s="35" t="s">
        <v>71</v>
      </c>
      <c r="AS11" s="35">
        <f>IF(ISBLANK(E8),0,IF(E8&gt;F8,3,IF(E8=F8,1,0)))</f>
        <v>0</v>
      </c>
      <c r="AT11" s="35">
        <f>IF(ISBLANK(E10),0,IF(E10&gt;F10,3,IF(E10=F10,1,0)))</f>
        <v>0</v>
      </c>
      <c r="AU11" s="35">
        <f>IF(ISBLANK(F12),0,IF(F12&gt;E12,3,IF(F12=E12,1,0)))</f>
        <v>0</v>
      </c>
      <c r="AV11" s="36" t="s">
        <v>71</v>
      </c>
      <c r="AW11" s="35" t="b">
        <f>(10*(AQ11-AQ12)+AO11-AO12&gt;0)</f>
        <v>0</v>
      </c>
      <c r="AX11" s="35" t="b">
        <f>10*(AQ11-AQ13)+AO11-AO13&gt;0</f>
        <v>0</v>
      </c>
      <c r="AY11" s="37" t="b">
        <f>10*(AQ11-AQ14)+AO11-AO14&gt;0</f>
        <v>0</v>
      </c>
      <c r="AZ11" s="36">
        <f>10000*(AS11+AT11)+(E10-F10+E8-F8)*100+(E10+E8)</f>
        <v>0</v>
      </c>
      <c r="BA11" s="35">
        <f>10000*(AS11+AU11)+(E8-F8+F12-E12)*100+(E8+F12)</f>
        <v>0</v>
      </c>
      <c r="BB11" s="35">
        <f>10000*(AT11+AU11)+(E10-F10+F12-E12)*100+(E10+F12)</f>
        <v>0</v>
      </c>
      <c r="BC11" s="37" t="s">
        <v>71</v>
      </c>
      <c r="BD11" s="36" t="s">
        <v>71</v>
      </c>
      <c r="BE11" s="38">
        <f>IF($AN11&gt;$AN12,-0.5,IF($AN12&gt;$AN11,0.5,IF(AW11,-0.5,IF(AV12,0.5,BU11))))</f>
        <v>0</v>
      </c>
      <c r="BF11" s="38">
        <f>IF($AN11&gt;$AN13,-0.5,IF($AN13&gt;$AN11,0.5,IF(AX11,-0.5,IF(AV13,0.5,BV11))))</f>
        <v>0</v>
      </c>
      <c r="BG11" s="39">
        <f>IF($AN11&gt;$AN14,-0.5,IF($AN14&gt;$AN11,0.5,IF(AY11,-0.5,IF(AV14,0.5,BW11))))</f>
        <v>0</v>
      </c>
      <c r="BH11" s="40" t="b">
        <f>AND(AND(AN11=AN12,AN12=AN13,AN13=AN14),AND(AO11=AO12,AO12=AO13,AO13=AO14),AND(AP11=AP12,AP12=AP13,AP13=AP14))</f>
        <v>1</v>
      </c>
      <c r="BI11" s="40" t="b">
        <f>AND(NOT(BH11),AN11=AN12,AN11=AN13,AO11=AO12,AO11=AO13,AP11=AP12,AP11=AP13)</f>
        <v>0</v>
      </c>
      <c r="BJ11" s="40" t="b">
        <f>AND(NOT(BH11),AN11=AN12,AN11=AN14,AO11=AO12,AO11=AO14,AP11=AP12,AP11=AP14)</f>
        <v>0</v>
      </c>
      <c r="BK11" s="40" t="b">
        <f>AND(NOT(BH11),AN11=AN13,AN11=AN14,AO11=AO13,AO11=AO14,AP11=AP13,AP11=AP14)</f>
        <v>0</v>
      </c>
      <c r="BL11" s="40" t="b">
        <f>AND(NOT(BH11),AN12=AN13,AN12=AN14,AO12=AO13,AO12=AO14,AP12=AP13,AP12=AP14)</f>
        <v>0</v>
      </c>
      <c r="BM11" s="40" t="b">
        <f>AND(NOT(BH11),NOT(BI11),NOT(BJ11),AN11=AN12,AO11=AO12,AP11=AP12)</f>
        <v>0</v>
      </c>
      <c r="BN11" s="40" t="b">
        <f>AND(NOT(BH11),NOT(BI11),NOT(BK11),AN11=AN13,AO11=AO13,AP11=AP13)</f>
        <v>0</v>
      </c>
      <c r="BO11" s="40" t="b">
        <f>AND(NOT(BH11),NOT(BJ11),NOT(BK11),AN11=AN14,AO11=AO14,AP11=AP14)</f>
        <v>0</v>
      </c>
      <c r="BP11" s="40" t="b">
        <f>AND(NOT(BH11),NOT(BI11),NOT(BL11),AN12=AN13,AO12=AO13)</f>
        <v>0</v>
      </c>
      <c r="BQ11" s="40" t="b">
        <f>AND(NOT(BH11),NOT(BJ11),NOT(BL11),AN12=AN14,AO12=AO14,AP12=AP14)</f>
        <v>0</v>
      </c>
      <c r="BR11" s="40" t="b">
        <f>AND(NOT(BH11),NOT(BK11),NOT(BL11),AN13=AN14,AO13=AO14,AP13=AP14)</f>
        <v>0</v>
      </c>
      <c r="BS11" s="40" t="b">
        <f t="array" ref="BS11">AND(NOT(BH11:BR11))</f>
        <v>0</v>
      </c>
      <c r="BT11" s="36" t="s">
        <v>71</v>
      </c>
      <c r="BU11" s="35">
        <f>IF($BM11,IF(F8-E8&lt;0,-0.5,IF(E8-F8&lt;0,0.5,0)),IF($BI11,IF($AZ11&gt;$AZ12,-0.5,IF($AZ11&lt;$AZ12,0.5,0)),IF($BJ11,IF($BA11&gt;$BA12,-0.5, IF($BA11&lt;$BA12,0.5,0)),0)))</f>
        <v>0</v>
      </c>
      <c r="BV11" s="35">
        <f>IF($BN11,IF(F10-E10&lt;0,-0.5,IF(E10-F10&lt;0,0.5,0)),IF($BI11,IF($AZ11&gt;$AZ13,-0.5,IF($AZ11&lt;$AZ13,0.5,0)),IF($BK11,IF($BB11&gt;$BB13,-0.5,IF($BB11&lt;$BB13,0.5,0)),0)))</f>
        <v>0</v>
      </c>
      <c r="BW11" s="37">
        <f>IF($BO11,IF(E12-F12&lt;0,-0.5,IF(F12-E12&lt;0,0.5,0)),IF($BJ11,IF($BA11&gt;$BA14,-0.5,IF($BA11&lt;$BA14,0.5,0)),IF($BK11,IF($BB11&gt;$BB14,-0.5, IF($BB11&lt;$BB14,0.5,0)),0)))</f>
        <v>0</v>
      </c>
    </row>
    <row r="12" spans="2:75" ht="14.25" customHeight="1" x14ac:dyDescent="0.2">
      <c r="B12" s="86">
        <v>44894</v>
      </c>
      <c r="C12" s="87">
        <v>0.66666666666666663</v>
      </c>
      <c r="D12" s="85" t="str">
        <f>G9</f>
        <v>Pays-Bas</v>
      </c>
      <c r="E12" s="83"/>
      <c r="F12" s="83"/>
      <c r="G12" s="92" t="str">
        <f>D8</f>
        <v>Qatar</v>
      </c>
      <c r="H12" s="13"/>
      <c r="I12" s="98"/>
      <c r="J12" s="99" t="str">
        <f>IF(OR(I10&lt;3,I9&lt;2),"TIRAGE AU SORT !!!"," ")</f>
        <v>TIRAGE AU SORT !!!</v>
      </c>
      <c r="K12" s="100"/>
      <c r="L12" s="100"/>
      <c r="M12" s="100"/>
      <c r="N12" s="100"/>
      <c r="O12" s="13"/>
      <c r="P12" s="13"/>
      <c r="Q12" s="13"/>
      <c r="R12" s="13"/>
      <c r="S12" s="197">
        <v>43282</v>
      </c>
      <c r="T12" s="199">
        <v>0.66666666666666663</v>
      </c>
      <c r="U12" s="169" t="str">
        <f>IF(OR(I17&lt;2),"B1",T(J16))</f>
        <v>B1</v>
      </c>
      <c r="V12" s="23"/>
      <c r="W12" s="23"/>
      <c r="X12" s="14"/>
      <c r="Y12" s="14"/>
      <c r="Z12" s="14"/>
      <c r="AA12" s="14"/>
      <c r="AB12" s="14"/>
      <c r="AC12" s="14"/>
      <c r="AD12" s="24"/>
      <c r="AE12" s="24"/>
      <c r="AI12" s="30">
        <f>IF(ROUND(AK12,0)=ROUND(AK11,0),AI11,2)</f>
        <v>1</v>
      </c>
      <c r="AJ12" s="31">
        <f>ROUND(AK12,0)</f>
        <v>2</v>
      </c>
      <c r="AK12" s="32">
        <f>MAX(MIN(AL11:AL13),MIN(AL11,AL12,AL14),MIN(AL11,AL13,AL14),MIN(AL12:AL14))</f>
        <v>2.46</v>
      </c>
      <c r="AL12" s="41">
        <f>SUM(BD12:BG12)+2.46</f>
        <v>2.46</v>
      </c>
      <c r="AM12" s="34" t="str">
        <f>G8</f>
        <v>Equateur</v>
      </c>
      <c r="AN12" s="35">
        <f>SUM(AR12:AU12)</f>
        <v>0</v>
      </c>
      <c r="AO12" s="36">
        <f>F8+F11+E13</f>
        <v>0</v>
      </c>
      <c r="AP12" s="35">
        <f>E8+E11+F13</f>
        <v>0</v>
      </c>
      <c r="AQ12" s="37">
        <f>AO12-AP12</f>
        <v>0</v>
      </c>
      <c r="AR12" s="35">
        <f>IF(ISBLANK(F8),0,IF(AS11=3,0,IF(AS11=1,1,3)))</f>
        <v>0</v>
      </c>
      <c r="AS12" s="35" t="s">
        <v>71</v>
      </c>
      <c r="AT12" s="35">
        <f>IF(ISBLANK(E13),0,IF(AS13=3,0,IF(AS13=1,1,3)))</f>
        <v>0</v>
      </c>
      <c r="AU12" s="35">
        <f>IF(ISBLANK(F11),0,IF(F11&gt;E11,3,IF(F11=E11,1,0)))</f>
        <v>0</v>
      </c>
      <c r="AV12" s="36" t="b">
        <f>(10*(AQ11-AQ12)+AO11-AO12&lt;0)</f>
        <v>0</v>
      </c>
      <c r="AW12" s="35" t="s">
        <v>71</v>
      </c>
      <c r="AX12" s="35" t="b">
        <f>10*(AQ12-AQ13)+AO12-AO13&gt;0</f>
        <v>0</v>
      </c>
      <c r="AY12" s="37" t="b">
        <f>10*(AQ12-AQ14)+AO12-AO14&gt;0</f>
        <v>0</v>
      </c>
      <c r="AZ12" s="36">
        <f>10000*(AR12+AT12)+(F8-E8+E13-F13)*100+(F8+E13)</f>
        <v>0</v>
      </c>
      <c r="BA12" s="35">
        <f>10000*(AR12+AU12)+(F8-E8+F11-E11)*100+(F8+F11)</f>
        <v>0</v>
      </c>
      <c r="BB12" s="35" t="s">
        <v>71</v>
      </c>
      <c r="BC12" s="37">
        <f>10000*(AT12+AU12)+(F11-E11+E13-F13)*100+(F11+E13)</f>
        <v>0</v>
      </c>
      <c r="BD12" s="42">
        <f>-BE11</f>
        <v>0</v>
      </c>
      <c r="BE12" s="35" t="s">
        <v>71</v>
      </c>
      <c r="BF12" s="38">
        <f>IF($AN12&gt;$AN13,-0.5,IF($AN13&gt;$AN12,0.5,IF(AX12,-0.5,IF(AW13,0.5,BV12))))</f>
        <v>0</v>
      </c>
      <c r="BG12" s="39">
        <f>IF($AN12&gt;$AN14,-0.5,IF($AN14&gt;$AN12,0.5,IF(AY12,-0.5,IF(AW14,0.5,BW12))))</f>
        <v>0</v>
      </c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36"/>
      <c r="BU12" s="35" t="s">
        <v>71</v>
      </c>
      <c r="BV12" s="35">
        <f>IF($BP11,IF(F13-E13&lt;0,-0.5,IF(E13-F13&lt;0,0.5,0)),IF($BI11,IF($AZ12&gt;$AZ13,-0.5,IF($AZ12&lt;$AZ13,0.5,0)),IF($BL11,IF($BC12&gt;$BC13,-0.5,IF($BC12&lt;$BC13,0.5,0)),0)))</f>
        <v>0</v>
      </c>
      <c r="BW12" s="37">
        <f>IF($BQ11,IF(E11-F11&lt;0,-0.5,IF(F11-E11&lt;0,0.5,0)),IF($BJ11,IF($BA12&gt;$BA14,-0.5,IF($BA12&lt;$BA14,0.5,0)),IF($BL11,IF($BC12&gt;$BC14,-0.5,IF($BC12&lt;$BC14,0.5,0)),0)))</f>
        <v>0</v>
      </c>
    </row>
    <row r="13" spans="2:75" ht="14.25" customHeight="1" x14ac:dyDescent="0.2">
      <c r="B13" s="89">
        <v>44894</v>
      </c>
      <c r="C13" s="90">
        <v>0.66666666666666663</v>
      </c>
      <c r="D13" s="84" t="str">
        <f>G8</f>
        <v>Equateur</v>
      </c>
      <c r="E13" s="83"/>
      <c r="F13" s="83"/>
      <c r="G13" s="93" t="str">
        <f>D9</f>
        <v>Sénégal</v>
      </c>
      <c r="H13" s="13"/>
      <c r="I13" s="161"/>
      <c r="J13" s="162"/>
      <c r="K13" s="162"/>
      <c r="L13" s="162"/>
      <c r="M13" s="162"/>
      <c r="N13" s="162"/>
      <c r="O13" s="13"/>
      <c r="P13" s="13"/>
      <c r="Q13" s="13"/>
      <c r="R13" s="13"/>
      <c r="S13" s="198"/>
      <c r="T13" s="200"/>
      <c r="U13" s="170" t="str">
        <f>IF(OR(I10&lt;3,I9&lt;2),"A2",T(J9))</f>
        <v>A2</v>
      </c>
      <c r="V13" s="23"/>
      <c r="W13" s="23"/>
      <c r="X13" s="14"/>
      <c r="Y13" s="14"/>
      <c r="Z13" s="14"/>
      <c r="AA13" s="14"/>
      <c r="AB13" s="14"/>
      <c r="AC13" s="14"/>
      <c r="AD13" s="24"/>
      <c r="AE13" s="24"/>
      <c r="AI13" s="30">
        <f>IF(ROUND(AK13,0)=ROUND(AK12,0),AI12,3)</f>
        <v>1</v>
      </c>
      <c r="AJ13" s="31">
        <f>ROUND(AK13,0)</f>
        <v>2</v>
      </c>
      <c r="AK13" s="32">
        <f>MIN(MAX(AL11:AL13),MAX(AL11,AL12,AL14),MAX(AL11,AL13,AL14),MAX(AL12:AL14))</f>
        <v>2.4700000000000002</v>
      </c>
      <c r="AL13" s="41">
        <f>SUM(BD13:BG13)+2.47</f>
        <v>2.4700000000000002</v>
      </c>
      <c r="AM13" s="34" t="str">
        <f>D9</f>
        <v>Sénégal</v>
      </c>
      <c r="AN13" s="35">
        <f>SUM(AR13:AU13)</f>
        <v>0</v>
      </c>
      <c r="AO13" s="36">
        <f>E9+F10+F13</f>
        <v>0</v>
      </c>
      <c r="AP13" s="35">
        <f>F9+E10+E13</f>
        <v>0</v>
      </c>
      <c r="AQ13" s="37">
        <f>AO13-AP13</f>
        <v>0</v>
      </c>
      <c r="AR13" s="35">
        <f>IF(ISBLANK(F10),0,IF(AT11=3,0,IF(AT11=1,1,3)))</f>
        <v>0</v>
      </c>
      <c r="AS13" s="35">
        <f>IF(ISBLANK(F13),0,IF(F13&gt;E13,3,IF(F13=E13,1,0)))</f>
        <v>0</v>
      </c>
      <c r="AT13" s="35" t="s">
        <v>71</v>
      </c>
      <c r="AU13" s="35">
        <f>IF(ISBLANK(E9),0,IF(E9&gt;F9,3,IF(E9=F9,1,0)))</f>
        <v>0</v>
      </c>
      <c r="AV13" s="36" t="b">
        <f>10*(AQ11-AQ13)+AO11-AO13&lt;0</f>
        <v>0</v>
      </c>
      <c r="AW13" s="35" t="b">
        <f>10*(AQ12-AQ13)+AO12-AO13&lt;0</f>
        <v>0</v>
      </c>
      <c r="AX13" s="35" t="s">
        <v>71</v>
      </c>
      <c r="AY13" s="37" t="b">
        <f>10*(AQ13-AQ14)+AO13-AO14&gt;0</f>
        <v>0</v>
      </c>
      <c r="AZ13" s="36">
        <f>10000*(AR13+AS13)+(F10-E10+F13-E13)*100+(F10+F13)</f>
        <v>0</v>
      </c>
      <c r="BA13" s="35" t="s">
        <v>71</v>
      </c>
      <c r="BB13" s="35">
        <f>10000*(AR13+AU13)+(E9-F9+F10-E10)*100+(E9+F10)</f>
        <v>0</v>
      </c>
      <c r="BC13" s="37">
        <f>10000*(AS13+AU13)+(E9-F9+F13-E13)*100+(E9+F13)</f>
        <v>0</v>
      </c>
      <c r="BD13" s="42">
        <f>-BF11</f>
        <v>0</v>
      </c>
      <c r="BE13" s="38">
        <f>-BF12</f>
        <v>0</v>
      </c>
      <c r="BF13" s="38" t="s">
        <v>71</v>
      </c>
      <c r="BG13" s="39">
        <f>IF($AN13&gt;$AN14,-0.5,IF($AN14&gt;$AN13,0.5,IF(AY13,-0.5,IF(AX14,0.5,BW13))))</f>
        <v>0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36"/>
      <c r="BU13" s="35"/>
      <c r="BV13" s="35" t="s">
        <v>71</v>
      </c>
      <c r="BW13" s="37">
        <f>IF($BR11,IF(F9-E9&lt;0,-0.5,IF(E9-F9&lt;0,0.5,0)),IF($BK11,IF($BB13&gt;$BB14,-0.5,IF($BB13&lt;$BB14,0.5,0)),IF($BL11,IF($BC13&gt;$BC14,-0.5,IF($BC13&lt;$BC14,0.5,0)),0)))</f>
        <v>0</v>
      </c>
    </row>
    <row r="14" spans="2:75" ht="14.25" customHeight="1" x14ac:dyDescent="0.2">
      <c r="B14" s="13"/>
      <c r="C14" s="13"/>
      <c r="D14" s="13"/>
      <c r="E14" s="13"/>
      <c r="F14" s="13"/>
      <c r="G14" s="13"/>
      <c r="H14" s="13"/>
      <c r="I14" s="161"/>
      <c r="J14" s="162"/>
      <c r="K14" s="162"/>
      <c r="L14" s="162"/>
      <c r="M14" s="162"/>
      <c r="N14" s="162"/>
      <c r="O14" s="13"/>
      <c r="P14" s="13"/>
      <c r="Q14" s="13"/>
      <c r="R14" s="13"/>
      <c r="S14" s="201">
        <v>43282</v>
      </c>
      <c r="T14" s="203">
        <v>0.83333333333333337</v>
      </c>
      <c r="U14" s="171" t="str">
        <f>IF(OR(I33&lt;2),"D1",T(J32))</f>
        <v>D1</v>
      </c>
      <c r="V14" s="23"/>
      <c r="W14" s="23"/>
      <c r="X14" s="14"/>
      <c r="Y14" s="14"/>
      <c r="Z14" s="14"/>
      <c r="AA14" s="14"/>
      <c r="AB14" s="14"/>
      <c r="AC14" s="14"/>
      <c r="AD14" s="24"/>
      <c r="AE14" s="24"/>
      <c r="AI14" s="30">
        <f>IF(ROUND(AK14,0)=ROUND(AK13,0),AI13,4)</f>
        <v>1</v>
      </c>
      <c r="AJ14" s="31">
        <f>ROUND(AK14,0)</f>
        <v>2</v>
      </c>
      <c r="AK14" s="32">
        <f>MAX(AL11:AL14)</f>
        <v>2.48</v>
      </c>
      <c r="AL14" s="43">
        <f>SUM(BD14:BG14)+2.48</f>
        <v>2.48</v>
      </c>
      <c r="AM14" s="44" t="str">
        <f>G9</f>
        <v>Pays-Bas</v>
      </c>
      <c r="AN14" s="40">
        <f>SUM(AR14:AU14)</f>
        <v>0</v>
      </c>
      <c r="AO14" s="45">
        <f>F9+E11+E12</f>
        <v>0</v>
      </c>
      <c r="AP14" s="40">
        <f>E9+F11+F12</f>
        <v>0</v>
      </c>
      <c r="AQ14" s="46">
        <f>AO14-AP14</f>
        <v>0</v>
      </c>
      <c r="AR14" s="40">
        <f>IF(ISBLANK(E12),0,IF(AU11=3,0,IF(AU11=1,1,3)))</f>
        <v>0</v>
      </c>
      <c r="AS14" s="40">
        <f>IF(ISBLANK(E11),0,IF(AU12=3,0,IF(AU12=1,1,3)))</f>
        <v>0</v>
      </c>
      <c r="AT14" s="40">
        <f>IF(ISBLANK(F9),0,IF(AU13=3,0,IF(AU13=1,1,3)))</f>
        <v>0</v>
      </c>
      <c r="AU14" s="40" t="s">
        <v>71</v>
      </c>
      <c r="AV14" s="45" t="b">
        <f>10*(AQ11-AQ14)+AO11-AO14&lt;0</f>
        <v>0</v>
      </c>
      <c r="AW14" s="40" t="b">
        <f>10*(AQ12-AQ14)+AO12-AO14&lt;0</f>
        <v>0</v>
      </c>
      <c r="AX14" s="40" t="b">
        <f>10*(AQ13-AQ14)+AO13-AO14&lt;0</f>
        <v>0</v>
      </c>
      <c r="AY14" s="46" t="s">
        <v>71</v>
      </c>
      <c r="AZ14" s="45" t="s">
        <v>71</v>
      </c>
      <c r="BA14" s="40">
        <f>10000*(AR14+AS14)+(E12-F12+E11-F11)*100+(E12+E11)</f>
        <v>0</v>
      </c>
      <c r="BB14" s="40">
        <f>10000*(AR14+AT14)+(F9-E9+E12-F12)*100+(F9+E12)</f>
        <v>0</v>
      </c>
      <c r="BC14" s="46">
        <f>10000*(AS14+AT14)+(E11-F11+F9-E9)*100+(E11+F9)</f>
        <v>0</v>
      </c>
      <c r="BD14" s="47">
        <f>-BG11</f>
        <v>0</v>
      </c>
      <c r="BE14" s="48">
        <f>-BG12</f>
        <v>0</v>
      </c>
      <c r="BF14" s="48">
        <f>-BG13</f>
        <v>0</v>
      </c>
      <c r="BG14" s="46" t="s">
        <v>71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5"/>
      <c r="BU14" s="40"/>
      <c r="BV14" s="40"/>
      <c r="BW14" s="46" t="s">
        <v>71</v>
      </c>
    </row>
    <row r="15" spans="2:75" ht="14.25" customHeight="1" x14ac:dyDescent="0.2">
      <c r="B15" s="205" t="s">
        <v>97</v>
      </c>
      <c r="C15" s="205"/>
      <c r="D15" s="205"/>
      <c r="E15" s="205"/>
      <c r="F15" s="205"/>
      <c r="G15" s="205"/>
      <c r="H15" s="13"/>
      <c r="I15" s="163"/>
      <c r="J15" s="164" t="s">
        <v>0</v>
      </c>
      <c r="K15" s="164" t="s">
        <v>1</v>
      </c>
      <c r="L15" s="164" t="s">
        <v>2</v>
      </c>
      <c r="M15" s="164" t="s">
        <v>3</v>
      </c>
      <c r="N15" s="164" t="str">
        <f>"+/-"</f>
        <v>+/-</v>
      </c>
      <c r="O15" s="13"/>
      <c r="P15" s="13"/>
      <c r="Q15" s="13"/>
      <c r="R15" s="13"/>
      <c r="S15" s="202"/>
      <c r="T15" s="204"/>
      <c r="U15" s="172" t="str">
        <f>IF(OR(I26&lt;3,I25&lt;2),"C2",T(J25))</f>
        <v>C2</v>
      </c>
      <c r="V15" s="23"/>
      <c r="W15" s="23"/>
      <c r="X15" s="14"/>
      <c r="Y15" s="14"/>
      <c r="Z15" s="14"/>
      <c r="AA15" s="14"/>
      <c r="AB15" s="14"/>
      <c r="AC15" s="14"/>
      <c r="AD15" s="24"/>
      <c r="AE15" s="24"/>
      <c r="AJ15" s="32"/>
      <c r="AK15" s="32"/>
      <c r="AL15" s="32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</row>
    <row r="16" spans="2:75" ht="14.25" customHeight="1" x14ac:dyDescent="0.2">
      <c r="B16" s="86">
        <v>44886</v>
      </c>
      <c r="C16" s="87">
        <v>0.58333333333333337</v>
      </c>
      <c r="D16" s="101" t="s">
        <v>91</v>
      </c>
      <c r="E16" s="49"/>
      <c r="F16" s="49"/>
      <c r="G16" s="104" t="s">
        <v>73</v>
      </c>
      <c r="H16" s="13"/>
      <c r="I16" s="130">
        <f>AI19</f>
        <v>1</v>
      </c>
      <c r="J16" s="102" t="str">
        <f>INDEX(AM19:AM22,MATCH(AK19,$AL19:$AL22,0))</f>
        <v>Angleterre</v>
      </c>
      <c r="K16" s="131">
        <f>INDEX(AN19:AN22,MATCH(AK19,$AL19:$AL22,0))</f>
        <v>0</v>
      </c>
      <c r="L16" s="131">
        <f>INDEX(AO19:AO22,MATCH(AK19,$AL19:$AL22,0))</f>
        <v>0</v>
      </c>
      <c r="M16" s="131">
        <f>INDEX(AP19:AP22,MATCH(AK19,$AL19:$AL22,0))</f>
        <v>0</v>
      </c>
      <c r="N16" s="131">
        <f>INDEX(AQ19:AQ22,MATCH(AK19,$AL19:$AL22,0))</f>
        <v>0</v>
      </c>
      <c r="O16" s="13"/>
      <c r="P16" s="13"/>
      <c r="Q16" s="13"/>
      <c r="R16" s="13"/>
      <c r="S16" s="182">
        <v>43283</v>
      </c>
      <c r="T16" s="184">
        <v>0.66666666666666663</v>
      </c>
      <c r="U16" s="173" t="str">
        <f>IF(OR(I41&lt;2),"E1",T(J40))</f>
        <v>E1</v>
      </c>
      <c r="V16" s="23"/>
      <c r="W16" s="23"/>
      <c r="X16" s="14"/>
      <c r="Y16" s="14"/>
      <c r="Z16" s="14"/>
      <c r="AA16" s="14"/>
      <c r="AB16" s="14"/>
      <c r="AC16" s="14"/>
      <c r="AD16" s="24"/>
      <c r="AE16" s="24"/>
      <c r="AF16" s="50"/>
      <c r="AG16" s="50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</row>
    <row r="17" spans="2:75" ht="14.25" customHeight="1" x14ac:dyDescent="0.2">
      <c r="B17" s="89">
        <v>44886</v>
      </c>
      <c r="C17" s="90">
        <v>0.83333333333333337</v>
      </c>
      <c r="D17" s="102" t="s">
        <v>112</v>
      </c>
      <c r="E17" s="49"/>
      <c r="F17" s="49"/>
      <c r="G17" s="105" t="s">
        <v>113</v>
      </c>
      <c r="H17" s="13"/>
      <c r="I17" s="130">
        <f>AI20</f>
        <v>1</v>
      </c>
      <c r="J17" s="102" t="str">
        <f>INDEX(AM19:AM22,MATCH(AK20,$AL19:$AL22,0))</f>
        <v>Iran</v>
      </c>
      <c r="K17" s="131">
        <f>INDEX(AN19:AN22,MATCH(AK20,$AL19:$AL22,0))</f>
        <v>0</v>
      </c>
      <c r="L17" s="131">
        <f>INDEX(AO19:AO22,MATCH(AK20,$AL19:$AL22,0))</f>
        <v>0</v>
      </c>
      <c r="M17" s="131">
        <f>INDEX(AP19:AP22,MATCH(AK20,$AL19:$AL22,0))</f>
        <v>0</v>
      </c>
      <c r="N17" s="131">
        <f>INDEX(AQ19:AQ22,MATCH(AK20,$AL19:$AL22,0))</f>
        <v>0</v>
      </c>
      <c r="O17" s="13"/>
      <c r="P17" s="13"/>
      <c r="Q17" s="13"/>
      <c r="R17" s="13"/>
      <c r="S17" s="183"/>
      <c r="T17" s="185"/>
      <c r="U17" s="174" t="str">
        <f>IF(OR(I50&lt;3,I49&lt;2),"F2",T(J49))</f>
        <v>F2</v>
      </c>
      <c r="V17" s="23"/>
      <c r="W17" s="23"/>
      <c r="X17" s="14"/>
      <c r="Y17" s="14"/>
      <c r="Z17" s="14"/>
      <c r="AA17" s="14"/>
      <c r="AB17" s="14"/>
      <c r="AC17" s="14"/>
      <c r="AD17" s="24"/>
      <c r="AE17" s="24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</row>
    <row r="18" spans="2:75" ht="14.25" customHeight="1" x14ac:dyDescent="0.2">
      <c r="B18" s="86">
        <v>44890</v>
      </c>
      <c r="C18" s="87">
        <v>0.83333333333333337</v>
      </c>
      <c r="D18" s="103" t="str">
        <f>D16</f>
        <v>Angleterre</v>
      </c>
      <c r="E18" s="49"/>
      <c r="F18" s="49"/>
      <c r="G18" s="104" t="str">
        <f>D17</f>
        <v>Etats-Unis</v>
      </c>
      <c r="H18" s="13"/>
      <c r="I18" s="96">
        <f>AI21</f>
        <v>1</v>
      </c>
      <c r="J18" s="21" t="str">
        <f>INDEX(AM19:AM22,MATCH(AK21,$AL19:$AL22,0))</f>
        <v>Etats-Unis</v>
      </c>
      <c r="K18" s="97">
        <f>INDEX(AN19:AN22,MATCH(AK21,$AL19:$AL22,0))</f>
        <v>0</v>
      </c>
      <c r="L18" s="97">
        <f>INDEX(AO19:AO22,MATCH(AK21,$AL19:$AL22,0))</f>
        <v>0</v>
      </c>
      <c r="M18" s="97">
        <f>INDEX(AP19:AP22,MATCH(AK21,$AL19:$AL22,0))</f>
        <v>0</v>
      </c>
      <c r="N18" s="97">
        <f>INDEX(AQ19:AQ22,MATCH(AK21,$AL19:$AL22,0))</f>
        <v>0</v>
      </c>
      <c r="O18" s="13"/>
      <c r="P18" s="13"/>
      <c r="Q18" s="13"/>
      <c r="R18" s="13"/>
      <c r="S18" s="206">
        <v>43283</v>
      </c>
      <c r="T18" s="208">
        <v>0.83333333333333337</v>
      </c>
      <c r="U18" s="175" t="str">
        <f>IF(OR(I57&lt;2),"G1",T(J56))</f>
        <v>G1</v>
      </c>
      <c r="V18" s="23"/>
      <c r="W18" s="23"/>
      <c r="X18" s="14"/>
      <c r="Y18" s="14"/>
      <c r="Z18" s="14"/>
      <c r="AA18" s="14"/>
      <c r="AB18" s="14"/>
      <c r="AC18" s="14"/>
      <c r="AD18" s="24"/>
      <c r="AE18" s="24"/>
      <c r="AL18" s="25" t="s">
        <v>38</v>
      </c>
      <c r="AM18" s="26" t="s">
        <v>39</v>
      </c>
      <c r="AN18" s="27" t="s">
        <v>1</v>
      </c>
      <c r="AO18" s="25" t="s">
        <v>40</v>
      </c>
      <c r="AP18" s="27" t="s">
        <v>41</v>
      </c>
      <c r="AQ18" s="28" t="s">
        <v>42</v>
      </c>
      <c r="AR18" s="27" t="s">
        <v>43</v>
      </c>
      <c r="AS18" s="27" t="s">
        <v>44</v>
      </c>
      <c r="AT18" s="27" t="s">
        <v>45</v>
      </c>
      <c r="AU18" s="27" t="s">
        <v>46</v>
      </c>
      <c r="AV18" s="25" t="s">
        <v>47</v>
      </c>
      <c r="AW18" s="27" t="s">
        <v>48</v>
      </c>
      <c r="AX18" s="27" t="s">
        <v>49</v>
      </c>
      <c r="AY18" s="28" t="s">
        <v>50</v>
      </c>
      <c r="AZ18" s="25" t="s">
        <v>51</v>
      </c>
      <c r="BA18" s="27" t="s">
        <v>52</v>
      </c>
      <c r="BB18" s="27" t="s">
        <v>53</v>
      </c>
      <c r="BC18" s="28" t="s">
        <v>54</v>
      </c>
      <c r="BD18" s="25" t="s">
        <v>55</v>
      </c>
      <c r="BE18" s="27" t="s">
        <v>56</v>
      </c>
      <c r="BF18" s="27" t="s">
        <v>57</v>
      </c>
      <c r="BG18" s="28" t="s">
        <v>58</v>
      </c>
      <c r="BH18" s="25" t="s">
        <v>59</v>
      </c>
      <c r="BI18" s="27" t="s">
        <v>51</v>
      </c>
      <c r="BJ18" s="27" t="s">
        <v>52</v>
      </c>
      <c r="BK18" s="27" t="s">
        <v>53</v>
      </c>
      <c r="BL18" s="27" t="s">
        <v>54</v>
      </c>
      <c r="BM18" s="27" t="s">
        <v>60</v>
      </c>
      <c r="BN18" s="27" t="s">
        <v>61</v>
      </c>
      <c r="BO18" s="27" t="s">
        <v>62</v>
      </c>
      <c r="BP18" s="27" t="s">
        <v>63</v>
      </c>
      <c r="BQ18" s="27" t="s">
        <v>64</v>
      </c>
      <c r="BR18" s="27" t="s">
        <v>65</v>
      </c>
      <c r="BS18" s="28" t="s">
        <v>66</v>
      </c>
      <c r="BT18" s="25" t="s">
        <v>67</v>
      </c>
      <c r="BU18" s="27" t="s">
        <v>68</v>
      </c>
      <c r="BV18" s="27" t="s">
        <v>69</v>
      </c>
      <c r="BW18" s="28" t="s">
        <v>70</v>
      </c>
    </row>
    <row r="19" spans="2:75" ht="14.25" customHeight="1" x14ac:dyDescent="0.2">
      <c r="B19" s="89">
        <v>44890</v>
      </c>
      <c r="C19" s="90">
        <v>0.45833333333333331</v>
      </c>
      <c r="D19" s="102" t="str">
        <f>G17</f>
        <v>Barragiste</v>
      </c>
      <c r="E19" s="49"/>
      <c r="F19" s="49"/>
      <c r="G19" s="105" t="str">
        <f>G16</f>
        <v>Iran</v>
      </c>
      <c r="H19" s="13"/>
      <c r="I19" s="96">
        <f>AI22</f>
        <v>1</v>
      </c>
      <c r="J19" s="21" t="str">
        <f>INDEX(AM19:AM22,MATCH(AK22,$AL19:$AL22,0))</f>
        <v>Barragiste</v>
      </c>
      <c r="K19" s="97">
        <f>INDEX(AN19:AN22,MATCH(AK22,$AL19:$AL22,0))</f>
        <v>0</v>
      </c>
      <c r="L19" s="97">
        <f>INDEX(AO19:AO22,MATCH(AK22,$AL19:$AL22,0))</f>
        <v>0</v>
      </c>
      <c r="M19" s="97">
        <f>INDEX(AP19:AP22,MATCH(AK22,$AL19:$AL22,0))</f>
        <v>0</v>
      </c>
      <c r="N19" s="97">
        <f>INDEX(AQ19:AQ22,MATCH(AK22,$AL19:$AL22,0))</f>
        <v>0</v>
      </c>
      <c r="O19" s="13"/>
      <c r="P19" s="13"/>
      <c r="Q19" s="13"/>
      <c r="R19" s="13"/>
      <c r="S19" s="207"/>
      <c r="T19" s="209"/>
      <c r="U19" s="176" t="str">
        <f>IF(OR(I66&lt;3,I65&lt;2),"H2",T(J65))</f>
        <v>H2</v>
      </c>
      <c r="V19" s="23"/>
      <c r="W19" s="23"/>
      <c r="X19" s="14"/>
      <c r="Y19" s="14"/>
      <c r="Z19" s="14"/>
      <c r="AA19" s="14"/>
      <c r="AB19" s="14"/>
      <c r="AC19" s="14"/>
      <c r="AD19" s="24"/>
      <c r="AE19" s="24"/>
      <c r="AI19" s="30">
        <v>1</v>
      </c>
      <c r="AJ19" s="31">
        <f>ROUND(AK19,0)</f>
        <v>2</v>
      </c>
      <c r="AK19" s="32">
        <f>MIN(AL19:AL22)</f>
        <v>2.4500000000000002</v>
      </c>
      <c r="AL19" s="33">
        <f>SUM(BD19:BG19)+2.45</f>
        <v>2.4500000000000002</v>
      </c>
      <c r="AM19" s="34" t="str">
        <f>D16</f>
        <v>Angleterre</v>
      </c>
      <c r="AN19" s="35">
        <f>SUM(AR19:AU19)</f>
        <v>0</v>
      </c>
      <c r="AO19" s="36">
        <f>E16+E18+F20</f>
        <v>0</v>
      </c>
      <c r="AP19" s="35">
        <f>F16+F18+E20</f>
        <v>0</v>
      </c>
      <c r="AQ19" s="37">
        <f>AO19-AP19</f>
        <v>0</v>
      </c>
      <c r="AR19" s="35" t="s">
        <v>71</v>
      </c>
      <c r="AS19" s="35">
        <f>IF(ISBLANK(E16),0,IF(E16&gt;F16,3,IF(E16=F16,1,0)))</f>
        <v>0</v>
      </c>
      <c r="AT19" s="35">
        <f>IF(ISBLANK(E18),0,IF(E18&gt;F18,3,IF(E18=F18,1,0)))</f>
        <v>0</v>
      </c>
      <c r="AU19" s="35">
        <f>IF(ISBLANK(F20),0,IF(F20&gt;E20,3,IF(F20=E20,1,0)))</f>
        <v>0</v>
      </c>
      <c r="AV19" s="36" t="s">
        <v>71</v>
      </c>
      <c r="AW19" s="35" t="b">
        <f>(10*(AQ19-AQ20)+AO19-AO20&gt;0)</f>
        <v>0</v>
      </c>
      <c r="AX19" s="35" t="b">
        <f>10*(AQ19-AQ21)+AO19-AO21&gt;0</f>
        <v>0</v>
      </c>
      <c r="AY19" s="37" t="b">
        <f>10*(AQ19-AQ22)+AO19-AO22&gt;0</f>
        <v>0</v>
      </c>
      <c r="AZ19" s="36">
        <f>10000*(AS19+AT19)+(E18-F18+E16-F16)*100+(E18+E16)</f>
        <v>0</v>
      </c>
      <c r="BA19" s="35">
        <f>10000*(AS19+AU19)+(E16-F16+F20-E20)*100+(E16+F20)</f>
        <v>0</v>
      </c>
      <c r="BB19" s="35">
        <f>10000*(AT19+AU19)+(F20-E20+E18-F18)*100+(F20+E18)</f>
        <v>0</v>
      </c>
      <c r="BC19" s="37" t="s">
        <v>71</v>
      </c>
      <c r="BD19" s="36" t="s">
        <v>71</v>
      </c>
      <c r="BE19" s="38">
        <f>IF($AN19&gt;$AN20,-0.5,IF($AN20&gt;$AN19,0.5,IF(AW19,-0.5,IF(AV20,0.5,BU19))))</f>
        <v>0</v>
      </c>
      <c r="BF19" s="38">
        <f>IF($AN19&gt;$AN21,-0.5,IF($AN21&gt;$AN19,0.5,IF(AX19,-0.5,IF(AV21,0.5,BV19))))</f>
        <v>0</v>
      </c>
      <c r="BG19" s="39">
        <f>IF($AN19&gt;$AN22,-0.5,IF($AN22&gt;$AN19,0.5,IF(AY19,-0.5,IF(AV22,0.5,BW19))))</f>
        <v>0</v>
      </c>
      <c r="BH19" s="40" t="b">
        <f>AND(AND(AN19=AN20,AN20=AN21,AN21=AN22),AND(AO19=AO20,AO20=AO21,AO21=AO22),AND(AP19=AP20,AP20=AP21,AP21=AP22))</f>
        <v>1</v>
      </c>
      <c r="BI19" s="40" t="b">
        <f>AND(NOT(BH19),AN19=AN20,AN19=AN21,AO19=AO20,AO19=AO21,AP19=AP20,AP19=AP21)</f>
        <v>0</v>
      </c>
      <c r="BJ19" s="40" t="b">
        <f>AND(NOT(BH19),AN19=AN20,AN19=AN22,AO19=AO20,AO19=AO22,AP19=AP20,AP19=AP22)</f>
        <v>0</v>
      </c>
      <c r="BK19" s="40" t="b">
        <f>AND(NOT(BH19),AN19=AN21,AN19=AN22,AO19=AO21,AO19=AO22,AP19=AP21,AP19=AP22)</f>
        <v>0</v>
      </c>
      <c r="BL19" s="40" t="b">
        <f>AND(NOT(BH19),AN20=AN21,AN20=AN22,AO20=AO21,AO20=AO22,AP20=AP21,AP20=AP22)</f>
        <v>0</v>
      </c>
      <c r="BM19" s="40" t="b">
        <f>AND(NOT(BH19),NOT(BI19),NOT(BJ19),AN19=AN20,AO19=AO20,AP19=AP20)</f>
        <v>0</v>
      </c>
      <c r="BN19" s="40" t="b">
        <f>AND(NOT(BH19),NOT(BI19),NOT(BK19),AN19=AN21,AO19=AO21,AP19=AP21)</f>
        <v>0</v>
      </c>
      <c r="BO19" s="40" t="b">
        <f>AND(NOT(BH19),NOT(BJ19),NOT(BK19),AN19=AN22,AO19=AO22,AP19=AP22)</f>
        <v>0</v>
      </c>
      <c r="BP19" s="40" t="b">
        <f>AND(NOT(BH19),NOT(BI19),NOT(BL19),AN20=AN21,AO20=AO21)</f>
        <v>0</v>
      </c>
      <c r="BQ19" s="40" t="b">
        <f>AND(NOT(BH19),NOT(BJ19),NOT(BL19),AN20=AN22,AO20=AO22,AP20=AP22)</f>
        <v>0</v>
      </c>
      <c r="BR19" s="40" t="b">
        <f>AND(NOT(BH19),NOT(BK19),NOT(BL19),AN21=AN22,AO21=AO22,AP21=AP22)</f>
        <v>0</v>
      </c>
      <c r="BS19" s="40" t="b">
        <f t="array" ref="BS19">AND(NOT(BH19:BR19))</f>
        <v>0</v>
      </c>
      <c r="BT19" s="36" t="s">
        <v>71</v>
      </c>
      <c r="BU19" s="35">
        <f>IF($BM19,IF(F16-E16&lt;0,-0.5,IF(E16-F16&lt;0,0.5,0)),IF($BI19,IF($AZ19&gt;$AZ20,-0.5,IF($AZ19&lt;$AZ20,0.5,0)),IF($BJ19,IF($BA19&gt;$BA20,-0.5, IF($BA19&lt;$BA20,0.5,0)),0)))</f>
        <v>0</v>
      </c>
      <c r="BV19" s="35">
        <f>IF($BN19,IF(F18-E18&lt;0,-0.5,IF(E18-F18&lt;0,0.5,0)),IF($BI19,IF($AZ19&gt;$AZ21,-0.5,IF($AZ19&lt;$AZ21,0.5,0)),IF($BK19,IF($BB19&gt;$BB21,-0.5,IF($BB19&lt;$BB21,0.5,0)),0)))</f>
        <v>0</v>
      </c>
      <c r="BW19" s="37">
        <f>IF($BO19,IF(E20-F20&lt;0,-0.5,IF(F20-E20&lt;0,0.5,0)),IF($BJ19,IF($BA19&gt;$BA22,-0.5,IF($BA19&lt;$BA22,0.5,0)),IF($BK19,IF($BB19&gt;$BB22,-0.5, IF($BB19&lt;$BB22,0.5,0)),0)))</f>
        <v>0</v>
      </c>
    </row>
    <row r="20" spans="2:75" ht="14.25" customHeight="1" x14ac:dyDescent="0.2">
      <c r="B20" s="86">
        <v>44894</v>
      </c>
      <c r="C20" s="87">
        <v>0.83333333333333337</v>
      </c>
      <c r="D20" s="103" t="str">
        <f>G17</f>
        <v>Barragiste</v>
      </c>
      <c r="E20" s="49"/>
      <c r="F20" s="49"/>
      <c r="G20" s="104" t="str">
        <f>D16</f>
        <v>Angleterre</v>
      </c>
      <c r="H20" s="13"/>
      <c r="I20" s="132"/>
      <c r="J20" s="133" t="str">
        <f>IF(OR(I18&lt;3,I17&lt;2),"TIRAGE AU SORT !!!"," ")</f>
        <v>TIRAGE AU SORT !!!</v>
      </c>
      <c r="K20" s="134"/>
      <c r="L20" s="134"/>
      <c r="M20" s="134"/>
      <c r="N20" s="134"/>
      <c r="O20" s="13"/>
      <c r="P20" s="13"/>
      <c r="Q20" s="13"/>
      <c r="R20" s="13"/>
      <c r="S20" s="210">
        <v>43284</v>
      </c>
      <c r="T20" s="212">
        <v>0.66666666666666663</v>
      </c>
      <c r="U20" s="177" t="str">
        <f>IF(OR(I49&lt;2),"F1",T(J48))</f>
        <v>F1</v>
      </c>
      <c r="V20" s="23"/>
      <c r="W20" s="23"/>
      <c r="X20" s="14"/>
      <c r="Y20" s="14"/>
      <c r="Z20" s="14"/>
      <c r="AA20" s="14"/>
      <c r="AB20" s="14"/>
      <c r="AC20" s="14"/>
      <c r="AD20" s="24"/>
      <c r="AE20" s="24"/>
      <c r="AI20" s="30">
        <f>IF(ROUND(AK20,0)=ROUND(AK19,0),AI19,2)</f>
        <v>1</v>
      </c>
      <c r="AJ20" s="31">
        <f>ROUND(AK20,0)</f>
        <v>2</v>
      </c>
      <c r="AK20" s="32">
        <f>MAX(MIN(AL19:AL21),MIN(AL19,AL20,AL22),MIN(AL19,AL21,AL22),MIN(AL20:AL22))</f>
        <v>2.46</v>
      </c>
      <c r="AL20" s="41">
        <f>SUM(BD20:BG20)+2.46</f>
        <v>2.46</v>
      </c>
      <c r="AM20" s="34" t="str">
        <f>G16</f>
        <v>Iran</v>
      </c>
      <c r="AN20" s="35">
        <f>SUM(AR20:AU20)</f>
        <v>0</v>
      </c>
      <c r="AO20" s="36">
        <f>F16+F19+E21</f>
        <v>0</v>
      </c>
      <c r="AP20" s="35">
        <f>E16+E19+F21</f>
        <v>0</v>
      </c>
      <c r="AQ20" s="37">
        <f>AO20-AP20</f>
        <v>0</v>
      </c>
      <c r="AR20" s="35">
        <f>IF(ISBLANK(F16),0,IF(AS19=3,0,IF(AS19=1,1,3)))</f>
        <v>0</v>
      </c>
      <c r="AS20" s="35" t="s">
        <v>71</v>
      </c>
      <c r="AT20" s="35">
        <f>IF(ISBLANK(E21),0,IF(AS21=3,0,IF(AS21=1,1,3)))</f>
        <v>0</v>
      </c>
      <c r="AU20" s="35">
        <f>IF(ISBLANK(F19),0,IF(F19&gt;E19,3,IF(F19=E19,1,0)))</f>
        <v>0</v>
      </c>
      <c r="AV20" s="36" t="b">
        <f>(10*(AQ19-AQ20)+AO19-AO20&lt;0)</f>
        <v>0</v>
      </c>
      <c r="AW20" s="35" t="s">
        <v>71</v>
      </c>
      <c r="AX20" s="35" t="b">
        <f>10*(AQ20-AQ21)+AO20-AO21&gt;0</f>
        <v>0</v>
      </c>
      <c r="AY20" s="37" t="b">
        <f>10*(AQ20-AQ22)+AO20-AO22&gt;0</f>
        <v>0</v>
      </c>
      <c r="AZ20" s="36">
        <f>10000*(AR20+AT20)+(F16-E16+E21-F21)*100+(F16+E21)</f>
        <v>0</v>
      </c>
      <c r="BA20" s="35">
        <f>10000*(AR20+AU20)+(F16-E16+F19-E19)*100+(F16+F19)</f>
        <v>0</v>
      </c>
      <c r="BB20" s="35" t="s">
        <v>71</v>
      </c>
      <c r="BC20" s="37">
        <f>10000*(AT20+AU20)+(F19-E19+E21-F21)*100+(F19+E21)</f>
        <v>0</v>
      </c>
      <c r="BD20" s="42">
        <f>-BE19</f>
        <v>0</v>
      </c>
      <c r="BE20" s="35" t="s">
        <v>71</v>
      </c>
      <c r="BF20" s="38">
        <f>IF($AN20&gt;$AN21,-0.5,IF($AN21&gt;$AN20,0.5,IF(AX20,-0.5,IF(AW21,0.5,BV20))))</f>
        <v>0</v>
      </c>
      <c r="BG20" s="39">
        <f>IF($AN20&gt;$AN22,-0.5,IF($AN22&gt;$AN20,0.5,IF(AY20,-0.5,IF(AW22,0.5,BW20))))</f>
        <v>0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36"/>
      <c r="BU20" s="35" t="s">
        <v>71</v>
      </c>
      <c r="BV20" s="35">
        <f>IF($BP19,IF(F21-E21&lt;0,-0.5,IF(E21-F21&lt;0,0.5,0)),IF($BI19,IF($AZ20&gt;$AZ21,-0.5,IF($AZ20&lt;$AZ21,0.5,0)),IF($BL19,IF($BC20&gt;$BC21,-0.5,IF($BC20&lt;$BC21,0.5,0)),0)))</f>
        <v>0</v>
      </c>
      <c r="BW20" s="37">
        <f>IF($BQ19,IF(E19-F19&lt;0,-0.5,IF(F19-E19&lt;0,0.5,0)),IF($BJ19,IF($BA20&gt;$BA22,-0.5,IF($BA20&lt;$BA22,0.5,0)),IF($BL19,IF($BC20&gt;$BC22,-0.5,IF($BC20&lt;$BC22,0.5,0)),0)))</f>
        <v>0</v>
      </c>
    </row>
    <row r="21" spans="2:75" ht="14.25" customHeight="1" x14ac:dyDescent="0.2">
      <c r="B21" s="89">
        <v>44894</v>
      </c>
      <c r="C21" s="90">
        <v>0.83333333333333337</v>
      </c>
      <c r="D21" s="102" t="str">
        <f>G16</f>
        <v>Iran</v>
      </c>
      <c r="E21" s="49"/>
      <c r="F21" s="49"/>
      <c r="G21" s="105" t="str">
        <f>D17</f>
        <v>Etats-Unis</v>
      </c>
      <c r="H21" s="13"/>
      <c r="I21" s="97"/>
      <c r="J21" s="21"/>
      <c r="K21" s="21"/>
      <c r="L21" s="21"/>
      <c r="M21" s="21"/>
      <c r="N21" s="21"/>
      <c r="O21" s="13"/>
      <c r="P21" s="13"/>
      <c r="Q21" s="13"/>
      <c r="R21" s="13"/>
      <c r="S21" s="211"/>
      <c r="T21" s="213"/>
      <c r="U21" s="178" t="str">
        <f>IF(OR(I42&lt;3,I41&lt;2),"E2",T(J41))</f>
        <v>E2</v>
      </c>
      <c r="V21" s="23"/>
      <c r="W21" s="23"/>
      <c r="X21" s="14"/>
      <c r="Y21" s="14"/>
      <c r="Z21" s="14"/>
      <c r="AA21" s="14"/>
      <c r="AB21" s="14"/>
      <c r="AC21" s="14"/>
      <c r="AD21" s="24"/>
      <c r="AE21" s="24"/>
      <c r="AH21" s="50"/>
      <c r="AI21" s="30">
        <f>IF(ROUND(AK21,0)=ROUND(AK20,0),AI20,3)</f>
        <v>1</v>
      </c>
      <c r="AJ21" s="31">
        <f>ROUND(AK21,0)</f>
        <v>2</v>
      </c>
      <c r="AK21" s="32">
        <f>MIN(MAX(AL19:AL21),MAX(AL19,AL20,AL22),MAX(AL19,AL21,AL22),MAX(AL20:AL22))</f>
        <v>2.4700000000000002</v>
      </c>
      <c r="AL21" s="41">
        <f>SUM(BD21:BG21)+2.47</f>
        <v>2.4700000000000002</v>
      </c>
      <c r="AM21" s="34" t="str">
        <f>D17</f>
        <v>Etats-Unis</v>
      </c>
      <c r="AN21" s="35">
        <f>SUM(AR21:AU21)</f>
        <v>0</v>
      </c>
      <c r="AO21" s="36">
        <f>E17+F18+F21</f>
        <v>0</v>
      </c>
      <c r="AP21" s="35">
        <f>F17+E18+E21</f>
        <v>0</v>
      </c>
      <c r="AQ21" s="37">
        <f>AO21-AP21</f>
        <v>0</v>
      </c>
      <c r="AR21" s="35">
        <f>IF(ISBLANK(F18),0,IF(AT19=3,0,IF(AT19=1,1,3)))</f>
        <v>0</v>
      </c>
      <c r="AS21" s="35">
        <f>IF(ISBLANK(F21),0,IF(F21&gt;E21,3,IF(F21=E21,1,0)))</f>
        <v>0</v>
      </c>
      <c r="AT21" s="35" t="s">
        <v>71</v>
      </c>
      <c r="AU21" s="35">
        <f>IF(ISBLANK(E17),0,IF(E17&gt;F17,3,IF(E17=F17,1,0)))</f>
        <v>0</v>
      </c>
      <c r="AV21" s="36" t="b">
        <f>10*(AQ19-AQ21)+AO19-AO21&lt;0</f>
        <v>0</v>
      </c>
      <c r="AW21" s="35" t="b">
        <f>10*(AQ20-AQ21)+AO20-AO21&lt;0</f>
        <v>0</v>
      </c>
      <c r="AX21" s="35" t="s">
        <v>71</v>
      </c>
      <c r="AY21" s="37" t="b">
        <f>10*(AQ21-AQ22)+AO21-AO22&gt;0</f>
        <v>0</v>
      </c>
      <c r="AZ21" s="36">
        <f>10000*(AR21+AS21)+(F18-E18+F21-E21)*100+(F18+F21)</f>
        <v>0</v>
      </c>
      <c r="BA21" s="35" t="s">
        <v>71</v>
      </c>
      <c r="BB21" s="35">
        <f>10000*(AR21+AU21)+(E17-F17+F18-E18)*100+(E17+F18)</f>
        <v>0</v>
      </c>
      <c r="BC21" s="37">
        <f>10000*(AS21+AU21)+(E17-F17+F21-E21)*100+(E17+F21)</f>
        <v>0</v>
      </c>
      <c r="BD21" s="42">
        <f>-BF19</f>
        <v>0</v>
      </c>
      <c r="BE21" s="38">
        <f>-BF20</f>
        <v>0</v>
      </c>
      <c r="BF21" s="38" t="s">
        <v>71</v>
      </c>
      <c r="BG21" s="39">
        <f>IF($AN21&gt;$AN22,-0.5,IF($AN22&gt;$AN21,0.5,IF(AY21,-0.5,IF(AX22,0.5,BW21))))</f>
        <v>0</v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36"/>
      <c r="BU21" s="35"/>
      <c r="BV21" s="35" t="s">
        <v>71</v>
      </c>
      <c r="BW21" s="37">
        <f>IF($BR19,IF(F17-E17&lt;0,-0.5,IF(E17-F17&lt;0,0.5,0)),IF($BK19,IF($BB21&gt;$BB22,-0.5,IF($BB21&lt;$BB22,0.5,0)),IF($BL19,IF($BC21&gt;$BC22,-0.5,IF($BC21&lt;$BC22,0.5,0)),0)))</f>
        <v>0</v>
      </c>
    </row>
    <row r="22" spans="2:75" ht="14.25" customHeight="1" x14ac:dyDescent="0.2">
      <c r="B22" s="29"/>
      <c r="C22" s="29"/>
      <c r="D22" s="29"/>
      <c r="E22" s="29"/>
      <c r="F22" s="29"/>
      <c r="G22" s="29"/>
      <c r="H22" s="13"/>
      <c r="I22" s="97"/>
      <c r="J22" s="21"/>
      <c r="K22" s="21"/>
      <c r="L22" s="21"/>
      <c r="M22" s="21"/>
      <c r="N22" s="21"/>
      <c r="O22" s="13"/>
      <c r="P22" s="13"/>
      <c r="Q22" s="13"/>
      <c r="R22" s="13"/>
      <c r="S22" s="189">
        <v>43284</v>
      </c>
      <c r="T22" s="191">
        <v>0.83333333333333337</v>
      </c>
      <c r="U22" s="165" t="str">
        <f>IF(OR(I65&lt;2),"H1",T(J64))</f>
        <v>H1</v>
      </c>
      <c r="V22" s="23"/>
      <c r="W22" s="23"/>
      <c r="X22" s="14"/>
      <c r="Y22" s="14"/>
      <c r="Z22" s="14"/>
      <c r="AA22" s="14"/>
      <c r="AB22" s="14"/>
      <c r="AC22" s="14"/>
      <c r="AD22" s="24"/>
      <c r="AE22" s="24"/>
      <c r="AI22" s="30">
        <f>IF(ROUND(AK22,0)=ROUND(AK21,0),AI21,4)</f>
        <v>1</v>
      </c>
      <c r="AJ22" s="31">
        <f>ROUND(AK22,0)</f>
        <v>2</v>
      </c>
      <c r="AK22" s="32">
        <f>MAX(AL19:AL22)</f>
        <v>2.48</v>
      </c>
      <c r="AL22" s="43">
        <f>SUM(BD22:BG22)+2.48</f>
        <v>2.48</v>
      </c>
      <c r="AM22" s="44" t="str">
        <f>G17</f>
        <v>Barragiste</v>
      </c>
      <c r="AN22" s="40">
        <f>SUM(AR22:AU22)</f>
        <v>0</v>
      </c>
      <c r="AO22" s="45">
        <f>F17+E19+E20</f>
        <v>0</v>
      </c>
      <c r="AP22" s="40">
        <f>E17+F19+F20</f>
        <v>0</v>
      </c>
      <c r="AQ22" s="46">
        <f>AO22-AP22</f>
        <v>0</v>
      </c>
      <c r="AR22" s="40">
        <f>IF(ISBLANK(E20),0,IF(AU19=3,0,IF(AU19=1,1,3)))</f>
        <v>0</v>
      </c>
      <c r="AS22" s="40">
        <f>IF(ISBLANK(E19),0,IF(AU20=3,0,IF(AU20=1,1,3)))</f>
        <v>0</v>
      </c>
      <c r="AT22" s="40">
        <f>IF(ISBLANK(F17),0,IF(AU21=3,0,IF(AU21=1,1,3)))</f>
        <v>0</v>
      </c>
      <c r="AU22" s="40" t="s">
        <v>71</v>
      </c>
      <c r="AV22" s="45" t="b">
        <f>10*(AQ19-AQ22)+AO19-AO22&lt;0</f>
        <v>0</v>
      </c>
      <c r="AW22" s="40" t="b">
        <f>10*(AQ20-AQ22)+AO20-AO22&lt;0</f>
        <v>0</v>
      </c>
      <c r="AX22" s="40" t="b">
        <f>10*(AQ21-AQ22)+AO21-AO22&lt;0</f>
        <v>0</v>
      </c>
      <c r="AY22" s="46" t="s">
        <v>71</v>
      </c>
      <c r="AZ22" s="45" t="s">
        <v>71</v>
      </c>
      <c r="BA22" s="40">
        <f>10000*(AR22+AS22)+(E19-F19+E20-F20)*100+(E19+E20)</f>
        <v>0</v>
      </c>
      <c r="BB22" s="40">
        <f>10000*(AR22+AT22)+(E20-F20+F17-E17)*100+(E20+F17)</f>
        <v>0</v>
      </c>
      <c r="BC22" s="46">
        <f>10000*(AS22+AT22)+(E19-F19+F17-E17)*100+(E19+F17)</f>
        <v>0</v>
      </c>
      <c r="BD22" s="47">
        <f>-BG19</f>
        <v>0</v>
      </c>
      <c r="BE22" s="48">
        <f>-BG20</f>
        <v>0</v>
      </c>
      <c r="BF22" s="48">
        <f>-BG21</f>
        <v>0</v>
      </c>
      <c r="BG22" s="46" t="s">
        <v>71</v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5"/>
      <c r="BU22" s="40"/>
      <c r="BV22" s="40"/>
      <c r="BW22" s="46" t="s">
        <v>71</v>
      </c>
    </row>
    <row r="23" spans="2:75" ht="14.25" customHeight="1" x14ac:dyDescent="0.2">
      <c r="B23" s="214" t="s">
        <v>98</v>
      </c>
      <c r="C23" s="214"/>
      <c r="D23" s="214"/>
      <c r="E23" s="214"/>
      <c r="F23" s="214"/>
      <c r="G23" s="214"/>
      <c r="H23" s="13"/>
      <c r="I23" s="135"/>
      <c r="J23" s="136" t="s">
        <v>0</v>
      </c>
      <c r="K23" s="136" t="s">
        <v>1</v>
      </c>
      <c r="L23" s="136" t="s">
        <v>2</v>
      </c>
      <c r="M23" s="136" t="s">
        <v>3</v>
      </c>
      <c r="N23" s="136" t="str">
        <f>"+/-"</f>
        <v>+/-</v>
      </c>
      <c r="O23" s="13"/>
      <c r="P23" s="13"/>
      <c r="Q23" s="13"/>
      <c r="R23" s="13"/>
      <c r="S23" s="189"/>
      <c r="T23" s="191"/>
      <c r="U23" s="165" t="str">
        <f>IF(OR(I58&lt;3,I57&lt;2),"G2",T(J57))</f>
        <v>G2</v>
      </c>
      <c r="V23" s="23"/>
      <c r="W23" s="23"/>
      <c r="X23" s="14"/>
      <c r="Y23" s="14"/>
      <c r="Z23" s="14"/>
      <c r="AA23" s="14"/>
      <c r="AB23" s="14"/>
      <c r="AC23" s="14"/>
      <c r="AD23" s="24"/>
      <c r="AE23" s="24"/>
    </row>
    <row r="24" spans="2:75" ht="14.25" customHeight="1" x14ac:dyDescent="0.2">
      <c r="B24" s="86">
        <v>44887</v>
      </c>
      <c r="C24" s="87">
        <v>0.70833333333333337</v>
      </c>
      <c r="D24" s="106" t="s">
        <v>85</v>
      </c>
      <c r="E24" s="51"/>
      <c r="F24" s="51"/>
      <c r="G24" s="108" t="s">
        <v>94</v>
      </c>
      <c r="H24" s="13"/>
      <c r="I24" s="137">
        <f>AI27</f>
        <v>1</v>
      </c>
      <c r="J24" s="107" t="str">
        <f>INDEX(AM27:AM35,MATCH(AK27,$AL27:$AL35,0))</f>
        <v>Mexique</v>
      </c>
      <c r="K24" s="138">
        <f>INDEX(AN27:AN35,MATCH(AK27,$AL27:$AL35,0))</f>
        <v>0</v>
      </c>
      <c r="L24" s="138">
        <f>INDEX(AO27:AO35,MATCH(AK27,$AL27:$AL35,0))</f>
        <v>0</v>
      </c>
      <c r="M24" s="138">
        <f>INDEX(AP27:AP35,MATCH(AK27,$AL27:$AL35,0))</f>
        <v>0</v>
      </c>
      <c r="N24" s="138">
        <f>INDEX(AQ27:AQ35,MATCH(AK27,$AL27:$AL35,0))</f>
        <v>0</v>
      </c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s="24"/>
      <c r="AE24" s="24"/>
    </row>
    <row r="25" spans="2:75" ht="14.25" customHeight="1" x14ac:dyDescent="0.2">
      <c r="B25" s="89">
        <v>44887</v>
      </c>
      <c r="C25" s="90">
        <v>0.45833333333333331</v>
      </c>
      <c r="D25" s="107" t="s">
        <v>78</v>
      </c>
      <c r="E25" s="51"/>
      <c r="F25" s="51"/>
      <c r="G25" s="109" t="s">
        <v>36</v>
      </c>
      <c r="H25" s="13"/>
      <c r="I25" s="137">
        <f>AI33</f>
        <v>1</v>
      </c>
      <c r="J25" s="107" t="str">
        <f>INDEX(AM27:AM35,MATCH(AK33,$AL27:$AL35,0))</f>
        <v>Pologne</v>
      </c>
      <c r="K25" s="138">
        <f>INDEX(AN27:AN35,MATCH(AK33,$AL27:$AL35,0))</f>
        <v>0</v>
      </c>
      <c r="L25" s="138">
        <f>INDEX(AO27:AO35,MATCH(AK33,$AL27:$AL35,0))</f>
        <v>0</v>
      </c>
      <c r="M25" s="138">
        <f>INDEX(AP27:AP35,MATCH(AK33,$AL27:$AL35,0))</f>
        <v>0</v>
      </c>
      <c r="N25" s="138">
        <f>INDEX(AQ27:AQ35,MATCH(AK33,$AL27:$AL35,0))</f>
        <v>0</v>
      </c>
      <c r="O25" s="13"/>
      <c r="P25" s="13"/>
      <c r="Q25" s="13"/>
      <c r="R25" s="13"/>
      <c r="S25" s="188" t="s">
        <v>105</v>
      </c>
      <c r="T25" s="188"/>
      <c r="U25" s="188"/>
      <c r="V25" s="188"/>
      <c r="W25" s="180" t="s">
        <v>4</v>
      </c>
      <c r="X25" s="14"/>
      <c r="Y25" s="14"/>
      <c r="Z25" s="14"/>
      <c r="AA25" s="14"/>
      <c r="AB25" s="14"/>
      <c r="AC25" s="14"/>
      <c r="AD25" s="24"/>
      <c r="AE25" s="24"/>
    </row>
    <row r="26" spans="2:75" ht="14.25" customHeight="1" x14ac:dyDescent="0.2">
      <c r="B26" s="86">
        <v>44891</v>
      </c>
      <c r="C26" s="87">
        <v>0.58333333333333337</v>
      </c>
      <c r="D26" s="106" t="str">
        <f>G25</f>
        <v>Arabie Saoudite</v>
      </c>
      <c r="E26" s="51"/>
      <c r="F26" s="51"/>
      <c r="G26" s="108" t="str">
        <f>G24</f>
        <v>Pologne</v>
      </c>
      <c r="H26" s="13"/>
      <c r="I26" s="96">
        <f>AI34</f>
        <v>1</v>
      </c>
      <c r="J26" s="21" t="str">
        <f>INDEX(AM27:AM35,MATCH(AK34,$AL27:$AL35,0))</f>
        <v>Argentine</v>
      </c>
      <c r="K26" s="97">
        <f>INDEX(AN27:AN35,MATCH(AK34,$AL27:$AL35,0))</f>
        <v>0</v>
      </c>
      <c r="L26" s="97">
        <f>INDEX(AO27:AO35,MATCH(AK34,$AL27:$AL35,0))</f>
        <v>0</v>
      </c>
      <c r="M26" s="97">
        <f>INDEX(AP27:AP35,MATCH(AK34,$AL27:$AL35,0))</f>
        <v>0</v>
      </c>
      <c r="N26" s="97">
        <f>INDEX(AQ27:AQ35,MATCH(AK34,$AL27:$AL35,0))</f>
        <v>0</v>
      </c>
      <c r="O26" s="13"/>
      <c r="P26" s="13"/>
      <c r="Q26" s="13"/>
      <c r="R26" s="13"/>
      <c r="S26" s="189">
        <v>43287</v>
      </c>
      <c r="T26" s="215">
        <v>0.66666666666666663</v>
      </c>
      <c r="U26" s="165" t="str">
        <f>IF(100*V10+W10&gt;100*V11+W11,U10,IF(100*V10+W10&lt;100*V11+W11,U11,CONCATENATE(U10," ou ",U11)))</f>
        <v>A1 ou B2</v>
      </c>
      <c r="V26" s="53"/>
      <c r="W26" s="54"/>
      <c r="X26" s="14"/>
      <c r="Y26" s="14"/>
      <c r="Z26" s="14"/>
      <c r="AA26" s="14"/>
      <c r="AB26" s="14"/>
      <c r="AC26" s="14"/>
      <c r="AD26" s="24"/>
      <c r="AE26" s="24"/>
      <c r="AL26" s="25" t="s">
        <v>38</v>
      </c>
      <c r="AM26" s="26" t="s">
        <v>39</v>
      </c>
      <c r="AN26" s="27" t="s">
        <v>1</v>
      </c>
      <c r="AO26" s="25" t="s">
        <v>40</v>
      </c>
      <c r="AP26" s="27" t="s">
        <v>41</v>
      </c>
      <c r="AQ26" s="28" t="s">
        <v>42</v>
      </c>
      <c r="AR26" s="27" t="s">
        <v>43</v>
      </c>
      <c r="AS26" s="27" t="s">
        <v>44</v>
      </c>
      <c r="AT26" s="27" t="s">
        <v>45</v>
      </c>
      <c r="AU26" s="27" t="s">
        <v>46</v>
      </c>
      <c r="AV26" s="25" t="s">
        <v>47</v>
      </c>
      <c r="AW26" s="27" t="s">
        <v>48</v>
      </c>
      <c r="AX26" s="27" t="s">
        <v>49</v>
      </c>
      <c r="AY26" s="28" t="s">
        <v>50</v>
      </c>
      <c r="AZ26" s="25" t="s">
        <v>51</v>
      </c>
      <c r="BA26" s="27" t="s">
        <v>52</v>
      </c>
      <c r="BB26" s="27" t="s">
        <v>53</v>
      </c>
      <c r="BC26" s="28" t="s">
        <v>54</v>
      </c>
      <c r="BD26" s="25" t="s">
        <v>55</v>
      </c>
      <c r="BE26" s="27" t="s">
        <v>56</v>
      </c>
      <c r="BF26" s="27" t="s">
        <v>57</v>
      </c>
      <c r="BG26" s="28" t="s">
        <v>58</v>
      </c>
      <c r="BH26" s="25" t="s">
        <v>59</v>
      </c>
      <c r="BI26" s="27" t="s">
        <v>51</v>
      </c>
      <c r="BJ26" s="27" t="s">
        <v>52</v>
      </c>
      <c r="BK26" s="27" t="s">
        <v>53</v>
      </c>
      <c r="BL26" s="27" t="s">
        <v>54</v>
      </c>
      <c r="BM26" s="27" t="s">
        <v>60</v>
      </c>
      <c r="BN26" s="27" t="s">
        <v>61</v>
      </c>
      <c r="BO26" s="27" t="s">
        <v>62</v>
      </c>
      <c r="BP26" s="27" t="s">
        <v>63</v>
      </c>
      <c r="BQ26" s="27" t="s">
        <v>64</v>
      </c>
      <c r="BR26" s="27" t="s">
        <v>65</v>
      </c>
      <c r="BS26" s="28" t="s">
        <v>66</v>
      </c>
      <c r="BT26" s="25" t="s">
        <v>67</v>
      </c>
      <c r="BU26" s="27" t="s">
        <v>68</v>
      </c>
      <c r="BV26" s="27" t="s">
        <v>69</v>
      </c>
      <c r="BW26" s="28" t="s">
        <v>70</v>
      </c>
    </row>
    <row r="27" spans="2:75" ht="14.25" customHeight="1" x14ac:dyDescent="0.2">
      <c r="B27" s="89">
        <v>44891</v>
      </c>
      <c r="C27" s="90">
        <v>0.83333333333333337</v>
      </c>
      <c r="D27" s="107" t="str">
        <f>D24</f>
        <v>Mexique</v>
      </c>
      <c r="E27" s="51"/>
      <c r="F27" s="51"/>
      <c r="G27" s="109" t="str">
        <f>D25</f>
        <v>Argentine</v>
      </c>
      <c r="H27" s="13"/>
      <c r="I27" s="96">
        <f>AI35</f>
        <v>1</v>
      </c>
      <c r="J27" s="21" t="str">
        <f>INDEX(AM27:AM35,MATCH(AK35,$AL27:$AL35,0))</f>
        <v>Arabie Saoudite</v>
      </c>
      <c r="K27" s="97">
        <f>INDEX(AN27:AN35,MATCH(AK35,$AL27:$AL35,0))</f>
        <v>0</v>
      </c>
      <c r="L27" s="97">
        <f>INDEX(AO27:AO35,MATCH(AK35,$AL27:$AL35,0))</f>
        <v>0</v>
      </c>
      <c r="M27" s="97">
        <f>INDEX(AP27:AP35,MATCH(AK35,$AL27:$AL35,0))</f>
        <v>0</v>
      </c>
      <c r="N27" s="97">
        <f>INDEX(AQ27:AQ35,MATCH(AK35,$AL27:$AL35,0))</f>
        <v>0</v>
      </c>
      <c r="O27" s="13"/>
      <c r="P27" s="13"/>
      <c r="Q27" s="13"/>
      <c r="R27" s="13"/>
      <c r="S27" s="190"/>
      <c r="T27" s="216"/>
      <c r="U27" s="166" t="str">
        <f>IF(100*V8+W8&gt;100*V9+W9,U8,IF(100*V8+W8&lt;100*V9+W9,U9,CONCATENATE(U8," ou ",U9)))</f>
        <v>C1 ou D2</v>
      </c>
      <c r="V27" s="23"/>
      <c r="W27" s="23"/>
      <c r="X27" s="14"/>
      <c r="Y27" s="14"/>
      <c r="Z27" s="14"/>
      <c r="AA27" s="14"/>
      <c r="AB27" s="14"/>
      <c r="AC27" s="14"/>
      <c r="AD27" s="24"/>
      <c r="AE27" s="24"/>
      <c r="AI27" s="30">
        <v>1</v>
      </c>
      <c r="AJ27" s="31">
        <f>ROUND(AK27,0)</f>
        <v>2</v>
      </c>
      <c r="AK27" s="32">
        <f>MIN(AL27:AL35)</f>
        <v>2.4500000000000002</v>
      </c>
      <c r="AL27" s="33">
        <f>SUM(BD27:BG27)+2.45</f>
        <v>2.4500000000000002</v>
      </c>
      <c r="AM27" s="34" t="str">
        <f>D24</f>
        <v>Mexique</v>
      </c>
      <c r="AN27" s="35">
        <f>SUM(AR27:AU27)</f>
        <v>0</v>
      </c>
      <c r="AO27" s="36">
        <f>E24+E27+F28</f>
        <v>0</v>
      </c>
      <c r="AP27" s="35">
        <f>F24+F27+E28</f>
        <v>0</v>
      </c>
      <c r="AQ27" s="37">
        <f>AO27-AP27</f>
        <v>0</v>
      </c>
      <c r="AR27" s="35" t="s">
        <v>71</v>
      </c>
      <c r="AS27" s="35">
        <f>IF(ISBLANK(E24),0,IF(E24&gt;F24,3,IF(E24=F24,1,0)))</f>
        <v>0</v>
      </c>
      <c r="AT27" s="35">
        <f>IF(ISBLANK(E27),0,IF(E27&gt;F27,3,IF(E27=F27,1,0)))</f>
        <v>0</v>
      </c>
      <c r="AU27" s="35">
        <f>IF(ISBLANK(F28),0,IF(F28&gt;E28,3,IF(F28=E28,1,0)))</f>
        <v>0</v>
      </c>
      <c r="AV27" s="36" t="s">
        <v>71</v>
      </c>
      <c r="AW27" s="35" t="b">
        <f>(10*(AQ27-AQ33)+AO27-AO33&gt;0)</f>
        <v>0</v>
      </c>
      <c r="AX27" s="35" t="b">
        <f>10*(AQ27-AQ34)+AO27-AO34&gt;0</f>
        <v>0</v>
      </c>
      <c r="AY27" s="37" t="b">
        <f>10*(AQ27-AQ35)+AO27-AO35&gt;0</f>
        <v>0</v>
      </c>
      <c r="AZ27" s="36">
        <f>10000*(AS27+AT27)+(E27-F27+E24-F24)*100+(E27+E24)</f>
        <v>0</v>
      </c>
      <c r="BA27" s="35">
        <f>10000*(AS27+AU27)+(E24-F24+F28-E28)*100+(E24+F28)</f>
        <v>0</v>
      </c>
      <c r="BB27" s="35">
        <f>10000*(AT27+AU27)+(F28-E28+E27-F27)*100+(F28+E27)</f>
        <v>0</v>
      </c>
      <c r="BC27" s="37" t="s">
        <v>71</v>
      </c>
      <c r="BD27" s="36" t="s">
        <v>71</v>
      </c>
      <c r="BE27" s="38">
        <f>IF($AN27&gt;$AN33,-0.5,IF($AN33&gt;$AN27,0.5,IF(AW27,-0.5,IF(AV33,0.5,BU27))))</f>
        <v>0</v>
      </c>
      <c r="BF27" s="38">
        <f>IF($AN27&gt;$AN34,-0.5,IF($AN34&gt;$AN27,0.5,IF(AX27,-0.5,IF(AV34,0.5,BV27))))</f>
        <v>0</v>
      </c>
      <c r="BG27" s="39">
        <f>IF($AN27&gt;$AN35,-0.5,IF($AN35&gt;$AN27,0.5,IF(AY27,-0.5,IF(AV35,0.5,BW27))))</f>
        <v>0</v>
      </c>
      <c r="BH27" s="40" t="b">
        <f>AND(AND(AN27=AN33,AN33=AN34,AN34=AN35),AND(AO27=AO33,AO33=AO34,AO34=AO35),AND(AP27=AP33,AP33=AP34,AP34=AP35))</f>
        <v>1</v>
      </c>
      <c r="BI27" s="40" t="b">
        <f>AND(NOT(BH27),AN27=AN33,AN27=AN34,AO27=AO33,AO27=AO34,AP27=AP33,AP27=AP34)</f>
        <v>0</v>
      </c>
      <c r="BJ27" s="40" t="b">
        <f>AND(NOT(BH27),AN27=AN33,AN27=AN35,AO27=AO33,AO27=AO35,AP27=AP33,AP27=AP35)</f>
        <v>0</v>
      </c>
      <c r="BK27" s="40" t="b">
        <f>AND(NOT(BH27),AN27=AN34,AN27=AN35,AO27=AO34,AO27=AO35,AP27=AP34,AP27=AP35)</f>
        <v>0</v>
      </c>
      <c r="BL27" s="40" t="b">
        <f>AND(NOT(BH27),AN33=AN34,AN33=AN35,AO33=AO34,AO33=AO35,AP33=AP34,AP33=AP35)</f>
        <v>0</v>
      </c>
      <c r="BM27" s="40" t="b">
        <f>AND(NOT(BH27),NOT(BI27),NOT(BJ27),AN27=AN33,AO27=AO33,AP27=AP33)</f>
        <v>0</v>
      </c>
      <c r="BN27" s="40" t="b">
        <f>AND(NOT(BH27),NOT(BI27),NOT(BK27),AN27=AN34,AO27=AO34,AP27=AP34)</f>
        <v>0</v>
      </c>
      <c r="BO27" s="40" t="b">
        <f>AND(NOT(BH27),NOT(BJ27),NOT(BK27),AN27=AN35,AO27=AO35,AP27=AP35)</f>
        <v>0</v>
      </c>
      <c r="BP27" s="40" t="b">
        <f>AND(NOT(BH27),NOT(BI27),NOT(BL27),AN33=AN34,AO33=AO34)</f>
        <v>0</v>
      </c>
      <c r="BQ27" s="40" t="b">
        <f>AND(NOT(BH27),NOT(BJ27),NOT(BL27),AN33=AN35,AO33=AO35,AP33=AP35)</f>
        <v>0</v>
      </c>
      <c r="BR27" s="40" t="b">
        <f>AND(NOT(BH27),NOT(BK27),NOT(BL27),AN34=AN35,AO34=AO35,AP34=AP35)</f>
        <v>0</v>
      </c>
      <c r="BS27" s="40" t="b">
        <f t="array" ref="BS27">AND(NOT(BH27:BR27))</f>
        <v>0</v>
      </c>
      <c r="BT27" s="36" t="s">
        <v>71</v>
      </c>
      <c r="BU27" s="35">
        <f>IF($BM27,IF(F24-E24&lt;0,-0.5,IF(E24-F24&lt;0,0.5,0)),IF($BI27,IF($AZ27&gt;$AZ33,-0.5,IF($AZ27&lt;$AZ33,0.5,0)),IF($BJ27,IF($BA27&gt;$BA33,-0.5, IF($BA27&lt;$BA33,0.5,0)),0)))</f>
        <v>0</v>
      </c>
      <c r="BV27" s="35">
        <f>IF($BN27,IF(F27-E27&lt;0,-0.5,IF(E27-F27&lt;0,0.5,0)),IF($BI27,IF($AZ27&gt;$AZ34,-0.5,IF($AZ27&lt;$AZ34,0.5,0)),IF($BK27,IF($BB27&gt;$BB34,-0.5,IF($BB27&lt;$BB34,0.5,0)),0)))</f>
        <v>0</v>
      </c>
      <c r="BW27" s="37">
        <f>IF($BO27,IF(E28-F28&lt;0,-0.5,IF(F28-E28&lt;0,0.5,0)),IF($BJ27,IF($BA27&gt;$BA35,-0.5,IF($BA27&lt;$BA35,0.5,0)),IF($BK27,IF($BB27&gt;$BB35,-0.5, IF($BB27&lt;$BB35,0.5,0)),0)))</f>
        <v>0</v>
      </c>
    </row>
    <row r="28" spans="2:75" ht="14.25" customHeight="1" x14ac:dyDescent="0.2">
      <c r="B28" s="86">
        <v>44895</v>
      </c>
      <c r="C28" s="87">
        <v>0.83333333333333337</v>
      </c>
      <c r="D28" s="106" t="str">
        <f>G25</f>
        <v>Arabie Saoudite</v>
      </c>
      <c r="E28" s="51"/>
      <c r="F28" s="51"/>
      <c r="G28" s="108" t="str">
        <f>D24</f>
        <v>Mexique</v>
      </c>
      <c r="H28" s="13"/>
      <c r="I28" s="132"/>
      <c r="J28" s="133" t="str">
        <f>IF(OR(I26&lt;3,I25&lt;2),"TIRAGE AU SORT !!!"," ")</f>
        <v>TIRAGE AU SORT !!!</v>
      </c>
      <c r="K28" s="134"/>
      <c r="L28" s="134"/>
      <c r="M28" s="134"/>
      <c r="N28" s="134"/>
      <c r="O28" s="13"/>
      <c r="P28" s="13"/>
      <c r="Q28" s="13"/>
      <c r="R28" s="13"/>
      <c r="S28" s="197">
        <v>43287</v>
      </c>
      <c r="T28" s="217">
        <v>0.83333333333333337</v>
      </c>
      <c r="U28" s="169" t="str">
        <f>IF(100*V16+W16&gt;100*V17+W17,U16,IF(100*V16+W16&lt;100*V17+W17,U17,CONCATENATE(U16," ou ",U17)))</f>
        <v>E1 ou F2</v>
      </c>
      <c r="V28" s="23"/>
      <c r="W28" s="23"/>
      <c r="X28" s="14"/>
      <c r="Y28" s="14"/>
      <c r="Z28" s="14"/>
      <c r="AA28" s="14"/>
      <c r="AB28" s="14"/>
      <c r="AC28" s="14"/>
      <c r="AD28" s="24"/>
      <c r="AE28" s="24"/>
      <c r="AI28" s="30"/>
      <c r="AJ28" s="31"/>
      <c r="AK28" s="32"/>
      <c r="AL28" s="41"/>
      <c r="AM28" s="34"/>
      <c r="AN28" s="35"/>
      <c r="AO28" s="36"/>
      <c r="AP28" s="35"/>
      <c r="AQ28" s="37"/>
      <c r="AR28" s="35"/>
      <c r="AS28" s="35"/>
      <c r="AT28" s="35"/>
      <c r="AU28" s="35"/>
      <c r="AV28" s="36"/>
      <c r="AW28" s="35"/>
      <c r="AX28" s="35"/>
      <c r="AY28" s="37"/>
      <c r="AZ28" s="36"/>
      <c r="BA28" s="35"/>
      <c r="BB28" s="35"/>
      <c r="BC28" s="37"/>
      <c r="BD28" s="36"/>
      <c r="BE28" s="38"/>
      <c r="BF28" s="38"/>
      <c r="BG28" s="39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6"/>
      <c r="BU28" s="35"/>
      <c r="BV28" s="35"/>
      <c r="BW28" s="37"/>
    </row>
    <row r="29" spans="2:75" ht="14.25" customHeight="1" x14ac:dyDescent="0.2">
      <c r="B29" s="89">
        <v>44895</v>
      </c>
      <c r="C29" s="90">
        <v>0.83333333333333337</v>
      </c>
      <c r="D29" s="107" t="str">
        <f>G24</f>
        <v>Pologne</v>
      </c>
      <c r="E29" s="51"/>
      <c r="F29" s="51"/>
      <c r="G29" s="109" t="str">
        <f>D25</f>
        <v>Argentine</v>
      </c>
      <c r="H29" s="13"/>
      <c r="I29" s="97"/>
      <c r="J29" s="21"/>
      <c r="K29" s="21"/>
      <c r="L29" s="21"/>
      <c r="M29" s="21"/>
      <c r="N29" s="21"/>
      <c r="O29" s="13"/>
      <c r="P29" s="13"/>
      <c r="Q29" s="13"/>
      <c r="R29" s="13"/>
      <c r="S29" s="198"/>
      <c r="T29" s="218"/>
      <c r="U29" s="170" t="str">
        <f>IF(100*V18+W18&gt;100*V19+W19,U18,IF(100*V18+W18&lt;100*V19+W19,U19,CONCATENATE(U18," ou ",U19)))</f>
        <v>G1 ou H2</v>
      </c>
      <c r="V29" s="23"/>
      <c r="W29" s="23"/>
      <c r="X29" s="14"/>
      <c r="Y29" s="14"/>
      <c r="Z29" s="14"/>
      <c r="AA29" s="14"/>
      <c r="AB29" s="14"/>
      <c r="AC29" s="14"/>
      <c r="AD29" s="24"/>
      <c r="AE29" s="24"/>
      <c r="AI29" s="30"/>
      <c r="AJ29" s="31"/>
      <c r="AK29" s="32"/>
      <c r="AL29" s="41"/>
      <c r="AM29" s="34"/>
      <c r="AN29" s="35"/>
      <c r="AO29" s="36"/>
      <c r="AP29" s="35"/>
      <c r="AQ29" s="37"/>
      <c r="AR29" s="35"/>
      <c r="AS29" s="35"/>
      <c r="AT29" s="35"/>
      <c r="AU29" s="35"/>
      <c r="AV29" s="36"/>
      <c r="AW29" s="35"/>
      <c r="AX29" s="35"/>
      <c r="AY29" s="37"/>
      <c r="AZ29" s="36"/>
      <c r="BA29" s="35"/>
      <c r="BB29" s="35"/>
      <c r="BC29" s="37"/>
      <c r="BD29" s="36"/>
      <c r="BE29" s="38"/>
      <c r="BF29" s="38"/>
      <c r="BG29" s="39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6"/>
      <c r="BU29" s="35"/>
      <c r="BV29" s="35"/>
      <c r="BW29" s="37"/>
    </row>
    <row r="30" spans="2:75" ht="14.25" customHeight="1" x14ac:dyDescent="0.2">
      <c r="B30" s="29"/>
      <c r="C30" s="29"/>
      <c r="D30" s="29"/>
      <c r="E30" s="29"/>
      <c r="F30" s="29"/>
      <c r="G30" s="29"/>
      <c r="H30" s="13"/>
      <c r="I30" s="97"/>
      <c r="J30" s="21"/>
      <c r="K30" s="21"/>
      <c r="L30" s="21"/>
      <c r="M30" s="21"/>
      <c r="N30" s="21"/>
      <c r="O30" s="13"/>
      <c r="P30" s="13"/>
      <c r="Q30" s="13"/>
      <c r="R30" s="13"/>
      <c r="S30" s="201">
        <v>43288</v>
      </c>
      <c r="T30" s="219">
        <v>0.66666666666666663</v>
      </c>
      <c r="U30" s="171" t="str">
        <f>IF(100*V20+W20&gt;100*V21+W21,U20,IF(100*V20+W20&lt;100*V21+W21,U21,CONCATENATE(U20," ou ",U21)))</f>
        <v>F1 ou E2</v>
      </c>
      <c r="V30" s="23"/>
      <c r="W30" s="23"/>
      <c r="X30" s="14"/>
      <c r="Y30" s="14"/>
      <c r="Z30" s="14"/>
      <c r="AA30" s="14"/>
      <c r="AB30" s="14"/>
      <c r="AC30" s="14"/>
      <c r="AD30" s="24"/>
      <c r="AE30" s="24"/>
      <c r="AI30" s="30"/>
      <c r="AJ30" s="31"/>
      <c r="AK30" s="32"/>
      <c r="AL30" s="41"/>
      <c r="AM30" s="34"/>
      <c r="AN30" s="35"/>
      <c r="AO30" s="36"/>
      <c r="AP30" s="35"/>
      <c r="AQ30" s="37"/>
      <c r="AR30" s="35"/>
      <c r="AS30" s="35"/>
      <c r="AT30" s="35"/>
      <c r="AU30" s="35"/>
      <c r="AV30" s="36"/>
      <c r="AW30" s="35"/>
      <c r="AX30" s="35"/>
      <c r="AY30" s="37"/>
      <c r="AZ30" s="36"/>
      <c r="BA30" s="35"/>
      <c r="BB30" s="35"/>
      <c r="BC30" s="37"/>
      <c r="BD30" s="36"/>
      <c r="BE30" s="38"/>
      <c r="BF30" s="38"/>
      <c r="BG30" s="39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6"/>
      <c r="BU30" s="35"/>
      <c r="BV30" s="35"/>
      <c r="BW30" s="37"/>
    </row>
    <row r="31" spans="2:75" ht="14.25" customHeight="1" x14ac:dyDescent="0.2">
      <c r="B31" s="221" t="s">
        <v>99</v>
      </c>
      <c r="C31" s="221"/>
      <c r="D31" s="221"/>
      <c r="E31" s="221"/>
      <c r="F31" s="221"/>
      <c r="G31" s="221"/>
      <c r="H31" s="13"/>
      <c r="I31" s="139"/>
      <c r="J31" s="140" t="s">
        <v>0</v>
      </c>
      <c r="K31" s="140" t="s">
        <v>1</v>
      </c>
      <c r="L31" s="140" t="s">
        <v>2</v>
      </c>
      <c r="M31" s="140" t="s">
        <v>3</v>
      </c>
      <c r="N31" s="140" t="str">
        <f>"+/-"</f>
        <v>+/-</v>
      </c>
      <c r="O31" s="13"/>
      <c r="P31" s="13"/>
      <c r="Q31" s="13"/>
      <c r="R31" s="13"/>
      <c r="S31" s="202"/>
      <c r="T31" s="220"/>
      <c r="U31" s="172" t="str">
        <f>IF(100*V22+W22&gt;100*V23+W23,U22,IF(100*V22+W22&lt;100*V23+W23,U23,CONCATENATE(U22," ou ",U23)))</f>
        <v>H1 ou G2</v>
      </c>
      <c r="V31" s="23"/>
      <c r="W31" s="23"/>
      <c r="X31" s="14"/>
      <c r="Y31" s="14"/>
      <c r="Z31" s="14"/>
      <c r="AA31" s="14"/>
      <c r="AB31" s="14"/>
      <c r="AC31" s="14"/>
      <c r="AD31" s="24"/>
      <c r="AE31" s="24"/>
      <c r="AI31" s="30"/>
      <c r="AJ31" s="31"/>
      <c r="AK31" s="32"/>
      <c r="AL31" s="41"/>
      <c r="AM31" s="34"/>
      <c r="AN31" s="35"/>
      <c r="AO31" s="36"/>
      <c r="AP31" s="35"/>
      <c r="AQ31" s="37"/>
      <c r="AR31" s="35"/>
      <c r="AS31" s="35"/>
      <c r="AT31" s="35"/>
      <c r="AU31" s="35"/>
      <c r="AV31" s="36"/>
      <c r="AW31" s="35"/>
      <c r="AX31" s="35"/>
      <c r="AY31" s="37"/>
      <c r="AZ31" s="36"/>
      <c r="BA31" s="35"/>
      <c r="BB31" s="35"/>
      <c r="BC31" s="37"/>
      <c r="BD31" s="36"/>
      <c r="BE31" s="38"/>
      <c r="BF31" s="38"/>
      <c r="BG31" s="39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6"/>
      <c r="BU31" s="35"/>
      <c r="BV31" s="35"/>
      <c r="BW31" s="37"/>
    </row>
    <row r="32" spans="2:75" ht="14.25" customHeight="1" x14ac:dyDescent="0.2">
      <c r="B32" s="86">
        <v>44887</v>
      </c>
      <c r="C32" s="87">
        <v>0.58333333333333337</v>
      </c>
      <c r="D32" s="110" t="s">
        <v>77</v>
      </c>
      <c r="E32" s="55"/>
      <c r="F32" s="55"/>
      <c r="G32" s="112" t="s">
        <v>90</v>
      </c>
      <c r="H32" s="13"/>
      <c r="I32" s="141">
        <f>AI45</f>
        <v>1</v>
      </c>
      <c r="J32" s="111" t="str">
        <f>INDEX(AM45:AM48,MATCH(AK45,$AL45:$AL48,0))</f>
        <v>Danemark</v>
      </c>
      <c r="K32" s="142">
        <f>INDEX(AN45:AN48,MATCH(AK45,$AL45:$AL48,0))</f>
        <v>0</v>
      </c>
      <c r="L32" s="142">
        <f>INDEX(AO45:AO48,MATCH(AK45,$AL45:$AL48,0))</f>
        <v>0</v>
      </c>
      <c r="M32" s="142">
        <f>INDEX(AP45:AP48,MATCH(AK45,$AL45:$AL48,0))</f>
        <v>0</v>
      </c>
      <c r="N32" s="142">
        <f>INDEX(AQ45:AQ48,MATCH(AK45,$AL45:$AL48,0))</f>
        <v>0</v>
      </c>
      <c r="O32" s="13"/>
      <c r="P32" s="13"/>
      <c r="Q32" s="13"/>
      <c r="R32" s="13"/>
      <c r="S32" s="189">
        <v>43288</v>
      </c>
      <c r="T32" s="215">
        <v>0.83333333333333337</v>
      </c>
      <c r="U32" s="165" t="str">
        <f>IF(100*V12+W12&gt;100*V13+W13,U12,IF(100*V12+W12&lt;100*V13+W13,U13,CONCATENATE(U12," ou ",U13)))</f>
        <v>B1 ou A2</v>
      </c>
      <c r="V32" s="23"/>
      <c r="W32" s="23"/>
      <c r="X32" s="14"/>
      <c r="Y32" s="14"/>
      <c r="Z32" s="14"/>
      <c r="AA32" s="14"/>
      <c r="AB32" s="14"/>
      <c r="AC32" s="14"/>
      <c r="AD32" s="24"/>
      <c r="AE32" s="24"/>
      <c r="AI32" s="30"/>
      <c r="AJ32" s="31"/>
      <c r="AK32" s="32"/>
      <c r="AL32" s="41"/>
      <c r="AM32" s="34"/>
      <c r="AN32" s="35"/>
      <c r="AO32" s="36"/>
      <c r="AP32" s="35"/>
      <c r="AQ32" s="37"/>
      <c r="AR32" s="35"/>
      <c r="AS32" s="35"/>
      <c r="AT32" s="35"/>
      <c r="AU32" s="35"/>
      <c r="AV32" s="36"/>
      <c r="AW32" s="35"/>
      <c r="AX32" s="35"/>
      <c r="AY32" s="37"/>
      <c r="AZ32" s="36"/>
      <c r="BA32" s="35"/>
      <c r="BB32" s="35"/>
      <c r="BC32" s="37"/>
      <c r="BD32" s="36"/>
      <c r="BE32" s="38"/>
      <c r="BF32" s="38"/>
      <c r="BG32" s="39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6"/>
      <c r="BU32" s="35"/>
      <c r="BV32" s="35"/>
      <c r="BW32" s="37"/>
    </row>
    <row r="33" spans="2:75" ht="14.25" customHeight="1" x14ac:dyDescent="0.2">
      <c r="B33" s="89">
        <v>44887</v>
      </c>
      <c r="C33" s="90">
        <v>0.83333333333333337</v>
      </c>
      <c r="D33" s="111" t="s">
        <v>76</v>
      </c>
      <c r="E33" s="55"/>
      <c r="F33" s="55"/>
      <c r="G33" s="113" t="s">
        <v>113</v>
      </c>
      <c r="H33" s="13"/>
      <c r="I33" s="141">
        <f>AI46</f>
        <v>1</v>
      </c>
      <c r="J33" s="111" t="str">
        <f>INDEX(AM45:AM48,MATCH(AK46,$AL45:$AL48,0))</f>
        <v>Tunisie</v>
      </c>
      <c r="K33" s="142">
        <f>INDEX(AN45:AN48,MATCH(AK46,$AL45:$AL48,0))</f>
        <v>0</v>
      </c>
      <c r="L33" s="142">
        <f>INDEX(AO45:AO48,MATCH(AK46,$AL45:$AL48,0))</f>
        <v>0</v>
      </c>
      <c r="M33" s="142">
        <f>INDEX(AP45:AP48,MATCH(AK46,$AL45:$AL48,0))</f>
        <v>0</v>
      </c>
      <c r="N33" s="142">
        <f>INDEX(AQ45:AQ48,MATCH(AK46,$AL45:$AL48,0))</f>
        <v>0</v>
      </c>
      <c r="O33" s="13"/>
      <c r="P33" s="13"/>
      <c r="Q33" s="13"/>
      <c r="R33" s="13"/>
      <c r="S33" s="189"/>
      <c r="T33" s="215"/>
      <c r="U33" s="165" t="str">
        <f>IF(100*V14+W14&gt;100*V15+W15,U14,IF(100*V14+W14&lt;100*V15+W15,U15,CONCATENATE(U14," ou ",U15)))</f>
        <v>D1 ou C2</v>
      </c>
      <c r="V33" s="23"/>
      <c r="W33" s="23"/>
      <c r="X33" s="14"/>
      <c r="Y33" s="14"/>
      <c r="Z33" s="14"/>
      <c r="AA33" s="14"/>
      <c r="AB33" s="14"/>
      <c r="AC33" s="14"/>
      <c r="AD33" s="24"/>
      <c r="AE33" s="24"/>
      <c r="AI33" s="30">
        <f>IF(ROUND(AK33,0)=ROUND(AK27,0),AI27,2)</f>
        <v>1</v>
      </c>
      <c r="AJ33" s="31">
        <f>ROUND(AK33,0)</f>
        <v>2</v>
      </c>
      <c r="AK33" s="32">
        <f>MAX(MIN(AL27:AL34),MIN(AL27,AL33,AL35),MIN(AL27,AL34,AL35),MIN(AL33:AL35))</f>
        <v>2.46</v>
      </c>
      <c r="AL33" s="41">
        <f>SUM(BD33:BG33)+2.46</f>
        <v>2.46</v>
      </c>
      <c r="AM33" s="34" t="str">
        <f>G24</f>
        <v>Pologne</v>
      </c>
      <c r="AN33" s="35">
        <f>SUM(AR33:AU33)</f>
        <v>0</v>
      </c>
      <c r="AO33" s="36">
        <f>F24+F26+E29</f>
        <v>0</v>
      </c>
      <c r="AP33" s="35">
        <f>E24+E26+F29</f>
        <v>0</v>
      </c>
      <c r="AQ33" s="37">
        <f>AO33-AP33</f>
        <v>0</v>
      </c>
      <c r="AR33" s="35">
        <f>IF(ISBLANK(F24),0,IF(AS27=3,0,IF(AS27=1,1,3)))</f>
        <v>0</v>
      </c>
      <c r="AS33" s="35" t="s">
        <v>71</v>
      </c>
      <c r="AT33" s="35">
        <f>IF(ISBLANK(E29),0,IF(AS34=3,0,IF(AS34=1,1,3)))</f>
        <v>0</v>
      </c>
      <c r="AU33" s="35">
        <f>IF(ISBLANK(F26),0,IF(F26&gt;E26,3,IF(F26=E26,1,0)))</f>
        <v>0</v>
      </c>
      <c r="AV33" s="36" t="b">
        <f>(10*(AQ27-AQ33)+AO27-AO33&lt;0)</f>
        <v>0</v>
      </c>
      <c r="AW33" s="35" t="s">
        <v>71</v>
      </c>
      <c r="AX33" s="35" t="b">
        <f>10*(AQ33-AQ34)+AO33-AO34&gt;0</f>
        <v>0</v>
      </c>
      <c r="AY33" s="37" t="b">
        <f>10*(AQ33-AQ35)+AO33-AO35&gt;0</f>
        <v>0</v>
      </c>
      <c r="AZ33" s="36">
        <f>10000*(AR33+AT33)+(F24-E24+E29-F29)*100+(F24+E29)</f>
        <v>0</v>
      </c>
      <c r="BA33" s="35">
        <f>10000*(AR33+AU33)+(F24-E24+F26-E26)*100+(F24+F26)</f>
        <v>0</v>
      </c>
      <c r="BB33" s="35" t="s">
        <v>71</v>
      </c>
      <c r="BC33" s="37">
        <f>10000*(AT33+AU33)+(F26-E26+E29-F29)*100+(F26+E29)</f>
        <v>0</v>
      </c>
      <c r="BD33" s="42">
        <f>-BE27</f>
        <v>0</v>
      </c>
      <c r="BE33" s="35" t="s">
        <v>71</v>
      </c>
      <c r="BF33" s="38">
        <f>IF($AN33&gt;$AN34,-0.5,IF($AN34&gt;$AN33,0.5,IF(AX33,-0.5,IF(AW34,0.5,BV33))))</f>
        <v>0</v>
      </c>
      <c r="BG33" s="39">
        <f>IF($AN33&gt;$AN35,-0.5,IF($AN35&gt;$AN33,0.5,IF(AY33,-0.5,IF(AW35,0.5,BW33))))</f>
        <v>0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36"/>
      <c r="BU33" s="35" t="s">
        <v>71</v>
      </c>
      <c r="BV33" s="35">
        <f>IF($BP27,IF(F29-E29&lt;0,-0.5,IF(E29-F29&lt;0,0.5,0)),IF($BI27,IF($AZ33&gt;$AZ34,-0.5,IF($AZ33&lt;$AZ34,0.5,0)),IF($BL27,IF($BC33&gt;$BC34,-0.5,IF($BC33&lt;$BC34,0.5,0)),0)))</f>
        <v>0</v>
      </c>
      <c r="BW33" s="37">
        <f>IF($BQ27,IF(E26-F26&lt;0,-0.5,IF(F26-E26&lt;0,0.5,0)),IF($BJ27,IF($BA33&gt;$BA35,-0.5,IF($BA33&lt;$BA35,0.5,0)),IF($BL27,IF($BC33&gt;$BC35,-0.5,IF($BC33&lt;$BC35,0.5,0)),0)))</f>
        <v>0</v>
      </c>
    </row>
    <row r="34" spans="2:75" ht="14.25" customHeight="1" x14ac:dyDescent="0.2">
      <c r="B34" s="86">
        <v>44891</v>
      </c>
      <c r="C34" s="87">
        <v>0.70833333333333337</v>
      </c>
      <c r="D34" s="110" t="str">
        <f>D32</f>
        <v>Danemark</v>
      </c>
      <c r="E34" s="55"/>
      <c r="F34" s="55"/>
      <c r="G34" s="112" t="str">
        <f>D33</f>
        <v>France</v>
      </c>
      <c r="H34" s="13"/>
      <c r="I34" s="96">
        <f>AI47</f>
        <v>1</v>
      </c>
      <c r="J34" s="21" t="str">
        <f>INDEX(AM45:AM48,MATCH(AK47,$AL45:$AL48,0))</f>
        <v>France</v>
      </c>
      <c r="K34" s="97">
        <f>INDEX(AN45:AN48,MATCH(AK47,$AL45:$AL48,0))</f>
        <v>0</v>
      </c>
      <c r="L34" s="97">
        <f>INDEX(AO45:AO48,MATCH(AK47,$AL45:$AL48,0))</f>
        <v>0</v>
      </c>
      <c r="M34" s="97">
        <f>INDEX(AP45:AP48,MATCH(AK47,$AL45:$AL48,0))</f>
        <v>0</v>
      </c>
      <c r="N34" s="97">
        <f>INDEX(AQ45:AQ48,MATCH(AK47,$AL45:$AL48,0))</f>
        <v>0</v>
      </c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14"/>
      <c r="Z34" s="14"/>
      <c r="AA34" s="14"/>
      <c r="AB34" s="14"/>
      <c r="AC34" s="14"/>
      <c r="AD34" s="24"/>
      <c r="AE34" s="24"/>
      <c r="AI34" s="30">
        <f>IF(ROUND(AK34,0)=ROUND(AK33,0),AI33,3)</f>
        <v>1</v>
      </c>
      <c r="AJ34" s="31">
        <f>ROUND(AK34,0)</f>
        <v>2</v>
      </c>
      <c r="AK34" s="32">
        <f>MIN(MAX(AL27:AL34),MAX(AL27,AL33,AL35),MAX(AL27,AL34,AL35),MAX(AL33:AL35))</f>
        <v>2.4700000000000002</v>
      </c>
      <c r="AL34" s="41">
        <f>SUM(BD34:BG34)+2.47</f>
        <v>2.4700000000000002</v>
      </c>
      <c r="AM34" s="34" t="str">
        <f>D25</f>
        <v>Argentine</v>
      </c>
      <c r="AN34" s="35">
        <f>SUM(AR34:AU34)</f>
        <v>0</v>
      </c>
      <c r="AO34" s="36">
        <f>E25+F27+F29</f>
        <v>0</v>
      </c>
      <c r="AP34" s="35">
        <f>F25+E27+E29</f>
        <v>0</v>
      </c>
      <c r="AQ34" s="37">
        <f>AO34-AP34</f>
        <v>0</v>
      </c>
      <c r="AR34" s="35">
        <f>IF(ISBLANK(F27),0,IF(AT27=3,0,IF(AT27=1,1,3)))</f>
        <v>0</v>
      </c>
      <c r="AS34" s="35">
        <f>IF(ISBLANK(F29),0,IF(F29&gt;E29,3,IF(F29=E29,1,0)))</f>
        <v>0</v>
      </c>
      <c r="AT34" s="35" t="s">
        <v>71</v>
      </c>
      <c r="AU34" s="35">
        <f>IF(ISBLANK(E25),0,IF(E25&gt;F25,3,IF(E25=F25,1,0)))</f>
        <v>0</v>
      </c>
      <c r="AV34" s="36" t="b">
        <f>10*(AQ27-AQ34)+AO27-AO34&lt;0</f>
        <v>0</v>
      </c>
      <c r="AW34" s="35" t="b">
        <f>10*(AQ33-AQ34)+AO33-AO34&lt;0</f>
        <v>0</v>
      </c>
      <c r="AX34" s="35" t="s">
        <v>71</v>
      </c>
      <c r="AY34" s="37" t="b">
        <f>10*(AQ34-AQ35)+AO34-AO35&gt;0</f>
        <v>0</v>
      </c>
      <c r="AZ34" s="36">
        <f>10000*(AR34+AS34)+(F27-E27+F29-E29)*100+(F27+F29)</f>
        <v>0</v>
      </c>
      <c r="BA34" s="35" t="s">
        <v>71</v>
      </c>
      <c r="BB34" s="35">
        <f>10000*(AR34+AU34)+(E25-F25+F27-E27)*100+(E25+F27)</f>
        <v>0</v>
      </c>
      <c r="BC34" s="37">
        <f>10000*(AS34+AU34)+(E25-F25+F29-E29)*100+(E25+F29)</f>
        <v>0</v>
      </c>
      <c r="BD34" s="42">
        <f>-BF27</f>
        <v>0</v>
      </c>
      <c r="BE34" s="38">
        <f>-BF33</f>
        <v>0</v>
      </c>
      <c r="BF34" s="38" t="s">
        <v>71</v>
      </c>
      <c r="BG34" s="39">
        <f>IF($AN34&gt;$AN35,-0.5,IF($AN35&gt;$AN34,0.5,IF(AY34,-0.5,IF(AX35,0.5,BW34))))</f>
        <v>0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36"/>
      <c r="BU34" s="35"/>
      <c r="BV34" s="35" t="s">
        <v>71</v>
      </c>
      <c r="BW34" s="37">
        <f>IF($BR27,IF(F25-E25&lt;0,-0.5,IF(E25-F25&lt;0,0.5,0)),IF($BK27,IF($BB34&gt;$BB35,-0.5,IF($BB34&lt;$BB35,0.5,0)),IF($BL27,IF($BC34&gt;$BC35,-0.5,IF($BC34&lt;$BC35,0.5,0)),0)))</f>
        <v>0</v>
      </c>
    </row>
    <row r="35" spans="2:75" ht="14.25" customHeight="1" x14ac:dyDescent="0.2">
      <c r="B35" s="89">
        <v>44891</v>
      </c>
      <c r="C35" s="90">
        <v>0.45833333333333331</v>
      </c>
      <c r="D35" s="111" t="str">
        <f>G33</f>
        <v>Barragiste</v>
      </c>
      <c r="E35" s="55"/>
      <c r="F35" s="55"/>
      <c r="G35" s="113" t="str">
        <f>G32</f>
        <v>Tunisie</v>
      </c>
      <c r="H35" s="13"/>
      <c r="I35" s="96">
        <f>AI48</f>
        <v>1</v>
      </c>
      <c r="J35" s="21" t="str">
        <f>INDEX(AM45:AM48,MATCH(AK48,$AL45:$AL48,0))</f>
        <v>Barragiste</v>
      </c>
      <c r="K35" s="97">
        <f>INDEX(AN45:AN48,MATCH(AK48,$AL45:$AL48,0))</f>
        <v>0</v>
      </c>
      <c r="L35" s="97">
        <f>INDEX(AO45:AO48,MATCH(AK48,$AL45:$AL48,0))</f>
        <v>0</v>
      </c>
      <c r="M35" s="97">
        <f>INDEX(AP45:AP48,MATCH(AK48,$AL45:$AL48,0))</f>
        <v>0</v>
      </c>
      <c r="N35" s="97">
        <f>INDEX(AQ45:AQ48,MATCH(AK48,$AL45:$AL48,0))</f>
        <v>0</v>
      </c>
      <c r="O35" s="13"/>
      <c r="P35" s="13"/>
      <c r="Q35" s="13"/>
      <c r="R35" s="13"/>
      <c r="S35" s="188" t="s">
        <v>106</v>
      </c>
      <c r="T35" s="188"/>
      <c r="U35" s="188"/>
      <c r="V35" s="188"/>
      <c r="W35" s="179" t="s">
        <v>4</v>
      </c>
      <c r="X35" s="14"/>
      <c r="Y35" s="14"/>
      <c r="Z35" s="14"/>
      <c r="AA35" s="14"/>
      <c r="AB35" s="14"/>
      <c r="AC35" s="14"/>
      <c r="AD35" s="24"/>
      <c r="AE35" s="24"/>
      <c r="AI35" s="30">
        <f>IF(ROUND(AK35,0)=ROUND(AK34,0),AI34,4)</f>
        <v>1</v>
      </c>
      <c r="AJ35" s="31">
        <f>ROUND(AK35,0)</f>
        <v>2</v>
      </c>
      <c r="AK35" s="32">
        <f>MAX(AL27:AL35)</f>
        <v>2.48</v>
      </c>
      <c r="AL35" s="43">
        <f>SUM(BD35:BG35)+2.48</f>
        <v>2.48</v>
      </c>
      <c r="AM35" s="44" t="str">
        <f>G25</f>
        <v>Arabie Saoudite</v>
      </c>
      <c r="AN35" s="40">
        <f>SUM(AR35:AU35)</f>
        <v>0</v>
      </c>
      <c r="AO35" s="45">
        <f>F25+E26+E28</f>
        <v>0</v>
      </c>
      <c r="AP35" s="40">
        <f>E25+F26+F28</f>
        <v>0</v>
      </c>
      <c r="AQ35" s="46">
        <f>AO35-AP35</f>
        <v>0</v>
      </c>
      <c r="AR35" s="40">
        <f>IF(ISBLANK(E28),0,IF(AU27=3,0,IF(AU27=1,1,3)))</f>
        <v>0</v>
      </c>
      <c r="AS35" s="40">
        <f>IF(ISBLANK(E26),0,IF(AU33=3,0,IF(AU33=1,1,3)))</f>
        <v>0</v>
      </c>
      <c r="AT35" s="40">
        <f>IF(ISBLANK(F25),0,IF(AU34=3,0,IF(AU34=1,1,3)))</f>
        <v>0</v>
      </c>
      <c r="AU35" s="40" t="s">
        <v>71</v>
      </c>
      <c r="AV35" s="45" t="b">
        <f>10*(AQ27-AQ35)+AO27-AO35&lt;0</f>
        <v>0</v>
      </c>
      <c r="AW35" s="40" t="b">
        <f>10*(AQ33-AQ35)+AO33-AO35&lt;0</f>
        <v>0</v>
      </c>
      <c r="AX35" s="40" t="b">
        <f>10*(AQ34-AQ35)+AO34-AO35&lt;0</f>
        <v>0</v>
      </c>
      <c r="AY35" s="46" t="s">
        <v>71</v>
      </c>
      <c r="AZ35" s="45" t="s">
        <v>71</v>
      </c>
      <c r="BA35" s="40">
        <f>10000*(AR35+AS35)+(E26-F26+E28-F28)*100+(E26+E28)</f>
        <v>0</v>
      </c>
      <c r="BB35" s="40">
        <f>10000*(AR35+AT35)+(E28-F28+F25-E25)*100+(E28+F25)</f>
        <v>0</v>
      </c>
      <c r="BC35" s="46">
        <f>10000*(AS35+AT35)+(E26-F26+F25-E25)*100+(E26+F25)</f>
        <v>0</v>
      </c>
      <c r="BD35" s="47">
        <f>-BG27</f>
        <v>0</v>
      </c>
      <c r="BE35" s="48">
        <f>-BG33</f>
        <v>0</v>
      </c>
      <c r="BF35" s="48">
        <f>-BG34</f>
        <v>0</v>
      </c>
      <c r="BG35" s="46" t="s">
        <v>71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45"/>
      <c r="BU35" s="40"/>
      <c r="BV35" s="40"/>
      <c r="BW35" s="46" t="s">
        <v>71</v>
      </c>
    </row>
    <row r="36" spans="2:75" ht="14.25" customHeight="1" x14ac:dyDescent="0.2">
      <c r="B36" s="86">
        <v>44895</v>
      </c>
      <c r="C36" s="87">
        <v>0.66666666666666663</v>
      </c>
      <c r="D36" s="110" t="str">
        <f>G33</f>
        <v>Barragiste</v>
      </c>
      <c r="E36" s="55"/>
      <c r="F36" s="55"/>
      <c r="G36" s="112" t="str">
        <f>D32</f>
        <v>Danemark</v>
      </c>
      <c r="H36" s="13"/>
      <c r="I36" s="132"/>
      <c r="J36" s="133" t="str">
        <f>IF(OR(I34&lt;3,I33&lt;2),"TIRAGE AU SORT !!!"," ")</f>
        <v>TIRAGE AU SORT !!!</v>
      </c>
      <c r="K36" s="134"/>
      <c r="L36" s="134"/>
      <c r="M36" s="134"/>
      <c r="N36" s="134"/>
      <c r="O36" s="13"/>
      <c r="P36" s="13"/>
      <c r="Q36" s="13"/>
      <c r="R36" s="13"/>
      <c r="S36" s="189">
        <v>43291</v>
      </c>
      <c r="T36" s="224">
        <v>0.83333333333333337</v>
      </c>
      <c r="U36" s="165" t="str">
        <f>IF(100*V26+W26&gt;100*V27+W27,U26,IF(100*V26+W26&lt;100*V27+W27,U27,IF(X34*X33=1,"-",CONCATENATE(U26," ou ",U27))))</f>
        <v>A1 ou B2 ou C1 ou D2</v>
      </c>
      <c r="V36" s="53"/>
      <c r="W36" s="54"/>
      <c r="X36" s="14"/>
      <c r="Y36" s="14"/>
      <c r="Z36" s="14"/>
      <c r="AA36" s="14"/>
      <c r="AB36" s="14"/>
      <c r="AC36" s="14"/>
      <c r="AD36" s="24"/>
      <c r="AE36" s="24"/>
    </row>
    <row r="37" spans="2:75" ht="14.25" customHeight="1" x14ac:dyDescent="0.2">
      <c r="B37" s="89">
        <v>43281</v>
      </c>
      <c r="C37" s="90">
        <v>0.66666666666666663</v>
      </c>
      <c r="D37" s="111" t="str">
        <f>G32</f>
        <v>Tunisie</v>
      </c>
      <c r="E37" s="55"/>
      <c r="F37" s="55"/>
      <c r="G37" s="113" t="str">
        <f>D33</f>
        <v>France</v>
      </c>
      <c r="H37" s="13"/>
      <c r="I37" s="97"/>
      <c r="J37" s="21"/>
      <c r="K37" s="21"/>
      <c r="L37" s="21"/>
      <c r="M37" s="21"/>
      <c r="N37" s="21"/>
      <c r="O37" s="13"/>
      <c r="P37" s="13"/>
      <c r="Q37" s="13"/>
      <c r="R37" s="13"/>
      <c r="S37" s="190"/>
      <c r="T37" s="225"/>
      <c r="U37" s="166" t="str">
        <f>IF(100*V28+W28&gt;100*V29+W29,U28,IF(100*V28+W28&lt;100*V29+W29,U29,IF(X35*X36=1,"-",CONCATENATE(U28," ou ",U29))))</f>
        <v>E1 ou F2 ou G1 ou H2</v>
      </c>
      <c r="V37" s="23"/>
      <c r="W37" s="23"/>
      <c r="X37" s="14"/>
      <c r="Y37" s="14"/>
      <c r="Z37" s="14"/>
      <c r="AA37" s="14"/>
      <c r="AB37" s="14"/>
      <c r="AC37" s="14"/>
      <c r="AD37" s="24"/>
      <c r="AE37" s="24"/>
    </row>
    <row r="38" spans="2:75" ht="14.25" customHeight="1" x14ac:dyDescent="0.2">
      <c r="B38" s="29"/>
      <c r="C38" s="29"/>
      <c r="D38" s="29"/>
      <c r="E38" s="29"/>
      <c r="F38" s="29"/>
      <c r="G38" s="29"/>
      <c r="H38" s="13"/>
      <c r="I38" s="97"/>
      <c r="J38" s="21"/>
      <c r="K38" s="21"/>
      <c r="L38" s="21"/>
      <c r="M38" s="21"/>
      <c r="N38" s="21"/>
      <c r="O38" s="13"/>
      <c r="P38" s="13"/>
      <c r="Q38" s="13"/>
      <c r="R38" s="13"/>
      <c r="S38" s="189">
        <v>43292</v>
      </c>
      <c r="T38" s="224">
        <v>0.83333333333333337</v>
      </c>
      <c r="U38" s="165" t="str">
        <f>IF(100*V32+W32&gt;100*V33+W33,U32,IF(100*V32+W32&lt;100*V33+W33,U33,IF(X37*X38=1,"-",CONCATENATE(U32," ou ",U33))))</f>
        <v>B1 ou A2 ou D1 ou C2</v>
      </c>
      <c r="V38" s="23"/>
      <c r="W38" s="23"/>
      <c r="X38" s="14"/>
      <c r="Y38" s="14"/>
      <c r="Z38" s="14"/>
      <c r="AA38" s="14"/>
      <c r="AB38" s="14"/>
      <c r="AC38" s="14"/>
      <c r="AD38" s="24"/>
      <c r="AE38" s="24"/>
    </row>
    <row r="39" spans="2:75" ht="14.25" customHeight="1" x14ac:dyDescent="0.2">
      <c r="B39" s="226" t="s">
        <v>100</v>
      </c>
      <c r="C39" s="226"/>
      <c r="D39" s="226"/>
      <c r="E39" s="226"/>
      <c r="F39" s="226"/>
      <c r="G39" s="226"/>
      <c r="H39" s="13"/>
      <c r="I39" s="143"/>
      <c r="J39" s="144" t="s">
        <v>0</v>
      </c>
      <c r="K39" s="144" t="s">
        <v>1</v>
      </c>
      <c r="L39" s="144" t="s">
        <v>2</v>
      </c>
      <c r="M39" s="144" t="s">
        <v>3</v>
      </c>
      <c r="N39" s="144" t="str">
        <f>"+/-"</f>
        <v>+/-</v>
      </c>
      <c r="O39" s="13"/>
      <c r="P39" s="13"/>
      <c r="Q39" s="13"/>
      <c r="R39" s="13"/>
      <c r="S39" s="189"/>
      <c r="T39" s="224"/>
      <c r="U39" s="165" t="str">
        <f>IF(100*V30+W30&gt;100*V31+W31,U30,IF(100*V30+W30&lt;100*V31+W31,U31,IF(X39*X45=1,"-",CONCATENATE(U30," ou ",U31))))</f>
        <v>F1 ou E2 ou H1 ou G2</v>
      </c>
      <c r="V39" s="23"/>
      <c r="W39" s="23"/>
      <c r="X39" s="14"/>
      <c r="Y39" s="14"/>
      <c r="Z39" s="14"/>
      <c r="AA39" s="14"/>
      <c r="AB39" s="14"/>
      <c r="AC39" s="14"/>
      <c r="AD39" s="24"/>
      <c r="AE39" s="24"/>
      <c r="AL39" s="25" t="s">
        <v>38</v>
      </c>
      <c r="AM39" s="26" t="s">
        <v>39</v>
      </c>
      <c r="AN39" s="27" t="s">
        <v>1</v>
      </c>
      <c r="AO39" s="25" t="s">
        <v>40</v>
      </c>
      <c r="AP39" s="27" t="s">
        <v>41</v>
      </c>
      <c r="AQ39" s="28" t="s">
        <v>42</v>
      </c>
      <c r="AR39" s="27" t="s">
        <v>43</v>
      </c>
      <c r="AS39" s="27" t="s">
        <v>44</v>
      </c>
      <c r="AT39" s="27" t="s">
        <v>45</v>
      </c>
      <c r="AU39" s="27" t="s">
        <v>46</v>
      </c>
      <c r="AV39" s="25" t="s">
        <v>47</v>
      </c>
      <c r="AW39" s="27" t="s">
        <v>48</v>
      </c>
      <c r="AX39" s="27" t="s">
        <v>49</v>
      </c>
      <c r="AY39" s="28" t="s">
        <v>50</v>
      </c>
      <c r="AZ39" s="25" t="s">
        <v>51</v>
      </c>
      <c r="BA39" s="27" t="s">
        <v>52</v>
      </c>
      <c r="BB39" s="27" t="s">
        <v>53</v>
      </c>
      <c r="BC39" s="28" t="s">
        <v>54</v>
      </c>
      <c r="BD39" s="25" t="s">
        <v>55</v>
      </c>
      <c r="BE39" s="27" t="s">
        <v>56</v>
      </c>
      <c r="BF39" s="27" t="s">
        <v>57</v>
      </c>
      <c r="BG39" s="28" t="s">
        <v>58</v>
      </c>
      <c r="BH39" s="25" t="s">
        <v>59</v>
      </c>
      <c r="BI39" s="27" t="s">
        <v>51</v>
      </c>
      <c r="BJ39" s="27" t="s">
        <v>52</v>
      </c>
      <c r="BK39" s="27" t="s">
        <v>53</v>
      </c>
      <c r="BL39" s="27" t="s">
        <v>54</v>
      </c>
      <c r="BM39" s="27" t="s">
        <v>60</v>
      </c>
      <c r="BN39" s="27" t="s">
        <v>61</v>
      </c>
      <c r="BO39" s="27" t="s">
        <v>62</v>
      </c>
      <c r="BP39" s="27" t="s">
        <v>63</v>
      </c>
      <c r="BQ39" s="27" t="s">
        <v>64</v>
      </c>
      <c r="BR39" s="27" t="s">
        <v>65</v>
      </c>
      <c r="BS39" s="28" t="s">
        <v>66</v>
      </c>
      <c r="BT39" s="25" t="s">
        <v>67</v>
      </c>
      <c r="BU39" s="27" t="s">
        <v>68</v>
      </c>
      <c r="BV39" s="27" t="s">
        <v>69</v>
      </c>
      <c r="BW39" s="28" t="s">
        <v>70</v>
      </c>
    </row>
    <row r="40" spans="2:75" ht="14.25" customHeight="1" x14ac:dyDescent="0.2">
      <c r="B40" s="86">
        <v>44888</v>
      </c>
      <c r="C40" s="87">
        <v>0.58333333333333337</v>
      </c>
      <c r="D40" s="114" t="s">
        <v>84</v>
      </c>
      <c r="E40" s="56"/>
      <c r="F40" s="56"/>
      <c r="G40" s="116" t="s">
        <v>93</v>
      </c>
      <c r="H40" s="13"/>
      <c r="I40" s="145">
        <f>AI57</f>
        <v>1</v>
      </c>
      <c r="J40" s="115" t="str">
        <f>INDEX(AM57:AM60,MATCH(AK57,$AL57:$AL60,0))</f>
        <v>Espagne</v>
      </c>
      <c r="K40" s="146">
        <f>INDEX(AN57:AN60,MATCH(AK57,$AL57:$AL60,0))</f>
        <v>0</v>
      </c>
      <c r="L40" s="146">
        <f>INDEX(AO57:AO60,MATCH(AK57,$AL57:$AL60,0))</f>
        <v>0</v>
      </c>
      <c r="M40" s="146">
        <f>INDEX(AP57:AP60,MATCH(AK57,$AL57:$AL60,0))</f>
        <v>0</v>
      </c>
      <c r="N40" s="146">
        <f>INDEX(AQ57:AQ60,MATCH(AK57,$AL57:$AL60,0))</f>
        <v>0</v>
      </c>
      <c r="O40" s="13"/>
      <c r="P40" s="13"/>
      <c r="Q40" s="13"/>
      <c r="R40" s="13"/>
      <c r="S40" s="57"/>
      <c r="T40" s="58"/>
      <c r="U40" s="52"/>
      <c r="V40" s="52"/>
      <c r="W40" s="52"/>
      <c r="X40" s="14"/>
      <c r="Y40" s="14"/>
      <c r="Z40" s="14"/>
      <c r="AA40" s="14"/>
      <c r="AB40" s="14"/>
      <c r="AC40" s="14"/>
      <c r="AD40" s="24"/>
      <c r="AE40" s="24"/>
      <c r="AL40" s="59"/>
      <c r="AM40" s="60"/>
      <c r="AN40" s="61"/>
      <c r="AO40" s="62"/>
      <c r="AP40" s="61"/>
      <c r="AQ40" s="63"/>
      <c r="AR40" s="61"/>
      <c r="AS40" s="61"/>
      <c r="AT40" s="61"/>
      <c r="AU40" s="61"/>
      <c r="AV40" s="62"/>
      <c r="AW40" s="61"/>
      <c r="AX40" s="61"/>
      <c r="AY40" s="63"/>
      <c r="AZ40" s="62"/>
      <c r="BA40" s="61"/>
      <c r="BB40" s="61"/>
      <c r="BC40" s="63"/>
      <c r="BD40" s="62"/>
      <c r="BE40" s="61"/>
      <c r="BF40" s="61"/>
      <c r="BG40" s="63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2"/>
      <c r="BU40" s="61"/>
      <c r="BV40" s="61"/>
      <c r="BW40" s="63"/>
    </row>
    <row r="41" spans="2:75" ht="14.25" customHeight="1" x14ac:dyDescent="0.2">
      <c r="B41" s="89">
        <v>44888</v>
      </c>
      <c r="C41" s="90">
        <v>0.70833333333333337</v>
      </c>
      <c r="D41" s="115" t="s">
        <v>75</v>
      </c>
      <c r="E41" s="56"/>
      <c r="F41" s="56"/>
      <c r="G41" s="117" t="s">
        <v>113</v>
      </c>
      <c r="H41" s="13"/>
      <c r="I41" s="145">
        <f>AI58</f>
        <v>1</v>
      </c>
      <c r="J41" s="115" t="str">
        <f>INDEX(AM57:AM60,MATCH(AK58,$AL57:$AL60,0))</f>
        <v>Barragiste</v>
      </c>
      <c r="K41" s="146">
        <f>INDEX(AN57:AN60,MATCH(AK58,$AL57:$AL60,0))</f>
        <v>0</v>
      </c>
      <c r="L41" s="146">
        <f>INDEX(AO57:AO60,MATCH(AK58,$AL57:$AL60,0))</f>
        <v>0</v>
      </c>
      <c r="M41" s="146">
        <f>INDEX(AP57:AP60,MATCH(AK58,$AL57:$AL60,0))</f>
        <v>0</v>
      </c>
      <c r="N41" s="146">
        <f>INDEX(AQ57:AQ60,MATCH(AK58,$AL57:$AL60,0))</f>
        <v>0</v>
      </c>
      <c r="O41" s="13"/>
      <c r="P41" s="13"/>
      <c r="Q41" s="13"/>
      <c r="R41" s="13"/>
      <c r="S41" s="223" t="s">
        <v>107</v>
      </c>
      <c r="T41" s="223"/>
      <c r="U41" s="223"/>
      <c r="V41" s="223"/>
      <c r="W41" s="223" t="s">
        <v>4</v>
      </c>
      <c r="X41" s="14"/>
      <c r="Y41" s="14"/>
      <c r="Z41" s="14"/>
      <c r="AA41" s="14"/>
      <c r="AB41" s="14"/>
      <c r="AC41" s="14"/>
      <c r="AD41" s="24"/>
      <c r="AE41" s="24"/>
      <c r="AL41" s="59"/>
      <c r="AM41" s="60"/>
      <c r="AN41" s="61"/>
      <c r="AO41" s="62"/>
      <c r="AP41" s="61"/>
      <c r="AQ41" s="63"/>
      <c r="AR41" s="61"/>
      <c r="AS41" s="61"/>
      <c r="AT41" s="61"/>
      <c r="AU41" s="61"/>
      <c r="AV41" s="62"/>
      <c r="AW41" s="61"/>
      <c r="AX41" s="61"/>
      <c r="AY41" s="63"/>
      <c r="AZ41" s="62"/>
      <c r="BA41" s="61"/>
      <c r="BB41" s="61"/>
      <c r="BC41" s="63"/>
      <c r="BD41" s="62"/>
      <c r="BE41" s="61"/>
      <c r="BF41" s="61"/>
      <c r="BG41" s="63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2"/>
      <c r="BU41" s="61"/>
      <c r="BV41" s="61"/>
      <c r="BW41" s="63"/>
    </row>
    <row r="42" spans="2:75" ht="14.25" customHeight="1" x14ac:dyDescent="0.2">
      <c r="B42" s="86">
        <v>44892</v>
      </c>
      <c r="C42" s="87">
        <v>0.83333333333333337</v>
      </c>
      <c r="D42" s="114" t="str">
        <f>D41</f>
        <v>Espagne</v>
      </c>
      <c r="E42" s="56"/>
      <c r="F42" s="56"/>
      <c r="G42" s="116" t="str">
        <f>D40</f>
        <v>Allemagne</v>
      </c>
      <c r="H42" s="13"/>
      <c r="I42" s="96">
        <f>AI59</f>
        <v>1</v>
      </c>
      <c r="J42" s="21" t="str">
        <f>INDEX(AM57:AM60,MATCH(AK59,$AL57:$AL60,0))</f>
        <v>Allemagne</v>
      </c>
      <c r="K42" s="97">
        <f>INDEX(AN57:AN60,MATCH(AK59,$AL57:$AL60,0))</f>
        <v>0</v>
      </c>
      <c r="L42" s="97">
        <f>INDEX(AO57:AO60,MATCH(AK59,$AL57:$AL60,0))</f>
        <v>0</v>
      </c>
      <c r="M42" s="97">
        <f>INDEX(AP57:AP60,MATCH(AK59,$AL57:$AL60,0))</f>
        <v>0</v>
      </c>
      <c r="N42" s="97">
        <f>INDEX(AQ57:AQ60,MATCH(AK59,$AL57:$AL60,0))</f>
        <v>0</v>
      </c>
      <c r="O42" s="13"/>
      <c r="P42" s="13"/>
      <c r="Q42" s="13"/>
      <c r="R42" s="13"/>
      <c r="S42" s="223"/>
      <c r="T42" s="223"/>
      <c r="U42" s="223"/>
      <c r="V42" s="223"/>
      <c r="W42" s="223"/>
      <c r="X42" s="14"/>
      <c r="Y42" s="14"/>
      <c r="Z42" s="14"/>
      <c r="AA42" s="14"/>
      <c r="AB42" s="14"/>
      <c r="AC42" s="14"/>
      <c r="AD42" s="24"/>
      <c r="AE42" s="24"/>
      <c r="AL42" s="59"/>
      <c r="AM42" s="60"/>
      <c r="AN42" s="61"/>
      <c r="AO42" s="62"/>
      <c r="AP42" s="61"/>
      <c r="AQ42" s="63"/>
      <c r="AR42" s="61"/>
      <c r="AS42" s="61"/>
      <c r="AT42" s="61"/>
      <c r="AU42" s="61"/>
      <c r="AV42" s="62"/>
      <c r="AW42" s="61"/>
      <c r="AX42" s="61"/>
      <c r="AY42" s="63"/>
      <c r="AZ42" s="62"/>
      <c r="BA42" s="61"/>
      <c r="BB42" s="61"/>
      <c r="BC42" s="63"/>
      <c r="BD42" s="62"/>
      <c r="BE42" s="61"/>
      <c r="BF42" s="61"/>
      <c r="BG42" s="63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2"/>
      <c r="BU42" s="61"/>
      <c r="BV42" s="61"/>
      <c r="BW42" s="63"/>
    </row>
    <row r="43" spans="2:75" ht="14.25" customHeight="1" x14ac:dyDescent="0.2">
      <c r="B43" s="89">
        <v>44892</v>
      </c>
      <c r="C43" s="90">
        <v>0.45833333333333331</v>
      </c>
      <c r="D43" s="115" t="str">
        <f>G40</f>
        <v>Japon</v>
      </c>
      <c r="E43" s="56"/>
      <c r="F43" s="56"/>
      <c r="G43" s="117" t="str">
        <f>G41</f>
        <v>Barragiste</v>
      </c>
      <c r="H43" s="13"/>
      <c r="I43" s="96">
        <f>AI60</f>
        <v>1</v>
      </c>
      <c r="J43" s="21" t="str">
        <f>INDEX(AM57:AM60,MATCH(AK60,$AL57:$AL60,0))</f>
        <v>Japon</v>
      </c>
      <c r="K43" s="97">
        <f>INDEX(AN57:AN60,MATCH(AK60,$AL57:$AL60,0))</f>
        <v>0</v>
      </c>
      <c r="L43" s="97">
        <f>INDEX(AO57:AO60,MATCH(AK60,$AL57:$AL60,0))</f>
        <v>0</v>
      </c>
      <c r="M43" s="97">
        <f>INDEX(AP57:AP60,MATCH(AK60,$AL57:$AL60,0))</f>
        <v>0</v>
      </c>
      <c r="N43" s="97">
        <f>INDEX(AQ57:AQ60,MATCH(AK60,$AL57:$AL60,0))</f>
        <v>0</v>
      </c>
      <c r="O43" s="13"/>
      <c r="P43" s="13"/>
      <c r="Q43" s="13"/>
      <c r="R43" s="13"/>
      <c r="S43" s="189">
        <v>43295</v>
      </c>
      <c r="T43" s="224">
        <v>0.66666666666666663</v>
      </c>
      <c r="U43" s="165" t="str">
        <f>IF(100*V36+W36&gt;100*V37+W37,U37,IF(100*V36+W36&lt;100*V37+W37,U36," - "))</f>
        <v xml:space="preserve"> - </v>
      </c>
      <c r="V43" s="53"/>
      <c r="W43" s="54"/>
      <c r="X43" s="14"/>
      <c r="Y43" s="14"/>
      <c r="Z43" s="14"/>
      <c r="AA43" s="14"/>
      <c r="AB43" s="14"/>
      <c r="AC43" s="14"/>
      <c r="AD43" s="24"/>
      <c r="AE43" s="24"/>
      <c r="AL43" s="59"/>
      <c r="AM43" s="60"/>
      <c r="AN43" s="61"/>
      <c r="AO43" s="62"/>
      <c r="AP43" s="61"/>
      <c r="AQ43" s="63"/>
      <c r="AR43" s="61"/>
      <c r="AS43" s="61"/>
      <c r="AT43" s="61"/>
      <c r="AU43" s="61"/>
      <c r="AV43" s="62"/>
      <c r="AW43" s="61"/>
      <c r="AX43" s="61"/>
      <c r="AY43" s="63"/>
      <c r="AZ43" s="62"/>
      <c r="BA43" s="61"/>
      <c r="BB43" s="61"/>
      <c r="BC43" s="63"/>
      <c r="BD43" s="62"/>
      <c r="BE43" s="61"/>
      <c r="BF43" s="61"/>
      <c r="BG43" s="63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2"/>
      <c r="BU43" s="61"/>
      <c r="BV43" s="61"/>
      <c r="BW43" s="63"/>
    </row>
    <row r="44" spans="2:75" ht="14.25" customHeight="1" x14ac:dyDescent="0.2">
      <c r="B44" s="86">
        <v>44896</v>
      </c>
      <c r="C44" s="87">
        <v>0.83333333333333337</v>
      </c>
      <c r="D44" s="114" t="str">
        <f>G40</f>
        <v>Japon</v>
      </c>
      <c r="E44" s="56"/>
      <c r="F44" s="56"/>
      <c r="G44" s="116" t="str">
        <f>D41</f>
        <v>Espagne</v>
      </c>
      <c r="H44" s="13"/>
      <c r="I44" s="132"/>
      <c r="J44" s="133" t="str">
        <f>IF(OR(I42&lt;3,I41&lt;2),"TIRAGE AU SORT !!!"," ")</f>
        <v>TIRAGE AU SORT !!!</v>
      </c>
      <c r="K44" s="134"/>
      <c r="L44" s="134"/>
      <c r="M44" s="134"/>
      <c r="N44" s="134"/>
      <c r="O44" s="13"/>
      <c r="P44" s="13"/>
      <c r="Q44" s="13"/>
      <c r="R44" s="13"/>
      <c r="S44" s="189"/>
      <c r="T44" s="224"/>
      <c r="U44" s="165" t="str">
        <f>IF(100*V38+W38&gt;100*V39+W39,U39,IF(100*V38+W38&lt;100*V39+W39,U38," - "))</f>
        <v xml:space="preserve"> - </v>
      </c>
      <c r="V44" s="23"/>
      <c r="W44" s="23"/>
      <c r="X44" s="14"/>
      <c r="Y44" s="14"/>
      <c r="Z44" s="14"/>
      <c r="AA44" s="14"/>
      <c r="AB44" s="14"/>
      <c r="AC44" s="14"/>
      <c r="AD44" s="24"/>
      <c r="AE44" s="24"/>
      <c r="AL44" s="59"/>
      <c r="AM44" s="60"/>
      <c r="AN44" s="61"/>
      <c r="AO44" s="62"/>
      <c r="AP44" s="61"/>
      <c r="AQ44" s="63"/>
      <c r="AR44" s="61"/>
      <c r="AS44" s="61"/>
      <c r="AT44" s="61"/>
      <c r="AU44" s="61"/>
      <c r="AV44" s="62"/>
      <c r="AW44" s="61"/>
      <c r="AX44" s="61"/>
      <c r="AY44" s="63"/>
      <c r="AZ44" s="62"/>
      <c r="BA44" s="61"/>
      <c r="BB44" s="61"/>
      <c r="BC44" s="63"/>
      <c r="BD44" s="62"/>
      <c r="BE44" s="61"/>
      <c r="BF44" s="61"/>
      <c r="BG44" s="63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2"/>
      <c r="BU44" s="61"/>
      <c r="BV44" s="61"/>
      <c r="BW44" s="63"/>
    </row>
    <row r="45" spans="2:75" ht="14.25" customHeight="1" x14ac:dyDescent="0.2">
      <c r="B45" s="89">
        <v>44896</v>
      </c>
      <c r="C45" s="90">
        <v>0.83333333333333337</v>
      </c>
      <c r="D45" s="115" t="str">
        <f>G41</f>
        <v>Barragiste</v>
      </c>
      <c r="E45" s="56"/>
      <c r="F45" s="56"/>
      <c r="G45" s="117" t="str">
        <f>D40</f>
        <v>Allemagne</v>
      </c>
      <c r="H45" s="13"/>
      <c r="I45" s="97"/>
      <c r="J45" s="21"/>
      <c r="K45" s="21"/>
      <c r="L45" s="21"/>
      <c r="M45" s="21"/>
      <c r="N45" s="21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14"/>
      <c r="Z45" s="14"/>
      <c r="AA45" s="14"/>
      <c r="AB45" s="14"/>
      <c r="AC45" s="14"/>
      <c r="AD45" s="24"/>
      <c r="AE45" s="24"/>
      <c r="AI45" s="30">
        <v>1</v>
      </c>
      <c r="AJ45" s="31">
        <f>ROUND(AK45,0)</f>
        <v>2</v>
      </c>
      <c r="AK45" s="32">
        <f>MIN(AL45:AL48)</f>
        <v>2.4500000000000002</v>
      </c>
      <c r="AL45" s="33">
        <f>SUM(BD45:BG45)+2.45</f>
        <v>2.4500000000000002</v>
      </c>
      <c r="AM45" s="34" t="str">
        <f>D32</f>
        <v>Danemark</v>
      </c>
      <c r="AN45" s="35">
        <f>SUM(AR45:AU45)</f>
        <v>0</v>
      </c>
      <c r="AO45" s="36">
        <f>E32+E34+F36</f>
        <v>0</v>
      </c>
      <c r="AP45" s="35">
        <f>F32+F34+E36</f>
        <v>0</v>
      </c>
      <c r="AQ45" s="37">
        <f>AO45-AP45</f>
        <v>0</v>
      </c>
      <c r="AR45" s="35" t="s">
        <v>71</v>
      </c>
      <c r="AS45" s="35">
        <f>IF(ISBLANK(E32),0,IF(E32&gt;F32,3,IF(E32=F32,1,0)))</f>
        <v>0</v>
      </c>
      <c r="AT45" s="35">
        <f>IF(ISBLANK(E34),0,IF(E34&gt;F34,3,IF(E34=F34,1,0)))</f>
        <v>0</v>
      </c>
      <c r="AU45" s="35">
        <f>IF(ISBLANK(F36),0,IF(F36&gt;E36,3,IF(F36=E36,1,0)))</f>
        <v>0</v>
      </c>
      <c r="AV45" s="36" t="s">
        <v>71</v>
      </c>
      <c r="AW45" s="35" t="b">
        <f>(10*(AQ45-AQ46)+AO45-AO46&gt;0)</f>
        <v>0</v>
      </c>
      <c r="AX45" s="35" t="b">
        <f>10*(AQ45-AQ47)+AO45-AO47&gt;0</f>
        <v>0</v>
      </c>
      <c r="AY45" s="37" t="b">
        <f>10*(AQ45-AQ48)+AO45-AO48&gt;0</f>
        <v>0</v>
      </c>
      <c r="AZ45" s="36">
        <f>10000*(AS45+AT45)+(E34-F34+E32-F32)*100+(E34+E32)</f>
        <v>0</v>
      </c>
      <c r="BA45" s="35">
        <f>10000*(AS45+AU45)+(E32-F32+F36-E36)*100+(E32+F36)</f>
        <v>0</v>
      </c>
      <c r="BB45" s="35">
        <f>10000*(AT45+AU45)+(F36-E36+E34-F34)*100+(F36+E34)</f>
        <v>0</v>
      </c>
      <c r="BC45" s="37" t="s">
        <v>71</v>
      </c>
      <c r="BD45" s="36" t="s">
        <v>71</v>
      </c>
      <c r="BE45" s="38">
        <f>IF($AN45&gt;$AN46,-0.5,IF($AN46&gt;$AN45,0.5,IF(AW45,-0.5,IF(AV46,0.5,BU45))))</f>
        <v>0</v>
      </c>
      <c r="BF45" s="38">
        <f>IF($AN45&gt;$AN47,-0.5,IF($AN47&gt;$AN45,0.5,IF(AX45,-0.5,IF(AV47,0.5,BV45))))</f>
        <v>0</v>
      </c>
      <c r="BG45" s="39">
        <f>IF($AN45&gt;$AN48,-0.5,IF($AN48&gt;$AN45,0.5,IF(AY45,-0.5,IF(AV48,0.5,BW45))))</f>
        <v>0</v>
      </c>
      <c r="BH45" s="40" t="b">
        <f>AND(AND(AN45=AN46,AN46=AN47,AN47=AN48),AND(AO45=AO46,AO46=AO47,AO47=AO48),AND(AP45=AP46,AP46=AP47,AP47=AP48))</f>
        <v>1</v>
      </c>
      <c r="BI45" s="40" t="b">
        <f>AND(NOT(BH45),AN45=AN46,AN45=AN47,AO45=AO46,AO45=AO47,AP45=AP46,AP45=AP47)</f>
        <v>0</v>
      </c>
      <c r="BJ45" s="40" t="b">
        <f>AND(NOT(BH45),AN45=AN46,AN45=AN48,AO45=AO46,AO45=AO48,AP45=AP46,AP45=AP48)</f>
        <v>0</v>
      </c>
      <c r="BK45" s="40" t="b">
        <f>AND(NOT(BH45),AN45=AN47,AN45=AN48,AO45=AO47,AO45=AO48,AP45=AP47,AP45=AP48)</f>
        <v>0</v>
      </c>
      <c r="BL45" s="40" t="b">
        <f>AND(NOT(BH45),AN46=AN47,AN46=AN48,AO46=AO47,AO46=AO48,AP46=AP47,AP46=AP48)</f>
        <v>0</v>
      </c>
      <c r="BM45" s="40" t="b">
        <f>AND(NOT(BH45),NOT(BI45),NOT(BJ45),AN45=AN46,AO45=AO46,AP45=AP46)</f>
        <v>0</v>
      </c>
      <c r="BN45" s="40" t="b">
        <f>AND(NOT(BH45),NOT(BI45),NOT(BK45),AN45=AN47,AO45=AO47,AP45=AP47)</f>
        <v>0</v>
      </c>
      <c r="BO45" s="40" t="b">
        <f>AND(NOT(BH45),NOT(BJ45),NOT(BK45),AN45=AN48,AO45=AO48,AP45=AP48)</f>
        <v>0</v>
      </c>
      <c r="BP45" s="40" t="b">
        <f>AND(NOT(BH45),NOT(BI45),NOT(BL45),AN46=AN47,AO46=AO47)</f>
        <v>0</v>
      </c>
      <c r="BQ45" s="40" t="b">
        <f>AND(NOT(BH45),NOT(BJ45),NOT(BL45),AN46=AN48,AO46=AO48,AP46=AP48)</f>
        <v>0</v>
      </c>
      <c r="BR45" s="40" t="b">
        <f>AND(NOT(BH45),NOT(BK45),NOT(BL45),AN47=AN48,AO47=AO48,AP47=AP48)</f>
        <v>0</v>
      </c>
      <c r="BS45" s="40" t="b">
        <f t="array" ref="BS45">AND(NOT(BH45:BR45))</f>
        <v>0</v>
      </c>
      <c r="BT45" s="36" t="s">
        <v>71</v>
      </c>
      <c r="BU45" s="35">
        <f>IF($BM45,IF(F32-E32&lt;0,-0.5,IF(E32-F32&lt;0,0.5,0)),IF($BI45,IF($AZ45&gt;$AZ46,-0.5,IF($AZ45&lt;$AZ46,0.5,0)),IF($BJ45,IF($BA45&gt;$BA46,-0.5, IF($BA45&lt;$BA46,0.5,0)),0)))</f>
        <v>0</v>
      </c>
      <c r="BV45" s="35">
        <f>IF($BN45,IF(F34-E34&lt;0,-0.5,IF(E34-F34&lt;0,0.5,0)),IF($BI45,IF($AZ45&gt;$AZ47,-0.5,IF($AZ45&lt;$AZ47,0.5,0)),IF($BK45,IF($BB45&gt;$BB47,-0.5,IF($BB45&lt;$BB47,0.5,0)),0)))</f>
        <v>0</v>
      </c>
      <c r="BW45" s="37">
        <f>IF($BO45,IF(E36-F36&lt;0,-0.5,IF(F36-E36&lt;0,0.5,0)),IF($BJ45,IF($BA45&gt;$BA48,-0.5,IF($BA45&lt;$BA48,0.5,0)),IF($BK45,IF($BB45&gt;$BB48,-0.5, IF($BB45&lt;$BB48,0.5,0)),0)))</f>
        <v>0</v>
      </c>
    </row>
    <row r="46" spans="2:75" ht="14.25" customHeight="1" x14ac:dyDescent="0.2">
      <c r="B46" s="29"/>
      <c r="C46" s="29"/>
      <c r="D46" s="29"/>
      <c r="E46" s="29"/>
      <c r="F46" s="29"/>
      <c r="G46" s="29"/>
      <c r="H46" s="13"/>
      <c r="I46" s="97"/>
      <c r="J46" s="21"/>
      <c r="K46" s="21"/>
      <c r="L46" s="21"/>
      <c r="M46" s="21"/>
      <c r="N46" s="21"/>
      <c r="O46" s="13"/>
      <c r="P46" s="13"/>
      <c r="Q46" s="13"/>
      <c r="R46" s="13"/>
      <c r="S46" s="223" t="s">
        <v>108</v>
      </c>
      <c r="T46" s="223"/>
      <c r="U46" s="223"/>
      <c r="V46" s="223"/>
      <c r="W46" s="223" t="s">
        <v>4</v>
      </c>
      <c r="X46" s="14"/>
      <c r="Y46" s="14"/>
      <c r="Z46" s="14"/>
      <c r="AA46" s="14"/>
      <c r="AB46" s="14"/>
      <c r="AC46" s="14"/>
      <c r="AD46" s="24"/>
      <c r="AE46" s="24"/>
      <c r="AI46" s="30">
        <f>IF(ROUND(AK46,0)=ROUND(AK45,0),AI45,2)</f>
        <v>1</v>
      </c>
      <c r="AJ46" s="31">
        <f>ROUND(AK46,0)</f>
        <v>2</v>
      </c>
      <c r="AK46" s="32">
        <f>MAX(MIN(AL45:AL47),MIN(AL45,AL46,AL48),MIN(AL45,AL47,AL48),MIN(AL46:AL48))</f>
        <v>2.46</v>
      </c>
      <c r="AL46" s="41">
        <f>SUM(BD46:BG46)+2.46</f>
        <v>2.46</v>
      </c>
      <c r="AM46" s="34" t="str">
        <f>G32</f>
        <v>Tunisie</v>
      </c>
      <c r="AN46" s="35">
        <f>SUM(AR46:AU46)</f>
        <v>0</v>
      </c>
      <c r="AO46" s="36">
        <f>F32+F35+E37</f>
        <v>0</v>
      </c>
      <c r="AP46" s="35">
        <f>E32+E35+F37</f>
        <v>0</v>
      </c>
      <c r="AQ46" s="37">
        <f>AO46-AP46</f>
        <v>0</v>
      </c>
      <c r="AR46" s="35">
        <f>IF(ISBLANK(F32),0,IF(AS45=3,0,IF(AS45=1,1,3)))</f>
        <v>0</v>
      </c>
      <c r="AS46" s="35" t="s">
        <v>71</v>
      </c>
      <c r="AT46" s="35">
        <f>IF(ISBLANK(E37),0,IF(AS47=3,0,IF(AS47=1,1,3)))</f>
        <v>0</v>
      </c>
      <c r="AU46" s="35">
        <f>IF(ISBLANK(F35),0,IF(F35&gt;E35,3,IF(F35=E35,1,0)))</f>
        <v>0</v>
      </c>
      <c r="AV46" s="36" t="b">
        <f>(10*(AQ45-AQ46)+AO45-AO46&lt;0)</f>
        <v>0</v>
      </c>
      <c r="AW46" s="35" t="s">
        <v>71</v>
      </c>
      <c r="AX46" s="35" t="b">
        <f>10*(AQ46-AQ47)+AO46-AO47&gt;0</f>
        <v>0</v>
      </c>
      <c r="AY46" s="37" t="b">
        <f>10*(AQ46-AQ48)+AO46-AO48&gt;0</f>
        <v>0</v>
      </c>
      <c r="AZ46" s="36">
        <f>10000*(AR46+AT46)+(F32-E32+E37-F37)*100+(F32+E37)</f>
        <v>0</v>
      </c>
      <c r="BA46" s="35">
        <f>10000*(AR46+AU46)+(F32-E32+F35-E35)*100+(F32+F35)</f>
        <v>0</v>
      </c>
      <c r="BB46" s="35" t="s">
        <v>71</v>
      </c>
      <c r="BC46" s="37">
        <f>10000*(AT46+AU46)+(F35-E35+E37-F37)*100+(F35+E37)</f>
        <v>0</v>
      </c>
      <c r="BD46" s="42">
        <f>-BE45</f>
        <v>0</v>
      </c>
      <c r="BE46" s="35" t="s">
        <v>71</v>
      </c>
      <c r="BF46" s="38">
        <f>IF($AN46&gt;$AN47,-0.5,IF($AN47&gt;$AN46,0.5,IF(AX46,-0.5,IF(AW47,0.5,BV46))))</f>
        <v>0</v>
      </c>
      <c r="BG46" s="39">
        <f>IF($AN46&gt;$AN48,-0.5,IF($AN48&gt;$AN46,0.5,IF(AY46,-0.5,IF(AW48,0.5,BW46))))</f>
        <v>0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36"/>
      <c r="BU46" s="35" t="s">
        <v>71</v>
      </c>
      <c r="BV46" s="35">
        <f>IF($BP45,IF(F37-E37&lt;0,-0.5,IF(E37-F37&lt;0,0.5,0)),IF($BI45,IF($AZ46&gt;$AZ47,-0.5,IF($AZ46&lt;$AZ47,0.5,0)),IF($BL45,IF($BC46&gt;$BC47,-0.5,IF($BC46&lt;$BC47,0.5,0)),0)))</f>
        <v>0</v>
      </c>
      <c r="BW46" s="37">
        <f>IF($BQ45,IF(E35-F35&lt;0,-0.5,IF(F35-E35&lt;0,0.5,0)),IF($BJ45,IF($BA46&gt;$BA48,-0.5,IF($BA46&lt;$BA48,0.5,0)),IF($BL45,IF($BC46&gt;$BC48,-0.5,IF($BC46&lt;$BC48,0.5,0)),0)))</f>
        <v>0</v>
      </c>
    </row>
    <row r="47" spans="2:75" ht="14.25" customHeight="1" x14ac:dyDescent="0.2">
      <c r="B47" s="222" t="s">
        <v>101</v>
      </c>
      <c r="C47" s="222"/>
      <c r="D47" s="222"/>
      <c r="E47" s="222"/>
      <c r="F47" s="222"/>
      <c r="G47" s="222"/>
      <c r="H47" s="13"/>
      <c r="I47" s="147"/>
      <c r="J47" s="148" t="s">
        <v>0</v>
      </c>
      <c r="K47" s="148" t="s">
        <v>1</v>
      </c>
      <c r="L47" s="148" t="s">
        <v>2</v>
      </c>
      <c r="M47" s="148" t="s">
        <v>3</v>
      </c>
      <c r="N47" s="148" t="str">
        <f>"+/-"</f>
        <v>+/-</v>
      </c>
      <c r="O47" s="13"/>
      <c r="P47" s="13"/>
      <c r="Q47" s="13"/>
      <c r="R47" s="13"/>
      <c r="S47" s="223"/>
      <c r="T47" s="223"/>
      <c r="U47" s="223"/>
      <c r="V47" s="223"/>
      <c r="W47" s="223"/>
      <c r="X47" s="14"/>
      <c r="Y47" s="14"/>
      <c r="Z47" s="14"/>
      <c r="AA47" s="14"/>
      <c r="AB47" s="14"/>
      <c r="AC47" s="14"/>
      <c r="AD47" s="24"/>
      <c r="AE47" s="24"/>
      <c r="AI47" s="30">
        <f>IF(ROUND(AK47,0)=ROUND(AK46,0),AI46,3)</f>
        <v>1</v>
      </c>
      <c r="AJ47" s="31">
        <f>ROUND(AK47,0)</f>
        <v>2</v>
      </c>
      <c r="AK47" s="32">
        <f>MIN(MAX(AL45:AL47),MAX(AL45,AL46,AL48),MAX(AL45,AL47,AL48),MAX(AL46:AL48))</f>
        <v>2.4700000000000002</v>
      </c>
      <c r="AL47" s="41">
        <f>SUM(BD47:BG47)+2.47</f>
        <v>2.4700000000000002</v>
      </c>
      <c r="AM47" s="34" t="str">
        <f>D33</f>
        <v>France</v>
      </c>
      <c r="AN47" s="35">
        <f>SUM(AR47:AU47)</f>
        <v>0</v>
      </c>
      <c r="AO47" s="36">
        <f>E33+F34+F37</f>
        <v>0</v>
      </c>
      <c r="AP47" s="35">
        <f>F33+E34+E37</f>
        <v>0</v>
      </c>
      <c r="AQ47" s="37">
        <f>AO47-AP47</f>
        <v>0</v>
      </c>
      <c r="AR47" s="35">
        <f>IF(ISBLANK(F34),0,IF(AT45=3,0,IF(AT45=1,1,3)))</f>
        <v>0</v>
      </c>
      <c r="AS47" s="35">
        <f>IF(ISBLANK(F37),0,IF(F37&gt;E37,3,IF(F37=E37,1,0)))</f>
        <v>0</v>
      </c>
      <c r="AT47" s="35" t="s">
        <v>71</v>
      </c>
      <c r="AU47" s="35">
        <f>IF(ISBLANK(E33),0,IF(E33&gt;F33,3,IF(E33=F33,1,0)))</f>
        <v>0</v>
      </c>
      <c r="AV47" s="36" t="b">
        <f>10*(AQ45-AQ47)+AO45-AO47&lt;0</f>
        <v>0</v>
      </c>
      <c r="AW47" s="35" t="b">
        <f>10*(AQ46-AQ47)+AO46-AO47&lt;0</f>
        <v>0</v>
      </c>
      <c r="AX47" s="35" t="s">
        <v>71</v>
      </c>
      <c r="AY47" s="37" t="b">
        <f>10*(AQ47-AQ48)+AO47-AO48&gt;0</f>
        <v>0</v>
      </c>
      <c r="AZ47" s="36">
        <f>10000*(AR47+AS47)+(F34-E34+F37-E37)*100+(F34+F37)</f>
        <v>0</v>
      </c>
      <c r="BA47" s="35" t="s">
        <v>71</v>
      </c>
      <c r="BB47" s="35">
        <f>10000*(AR47+AU47)+(E33-F33+F34-E34)*100+(E33+F34)</f>
        <v>0</v>
      </c>
      <c r="BC47" s="37">
        <f>10000*(AS47+AU47)+(E33-F33+F37-E37)*100+(E33+F37)</f>
        <v>0</v>
      </c>
      <c r="BD47" s="42">
        <f>-BF45</f>
        <v>0</v>
      </c>
      <c r="BE47" s="38">
        <f>-BF46</f>
        <v>0</v>
      </c>
      <c r="BF47" s="38" t="s">
        <v>71</v>
      </c>
      <c r="BG47" s="39">
        <f>IF($AN47&gt;$AN48,-0.5,IF($AN48&gt;$AN47,0.5,IF(AY47,-0.5,IF(AX48,0.5,BW47))))</f>
        <v>0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36"/>
      <c r="BU47" s="35"/>
      <c r="BV47" s="35" t="s">
        <v>71</v>
      </c>
      <c r="BW47" s="37">
        <f>IF($BR45,IF(F33-E33&lt;0,-0.5,IF(E33-F33&lt;0,0.5,0)),IF($BK45,IF($BB47&gt;$BB48,-0.5,IF($BB47&lt;$BB48,0.5,0)),IF($BL45,IF($BC47&gt;$BC48,-0.5,IF($BC47&lt;$BC48,0.5,0)),0)))</f>
        <v>0</v>
      </c>
    </row>
    <row r="48" spans="2:75" ht="14.25" customHeight="1" x14ac:dyDescent="0.2">
      <c r="B48" s="86">
        <v>44888</v>
      </c>
      <c r="C48" s="87">
        <v>0.45833333333333331</v>
      </c>
      <c r="D48" s="118" t="s">
        <v>72</v>
      </c>
      <c r="E48" s="65"/>
      <c r="F48" s="65"/>
      <c r="G48" s="120" t="s">
        <v>79</v>
      </c>
      <c r="H48" s="13"/>
      <c r="I48" s="149">
        <f>AI65</f>
        <v>1</v>
      </c>
      <c r="J48" s="119" t="str">
        <f>INDEX(AM65:AM69,MATCH(AK65,$AL65:$AL69,0))</f>
        <v>Maroc</v>
      </c>
      <c r="K48" s="150">
        <f>INDEX(AN65:AN69,MATCH(AK65,$AL65:$AL69,0))</f>
        <v>0</v>
      </c>
      <c r="L48" s="150">
        <f>INDEX(AO65:AO69,MATCH(AK65,$AL65:$AL69,0))</f>
        <v>0</v>
      </c>
      <c r="M48" s="150">
        <f>INDEX(AP65:AP69,MATCH(AK65,$AL65:$AL69,0))</f>
        <v>0</v>
      </c>
      <c r="N48" s="150">
        <f>INDEX(AQ65:AQ69,MATCH(AK65,$AL65:$AL69,0))</f>
        <v>0</v>
      </c>
      <c r="O48" s="13"/>
      <c r="P48" s="13"/>
      <c r="Q48" s="13"/>
      <c r="R48" s="13"/>
      <c r="S48" s="189">
        <v>43296</v>
      </c>
      <c r="T48" s="224">
        <v>0.70833333333333337</v>
      </c>
      <c r="U48" s="165" t="str">
        <f>IF(100*V36+W36&gt;100*V37+W37,U36,IF(100*V36+W36&lt;100*V37+W37,U37," - "))</f>
        <v xml:space="preserve"> - </v>
      </c>
      <c r="V48" s="53"/>
      <c r="W48" s="54"/>
      <c r="X48" s="14"/>
      <c r="Y48" s="14"/>
      <c r="Z48" s="14"/>
      <c r="AA48" s="14"/>
      <c r="AB48" s="14"/>
      <c r="AC48" s="14"/>
      <c r="AD48" s="24"/>
      <c r="AE48" s="24"/>
      <c r="AI48" s="30">
        <f>IF(ROUND(AK48,0)=ROUND(AK47,0),AI47,4)</f>
        <v>1</v>
      </c>
      <c r="AJ48" s="31">
        <f>ROUND(AK48,0)</f>
        <v>2</v>
      </c>
      <c r="AK48" s="32">
        <f>MAX(AL45:AL48)</f>
        <v>2.48</v>
      </c>
      <c r="AL48" s="43">
        <f>SUM(BD48:BG48)+2.48</f>
        <v>2.48</v>
      </c>
      <c r="AM48" s="44" t="str">
        <f>G33</f>
        <v>Barragiste</v>
      </c>
      <c r="AN48" s="40">
        <f>SUM(AR48:AU48)</f>
        <v>0</v>
      </c>
      <c r="AO48" s="45">
        <f>F33+E35+E36</f>
        <v>0</v>
      </c>
      <c r="AP48" s="40">
        <f>E33+F35+F36</f>
        <v>0</v>
      </c>
      <c r="AQ48" s="46">
        <f>AO48-AP48</f>
        <v>0</v>
      </c>
      <c r="AR48" s="40">
        <f>IF(ISBLANK(E36),0,IF(AU45=3,0,IF(AU45=1,1,3)))</f>
        <v>0</v>
      </c>
      <c r="AS48" s="40">
        <f>IF(ISBLANK(E35),0,IF(AU46=3,0,IF(AU46=1,1,3)))</f>
        <v>0</v>
      </c>
      <c r="AT48" s="40">
        <f>IF(ISBLANK(F33),0,IF(AU47=3,0,IF(AU47=1,1,3)))</f>
        <v>0</v>
      </c>
      <c r="AU48" s="40" t="s">
        <v>71</v>
      </c>
      <c r="AV48" s="45" t="b">
        <f>10*(AQ45-AQ48)+AO45-AO48&lt;0</f>
        <v>0</v>
      </c>
      <c r="AW48" s="40" t="b">
        <f>10*(AQ46-AQ48)+AO46-AO48&lt;0</f>
        <v>0</v>
      </c>
      <c r="AX48" s="40" t="b">
        <f>10*(AQ47-AQ48)+AO47-AO48&lt;0</f>
        <v>0</v>
      </c>
      <c r="AY48" s="46" t="s">
        <v>71</v>
      </c>
      <c r="AZ48" s="45" t="s">
        <v>71</v>
      </c>
      <c r="BA48" s="40">
        <f>10000*(AR48+AS48)+(E35-F35+E36-F36)*100+(E35+E36)</f>
        <v>0</v>
      </c>
      <c r="BB48" s="40">
        <f>10000*(AR48+AT48)+(E36-F36+F33-E33)*100+(E36+F33)</f>
        <v>0</v>
      </c>
      <c r="BC48" s="46">
        <f>10000*(AS48+AT48)+(E35-F35+F33-E33)*100+(E35+F33)</f>
        <v>0</v>
      </c>
      <c r="BD48" s="47">
        <f>-BG45</f>
        <v>0</v>
      </c>
      <c r="BE48" s="48">
        <f>-BG46</f>
        <v>0</v>
      </c>
      <c r="BF48" s="48">
        <f>-BG47</f>
        <v>0</v>
      </c>
      <c r="BG48" s="46" t="s">
        <v>71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45"/>
      <c r="BU48" s="40"/>
      <c r="BV48" s="40"/>
      <c r="BW48" s="46" t="s">
        <v>71</v>
      </c>
    </row>
    <row r="49" spans="2:75" ht="14.25" customHeight="1" x14ac:dyDescent="0.2">
      <c r="B49" s="89">
        <v>44888</v>
      </c>
      <c r="C49" s="90">
        <v>0.83333333333333337</v>
      </c>
      <c r="D49" s="119" t="s">
        <v>89</v>
      </c>
      <c r="E49" s="65"/>
      <c r="F49" s="65"/>
      <c r="G49" s="121" t="s">
        <v>114</v>
      </c>
      <c r="H49" s="13"/>
      <c r="I49" s="149">
        <f>AI67</f>
        <v>1</v>
      </c>
      <c r="J49" s="119" t="str">
        <f>INDEX(AM65:AM69,MATCH(AK67,$AL65:$AL69,0))</f>
        <v>Croatie</v>
      </c>
      <c r="K49" s="150">
        <f>INDEX(AN65:AN69,MATCH(AK67,$AL65:$AL69,0))</f>
        <v>0</v>
      </c>
      <c r="L49" s="150">
        <f>INDEX(AO65:AO69,MATCH(AK67,$AL65:$AL69,0))</f>
        <v>0</v>
      </c>
      <c r="M49" s="150">
        <f>INDEX(AP65:AP69,MATCH(AK67,$AL65:$AL69,0))</f>
        <v>0</v>
      </c>
      <c r="N49" s="150">
        <f>INDEX(AQ65:AQ69,MATCH(AK67,$AL65:$AL69,0))</f>
        <v>0</v>
      </c>
      <c r="O49" s="13"/>
      <c r="P49" s="13"/>
      <c r="Q49" s="13"/>
      <c r="R49" s="13"/>
      <c r="S49" s="189"/>
      <c r="T49" s="224"/>
      <c r="U49" s="165" t="str">
        <f>IF(100*V38+W38&gt;100*V39+W39,U38,IF(100*V38+W38&lt;100*V39+W39,U39," - "))</f>
        <v xml:space="preserve"> - </v>
      </c>
      <c r="V49" s="23"/>
      <c r="W49" s="23"/>
      <c r="X49" s="14"/>
      <c r="Y49" s="14"/>
      <c r="Z49" s="14"/>
      <c r="AA49" s="14"/>
      <c r="AB49" s="14"/>
      <c r="AC49" s="14"/>
      <c r="AD49" s="24"/>
      <c r="AE49" s="24"/>
    </row>
    <row r="50" spans="2:75" ht="14.25" customHeight="1" x14ac:dyDescent="0.2">
      <c r="B50" s="86">
        <v>44892</v>
      </c>
      <c r="C50" s="87">
        <v>0.70833333333333337</v>
      </c>
      <c r="D50" s="118" t="str">
        <f>G49</f>
        <v>Canada</v>
      </c>
      <c r="E50" s="65"/>
      <c r="F50" s="65"/>
      <c r="G50" s="120" t="str">
        <f>G48</f>
        <v>Croatie</v>
      </c>
      <c r="H50" s="13"/>
      <c r="I50" s="96">
        <f>AI68</f>
        <v>1</v>
      </c>
      <c r="J50" s="21" t="str">
        <f>INDEX(AM65:AM69,MATCH(AK68,$AL65:$AL69,0))</f>
        <v>Belgique</v>
      </c>
      <c r="K50" s="97">
        <f>INDEX(AN65:AN69,MATCH(AK68,$AL65:$AL69,0))</f>
        <v>0</v>
      </c>
      <c r="L50" s="97">
        <f>INDEX(AO65:AO69,MATCH(AK68,$AL65:$AL69,0))</f>
        <v>0</v>
      </c>
      <c r="M50" s="97">
        <f>INDEX(AP65:AP69,MATCH(AK68,$AL65:$AL69,0))</f>
        <v>0</v>
      </c>
      <c r="N50" s="97">
        <f>INDEX(AQ65:AQ69,MATCH(AK68,$AL65:$AL69,0))</f>
        <v>0</v>
      </c>
      <c r="O50" s="13"/>
      <c r="P50" s="13"/>
      <c r="Q50" s="13"/>
      <c r="R50" s="13"/>
      <c r="S50" s="57"/>
      <c r="T50" s="58"/>
      <c r="U50" s="52"/>
      <c r="V50" s="52"/>
      <c r="W50" s="52"/>
      <c r="X50" s="14"/>
      <c r="Y50" s="14"/>
      <c r="Z50" s="14"/>
      <c r="AA50" s="14"/>
      <c r="AB50" s="14"/>
      <c r="AC50" s="14"/>
      <c r="AD50" s="24"/>
      <c r="AE50" s="24"/>
    </row>
    <row r="51" spans="2:75" ht="14.25" customHeight="1" x14ac:dyDescent="0.2">
      <c r="B51" s="89">
        <v>44892</v>
      </c>
      <c r="C51" s="90">
        <v>0.58333333333333337</v>
      </c>
      <c r="D51" s="119" t="str">
        <f>D48</f>
        <v>Maroc</v>
      </c>
      <c r="E51" s="65"/>
      <c r="F51" s="65"/>
      <c r="G51" s="121" t="str">
        <f>D49</f>
        <v>Belgique</v>
      </c>
      <c r="H51" s="13"/>
      <c r="I51" s="96">
        <f>AI69</f>
        <v>1</v>
      </c>
      <c r="J51" s="21" t="str">
        <f>INDEX(AM65:AM69,MATCH(AK69,$AL65:$AL69,0))</f>
        <v>Canada</v>
      </c>
      <c r="K51" s="97">
        <f>INDEX(AN65:AN69,MATCH(AK69,$AL65:$AL69,0))</f>
        <v>0</v>
      </c>
      <c r="L51" s="97">
        <f>INDEX(AO65:AO69,MATCH(AK69,$AL65:$AL69,0))</f>
        <v>0</v>
      </c>
      <c r="M51" s="97">
        <f>INDEX(AP65:AP69,MATCH(AK69,$AL65:$AL69,0))</f>
        <v>0</v>
      </c>
      <c r="N51" s="97">
        <f>INDEX(AQ65:AQ69,MATCH(AK69,$AL65:$AL69,0))</f>
        <v>0</v>
      </c>
      <c r="O51" s="13"/>
      <c r="P51" s="13"/>
      <c r="Q51" s="13"/>
      <c r="R51" s="13"/>
      <c r="S51" s="57"/>
      <c r="T51" s="58"/>
      <c r="U51" s="52"/>
      <c r="V51" s="52"/>
      <c r="W51" s="52"/>
      <c r="X51" s="14"/>
      <c r="Y51" s="14"/>
      <c r="Z51" s="14"/>
      <c r="AA51" s="14"/>
      <c r="AB51" s="14"/>
      <c r="AC51" s="14"/>
      <c r="AD51" s="24"/>
      <c r="AE51" s="24"/>
    </row>
    <row r="52" spans="2:75" ht="14.25" customHeight="1" x14ac:dyDescent="0.2">
      <c r="B52" s="86">
        <v>44896</v>
      </c>
      <c r="C52" s="87">
        <v>0.66666666666666663</v>
      </c>
      <c r="D52" s="118" t="str">
        <f>G49</f>
        <v>Canada</v>
      </c>
      <c r="E52" s="65"/>
      <c r="F52" s="65"/>
      <c r="G52" s="120" t="str">
        <f>D48</f>
        <v>Maroc</v>
      </c>
      <c r="H52" s="13"/>
      <c r="I52" s="132"/>
      <c r="J52" s="133" t="str">
        <f>IF(OR(I50&lt;3,I49&lt;2),"TIRAGE AU SORT !!!"," ")</f>
        <v>TIRAGE AU SORT !!!</v>
      </c>
      <c r="K52" s="134"/>
      <c r="L52" s="134"/>
      <c r="M52" s="134"/>
      <c r="N52" s="134"/>
      <c r="O52" s="13"/>
      <c r="P52" s="13"/>
      <c r="Q52" s="13"/>
      <c r="R52" s="13"/>
      <c r="S52" s="223" t="s">
        <v>87</v>
      </c>
      <c r="T52" s="223"/>
      <c r="U52" s="229" t="str">
        <f>IF(100*V48+W48&gt;100*V49+W49,U48,IF(100*V49+W49&gt;100*V48+W48,U49,"-"))</f>
        <v>-</v>
      </c>
      <c r="V52" s="229"/>
      <c r="W52" s="229"/>
      <c r="X52" s="14"/>
      <c r="Y52" s="14"/>
      <c r="Z52" s="14"/>
      <c r="AA52" s="14"/>
      <c r="AB52" s="14"/>
      <c r="AC52" s="14"/>
      <c r="AD52" s="24"/>
      <c r="AE52" s="24"/>
    </row>
    <row r="53" spans="2:75" ht="14.25" customHeight="1" x14ac:dyDescent="0.2">
      <c r="B53" s="89">
        <v>44896</v>
      </c>
      <c r="C53" s="90">
        <v>0.66666666666666663</v>
      </c>
      <c r="D53" s="119" t="str">
        <f>G48</f>
        <v>Croatie</v>
      </c>
      <c r="E53" s="65"/>
      <c r="F53" s="65"/>
      <c r="G53" s="121" t="str">
        <f>D49</f>
        <v>Belgique</v>
      </c>
      <c r="H53" s="13"/>
      <c r="I53" s="97"/>
      <c r="J53" s="21"/>
      <c r="K53" s="21"/>
      <c r="L53" s="21"/>
      <c r="M53" s="21"/>
      <c r="N53" s="21"/>
      <c r="O53" s="13"/>
      <c r="P53" s="13"/>
      <c r="Q53" s="13"/>
      <c r="R53" s="13"/>
      <c r="S53" s="223"/>
      <c r="T53" s="223"/>
      <c r="U53" s="229"/>
      <c r="V53" s="229"/>
      <c r="W53" s="229"/>
      <c r="X53" s="14"/>
      <c r="Y53" s="14"/>
      <c r="Z53" s="14"/>
      <c r="AA53" s="14"/>
      <c r="AB53" s="14"/>
      <c r="AC53" s="14"/>
      <c r="AD53" s="24"/>
      <c r="AE53" s="24"/>
    </row>
    <row r="54" spans="2:75" ht="14.25" customHeight="1" x14ac:dyDescent="0.2">
      <c r="B54" s="29"/>
      <c r="C54" s="29"/>
      <c r="D54" s="29"/>
      <c r="E54" s="29"/>
      <c r="F54" s="29"/>
      <c r="G54" s="29"/>
      <c r="H54" s="13"/>
      <c r="I54" s="97"/>
      <c r="J54" s="21"/>
      <c r="K54" s="21"/>
      <c r="L54" s="21"/>
      <c r="M54" s="21"/>
      <c r="N54" s="21"/>
      <c r="O54" s="13"/>
      <c r="P54" s="13"/>
      <c r="Q54" s="13"/>
      <c r="R54" s="13"/>
      <c r="S54" s="162"/>
      <c r="T54" s="162"/>
      <c r="U54" s="162"/>
      <c r="V54" s="162"/>
      <c r="W54" s="162"/>
      <c r="X54" s="14"/>
      <c r="Y54" s="14"/>
      <c r="Z54" s="14"/>
      <c r="AA54" s="14"/>
      <c r="AB54" s="14"/>
      <c r="AC54" s="14"/>
      <c r="AD54" s="24"/>
      <c r="AE54" s="24"/>
    </row>
    <row r="55" spans="2:75" ht="14.25" customHeight="1" x14ac:dyDescent="0.2">
      <c r="B55" s="231" t="s">
        <v>102</v>
      </c>
      <c r="C55" s="231"/>
      <c r="D55" s="231"/>
      <c r="E55" s="231"/>
      <c r="F55" s="231"/>
      <c r="G55" s="231"/>
      <c r="H55" s="13"/>
      <c r="I55" s="151"/>
      <c r="J55" s="66" t="s">
        <v>0</v>
      </c>
      <c r="K55" s="66" t="s">
        <v>1</v>
      </c>
      <c r="L55" s="66" t="s">
        <v>2</v>
      </c>
      <c r="M55" s="66" t="s">
        <v>3</v>
      </c>
      <c r="N55" s="66" t="str">
        <f>"+/-"</f>
        <v>+/-</v>
      </c>
      <c r="O55" s="13"/>
      <c r="P55" s="13"/>
      <c r="Q55" s="13"/>
      <c r="R55" s="13"/>
      <c r="S55" s="223" t="s">
        <v>88</v>
      </c>
      <c r="T55" s="223"/>
      <c r="U55" s="230" t="str">
        <f>IF(100*V48+W48&gt;100*V49+W49,U49,IF(100*V49+W49&gt;100*V48+W48,U48,"-"))</f>
        <v>-</v>
      </c>
      <c r="V55" s="230"/>
      <c r="W55" s="230"/>
      <c r="X55" s="14"/>
      <c r="Y55" s="14"/>
      <c r="Z55" s="14"/>
      <c r="AA55" s="14"/>
      <c r="AB55" s="14"/>
      <c r="AC55" s="14"/>
      <c r="AD55" s="24"/>
      <c r="AE55" s="24"/>
    </row>
    <row r="56" spans="2:75" ht="14.25" customHeight="1" x14ac:dyDescent="0.2">
      <c r="B56" s="86">
        <v>44889</v>
      </c>
      <c r="C56" s="87">
        <v>0.45833333333333331</v>
      </c>
      <c r="D56" s="122" t="s">
        <v>82</v>
      </c>
      <c r="E56" s="67"/>
      <c r="F56" s="67"/>
      <c r="G56" s="124" t="s">
        <v>115</v>
      </c>
      <c r="H56" s="13"/>
      <c r="I56" s="152">
        <f>AI74</f>
        <v>1</v>
      </c>
      <c r="J56" s="123" t="str">
        <f>INDEX(AM74:AM77,MATCH(AK74,$AL74:$AL77,0))</f>
        <v>Suisse</v>
      </c>
      <c r="K56" s="153">
        <f>INDEX(AN74:AN77,MATCH(AK74,$AL74:$AL77,0))</f>
        <v>0</v>
      </c>
      <c r="L56" s="153">
        <f>INDEX(AO74:AO77,MATCH(AK74,$AL74:$AL77,0))</f>
        <v>0</v>
      </c>
      <c r="M56" s="153">
        <f>INDEX(AP74:AP77,MATCH(AK74,$AL74:$AL77,0))</f>
        <v>0</v>
      </c>
      <c r="N56" s="153">
        <f>INDEX(AQ74:AQ77,MATCH(AK74,$AL74:$AL77,0))</f>
        <v>0</v>
      </c>
      <c r="O56" s="13"/>
      <c r="P56" s="13"/>
      <c r="Q56" s="13"/>
      <c r="R56" s="13"/>
      <c r="S56" s="223"/>
      <c r="T56" s="223"/>
      <c r="U56" s="230"/>
      <c r="V56" s="230"/>
      <c r="W56" s="230"/>
      <c r="X56" s="14"/>
      <c r="Y56" s="14"/>
      <c r="Z56" s="14"/>
      <c r="AA56" s="14"/>
      <c r="AB56" s="14"/>
      <c r="AC56" s="14"/>
      <c r="AD56" s="24"/>
      <c r="AE56" s="24"/>
      <c r="AL56" s="25" t="s">
        <v>38</v>
      </c>
      <c r="AM56" s="26" t="s">
        <v>39</v>
      </c>
      <c r="AN56" s="27" t="s">
        <v>1</v>
      </c>
      <c r="AO56" s="25" t="s">
        <v>40</v>
      </c>
      <c r="AP56" s="27" t="s">
        <v>41</v>
      </c>
      <c r="AQ56" s="28" t="s">
        <v>42</v>
      </c>
      <c r="AR56" s="27" t="s">
        <v>43</v>
      </c>
      <c r="AS56" s="27" t="s">
        <v>44</v>
      </c>
      <c r="AT56" s="27" t="s">
        <v>45</v>
      </c>
      <c r="AU56" s="27" t="s">
        <v>46</v>
      </c>
      <c r="AV56" s="25" t="s">
        <v>47</v>
      </c>
      <c r="AW56" s="27" t="s">
        <v>48</v>
      </c>
      <c r="AX56" s="27" t="s">
        <v>49</v>
      </c>
      <c r="AY56" s="28" t="s">
        <v>50</v>
      </c>
      <c r="AZ56" s="25" t="s">
        <v>51</v>
      </c>
      <c r="BA56" s="27" t="s">
        <v>52</v>
      </c>
      <c r="BB56" s="27" t="s">
        <v>53</v>
      </c>
      <c r="BC56" s="28" t="s">
        <v>54</v>
      </c>
      <c r="BD56" s="25" t="s">
        <v>55</v>
      </c>
      <c r="BE56" s="27" t="s">
        <v>56</v>
      </c>
      <c r="BF56" s="27" t="s">
        <v>57</v>
      </c>
      <c r="BG56" s="28" t="s">
        <v>58</v>
      </c>
      <c r="BH56" s="25" t="s">
        <v>59</v>
      </c>
      <c r="BI56" s="27" t="s">
        <v>51</v>
      </c>
      <c r="BJ56" s="27" t="s">
        <v>52</v>
      </c>
      <c r="BK56" s="27" t="s">
        <v>53</v>
      </c>
      <c r="BL56" s="27" t="s">
        <v>54</v>
      </c>
      <c r="BM56" s="27" t="s">
        <v>60</v>
      </c>
      <c r="BN56" s="27" t="s">
        <v>61</v>
      </c>
      <c r="BO56" s="27" t="s">
        <v>62</v>
      </c>
      <c r="BP56" s="27" t="s">
        <v>63</v>
      </c>
      <c r="BQ56" s="27" t="s">
        <v>64</v>
      </c>
      <c r="BR56" s="27" t="s">
        <v>65</v>
      </c>
      <c r="BS56" s="28" t="s">
        <v>66</v>
      </c>
      <c r="BT56" s="25" t="s">
        <v>67</v>
      </c>
      <c r="BU56" s="27" t="s">
        <v>68</v>
      </c>
      <c r="BV56" s="27" t="s">
        <v>69</v>
      </c>
      <c r="BW56" s="28" t="s">
        <v>70</v>
      </c>
    </row>
    <row r="57" spans="2:75" ht="14.25" customHeight="1" x14ac:dyDescent="0.2">
      <c r="B57" s="89">
        <v>44889</v>
      </c>
      <c r="C57" s="90">
        <v>0.83333333333333337</v>
      </c>
      <c r="D57" s="123" t="s">
        <v>81</v>
      </c>
      <c r="E57" s="67"/>
      <c r="F57" s="67"/>
      <c r="G57" s="125" t="s">
        <v>80</v>
      </c>
      <c r="H57" s="13"/>
      <c r="I57" s="152">
        <f>AI75</f>
        <v>1</v>
      </c>
      <c r="J57" s="123" t="str">
        <f>INDEX(AM74:AM77,MATCH(AK75,$AL74:$AL77,0))</f>
        <v>Cameroun</v>
      </c>
      <c r="K57" s="153">
        <f>INDEX(AN74:AN77,MATCH(AK75,$AL74:$AL77,0))</f>
        <v>0</v>
      </c>
      <c r="L57" s="153">
        <f>INDEX(AO74:AO77,MATCH(AK75,$AL74:$AL77,0))</f>
        <v>0</v>
      </c>
      <c r="M57" s="153">
        <f>INDEX(AP74:AP77,MATCH(AK75,$AL74:$AL77,0))</f>
        <v>0</v>
      </c>
      <c r="N57" s="153">
        <f>INDEX(AQ74:AQ77,MATCH(AK75,$AL74:$AL77,0))</f>
        <v>0</v>
      </c>
      <c r="O57" s="13"/>
      <c r="P57" s="13"/>
      <c r="Q57" s="13"/>
      <c r="R57" s="13"/>
      <c r="S57" s="223" t="s">
        <v>83</v>
      </c>
      <c r="T57" s="223"/>
      <c r="U57" s="230" t="str">
        <f>IF(100*V43+W43&gt;100*V44+W44,U43,IF(100*V44+W44&gt;100*V43+W43,U44,"-"))</f>
        <v>-</v>
      </c>
      <c r="V57" s="230"/>
      <c r="W57" s="230"/>
      <c r="X57" s="13"/>
      <c r="AI57" s="30">
        <v>1</v>
      </c>
      <c r="AJ57" s="31">
        <f>ROUND(AK57,0)</f>
        <v>2</v>
      </c>
      <c r="AK57" s="32">
        <f>MIN(AL57:AL60)</f>
        <v>2.4500000000000002</v>
      </c>
      <c r="AL57" s="33">
        <f>SUM(BD57:BG57)+2.45</f>
        <v>2.4500000000000002</v>
      </c>
      <c r="AM57" s="34" t="str">
        <f>D41</f>
        <v>Espagne</v>
      </c>
      <c r="AN57" s="35">
        <f>SUM(AR57:AU57)</f>
        <v>0</v>
      </c>
      <c r="AO57" s="36">
        <f>E41+E42+F44</f>
        <v>0</v>
      </c>
      <c r="AP57" s="35">
        <f>F41+F42+E44</f>
        <v>0</v>
      </c>
      <c r="AQ57" s="37">
        <f>AO57-AP57</f>
        <v>0</v>
      </c>
      <c r="AR57" s="35" t="s">
        <v>71</v>
      </c>
      <c r="AS57" s="35">
        <f>IF(ISBLANK(E41),0,IF(E41&gt;F41,3,IF(E41=F41,1,0)))</f>
        <v>0</v>
      </c>
      <c r="AT57" s="35">
        <f>IF(ISBLANK(E42),0,IF(E42&gt;F42,3,IF(E42=F42,1,0)))</f>
        <v>0</v>
      </c>
      <c r="AU57" s="35">
        <f>IF(ISBLANK(F44),0,IF(F44&gt;E44,3,IF(F44=E44,1,0)))</f>
        <v>0</v>
      </c>
      <c r="AV57" s="36" t="s">
        <v>71</v>
      </c>
      <c r="AW57" s="35" t="b">
        <f>(10*(AQ57-AQ58)+AO57-AO58&gt;0)</f>
        <v>0</v>
      </c>
      <c r="AX57" s="35" t="b">
        <f>10*(AQ57-AQ59)+AO57-AO59&gt;0</f>
        <v>0</v>
      </c>
      <c r="AY57" s="37" t="b">
        <f>10*(AQ57-AQ60)+AO57-AO60&gt;0</f>
        <v>0</v>
      </c>
      <c r="AZ57" s="36">
        <f>10000*(AS57+AT57)+(E42-F42+E41-F41)*100+(E42+E41)</f>
        <v>0</v>
      </c>
      <c r="BA57" s="35">
        <f>10000*(AS57+AU57)+(E41-F41+F44-E44)*100+(E41+F44)</f>
        <v>0</v>
      </c>
      <c r="BB57" s="35">
        <f>10000*(AT57+AU57)+(F44-E44+E42-F42)*100+(F44+E42)</f>
        <v>0</v>
      </c>
      <c r="BC57" s="37" t="s">
        <v>71</v>
      </c>
      <c r="BD57" s="36" t="s">
        <v>71</v>
      </c>
      <c r="BE57" s="38">
        <f>IF($AN57&gt;$AN58,-0.5,IF($AN58&gt;$AN57,0.5,IF(AW57,-0.5,IF(AV58,0.5,BU57))))</f>
        <v>0</v>
      </c>
      <c r="BF57" s="38">
        <f>IF($AN57&gt;$AN59,-0.5,IF($AN59&gt;$AN57,0.5,IF(AX57,-0.5,IF(AV59,0.5,BV57))))</f>
        <v>0</v>
      </c>
      <c r="BG57" s="39">
        <f>IF($AN57&gt;$AN60,-0.5,IF($AN60&gt;$AN57,0.5,IF(AY57,-0.5,IF(AV60,0.5,BW57))))</f>
        <v>0</v>
      </c>
      <c r="BH57" s="40" t="b">
        <f>AND(AND(AN57=AN58,AN58=AN59,AN59=AN60),AND(AO57=AO58,AO58=AO59,AO59=AO60),AND(AP57=AP58,AP58=AP59,AP59=AP60))</f>
        <v>1</v>
      </c>
      <c r="BI57" s="40" t="b">
        <f>AND(NOT(BH57),AN57=AN58,AN57=AN59,AO57=AO58,AO57=AO59,AP57=AP58,AP57=AP59)</f>
        <v>0</v>
      </c>
      <c r="BJ57" s="40" t="b">
        <f>AND(NOT(BH57),AN57=AN58,AN57=AN60,AO57=AO58,AO57=AO60,AP57=AP58,AP57=AP60)</f>
        <v>0</v>
      </c>
      <c r="BK57" s="40" t="b">
        <f>AND(NOT(BH57),AN57=AN59,AN57=AN60,AO57=AO59,AO57=AO60,AP57=AP59,AP57=AP60)</f>
        <v>0</v>
      </c>
      <c r="BL57" s="40" t="b">
        <f>AND(NOT(BH57),AN58=AN59,AN58=AN60,AO58=AO59,AO58=AO60,AP58=AP59,AP58=AP60)</f>
        <v>0</v>
      </c>
      <c r="BM57" s="40" t="b">
        <f>AND(NOT(BH57),NOT(BI57),NOT(BJ57),AN57=AN58,AO57=AO58,AP57=AP58)</f>
        <v>0</v>
      </c>
      <c r="BN57" s="40" t="b">
        <f>AND(NOT(BH57),NOT(BI57),NOT(BK57),AN57=AN59,AO57=AO59,AP57=AP59)</f>
        <v>0</v>
      </c>
      <c r="BO57" s="40" t="b">
        <f>AND(NOT(BH57),NOT(BJ57),NOT(BK57),AN57=AN60,AO57=AO60,AP57=AP60)</f>
        <v>0</v>
      </c>
      <c r="BP57" s="40" t="b">
        <f>AND(NOT(BH57),NOT(BI57),NOT(BL57),AN58=AN59,AO58=AO59)</f>
        <v>0</v>
      </c>
      <c r="BQ57" s="40" t="b">
        <f>AND(NOT(BH57),NOT(BJ57),NOT(BL57),AN58=AN60,AO58=AO60,AP58=AP60)</f>
        <v>0</v>
      </c>
      <c r="BR57" s="40" t="b">
        <f>AND(NOT(BH57),NOT(BK57),NOT(BL57),AN59=AN60,AO59=AO60,AP59=AP60)</f>
        <v>0</v>
      </c>
      <c r="BS57" s="40" t="b">
        <f t="array" ref="BS57">AND(NOT(BH57:BR57))</f>
        <v>0</v>
      </c>
      <c r="BT57" s="36" t="s">
        <v>71</v>
      </c>
      <c r="BU57" s="35">
        <f>IF($BM57,IF(F41-E41&lt;0,-0.5,IF(E41-F41&lt;0,0.5,0)),IF($BI57,IF($AZ57&gt;$AZ58,-0.5,IF($AZ57&lt;$AZ58,0.5,0)),IF($BJ57,IF($BA57&gt;$BA58,-0.5, IF($BA57&lt;$BA58,0.5,0)),0)))</f>
        <v>0</v>
      </c>
      <c r="BV57" s="35">
        <f>IF($BN57,IF(F42-E42&lt;0,-0.5,IF(E42-F42&lt;0,0.5,0)),IF($BI57,IF($AZ57&gt;$AZ59,-0.5,IF($AZ57&lt;$AZ59,0.5,0)),IF($BK57,IF($BB57&gt;$BB59,-0.5,IF($BB57&lt;$BB59,0.5,0)),0)))</f>
        <v>0</v>
      </c>
      <c r="BW57" s="37">
        <f>IF($BO57,IF(E44-F44&lt;0,-0.5,IF(F44-E44&lt;0,0.5,0)),IF($BJ57,IF($BA57&gt;$BA60,-0.5,IF($BA57&lt;$BA60,0.5,0)),IF($BK57,IF($BB57&gt;$BB60,-0.5, IF($BB57&lt;$BB60,0.5,0)),0)))</f>
        <v>0</v>
      </c>
    </row>
    <row r="58" spans="2:75" ht="14.25" customHeight="1" x14ac:dyDescent="0.2">
      <c r="B58" s="86">
        <v>44893</v>
      </c>
      <c r="C58" s="87">
        <v>0.70833333333333337</v>
      </c>
      <c r="D58" s="122" t="str">
        <f>D56</f>
        <v>Suisse</v>
      </c>
      <c r="E58" s="67"/>
      <c r="F58" s="67"/>
      <c r="G58" s="124" t="str">
        <f>D57</f>
        <v>Brésil</v>
      </c>
      <c r="H58" s="13"/>
      <c r="I58" s="96">
        <f>AI76</f>
        <v>1</v>
      </c>
      <c r="J58" s="21" t="str">
        <f>INDEX(AM74:AM77,MATCH(AK76,$AL74:$AL77,0))</f>
        <v>Brésil</v>
      </c>
      <c r="K58" s="97">
        <f>INDEX(AN74:AN77,MATCH(AK76,$AL74:$AL77,0))</f>
        <v>0</v>
      </c>
      <c r="L58" s="97">
        <f>INDEX(AO74:AO77,MATCH(AK76,$AL74:$AL77,0))</f>
        <v>0</v>
      </c>
      <c r="M58" s="97">
        <f>INDEX(AP74:AP77,MATCH(AK76,$AL74:$AL77,0))</f>
        <v>0</v>
      </c>
      <c r="N58" s="97">
        <f>INDEX(AQ74:AQ77,MATCH(AK76,$AL74:$AL77,0))</f>
        <v>0</v>
      </c>
      <c r="O58" s="13"/>
      <c r="P58" s="13"/>
      <c r="Q58" s="13"/>
      <c r="R58" s="13"/>
      <c r="S58" s="223"/>
      <c r="T58" s="223"/>
      <c r="U58" s="230"/>
      <c r="V58" s="230"/>
      <c r="W58" s="230"/>
      <c r="X58" s="13"/>
      <c r="AI58" s="30">
        <f>IF(ROUND(AK58,0)=ROUND(AK57,0),AI57,2)</f>
        <v>1</v>
      </c>
      <c r="AJ58" s="31">
        <f>ROUND(AK58,0)</f>
        <v>2</v>
      </c>
      <c r="AK58" s="32">
        <f>MAX(MIN(AL57:AL59),MIN(AL57,AL58,AL60),MIN(AL57,AL59,AL60),MIN(AL58:AL60))</f>
        <v>2.46</v>
      </c>
      <c r="AL58" s="41">
        <f>SUM(BD58:BG58)+2.46</f>
        <v>2.46</v>
      </c>
      <c r="AM58" s="34" t="str">
        <f>G41</f>
        <v>Barragiste</v>
      </c>
      <c r="AN58" s="35">
        <f>SUM(AR58:AU58)</f>
        <v>0</v>
      </c>
      <c r="AO58" s="36">
        <f>F41+F43+E45</f>
        <v>0</v>
      </c>
      <c r="AP58" s="35">
        <f>E41+E43+F45</f>
        <v>0</v>
      </c>
      <c r="AQ58" s="37">
        <f>AO58-AP58</f>
        <v>0</v>
      </c>
      <c r="AR58" s="35">
        <f>IF(ISBLANK(F41),0,IF(AS57=3,0,IF(AS57=1,1,3)))</f>
        <v>0</v>
      </c>
      <c r="AS58" s="35" t="s">
        <v>71</v>
      </c>
      <c r="AT58" s="35">
        <f>IF(ISBLANK(E45),0,IF(AS59=3,0,IF(AS59=1,1,3)))</f>
        <v>0</v>
      </c>
      <c r="AU58" s="35">
        <f>IF(ISBLANK(F43),0,IF(F43&gt;E43,3,IF(F43=E43,1,0)))</f>
        <v>0</v>
      </c>
      <c r="AV58" s="36" t="b">
        <f>(10*(AQ57-AQ58)+AO57-AO58&lt;0)</f>
        <v>0</v>
      </c>
      <c r="AW58" s="35" t="s">
        <v>71</v>
      </c>
      <c r="AX58" s="35" t="b">
        <f>10*(AQ58-AQ59)+AO58-AO59&gt;0</f>
        <v>0</v>
      </c>
      <c r="AY58" s="37" t="b">
        <f>10*(AQ58-AQ60)+AO58-AO60&gt;0</f>
        <v>0</v>
      </c>
      <c r="AZ58" s="36">
        <f>10000*(AR58+AT58)+(F41-E41+E45-F45)*100+(F41+E45)</f>
        <v>0</v>
      </c>
      <c r="BA58" s="35">
        <f>10000*(AR58+AU58)+(F41-E41+F43-E43)*100+(F41+F43)</f>
        <v>0</v>
      </c>
      <c r="BB58" s="35" t="s">
        <v>71</v>
      </c>
      <c r="BC58" s="37">
        <f>10000*(AT58+AU58)+(F43-E43+E45-F45)*100+(F43+E45)</f>
        <v>0</v>
      </c>
      <c r="BD58" s="42">
        <f>-BE57</f>
        <v>0</v>
      </c>
      <c r="BE58" s="35" t="s">
        <v>71</v>
      </c>
      <c r="BF58" s="38">
        <f>IF($AN58&gt;$AN59,-0.5,IF($AN59&gt;$AN58,0.5,IF(AX58,-0.5,IF(AW59,0.5,BV58))))</f>
        <v>0</v>
      </c>
      <c r="BG58" s="39">
        <f>IF($AN58&gt;$AN60,-0.5,IF($AN60&gt;$AN58,0.5,IF(AY58,-0.5,IF(AW60,0.5,BW58))))</f>
        <v>0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36"/>
      <c r="BU58" s="35" t="s">
        <v>71</v>
      </c>
      <c r="BV58" s="35">
        <f>IF($BP57,IF(F45-E45&lt;0,-0.5,IF(E45-F45&lt;0,0.5,0)),IF($BI57,IF($AZ58&gt;$AZ59,-0.5,IF($AZ58&lt;$AZ59,0.5,0)),IF($BL57,IF($BC58&gt;$BC59,-0.5,IF($BC58&lt;$BC59,0.5,0)),0)))</f>
        <v>0</v>
      </c>
      <c r="BW58" s="37">
        <f>IF($BQ57,IF(E43-F43&lt;0,-0.5,IF(F43-E43&lt;0,0.5,0)),IF($BJ57,IF($BA58&gt;$BA60,-0.5,IF($BA58&lt;$BA60,0.5,0)),IF($BL57,IF($BC58&gt;$BC60,-0.5,IF($BC58&lt;$BC60,0.5,0)),0)))</f>
        <v>0</v>
      </c>
    </row>
    <row r="59" spans="2:75" ht="14.25" customHeight="1" x14ac:dyDescent="0.2">
      <c r="B59" s="89">
        <v>44893</v>
      </c>
      <c r="C59" s="90">
        <v>0.45833333333333331</v>
      </c>
      <c r="D59" s="123" t="str">
        <f>G57</f>
        <v>Serbie</v>
      </c>
      <c r="E59" s="67"/>
      <c r="F59" s="67"/>
      <c r="G59" s="125" t="str">
        <f>G56</f>
        <v>Cameroun</v>
      </c>
      <c r="H59" s="13"/>
      <c r="I59" s="96">
        <f>AI77</f>
        <v>1</v>
      </c>
      <c r="J59" s="21" t="str">
        <f>INDEX(AM74:AM77,MATCH(AK77,$AL74:$AL77,0))</f>
        <v>Serbie</v>
      </c>
      <c r="K59" s="97">
        <f>INDEX(AN74:AN77,MATCH(AK77,$AL74:$AL77,0))</f>
        <v>0</v>
      </c>
      <c r="L59" s="97">
        <f>INDEX(AO74:AO77,MATCH(AK77,$AL74:$AL77,0))</f>
        <v>0</v>
      </c>
      <c r="M59" s="97">
        <f>INDEX(AP74:AP77,MATCH(AK77,$AL74:$AL77,0))</f>
        <v>0</v>
      </c>
      <c r="N59" s="97">
        <f>INDEX(AQ74:AQ77,MATCH(AK77,$AL74:$AL77,0))</f>
        <v>0</v>
      </c>
      <c r="O59" s="13"/>
      <c r="P59" s="13"/>
      <c r="Q59" s="13"/>
      <c r="R59" s="13"/>
      <c r="S59" s="223" t="s">
        <v>92</v>
      </c>
      <c r="T59" s="223"/>
      <c r="U59" s="230" t="str">
        <f>IF(100*V43+W43&gt;100*V44+W44,U44,IF(100*V44+W44&gt;100*V43+W43,U43,"-"))</f>
        <v>-</v>
      </c>
      <c r="V59" s="230"/>
      <c r="W59" s="230"/>
      <c r="X59" s="13"/>
      <c r="AI59" s="30">
        <f>IF(ROUND(AK59,0)=ROUND(AK58,0),AI58,3)</f>
        <v>1</v>
      </c>
      <c r="AJ59" s="31">
        <f>ROUND(AK59,0)</f>
        <v>2</v>
      </c>
      <c r="AK59" s="32">
        <f>MIN(MAX(AL57:AL59),MAX(AL57,AL58,AL60),MAX(AL57,AL59,AL60),MAX(AL58:AL60))</f>
        <v>2.4700000000000002</v>
      </c>
      <c r="AL59" s="41">
        <f>SUM(BD59:BG59)+2.47</f>
        <v>2.4700000000000002</v>
      </c>
      <c r="AM59" s="34" t="str">
        <f>D40</f>
        <v>Allemagne</v>
      </c>
      <c r="AN59" s="35">
        <f>SUM(AR59:AU59)</f>
        <v>0</v>
      </c>
      <c r="AO59" s="36">
        <f>E40+F42+F45</f>
        <v>0</v>
      </c>
      <c r="AP59" s="35">
        <f>F40+E42+E45</f>
        <v>0</v>
      </c>
      <c r="AQ59" s="37">
        <f>AO59-AP59</f>
        <v>0</v>
      </c>
      <c r="AR59" s="35">
        <f>IF(ISBLANK(F42),0,IF(AT57=3,0,IF(AT57=1,1,3)))</f>
        <v>0</v>
      </c>
      <c r="AS59" s="35">
        <f>IF(ISBLANK(F45),0,IF(F45&gt;E45,3,IF(F45=E45,1,0)))</f>
        <v>0</v>
      </c>
      <c r="AT59" s="35" t="s">
        <v>71</v>
      </c>
      <c r="AU59" s="35">
        <f>IF(ISBLANK(E40),0,IF(E40&gt;F40,3,IF(E40=F40,1,0)))</f>
        <v>0</v>
      </c>
      <c r="AV59" s="36" t="b">
        <f>10*(AQ57-AQ59)+AO57-AO59&lt;0</f>
        <v>0</v>
      </c>
      <c r="AW59" s="35" t="b">
        <f>10*(AQ58-AQ59)+AO58-AO59&lt;0</f>
        <v>0</v>
      </c>
      <c r="AX59" s="35" t="s">
        <v>71</v>
      </c>
      <c r="AY59" s="37" t="b">
        <f>10*(AQ59-AQ60)+AO59-AO60&gt;0</f>
        <v>0</v>
      </c>
      <c r="AZ59" s="36">
        <f>10000*(AR59+AS59)+(F42-E42+F45-E45)*100+(F42+F45)</f>
        <v>0</v>
      </c>
      <c r="BA59" s="35" t="s">
        <v>71</v>
      </c>
      <c r="BB59" s="35">
        <f>10000*(AR59+AU59)+(E40-F40+F42-E42)*100+(E40+F42)</f>
        <v>0</v>
      </c>
      <c r="BC59" s="37">
        <f>10000*(AS59+AU59)+(E40-F40+F45-E45)*100+(E40+F45)</f>
        <v>0</v>
      </c>
      <c r="BD59" s="42">
        <f>-BF57</f>
        <v>0</v>
      </c>
      <c r="BE59" s="38">
        <f>-BF58</f>
        <v>0</v>
      </c>
      <c r="BF59" s="38" t="s">
        <v>71</v>
      </c>
      <c r="BG59" s="39">
        <f>IF($AN59&gt;$AN60,-0.5,IF($AN60&gt;$AN59,0.5,IF(AY59,-0.5,IF(AX60,0.5,BW59))))</f>
        <v>0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36"/>
      <c r="BU59" s="35"/>
      <c r="BV59" s="35" t="s">
        <v>71</v>
      </c>
      <c r="BW59" s="37">
        <f>IF($BR57,IF(F40-E40&lt;0,-0.5,IF(E40-F40&lt;0,0.5,0)),IF($BK57,IF($BB59&gt;$BB60,-0.5,IF($BB59&lt;$BB60,0.5,0)),IF($BL57,IF($BC59&gt;$BC60,-0.5,IF($BC59&lt;$BC60,0.5,0)),0)))</f>
        <v>0</v>
      </c>
    </row>
    <row r="60" spans="2:75" ht="14.25" customHeight="1" x14ac:dyDescent="0.2">
      <c r="B60" s="86">
        <v>44897</v>
      </c>
      <c r="C60" s="87">
        <v>0.83333333333333337</v>
      </c>
      <c r="D60" s="122" t="str">
        <f>G57</f>
        <v>Serbie</v>
      </c>
      <c r="E60" s="67"/>
      <c r="F60" s="67"/>
      <c r="G60" s="124" t="str">
        <f>D56</f>
        <v>Suisse</v>
      </c>
      <c r="H60" s="13"/>
      <c r="I60" s="132"/>
      <c r="J60" s="133" t="str">
        <f>IF(OR(I58&lt;3,I57&lt;2),"TIRAGE AU SORT !!!"," ")</f>
        <v>TIRAGE AU SORT !!!</v>
      </c>
      <c r="K60" s="134"/>
      <c r="L60" s="134"/>
      <c r="M60" s="134"/>
      <c r="N60" s="134"/>
      <c r="O60" s="13"/>
      <c r="P60" s="13"/>
      <c r="Q60" s="13"/>
      <c r="R60" s="13"/>
      <c r="S60" s="223"/>
      <c r="T60" s="223"/>
      <c r="U60" s="230"/>
      <c r="V60" s="230"/>
      <c r="W60" s="230"/>
      <c r="X60" s="13"/>
      <c r="AI60" s="30">
        <f>IF(ROUND(AK60,0)=ROUND(AK59,0),AI59,4)</f>
        <v>1</v>
      </c>
      <c r="AJ60" s="31">
        <f>ROUND(AK60,0)</f>
        <v>2</v>
      </c>
      <c r="AK60" s="32">
        <f>MAX(AL57:AL60)</f>
        <v>2.48</v>
      </c>
      <c r="AL60" s="43">
        <f>SUM(BD60:BG60)+2.48</f>
        <v>2.48</v>
      </c>
      <c r="AM60" s="44" t="str">
        <f>G40</f>
        <v>Japon</v>
      </c>
      <c r="AN60" s="40">
        <f>SUM(AR60:AU60)</f>
        <v>0</v>
      </c>
      <c r="AO60" s="45">
        <f>F40+E43+E44</f>
        <v>0</v>
      </c>
      <c r="AP60" s="40">
        <f>E40+F43+F44</f>
        <v>0</v>
      </c>
      <c r="AQ60" s="46">
        <f>AO60-AP60</f>
        <v>0</v>
      </c>
      <c r="AR60" s="40">
        <f>IF(ISBLANK(E44),0,IF(AU57=3,0,IF(AU57=1,1,3)))</f>
        <v>0</v>
      </c>
      <c r="AS60" s="40">
        <f>IF(ISBLANK(E43),0,IF(AU58=3,0,IF(AU58=1,1,3)))</f>
        <v>0</v>
      </c>
      <c r="AT60" s="40">
        <f>IF(ISBLANK(F40),0,IF(AU59=3,0,IF(AU59=1,1,3)))</f>
        <v>0</v>
      </c>
      <c r="AU60" s="40" t="s">
        <v>71</v>
      </c>
      <c r="AV60" s="45" t="b">
        <f>10*(AQ57-AQ60)+AO57-AO60&lt;0</f>
        <v>0</v>
      </c>
      <c r="AW60" s="40" t="b">
        <f>10*(AQ58-AQ60)+AO58-AO60&lt;0</f>
        <v>0</v>
      </c>
      <c r="AX60" s="40" t="b">
        <f>10*(AQ59-AQ60)+AO59-AO60&lt;0</f>
        <v>0</v>
      </c>
      <c r="AY60" s="46" t="s">
        <v>71</v>
      </c>
      <c r="AZ60" s="45" t="s">
        <v>71</v>
      </c>
      <c r="BA60" s="40">
        <f>10000*(AR60+AS60)+(E43-F43+E44-F44)*100+(E43+E44)</f>
        <v>0</v>
      </c>
      <c r="BB60" s="40">
        <f>10000*(AR60+AT60)+(E44-F44+F40-E40)*100+(E44+F40)</f>
        <v>0</v>
      </c>
      <c r="BC60" s="46">
        <f>10000*(AS60+AT60)+(E43-F43+F40-E40)*100+(E43+F40)</f>
        <v>0</v>
      </c>
      <c r="BD60" s="47">
        <f>-BG57</f>
        <v>0</v>
      </c>
      <c r="BE60" s="48">
        <f>-BG58</f>
        <v>0</v>
      </c>
      <c r="BF60" s="48">
        <f>-BG59</f>
        <v>0</v>
      </c>
      <c r="BG60" s="46" t="s">
        <v>71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45"/>
      <c r="BU60" s="40"/>
      <c r="BV60" s="40"/>
      <c r="BW60" s="46" t="s">
        <v>71</v>
      </c>
    </row>
    <row r="61" spans="2:75" ht="14.25" customHeight="1" x14ac:dyDescent="0.2">
      <c r="B61" s="89">
        <v>44897</v>
      </c>
      <c r="C61" s="90">
        <v>0.83333333333333337</v>
      </c>
      <c r="D61" s="123" t="str">
        <f>G56</f>
        <v>Cameroun</v>
      </c>
      <c r="E61" s="67"/>
      <c r="F61" s="67"/>
      <c r="G61" s="125" t="str">
        <f>D57</f>
        <v>Brésil</v>
      </c>
      <c r="H61" s="13"/>
      <c r="I61" s="97"/>
      <c r="J61" s="21"/>
      <c r="K61" s="21"/>
      <c r="L61" s="21"/>
      <c r="M61" s="21"/>
      <c r="N61" s="21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2:75" ht="14.25" customHeight="1" x14ac:dyDescent="0.2">
      <c r="B62" s="29"/>
      <c r="C62" s="29"/>
      <c r="D62" s="29"/>
      <c r="E62" s="29"/>
      <c r="F62" s="29"/>
      <c r="G62" s="29"/>
      <c r="H62" s="13"/>
      <c r="I62" s="97"/>
      <c r="J62" s="21"/>
      <c r="K62" s="21"/>
      <c r="L62" s="21"/>
      <c r="M62" s="21"/>
      <c r="N62" s="21"/>
      <c r="O62" s="13"/>
      <c r="P62" s="13"/>
      <c r="Q62" s="13"/>
      <c r="R62" s="13"/>
      <c r="S62" s="13"/>
      <c r="T62" s="68"/>
      <c r="U62" s="13"/>
      <c r="V62" s="13"/>
      <c r="W62" s="13"/>
      <c r="X62" s="13"/>
      <c r="AB62" s="13"/>
      <c r="AC62" s="13"/>
    </row>
    <row r="63" spans="2:75" ht="14.25" customHeight="1" x14ac:dyDescent="0.2">
      <c r="B63" s="227" t="s">
        <v>103</v>
      </c>
      <c r="C63" s="227"/>
      <c r="D63" s="227"/>
      <c r="E63" s="227"/>
      <c r="F63" s="227"/>
      <c r="G63" s="227"/>
      <c r="H63" s="13"/>
      <c r="I63" s="154"/>
      <c r="J63" s="155" t="s">
        <v>0</v>
      </c>
      <c r="K63" s="155" t="s">
        <v>1</v>
      </c>
      <c r="L63" s="155" t="s">
        <v>2</v>
      </c>
      <c r="M63" s="155" t="s">
        <v>3</v>
      </c>
      <c r="N63" s="155" t="str">
        <f>"+/-"</f>
        <v>+/-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AB63" s="13"/>
      <c r="AC63" s="13"/>
    </row>
    <row r="64" spans="2:75" ht="14.25" customHeight="1" x14ac:dyDescent="0.2">
      <c r="B64" s="86">
        <v>44889</v>
      </c>
      <c r="C64" s="87">
        <v>0.58333333333333337</v>
      </c>
      <c r="D64" s="126" t="s">
        <v>37</v>
      </c>
      <c r="E64" s="69"/>
      <c r="F64" s="69"/>
      <c r="G64" s="128" t="s">
        <v>86</v>
      </c>
      <c r="H64" s="13"/>
      <c r="I64" s="156">
        <f>AI84</f>
        <v>1</v>
      </c>
      <c r="J64" s="127" t="str">
        <f>INDEX(AM84:AM87,MATCH(AK84,$AL84:$AL87,0))</f>
        <v>Portugal</v>
      </c>
      <c r="K64" s="157">
        <f>INDEX(AN84:AN87,MATCH(AK84,$AL84:$AL87,0))</f>
        <v>0</v>
      </c>
      <c r="L64" s="157">
        <f>INDEX(AO84:AO87,MATCH(AK84,$AL84:$AL87,0))</f>
        <v>0</v>
      </c>
      <c r="M64" s="157">
        <f>INDEX(AP84:AP87,MATCH(AK84,$AL84:$AL87,0))</f>
        <v>0</v>
      </c>
      <c r="N64" s="157">
        <f>INDEX(AQ84:AQ87,MATCH(AK84,$AL84:$AL87,0))</f>
        <v>0</v>
      </c>
      <c r="O64" s="13"/>
      <c r="P64" s="13"/>
      <c r="Q64" s="13"/>
      <c r="R64" s="13"/>
      <c r="S64" s="13"/>
      <c r="T64" s="70"/>
      <c r="U64" s="70"/>
      <c r="V64" s="13"/>
      <c r="W64" s="13"/>
      <c r="X64" s="13"/>
      <c r="AB64" s="13"/>
      <c r="AC64" s="13"/>
      <c r="AL64" s="25" t="s">
        <v>38</v>
      </c>
      <c r="AM64" s="26" t="s">
        <v>39</v>
      </c>
      <c r="AN64" s="27" t="s">
        <v>1</v>
      </c>
      <c r="AO64" s="25" t="s">
        <v>40</v>
      </c>
      <c r="AP64" s="27" t="s">
        <v>41</v>
      </c>
      <c r="AQ64" s="28" t="s">
        <v>42</v>
      </c>
      <c r="AR64" s="27" t="s">
        <v>43</v>
      </c>
      <c r="AS64" s="27" t="s">
        <v>44</v>
      </c>
      <c r="AT64" s="27" t="s">
        <v>45</v>
      </c>
      <c r="AU64" s="27" t="s">
        <v>46</v>
      </c>
      <c r="AV64" s="25" t="s">
        <v>47</v>
      </c>
      <c r="AW64" s="27" t="s">
        <v>48</v>
      </c>
      <c r="AX64" s="27" t="s">
        <v>49</v>
      </c>
      <c r="AY64" s="28" t="s">
        <v>50</v>
      </c>
      <c r="AZ64" s="25" t="s">
        <v>51</v>
      </c>
      <c r="BA64" s="27" t="s">
        <v>52</v>
      </c>
      <c r="BB64" s="27" t="s">
        <v>53</v>
      </c>
      <c r="BC64" s="28" t="s">
        <v>54</v>
      </c>
      <c r="BD64" s="25" t="s">
        <v>55</v>
      </c>
      <c r="BE64" s="27" t="s">
        <v>56</v>
      </c>
      <c r="BF64" s="27" t="s">
        <v>57</v>
      </c>
      <c r="BG64" s="28" t="s">
        <v>58</v>
      </c>
      <c r="BH64" s="25" t="s">
        <v>59</v>
      </c>
      <c r="BI64" s="27" t="s">
        <v>51</v>
      </c>
      <c r="BJ64" s="27" t="s">
        <v>52</v>
      </c>
      <c r="BK64" s="27" t="s">
        <v>53</v>
      </c>
      <c r="BL64" s="27" t="s">
        <v>54</v>
      </c>
      <c r="BM64" s="27" t="s">
        <v>60</v>
      </c>
      <c r="BN64" s="27" t="s">
        <v>61</v>
      </c>
      <c r="BO64" s="27" t="s">
        <v>62</v>
      </c>
      <c r="BP64" s="27" t="s">
        <v>63</v>
      </c>
      <c r="BQ64" s="27" t="s">
        <v>64</v>
      </c>
      <c r="BR64" s="27" t="s">
        <v>65</v>
      </c>
      <c r="BS64" s="28" t="s">
        <v>66</v>
      </c>
      <c r="BT64" s="25" t="s">
        <v>67</v>
      </c>
      <c r="BU64" s="27" t="s">
        <v>68</v>
      </c>
      <c r="BV64" s="27" t="s">
        <v>69</v>
      </c>
      <c r="BW64" s="28" t="s">
        <v>70</v>
      </c>
    </row>
    <row r="65" spans="2:75" ht="14.25" customHeight="1" x14ac:dyDescent="0.2">
      <c r="B65" s="89">
        <v>44889</v>
      </c>
      <c r="C65" s="90">
        <v>0.70833333333333337</v>
      </c>
      <c r="D65" s="127" t="s">
        <v>74</v>
      </c>
      <c r="E65" s="69"/>
      <c r="F65" s="69"/>
      <c r="G65" s="129" t="s">
        <v>116</v>
      </c>
      <c r="H65" s="13"/>
      <c r="I65" s="156">
        <f>AI85</f>
        <v>1</v>
      </c>
      <c r="J65" s="127" t="str">
        <f>INDEX(AM84:AM87,MATCH(AK85,$AL84:$AL87,0))</f>
        <v>Ghana</v>
      </c>
      <c r="K65" s="157">
        <f>INDEX(AN84:AN87,MATCH(AK85,$AL84:$AL87,0))</f>
        <v>0</v>
      </c>
      <c r="L65" s="157">
        <f>INDEX(AO84:AO87,MATCH(AK85,$AL84:$AL87,0))</f>
        <v>0</v>
      </c>
      <c r="M65" s="157">
        <f>INDEX(AP84:AP87,MATCH(AK85,$AL84:$AL87,0))</f>
        <v>0</v>
      </c>
      <c r="N65" s="157">
        <f>INDEX(AQ84:AQ87,MATCH(AK85,$AL84:$AL87,0))</f>
        <v>0</v>
      </c>
      <c r="O65" s="13"/>
      <c r="P65" s="13"/>
      <c r="Q65" s="13"/>
      <c r="R65" s="13"/>
      <c r="S65" s="13"/>
      <c r="T65" s="70"/>
      <c r="U65" s="70"/>
      <c r="V65" s="13"/>
      <c r="W65" s="13"/>
      <c r="X65" s="71"/>
      <c r="AB65" s="13"/>
      <c r="AC65" s="13"/>
      <c r="AI65" s="30">
        <v>1</v>
      </c>
      <c r="AJ65" s="31">
        <f>ROUND(AK65,0)</f>
        <v>2</v>
      </c>
      <c r="AK65" s="32">
        <f>MIN(AL65:AL69)</f>
        <v>2.4500000000000002</v>
      </c>
      <c r="AL65" s="33">
        <f>SUM(BD65:BG65)+2.45</f>
        <v>2.4500000000000002</v>
      </c>
      <c r="AM65" s="34" t="str">
        <f>D48</f>
        <v>Maroc</v>
      </c>
      <c r="AN65" s="35">
        <f>SUM(AR65:AU65)</f>
        <v>0</v>
      </c>
      <c r="AO65" s="36">
        <f>E48+E51+F52</f>
        <v>0</v>
      </c>
      <c r="AP65" s="35">
        <f>F48+F51+E52</f>
        <v>0</v>
      </c>
      <c r="AQ65" s="37">
        <f>AO65-AP65</f>
        <v>0</v>
      </c>
      <c r="AR65" s="35" t="s">
        <v>71</v>
      </c>
      <c r="AS65" s="35">
        <f>IF(ISBLANK(E48),0,IF(E48&gt;F48,3,IF(E48=F48,1,0)))</f>
        <v>0</v>
      </c>
      <c r="AT65" s="35">
        <f>IF(ISBLANK(E51),0,IF(E51&gt;F51,3,IF(E51=F51,1,0)))</f>
        <v>0</v>
      </c>
      <c r="AU65" s="35">
        <f>IF(ISBLANK(F52),0,IF(F52&gt;E52,3,IF(F52=E52,1,0)))</f>
        <v>0</v>
      </c>
      <c r="AV65" s="36" t="s">
        <v>71</v>
      </c>
      <c r="AW65" s="35" t="b">
        <f>(10*(AQ65-AQ67)+AO65-AO67&gt;0)</f>
        <v>0</v>
      </c>
      <c r="AX65" s="35" t="b">
        <f>10*(AQ65-AQ68)+AO65-AO68&gt;0</f>
        <v>0</v>
      </c>
      <c r="AY65" s="37" t="b">
        <f>10*(AQ65-AQ69)+AO65-AO69&gt;0</f>
        <v>0</v>
      </c>
      <c r="AZ65" s="36">
        <f>10000*(AS65+AT65)+(E51-F51+E48-F48)*100+(E51+E48)</f>
        <v>0</v>
      </c>
      <c r="BA65" s="35">
        <f>10000*(AS65+AU65)+(E48-F48+F52-E52)*100+(E48+F52)</f>
        <v>0</v>
      </c>
      <c r="BB65" s="35">
        <f>10000*(AT65+AU65)+(F52-E52+E51-F51)*100+(F52+E51)</f>
        <v>0</v>
      </c>
      <c r="BC65" s="37" t="s">
        <v>71</v>
      </c>
      <c r="BD65" s="36" t="s">
        <v>71</v>
      </c>
      <c r="BE65" s="38">
        <f>IF($AN65&gt;$AN67,-0.5,IF($AN67&gt;$AN65,0.5,IF(AW65,-0.5,IF(AV67,0.5,BU65))))</f>
        <v>0</v>
      </c>
      <c r="BF65" s="38">
        <f>IF($AN65&gt;$AN68,-0.5,IF($AN68&gt;$AN65,0.5,IF(AX65,-0.5,IF(AV68,0.5,BV65))))</f>
        <v>0</v>
      </c>
      <c r="BG65" s="39">
        <f>IF($AN65&gt;$AN69,-0.5,IF($AN69&gt;$AN65,0.5,IF(AY65,-0.5,IF(AV69,0.5,BW65))))</f>
        <v>0</v>
      </c>
      <c r="BH65" s="40" t="b">
        <f>AND(AND(AN65=AN67,AN67=AN68,AN68=AN69),AND(AO65=AO67,AO67=AO68,AO68=AO69),AND(AP65=AP67,AP67=AP68,AP68=AP69))</f>
        <v>1</v>
      </c>
      <c r="BI65" s="40" t="b">
        <f>AND(NOT(BH65),AN65=AN67,AN65=AN68,AO65=AO67,AO65=AO68,AP65=AP67,AP65=AP68)</f>
        <v>0</v>
      </c>
      <c r="BJ65" s="40" t="b">
        <f>AND(NOT(BH65),AN65=AN67,AN65=AN69,AO65=AO67,AO65=AO69,AP65=AP67,AP65=AP69)</f>
        <v>0</v>
      </c>
      <c r="BK65" s="40" t="b">
        <f>AND(NOT(BH65),AN65=AN68,AN65=AN69,AO65=AO68,AO65=AO69,AP65=AP68,AP65=AP69)</f>
        <v>0</v>
      </c>
      <c r="BL65" s="40" t="b">
        <f>AND(NOT(BH65),AN67=AN68,AN67=AN69,AO67=AO68,AO67=AO69,AP67=AP68,AP67=AP69)</f>
        <v>0</v>
      </c>
      <c r="BM65" s="40" t="b">
        <f>AND(NOT(BH65),NOT(BI65),NOT(BJ65),AN65=AN67,AO65=AO67,AP65=AP67)</f>
        <v>0</v>
      </c>
      <c r="BN65" s="40" t="b">
        <f>AND(NOT(BH65),NOT(BI65),NOT(BK65),AN65=AN68,AO65=AO68,AP65=AP68)</f>
        <v>0</v>
      </c>
      <c r="BO65" s="40" t="b">
        <f>AND(NOT(BH65),NOT(BJ65),NOT(BK65),AN65=AN69,AO65=AO69,AP65=AP69)</f>
        <v>0</v>
      </c>
      <c r="BP65" s="40" t="b">
        <f>AND(NOT(BH65),NOT(BI65),NOT(BL65),AN67=AN68,AO67=AO68)</f>
        <v>0</v>
      </c>
      <c r="BQ65" s="40" t="b">
        <f>AND(NOT(BH65),NOT(BJ65),NOT(BL65),AN67=AN69,AO67=AO69,AP67=AP69)</f>
        <v>0</v>
      </c>
      <c r="BR65" s="40" t="b">
        <f>AND(NOT(BH65),NOT(BK65),NOT(BL65),AN68=AN69,AO68=AO69,AP68=AP69)</f>
        <v>0</v>
      </c>
      <c r="BS65" s="40" t="b">
        <f t="array" ref="BS65">AND(NOT(BH65:BR65))</f>
        <v>0</v>
      </c>
      <c r="BT65" s="36" t="s">
        <v>71</v>
      </c>
      <c r="BU65" s="35">
        <f>IF($BM65,IF(F48-E48&lt;0,-0.5,IF(E48-F48&lt;0,0.5,0)),IF($BI65,IF($AZ65&gt;$AZ67,-0.5,IF($AZ65&lt;$AZ67,0.5,0)),IF($BJ65,IF($BA65&gt;$BA67,-0.5, IF($BA65&lt;$BA67,0.5,0)),0)))</f>
        <v>0</v>
      </c>
      <c r="BV65" s="35">
        <f>IF($BN65,IF(F51-E51&lt;0,-0.5,IF(E51-F51&lt;0,0.5,0)),IF($BI65,IF($AZ65&gt;$AZ68,-0.5,IF($AZ65&lt;$AZ68,0.5,0)),IF($BK65,IF($BB65&gt;$BB68,-0.5,IF($BB65&lt;$BB68,0.5,0)),0)))</f>
        <v>0</v>
      </c>
      <c r="BW65" s="37">
        <f>IF($BO65,IF(E52-F52&lt;0,-0.5,IF(F52-E52&lt;0,0.5,0)),IF($BJ65,IF($BA65&gt;$BA69,-0.5,IF($BA65&lt;$BA69,0.5,0)),IF($BK65,IF($BB65&gt;$BB69,-0.5, IF($BB65&lt;$BB69,0.5,0)),0)))</f>
        <v>0</v>
      </c>
    </row>
    <row r="66" spans="2:75" ht="14.25" customHeight="1" x14ac:dyDescent="0.2">
      <c r="B66" s="86">
        <v>44893</v>
      </c>
      <c r="C66" s="87">
        <v>0.58333333333333337</v>
      </c>
      <c r="D66" s="126" t="str">
        <f>G64</f>
        <v>Corée du sud</v>
      </c>
      <c r="E66" s="69"/>
      <c r="F66" s="69"/>
      <c r="G66" s="128" t="str">
        <f>G65</f>
        <v>Ghana</v>
      </c>
      <c r="H66" s="13"/>
      <c r="I66" s="96">
        <f>AI86</f>
        <v>1</v>
      </c>
      <c r="J66" s="21" t="str">
        <f>INDEX(AM84:AM87,MATCH(AK86,$AL84:$AL87,0))</f>
        <v>Uruguay</v>
      </c>
      <c r="K66" s="97">
        <f>INDEX(AN84:AN87,MATCH(AK86,$AL84:$AL87,0))</f>
        <v>0</v>
      </c>
      <c r="L66" s="97">
        <f>INDEX(AO84:AO87,MATCH(AK86,$AL84:$AL87,0))</f>
        <v>0</v>
      </c>
      <c r="M66" s="97">
        <f>INDEX(AP84:AP87,MATCH(AK86,$AL84:$AL87,0))</f>
        <v>0</v>
      </c>
      <c r="N66" s="97">
        <f>INDEX(AQ84:AQ87,MATCH(AK86,$AL84:$AL87,0))</f>
        <v>0</v>
      </c>
      <c r="O66" s="13"/>
      <c r="P66" s="13"/>
      <c r="Q66" s="13"/>
      <c r="R66" s="13"/>
      <c r="S66" s="13"/>
      <c r="T66" s="72"/>
      <c r="U66" s="72"/>
      <c r="V66" s="70"/>
      <c r="W66" s="70"/>
      <c r="X66" s="71"/>
      <c r="AB66" s="13"/>
      <c r="AC66" s="13"/>
      <c r="AI66" s="30"/>
      <c r="AJ66" s="31"/>
      <c r="AK66" s="32"/>
      <c r="AL66" s="41"/>
      <c r="AM66" s="34"/>
      <c r="AN66" s="35"/>
      <c r="AO66" s="36"/>
      <c r="AP66" s="35"/>
      <c r="AQ66" s="37"/>
      <c r="AR66" s="35"/>
      <c r="AS66" s="35"/>
      <c r="AT66" s="35"/>
      <c r="AU66" s="35"/>
      <c r="AV66" s="36"/>
      <c r="AW66" s="35"/>
      <c r="AX66" s="35"/>
      <c r="AY66" s="37"/>
      <c r="AZ66" s="36"/>
      <c r="BA66" s="35"/>
      <c r="BB66" s="35"/>
      <c r="BC66" s="37"/>
      <c r="BD66" s="36"/>
      <c r="BE66" s="38"/>
      <c r="BF66" s="38"/>
      <c r="BG66" s="39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6"/>
      <c r="BU66" s="35"/>
      <c r="BV66" s="35"/>
      <c r="BW66" s="37"/>
    </row>
    <row r="67" spans="2:75" ht="14.25" customHeight="1" x14ac:dyDescent="0.2">
      <c r="B67" s="89">
        <v>44893</v>
      </c>
      <c r="C67" s="90">
        <v>0.83333333333333337</v>
      </c>
      <c r="D67" s="127" t="str">
        <f>D65</f>
        <v>Portugal</v>
      </c>
      <c r="E67" s="69"/>
      <c r="F67" s="69"/>
      <c r="G67" s="129" t="str">
        <f>D64</f>
        <v>Uruguay</v>
      </c>
      <c r="H67" s="13"/>
      <c r="I67" s="96">
        <f>AI87</f>
        <v>1</v>
      </c>
      <c r="J67" s="21" t="str">
        <f>INDEX(AM84:AM87,MATCH(AK87,$AL84:$AL87,0))</f>
        <v>Corée du sud</v>
      </c>
      <c r="K67" s="97">
        <f>INDEX(AN84:AN87,MATCH(AK87,$AL84:$AL87,0))</f>
        <v>0</v>
      </c>
      <c r="L67" s="97">
        <f>INDEX(AO84:AO87,MATCH(AK87,$AL84:$AL87,0))</f>
        <v>0</v>
      </c>
      <c r="M67" s="97">
        <f>INDEX(AP84:AP87,MATCH(AK87,$AL84:$AL87,0))</f>
        <v>0</v>
      </c>
      <c r="N67" s="97">
        <f>INDEX(AQ84:AQ87,MATCH(AK87,$AL84:$AL87,0))</f>
        <v>0</v>
      </c>
      <c r="O67" s="13"/>
      <c r="P67" s="13"/>
      <c r="Q67" s="13"/>
      <c r="R67" s="13"/>
      <c r="S67" s="13"/>
      <c r="T67" s="13"/>
      <c r="U67" s="13"/>
      <c r="V67" s="70"/>
      <c r="W67" s="70"/>
      <c r="X67" s="22"/>
      <c r="AB67" s="13"/>
      <c r="AC67" s="13"/>
      <c r="AI67" s="30">
        <f>IF(ROUND(AK67,0)=ROUND(AK65,0),AI65,2)</f>
        <v>1</v>
      </c>
      <c r="AJ67" s="31">
        <f>ROUND(AK67,0)</f>
        <v>2</v>
      </c>
      <c r="AK67" s="32">
        <f>MAX(MIN(AL65:AL68),MIN(AL65,AL67,AL69),MIN(AL65,AL68,AL69),MIN(AL67:AL69))</f>
        <v>2.46</v>
      </c>
      <c r="AL67" s="41">
        <f>SUM(BD67:BG67)+2.46</f>
        <v>2.46</v>
      </c>
      <c r="AM67" s="34" t="str">
        <f>G48</f>
        <v>Croatie</v>
      </c>
      <c r="AN67" s="35">
        <f>SUM(AR67:AU67)</f>
        <v>0</v>
      </c>
      <c r="AO67" s="36">
        <f>F48+F50+E53</f>
        <v>0</v>
      </c>
      <c r="AP67" s="35">
        <f>E48+E50+F53</f>
        <v>0</v>
      </c>
      <c r="AQ67" s="37">
        <f>AO67-AP67</f>
        <v>0</v>
      </c>
      <c r="AR67" s="35">
        <f>IF(ISBLANK(F48),0,IF(AS65=3,0,IF(AS65=1,1,3)))</f>
        <v>0</v>
      </c>
      <c r="AS67" s="35" t="s">
        <v>71</v>
      </c>
      <c r="AT67" s="35">
        <f>IF(ISBLANK(E53),0,IF(AS68=3,0,IF(AS68=1,1,3)))</f>
        <v>0</v>
      </c>
      <c r="AU67" s="35">
        <f>IF(ISBLANK(F50),0,IF(F50&gt;E50,3,IF(F50=E50,1,0)))</f>
        <v>0</v>
      </c>
      <c r="AV67" s="36" t="b">
        <f>(10*(AQ65-AQ67)+AO65-AO67&lt;0)</f>
        <v>0</v>
      </c>
      <c r="AW67" s="35" t="s">
        <v>71</v>
      </c>
      <c r="AX67" s="35" t="b">
        <f>10*(AQ67-AQ68)+AO67-AO68&gt;0</f>
        <v>0</v>
      </c>
      <c r="AY67" s="37" t="b">
        <f>10*(AQ67-AQ69)+AO67-AO69&gt;0</f>
        <v>0</v>
      </c>
      <c r="AZ67" s="36">
        <f>10000*(AR67+AT67)+(F48-E48+E53-F53)*100+(F48+E53)</f>
        <v>0</v>
      </c>
      <c r="BA67" s="35">
        <f>10000*(AR67+AU67)+(F48-E48+F50-E50)*100+(F48+F50)</f>
        <v>0</v>
      </c>
      <c r="BB67" s="35" t="s">
        <v>71</v>
      </c>
      <c r="BC67" s="37">
        <f>10000*(AT67+AU67)+(F50-E50+E53-F53)*100+(F50+E53)</f>
        <v>0</v>
      </c>
      <c r="BD67" s="42">
        <f>-BE65</f>
        <v>0</v>
      </c>
      <c r="BE67" s="35" t="s">
        <v>71</v>
      </c>
      <c r="BF67" s="38">
        <f>IF($AN67&gt;$AN68,-0.5,IF($AN68&gt;$AN67,0.5,IF(AX67,-0.5,IF(AW68,0.5,BV67))))</f>
        <v>0</v>
      </c>
      <c r="BG67" s="39">
        <f>IF($AN67&gt;$AN69,-0.5,IF($AN69&gt;$AN67,0.5,IF(AY67,-0.5,IF(AW69,0.5,BW67))))</f>
        <v>0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36"/>
      <c r="BU67" s="35" t="s">
        <v>71</v>
      </c>
      <c r="BV67" s="35">
        <f>IF($BP65,IF(F53-E53&lt;0,-0.5,IF(E53-F53&lt;0,0.5,0)),IF($BI65,IF($AZ67&gt;$AZ68,-0.5,IF($AZ67&lt;$AZ68,0.5,0)),IF($BL65,IF($BC67&gt;$BC68,-0.5,IF($BC67&lt;$BC68,0.5,0)),0)))</f>
        <v>0</v>
      </c>
      <c r="BW67" s="37">
        <f>IF($BQ65,IF(E50-F50&lt;0,-0.5,IF(F50-E50&lt;0,0.5,0)),IF($BJ65,IF($BA67&gt;$BA69,-0.5,IF($BA67&lt;$BA69,0.5,0)),IF($BL65,IF($BC67&gt;$BC69,-0.5,IF($BC67&lt;$BC69,0.5,0)),0)))</f>
        <v>0</v>
      </c>
    </row>
    <row r="68" spans="2:75" ht="14.25" customHeight="1" x14ac:dyDescent="0.2">
      <c r="B68" s="86">
        <v>44897</v>
      </c>
      <c r="C68" s="87">
        <v>0.66666666666666663</v>
      </c>
      <c r="D68" s="126" t="str">
        <f>G64</f>
        <v>Corée du sud</v>
      </c>
      <c r="E68" s="69"/>
      <c r="F68" s="69"/>
      <c r="G68" s="128" t="str">
        <f>D65</f>
        <v>Portugal</v>
      </c>
      <c r="H68" s="13"/>
      <c r="I68" s="98"/>
      <c r="J68" s="99" t="str">
        <f>IF(OR(I66&lt;3,I65&lt;2),"TIRAGE AU SORT !!!"," ")</f>
        <v>TIRAGE AU SORT !!!</v>
      </c>
      <c r="K68" s="100"/>
      <c r="L68" s="100"/>
      <c r="M68" s="100"/>
      <c r="N68" s="100"/>
      <c r="O68" s="13"/>
      <c r="P68" s="13"/>
      <c r="Q68" s="13"/>
      <c r="R68" s="13"/>
      <c r="S68" s="13"/>
      <c r="T68" s="13"/>
      <c r="U68" s="13"/>
      <c r="V68" s="72"/>
      <c r="W68" s="72"/>
      <c r="X68" s="13"/>
      <c r="AB68" s="13"/>
      <c r="AC68" s="13"/>
      <c r="AI68" s="30">
        <f>IF(ROUND(AK68,0)=ROUND(AK67,0),AI67,3)</f>
        <v>1</v>
      </c>
      <c r="AJ68" s="31">
        <f>ROUND(AK68,0)</f>
        <v>2</v>
      </c>
      <c r="AK68" s="32">
        <f>MIN(MAX(AL65:AL68),MAX(AL65,AL67,AL69),MAX(AL65,AL68,AL69),MAX(AL67:AL69))</f>
        <v>2.4700000000000002</v>
      </c>
      <c r="AL68" s="41">
        <f>SUM(BD68:BG68)+2.47</f>
        <v>2.4700000000000002</v>
      </c>
      <c r="AM68" s="34" t="str">
        <f>D49</f>
        <v>Belgique</v>
      </c>
      <c r="AN68" s="35">
        <f>SUM(AR68:AU68)</f>
        <v>0</v>
      </c>
      <c r="AO68" s="36">
        <f>E49+F51+F53</f>
        <v>0</v>
      </c>
      <c r="AP68" s="35">
        <f>F49+E51+E53</f>
        <v>0</v>
      </c>
      <c r="AQ68" s="37">
        <f>AO68-AP68</f>
        <v>0</v>
      </c>
      <c r="AR68" s="35">
        <f>IF(ISBLANK(F51),0,IF(AT65=3,0,IF(AT65=1,1,3)))</f>
        <v>0</v>
      </c>
      <c r="AS68" s="35">
        <f>IF(ISBLANK(F53),0,IF(F53&gt;E53,3,IF(F53=E53,1,0)))</f>
        <v>0</v>
      </c>
      <c r="AT68" s="35" t="s">
        <v>71</v>
      </c>
      <c r="AU68" s="35">
        <f>IF(ISBLANK(E49),0,IF(E49&gt;F49,3,IF(E49=F49,1,0)))</f>
        <v>0</v>
      </c>
      <c r="AV68" s="36" t="b">
        <f>10*(AQ65-AQ68)+AO65-AO68&lt;0</f>
        <v>0</v>
      </c>
      <c r="AW68" s="35" t="b">
        <f>10*(AQ67-AQ68)+AO67-AO68&lt;0</f>
        <v>0</v>
      </c>
      <c r="AX68" s="35" t="s">
        <v>71</v>
      </c>
      <c r="AY68" s="37" t="b">
        <f>10*(AQ68-AQ69)+AO68-AO69&gt;0</f>
        <v>0</v>
      </c>
      <c r="AZ68" s="36">
        <f>10000*(AR68+AS68)+(F51-E51+F53-E53)*100+(F51+F53)</f>
        <v>0</v>
      </c>
      <c r="BA68" s="35" t="s">
        <v>71</v>
      </c>
      <c r="BB68" s="35">
        <f>10000*(AR68+AU68)+(E49-F49+F51-E51)*100+(E49+F51)</f>
        <v>0</v>
      </c>
      <c r="BC68" s="37">
        <f>10000*(AS68+AU68)+(E49-F49+F53-E53)*100+(E49+F53)</f>
        <v>0</v>
      </c>
      <c r="BD68" s="42">
        <f>-BF65</f>
        <v>0</v>
      </c>
      <c r="BE68" s="38">
        <f>-BF67</f>
        <v>0</v>
      </c>
      <c r="BF68" s="38" t="s">
        <v>71</v>
      </c>
      <c r="BG68" s="39">
        <f>IF($AN68&gt;$AN69,-0.5,IF($AN69&gt;$AN68,0.5,IF(AY68,-0.5,IF(AX69,0.5,BW68))))</f>
        <v>0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36"/>
      <c r="BU68" s="35"/>
      <c r="BV68" s="35" t="s">
        <v>71</v>
      </c>
      <c r="BW68" s="37">
        <f>IF($BR65,IF(F49-E49&lt;0,-0.5,IF(E49-F49&lt;0,0.5,0)),IF($BK65,IF($BB68&gt;$BB69,-0.5,IF($BB68&lt;$BB69,0.5,0)),IF($BL65,IF($BC68&gt;$BC69,-0.5,IF($BC68&lt;$BC69,0.5,0)),0)))</f>
        <v>0</v>
      </c>
    </row>
    <row r="69" spans="2:75" ht="14.25" customHeight="1" x14ac:dyDescent="0.2">
      <c r="B69" s="89">
        <v>44897</v>
      </c>
      <c r="C69" s="90">
        <v>0.66666666666666663</v>
      </c>
      <c r="D69" s="127" t="str">
        <f>G65</f>
        <v>Ghana</v>
      </c>
      <c r="E69" s="69"/>
      <c r="F69" s="69"/>
      <c r="G69" s="129" t="str">
        <f>D64</f>
        <v>Uruguay</v>
      </c>
      <c r="H69" s="13"/>
      <c r="I69" s="158"/>
      <c r="J69" s="158"/>
      <c r="K69" s="158"/>
      <c r="L69" s="158"/>
      <c r="M69" s="158"/>
      <c r="N69" s="158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I69" s="30">
        <f>IF(ROUND(AK69,0)=ROUND(AK68,0),AI68,4)</f>
        <v>1</v>
      </c>
      <c r="AJ69" s="31">
        <f>ROUND(AK69,0)</f>
        <v>2</v>
      </c>
      <c r="AK69" s="32">
        <f>MAX(AL65:AL69)</f>
        <v>2.48</v>
      </c>
      <c r="AL69" s="43">
        <f>SUM(BD69:BG69)+2.48</f>
        <v>2.48</v>
      </c>
      <c r="AM69" s="44" t="str">
        <f>G49</f>
        <v>Canada</v>
      </c>
      <c r="AN69" s="40">
        <f>SUM(AR69:AU69)</f>
        <v>0</v>
      </c>
      <c r="AO69" s="45">
        <f>F49+E50+E52</f>
        <v>0</v>
      </c>
      <c r="AP69" s="40">
        <f>E49+F50+F52</f>
        <v>0</v>
      </c>
      <c r="AQ69" s="46">
        <f>AO69-AP69</f>
        <v>0</v>
      </c>
      <c r="AR69" s="40">
        <f>IF(ISBLANK(E52),0,IF(AU65=3,0,IF(AU65=1,1,3)))</f>
        <v>0</v>
      </c>
      <c r="AS69" s="40">
        <f>IF(ISBLANK(E50),0,IF(AU67=3,0,IF(AU67=1,1,3)))</f>
        <v>0</v>
      </c>
      <c r="AT69" s="40">
        <f>IF(ISBLANK(F49),0,IF(AU68=3,0,IF(AU68=1,1,3)))</f>
        <v>0</v>
      </c>
      <c r="AU69" s="40" t="s">
        <v>71</v>
      </c>
      <c r="AV69" s="45" t="b">
        <f>10*(AQ65-AQ69)+AO65-AO69&lt;0</f>
        <v>0</v>
      </c>
      <c r="AW69" s="40" t="b">
        <f>10*(AQ67-AQ69)+AO67-AO69&lt;0</f>
        <v>0</v>
      </c>
      <c r="AX69" s="40" t="b">
        <f>10*(AQ68-AQ69)+AO68-AO69&lt;0</f>
        <v>0</v>
      </c>
      <c r="AY69" s="46" t="s">
        <v>71</v>
      </c>
      <c r="AZ69" s="45" t="s">
        <v>71</v>
      </c>
      <c r="BA69" s="40">
        <f>10000*(AR69+AS69)+(E50-F50+E52-F52)*100+(E50+E52)</f>
        <v>0</v>
      </c>
      <c r="BB69" s="40">
        <f>10000*(AR69+AT69)+(E52-F52+F49-E49)*100+(E52+F49)</f>
        <v>0</v>
      </c>
      <c r="BC69" s="46">
        <f>10000*(AS69+AT69)+(E50-F50+F49-E49)*100+(E50+F49)</f>
        <v>0</v>
      </c>
      <c r="BD69" s="47">
        <f>-BG65</f>
        <v>0</v>
      </c>
      <c r="BE69" s="48">
        <f>-BG67</f>
        <v>0</v>
      </c>
      <c r="BF69" s="48">
        <f>-BG68</f>
        <v>0</v>
      </c>
      <c r="BG69" s="46" t="s">
        <v>71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45"/>
      <c r="BU69" s="40"/>
      <c r="BV69" s="40"/>
      <c r="BW69" s="46" t="s">
        <v>71</v>
      </c>
    </row>
    <row r="70" spans="2:75" ht="14.25" customHeight="1" x14ac:dyDescent="0.2">
      <c r="D70" s="73"/>
      <c r="G70" s="74"/>
      <c r="H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2:75" ht="14.25" customHeight="1" x14ac:dyDescent="0.2">
      <c r="H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2:75" ht="14.25" customHeight="1" x14ac:dyDescent="0.2">
      <c r="H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5"/>
      <c r="Z72" s="13"/>
      <c r="AA72" s="13"/>
      <c r="AB72" s="13"/>
      <c r="AC72" s="13"/>
    </row>
    <row r="73" spans="2:75" ht="14.25" customHeight="1" x14ac:dyDescent="0.2">
      <c r="H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228"/>
      <c r="Z73" s="228"/>
      <c r="AA73" s="228"/>
      <c r="AB73" s="228"/>
      <c r="AC73" s="228"/>
      <c r="AD73" s="76"/>
      <c r="AE73" s="76"/>
      <c r="AF73" s="6"/>
      <c r="AG73" s="6"/>
      <c r="AH73" s="6"/>
      <c r="AI73" s="6"/>
      <c r="AJ73" s="6"/>
      <c r="AL73" s="25" t="s">
        <v>38</v>
      </c>
      <c r="AM73" s="26" t="s">
        <v>39</v>
      </c>
      <c r="AN73" s="27" t="s">
        <v>1</v>
      </c>
      <c r="AO73" s="25" t="s">
        <v>40</v>
      </c>
      <c r="AP73" s="27" t="s">
        <v>41</v>
      </c>
      <c r="AQ73" s="28" t="s">
        <v>42</v>
      </c>
      <c r="AR73" s="27" t="s">
        <v>43</v>
      </c>
      <c r="AS73" s="27" t="s">
        <v>44</v>
      </c>
      <c r="AT73" s="27" t="s">
        <v>45</v>
      </c>
      <c r="AU73" s="27" t="s">
        <v>46</v>
      </c>
      <c r="AV73" s="25" t="s">
        <v>47</v>
      </c>
      <c r="AW73" s="27" t="s">
        <v>48</v>
      </c>
      <c r="AX73" s="27" t="s">
        <v>49</v>
      </c>
      <c r="AY73" s="28" t="s">
        <v>50</v>
      </c>
      <c r="AZ73" s="25" t="s">
        <v>51</v>
      </c>
      <c r="BA73" s="27" t="s">
        <v>52</v>
      </c>
      <c r="BB73" s="27" t="s">
        <v>53</v>
      </c>
      <c r="BC73" s="28" t="s">
        <v>54</v>
      </c>
      <c r="BD73" s="25" t="s">
        <v>55</v>
      </c>
      <c r="BE73" s="27" t="s">
        <v>56</v>
      </c>
      <c r="BF73" s="27" t="s">
        <v>57</v>
      </c>
      <c r="BG73" s="28" t="s">
        <v>58</v>
      </c>
      <c r="BH73" s="25" t="s">
        <v>59</v>
      </c>
      <c r="BI73" s="27" t="s">
        <v>51</v>
      </c>
      <c r="BJ73" s="27" t="s">
        <v>52</v>
      </c>
      <c r="BK73" s="27" t="s">
        <v>53</v>
      </c>
      <c r="BL73" s="27" t="s">
        <v>54</v>
      </c>
      <c r="BM73" s="27" t="s">
        <v>60</v>
      </c>
      <c r="BN73" s="27" t="s">
        <v>61</v>
      </c>
      <c r="BO73" s="27" t="s">
        <v>62</v>
      </c>
      <c r="BP73" s="27" t="s">
        <v>63</v>
      </c>
      <c r="BQ73" s="27" t="s">
        <v>64</v>
      </c>
      <c r="BR73" s="27" t="s">
        <v>65</v>
      </c>
      <c r="BS73" s="28" t="s">
        <v>66</v>
      </c>
      <c r="BT73" s="25" t="s">
        <v>67</v>
      </c>
      <c r="BU73" s="27" t="s">
        <v>68</v>
      </c>
      <c r="BV73" s="27" t="s">
        <v>69</v>
      </c>
      <c r="BW73" s="28" t="s">
        <v>70</v>
      </c>
    </row>
    <row r="74" spans="2:75" ht="14.25" customHeight="1" x14ac:dyDescent="0.2">
      <c r="H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228"/>
      <c r="Z74" s="228"/>
      <c r="AA74" s="228"/>
      <c r="AB74" s="228"/>
      <c r="AC74" s="228"/>
      <c r="AD74" s="76"/>
      <c r="AE74" s="76"/>
      <c r="AF74" s="6"/>
      <c r="AG74" s="6"/>
      <c r="AH74" s="6"/>
      <c r="AI74" s="30">
        <v>1</v>
      </c>
      <c r="AJ74" s="31">
        <f>ROUND(AK74,0)</f>
        <v>2</v>
      </c>
      <c r="AK74" s="32">
        <f>MIN(AL74:AL77)</f>
        <v>2.4500000000000002</v>
      </c>
      <c r="AL74" s="33">
        <f>SUM(BD74:BG74)+2.45</f>
        <v>2.4500000000000002</v>
      </c>
      <c r="AM74" s="34" t="str">
        <f>D56</f>
        <v>Suisse</v>
      </c>
      <c r="AN74" s="35">
        <f>SUM(AR74:AU74)</f>
        <v>0</v>
      </c>
      <c r="AO74" s="36">
        <f>E56+E58+F60</f>
        <v>0</v>
      </c>
      <c r="AP74" s="35">
        <f>F56+F58+E60</f>
        <v>0</v>
      </c>
      <c r="AQ74" s="37">
        <f>AO74-AP74</f>
        <v>0</v>
      </c>
      <c r="AR74" s="35" t="s">
        <v>71</v>
      </c>
      <c r="AS74" s="35">
        <f>IF(ISBLANK(E56),0,IF(E56&gt;F56,3,IF(E56=F56,1,0)))</f>
        <v>0</v>
      </c>
      <c r="AT74" s="35">
        <f>IF(ISBLANK(E58),0,IF(E58&gt;F58,3,IF(E58=F58,1,0)))</f>
        <v>0</v>
      </c>
      <c r="AU74" s="35">
        <f>IF(ISBLANK(F60),0,IF(F60&gt;E60,3,IF(F60=E60,1,0)))</f>
        <v>0</v>
      </c>
      <c r="AV74" s="36" t="s">
        <v>71</v>
      </c>
      <c r="AW74" s="35" t="b">
        <f>(10*(AQ74-AQ75)+AO74-AO75&gt;0)</f>
        <v>0</v>
      </c>
      <c r="AX74" s="35" t="b">
        <f>10*(AQ74-AQ76)+AO74-AO76&gt;0</f>
        <v>0</v>
      </c>
      <c r="AY74" s="37" t="b">
        <f>10*(AQ74-AQ77)+AO74-AO77&gt;0</f>
        <v>0</v>
      </c>
      <c r="AZ74" s="36">
        <f>10000*(AS74+AT74)+(E58-F58+E56-F56)*100+(E58+E56)</f>
        <v>0</v>
      </c>
      <c r="BA74" s="35">
        <f>10000*(AS74+AU74)+(E56-F56+F60-E60)*100+(E56+F60)</f>
        <v>0</v>
      </c>
      <c r="BB74" s="35">
        <f>10000*(AT74+AU74)+(F60-E60+E58-F58)*100+(F60+E58)</f>
        <v>0</v>
      </c>
      <c r="BC74" s="37" t="s">
        <v>71</v>
      </c>
      <c r="BD74" s="36" t="s">
        <v>71</v>
      </c>
      <c r="BE74" s="38">
        <f>IF($AN74&gt;$AN75,-0.5,IF($AN75&gt;$AN74,0.5,IF(AW74,-0.5,IF(AV75,0.5,BU74))))</f>
        <v>0</v>
      </c>
      <c r="BF74" s="38">
        <f>IF($AN74&gt;$AN76,-0.5,IF($AN76&gt;$AN74,0.5,IF(AX74,-0.5,IF(AV76,0.5,BV74))))</f>
        <v>0</v>
      </c>
      <c r="BG74" s="39">
        <f>IF($AN74&gt;$AN77,-0.5,IF($AN77&gt;$AN74,0.5,IF(AY74,-0.5,IF(AV77,0.5,BW74))))</f>
        <v>0</v>
      </c>
      <c r="BH74" s="40" t="b">
        <f>AND(AND(AN74=AN75,AN75=AN76,AN76=AN77),AND(AO74=AO75,AO75=AO76,AO76=AO77),AND(AP74=AP75,AP75=AP76,AP76=AP77))</f>
        <v>1</v>
      </c>
      <c r="BI74" s="40" t="b">
        <f>AND(NOT(BH74),AN74=AN75,AN74=AN76,AO74=AO75,AO74=AO76,AP74=AP75,AP74=AP76)</f>
        <v>0</v>
      </c>
      <c r="BJ74" s="40" t="b">
        <f>AND(NOT(BH74),AN74=AN75,AN74=AN77,AO74=AO75,AO74=AO77,AP74=AP75,AP74=AP77)</f>
        <v>0</v>
      </c>
      <c r="BK74" s="40" t="b">
        <f>AND(NOT(BH74),AN74=AN76,AN74=AN77,AO74=AO76,AO74=AO77,AP74=AP76,AP74=AP77)</f>
        <v>0</v>
      </c>
      <c r="BL74" s="40" t="b">
        <f>AND(NOT(BH74),AN75=AN76,AN75=AN77,AO75=AO76,AO75=AO77,AP75=AP76,AP75=AP77)</f>
        <v>0</v>
      </c>
      <c r="BM74" s="40" t="b">
        <f>AND(NOT(BH74),NOT(BI74),NOT(BJ74),AN74=AN75,AO74=AO75,AP74=AP75)</f>
        <v>0</v>
      </c>
      <c r="BN74" s="40" t="b">
        <f>AND(NOT(BH74),NOT(BI74),NOT(BK74),AN74=AN76,AO74=AO76,AP74=AP76)</f>
        <v>0</v>
      </c>
      <c r="BO74" s="40" t="b">
        <f>AND(NOT(BH74),NOT(BJ74),NOT(BK74),AN74=AN77,AO74=AO77,AP74=AP77)</f>
        <v>0</v>
      </c>
      <c r="BP74" s="40" t="b">
        <f>AND(NOT(BH74),NOT(BI74),NOT(BL74),AN75=AN76,AO75=AO76)</f>
        <v>0</v>
      </c>
      <c r="BQ74" s="40" t="b">
        <f>AND(NOT(BH74),NOT(BJ74),NOT(BL74),AN75=AN77,AO75=AO77,AP75=AP77)</f>
        <v>0</v>
      </c>
      <c r="BR74" s="40" t="b">
        <f>AND(NOT(BH74),NOT(BK74),NOT(BL74),AN76=AN77,AO76=AO77,AP76=AP77)</f>
        <v>0</v>
      </c>
      <c r="BS74" s="40" t="b">
        <f t="array" ref="BS74">AND(NOT(BH74:BR74))</f>
        <v>0</v>
      </c>
      <c r="BT74" s="36" t="s">
        <v>71</v>
      </c>
      <c r="BU74" s="35">
        <f>IF($BM74,IF(F56-E56&lt;0,-0.5,IF(E56-F56&lt;0,0.5,0)),IF($BI74,IF($AZ74&gt;$AZ75,-0.5,IF($AZ74&lt;$AZ75,0.5,0)),IF($BJ74,IF($BA74&gt;$BA75,-0.5, IF($BA74&lt;$BA75,0.5,0)),0)))</f>
        <v>0</v>
      </c>
      <c r="BV74" s="35">
        <f>IF($BN74,IF(F58-E58&lt;0,-0.5,IF(E58-F58&lt;0,0.5,0)),IF($BI74,IF($AZ74&gt;$AZ76,-0.5,IF($AZ74&lt;$AZ76,0.5,0)),IF($BK74,IF($BB74&gt;$BB76,-0.5,IF($BB74&lt;$BB76,0.5,0)),0)))</f>
        <v>0</v>
      </c>
      <c r="BW74" s="37">
        <f>IF($BO74,IF(E60-F60&lt;0,-0.5,IF(F60-E60&lt;0,0.5,0)),IF($BJ74,IF($BA74&gt;$BA77,-0.5,IF($BA74&lt;$BA77,0.5,0)),IF($BK74,IF($BB74&gt;$BB77,-0.5, IF($BB74&lt;$BB77,0.5,0)),0)))</f>
        <v>0</v>
      </c>
    </row>
    <row r="75" spans="2:75" ht="14.25" customHeight="1" x14ac:dyDescent="0.2">
      <c r="H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77"/>
      <c r="AC75" s="77"/>
      <c r="AD75" s="78"/>
      <c r="AE75" s="78"/>
      <c r="AF75" s="79"/>
      <c r="AG75" s="79"/>
      <c r="AH75" s="79"/>
      <c r="AI75" s="30">
        <f>IF(ROUND(AK75,0)=ROUND(AK74,0),AI74,2)</f>
        <v>1</v>
      </c>
      <c r="AJ75" s="31">
        <f>ROUND(AK75,0)</f>
        <v>2</v>
      </c>
      <c r="AK75" s="32">
        <f>MAX(MIN(AL74:AL76),MIN(AL74,AL75,AL77),MIN(AL74,AL76,AL77),MIN(AL75:AL77))</f>
        <v>2.46</v>
      </c>
      <c r="AL75" s="41">
        <f>SUM(BD75:BG75)+2.46</f>
        <v>2.46</v>
      </c>
      <c r="AM75" s="34" t="str">
        <f>G56</f>
        <v>Cameroun</v>
      </c>
      <c r="AN75" s="35">
        <f>SUM(AR75:AU75)</f>
        <v>0</v>
      </c>
      <c r="AO75" s="36">
        <f>F56+F59+E61</f>
        <v>0</v>
      </c>
      <c r="AP75" s="35">
        <f>E56+E59+F61</f>
        <v>0</v>
      </c>
      <c r="AQ75" s="37">
        <f>AO75-AP75</f>
        <v>0</v>
      </c>
      <c r="AR75" s="35">
        <f>IF(ISBLANK(F56),0,IF(AS74=3,0,IF(AS74=1,1,3)))</f>
        <v>0</v>
      </c>
      <c r="AS75" s="35" t="s">
        <v>71</v>
      </c>
      <c r="AT75" s="35">
        <f>IF(ISBLANK(E61),0,IF(AS76=3,0,IF(AS76=1,1,3)))</f>
        <v>0</v>
      </c>
      <c r="AU75" s="35">
        <f>IF(ISBLANK(F59),0,IF(F59&gt;E59,3,IF(F59=E59,1,0)))</f>
        <v>0</v>
      </c>
      <c r="AV75" s="36" t="b">
        <f>(10*(AQ74-AQ75)+AO74-AO75&lt;0)</f>
        <v>0</v>
      </c>
      <c r="AW75" s="35" t="s">
        <v>71</v>
      </c>
      <c r="AX75" s="35" t="b">
        <f>10*(AQ75-AQ76)+AO75-AO76&gt;0</f>
        <v>0</v>
      </c>
      <c r="AY75" s="37" t="b">
        <f>10*(AQ75-AQ77)+AO75-AO77&gt;0</f>
        <v>0</v>
      </c>
      <c r="AZ75" s="36">
        <f>10000*(AR75+AT75)+(F56-E56+E61-F61)*100+(F56+E61)</f>
        <v>0</v>
      </c>
      <c r="BA75" s="35">
        <f>10000*(AR75+AU75)+(F56-E56+F59-E59)*100+(F56+F59)</f>
        <v>0</v>
      </c>
      <c r="BB75" s="35" t="s">
        <v>71</v>
      </c>
      <c r="BC75" s="37">
        <f>10000*(AT75+AU75)+(F59-E59+E61-F61)*100+(F59+E61)</f>
        <v>0</v>
      </c>
      <c r="BD75" s="42">
        <f>-BE74</f>
        <v>0</v>
      </c>
      <c r="BE75" s="35" t="s">
        <v>71</v>
      </c>
      <c r="BF75" s="38">
        <f>IF($AN75&gt;$AN76,-0.5,IF($AN76&gt;$AN75,0.5,IF(AX75,-0.5,IF(AW76,0.5,BV75))))</f>
        <v>0</v>
      </c>
      <c r="BG75" s="39">
        <f>IF($AN75&gt;$AN77,-0.5,IF($AN77&gt;$AN75,0.5,IF(AY75,-0.5,IF(AW77,0.5,BW75))))</f>
        <v>0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36"/>
      <c r="BU75" s="35" t="s">
        <v>71</v>
      </c>
      <c r="BV75" s="35">
        <f>IF($BP74,IF(F61-E61&lt;0,-0.5,IF(E61-F61&lt;0,0.5,0)),IF($BI74,IF($AZ75&gt;$AZ76,-0.5,IF($AZ75&lt;$AZ76,0.5,0)),IF($BL74,IF($BC75&gt;$BC76,-0.5,IF($BC75&lt;$BC76,0.5,0)),0)))</f>
        <v>0</v>
      </c>
      <c r="BW75" s="37">
        <f>IF($BQ74,IF(E59-F59&lt;0,-0.5,IF(F59-E59&lt;0,0.5,0)),IF($BJ74,IF($BA75&gt;$BA77,-0.5,IF($BA75&lt;$BA77,0.5,0)),IF($BL74,IF($BC75&gt;$BC77,-0.5,IF($BC75&lt;$BC77,0.5,0)),0)))</f>
        <v>0</v>
      </c>
    </row>
    <row r="76" spans="2:75" ht="14.25" customHeight="1" x14ac:dyDescent="0.2">
      <c r="H76" s="13"/>
      <c r="O76" s="13"/>
      <c r="P76" s="13"/>
      <c r="Q76" s="13"/>
      <c r="R76" s="13"/>
      <c r="S76" s="13"/>
      <c r="T76" s="13"/>
      <c r="U76" s="13"/>
      <c r="V76" s="13"/>
      <c r="W76" s="13"/>
      <c r="X76" s="70"/>
      <c r="Y76" s="70"/>
      <c r="Z76" s="70"/>
      <c r="AA76" s="70"/>
      <c r="AB76" s="70"/>
      <c r="AC76" s="70"/>
      <c r="AD76" s="80"/>
      <c r="AE76" s="80"/>
      <c r="AF76" s="79"/>
      <c r="AG76" s="79"/>
      <c r="AH76" s="79"/>
      <c r="AI76" s="30">
        <f>IF(ROUND(AK76,0)=ROUND(AK75,0),AI75,3)</f>
        <v>1</v>
      </c>
      <c r="AJ76" s="31">
        <f>ROUND(AK76,0)</f>
        <v>2</v>
      </c>
      <c r="AK76" s="32">
        <f>MIN(MAX(AL74:AL76),MAX(AL74,AL75,AL77),MAX(AL74,AL76,AL77),MAX(AL75:AL77))</f>
        <v>2.4700000000000002</v>
      </c>
      <c r="AL76" s="41">
        <f>SUM(BD76:BG76)+2.47</f>
        <v>2.4700000000000002</v>
      </c>
      <c r="AM76" s="34" t="str">
        <f>D57</f>
        <v>Brésil</v>
      </c>
      <c r="AN76" s="35">
        <f>SUM(AR76:AU76)</f>
        <v>0</v>
      </c>
      <c r="AO76" s="36">
        <f>E57+F58+F61</f>
        <v>0</v>
      </c>
      <c r="AP76" s="35">
        <f>F57+E58+E61</f>
        <v>0</v>
      </c>
      <c r="AQ76" s="37">
        <f>AO76-AP76</f>
        <v>0</v>
      </c>
      <c r="AR76" s="35">
        <f>IF(ISBLANK(F58),0,IF(AT74=3,0,IF(AT74=1,1,3)))</f>
        <v>0</v>
      </c>
      <c r="AS76" s="35">
        <f>IF(ISBLANK(F61),0,IF(F61&gt;E61,3,IF(F61=E61,1,0)))</f>
        <v>0</v>
      </c>
      <c r="AT76" s="35" t="s">
        <v>71</v>
      </c>
      <c r="AU76" s="35">
        <f>IF(ISBLANK(E57),0,IF(E57&gt;F57,3,IF(E57=F57,1,0)))</f>
        <v>0</v>
      </c>
      <c r="AV76" s="36" t="b">
        <f>10*(AQ74-AQ76)+AO74-AO76&lt;0</f>
        <v>0</v>
      </c>
      <c r="AW76" s="35" t="b">
        <f>10*(AQ75-AQ76)+AO75-AO76&lt;0</f>
        <v>0</v>
      </c>
      <c r="AX76" s="35" t="s">
        <v>71</v>
      </c>
      <c r="AY76" s="37" t="b">
        <f>10*(AQ76-AQ77)+AO76-AO77&gt;0</f>
        <v>0</v>
      </c>
      <c r="AZ76" s="36">
        <f>10000*(AR76+AS76)+(F58-E58+F61-E61)*100+(F58+F61)</f>
        <v>0</v>
      </c>
      <c r="BA76" s="35" t="s">
        <v>71</v>
      </c>
      <c r="BB76" s="35">
        <f>10000*(AR76+AU76)+(E57-F57+F58-E58)*100+(E57+F58)</f>
        <v>0</v>
      </c>
      <c r="BC76" s="37">
        <f>10000*(AS76+AU76)+(E57-F57+F61-E61)*100+(E57+F61)</f>
        <v>0</v>
      </c>
      <c r="BD76" s="42">
        <f>-BF74</f>
        <v>0</v>
      </c>
      <c r="BE76" s="38">
        <f>-BF75</f>
        <v>0</v>
      </c>
      <c r="BF76" s="38" t="s">
        <v>71</v>
      </c>
      <c r="BG76" s="39">
        <f>IF($AN76&gt;$AN77,-0.5,IF($AN77&gt;$AN76,0.5,IF(AY76,-0.5,IF(AX77,0.5,BW76))))</f>
        <v>0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36"/>
      <c r="BU76" s="35"/>
      <c r="BV76" s="35" t="s">
        <v>71</v>
      </c>
      <c r="BW76" s="37">
        <f>IF($BR74,IF(F57-E57&lt;0,-0.5,IF(E57-F57&lt;0,0.5,0)),IF($BK74,IF($BB76&gt;$BB77,-0.5,IF($BB76&lt;$BB77,0.5,0)),IF($BL74,IF($BC76&gt;$BC77,-0.5,IF($BC76&lt;$BC77,0.5,0)),0)))</f>
        <v>0</v>
      </c>
    </row>
    <row r="77" spans="2:75" ht="14.25" customHeight="1" x14ac:dyDescent="0.2">
      <c r="O77" s="13"/>
      <c r="P77" s="13"/>
      <c r="Q77" s="13"/>
      <c r="R77" s="13"/>
      <c r="V77" s="13"/>
      <c r="W77" s="13"/>
      <c r="X77" s="70"/>
      <c r="Y77" s="70"/>
      <c r="Z77" s="70"/>
      <c r="AA77" s="70"/>
      <c r="AB77" s="70"/>
      <c r="AC77" s="70"/>
      <c r="AD77" s="80"/>
      <c r="AE77" s="80"/>
      <c r="AF77" s="81"/>
      <c r="AI77" s="30">
        <f>IF(ROUND(AK77,0)=ROUND(AK76,0),AI76,4)</f>
        <v>1</v>
      </c>
      <c r="AJ77" s="31">
        <f>ROUND(AK77,0)</f>
        <v>2</v>
      </c>
      <c r="AK77" s="32">
        <f>MAX(AL74:AL77)</f>
        <v>2.48</v>
      </c>
      <c r="AL77" s="43">
        <f>SUM(BD77:BG77)+2.48</f>
        <v>2.48</v>
      </c>
      <c r="AM77" s="44" t="str">
        <f>G57</f>
        <v>Serbie</v>
      </c>
      <c r="AN77" s="40">
        <f>SUM(AR77:AU77)</f>
        <v>0</v>
      </c>
      <c r="AO77" s="45">
        <f>F57+E59+E60</f>
        <v>0</v>
      </c>
      <c r="AP77" s="40">
        <f>E57+F59+F60</f>
        <v>0</v>
      </c>
      <c r="AQ77" s="46">
        <f>AO77-AP77</f>
        <v>0</v>
      </c>
      <c r="AR77" s="40">
        <f>IF(ISBLANK(E60),0,IF(AU74=3,0,IF(AU74=1,1,3)))</f>
        <v>0</v>
      </c>
      <c r="AS77" s="40">
        <f>IF(ISBLANK(E59),0,IF(AU75=3,0,IF(AU75=1,1,3)))</f>
        <v>0</v>
      </c>
      <c r="AT77" s="40">
        <f>IF(ISBLANK(F57),0,IF(AU76=3,0,IF(AU76=1,1,3)))</f>
        <v>0</v>
      </c>
      <c r="AU77" s="40" t="s">
        <v>71</v>
      </c>
      <c r="AV77" s="45" t="b">
        <f>10*(AQ74-AQ77)+AO74-AO77&lt;0</f>
        <v>0</v>
      </c>
      <c r="AW77" s="40" t="b">
        <f>10*(AQ75-AQ77)+AO75-AO77&lt;0</f>
        <v>0</v>
      </c>
      <c r="AX77" s="40" t="b">
        <f>10*(AQ76-AQ77)+AO76-AO77&lt;0</f>
        <v>0</v>
      </c>
      <c r="AY77" s="46" t="s">
        <v>71</v>
      </c>
      <c r="AZ77" s="45" t="s">
        <v>71</v>
      </c>
      <c r="BA77" s="40">
        <f>10000*(AR77+AS77)+(E59-F59+E60-F60)*100+(E59+E60)</f>
        <v>0</v>
      </c>
      <c r="BB77" s="40">
        <f>10000*(AR77+AT77)+(E60-F60+F57-E57)*100+(E60+F57)</f>
        <v>0</v>
      </c>
      <c r="BC77" s="46">
        <f>10000*(AS77+AT77)+(E59-F59+F57-E57)*100+(E59+F57)</f>
        <v>0</v>
      </c>
      <c r="BD77" s="47">
        <f>-BG74</f>
        <v>0</v>
      </c>
      <c r="BE77" s="48">
        <f>-BG75</f>
        <v>0</v>
      </c>
      <c r="BF77" s="48">
        <f>-BG76</f>
        <v>0</v>
      </c>
      <c r="BG77" s="46" t="s">
        <v>71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45"/>
      <c r="BU77" s="40"/>
      <c r="BV77" s="40"/>
      <c r="BW77" s="46" t="s">
        <v>71</v>
      </c>
    </row>
    <row r="78" spans="2:75" ht="14.25" customHeight="1" x14ac:dyDescent="0.2">
      <c r="O78" s="13"/>
      <c r="P78" s="13"/>
      <c r="Q78" s="13"/>
      <c r="R78" s="13"/>
      <c r="V78" s="13"/>
      <c r="W78" s="13"/>
      <c r="X78" s="70"/>
      <c r="Y78" s="70"/>
      <c r="Z78" s="70"/>
      <c r="AA78" s="70"/>
      <c r="AB78" s="70"/>
      <c r="AC78" s="70"/>
      <c r="AD78" s="80"/>
      <c r="AE78" s="80"/>
      <c r="AF78" s="81"/>
      <c r="AI78" s="30"/>
      <c r="AJ78" s="31"/>
      <c r="AK78" s="32"/>
      <c r="AL78" s="82"/>
      <c r="AM78" s="1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8"/>
      <c r="BE78" s="38"/>
      <c r="BF78" s="38"/>
      <c r="BG78" s="35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35"/>
      <c r="BU78" s="35"/>
      <c r="BV78" s="35"/>
      <c r="BW78" s="35"/>
    </row>
    <row r="79" spans="2:75" ht="14.25" customHeight="1" x14ac:dyDescent="0.2">
      <c r="O79" s="13"/>
      <c r="P79" s="13"/>
      <c r="Q79" s="13"/>
      <c r="R79" s="13"/>
      <c r="X79" s="72"/>
      <c r="Y79" s="72"/>
      <c r="Z79" s="72"/>
      <c r="AA79" s="72"/>
      <c r="AB79" s="72"/>
      <c r="AC79" s="72"/>
      <c r="AD79" s="81"/>
      <c r="AE79" s="81"/>
      <c r="AF79" s="81"/>
    </row>
    <row r="80" spans="2:75" ht="14.25" customHeight="1" x14ac:dyDescent="0.2">
      <c r="O80" s="13"/>
      <c r="P80" s="13"/>
      <c r="Q80" s="13"/>
      <c r="R80" s="13"/>
      <c r="X80" s="72"/>
      <c r="Y80" s="72"/>
      <c r="Z80" s="72"/>
      <c r="AA80" s="72"/>
      <c r="AB80" s="72"/>
      <c r="AC80" s="72"/>
      <c r="AD80" s="81"/>
      <c r="AE80" s="81"/>
      <c r="AF80" s="81"/>
    </row>
    <row r="81" spans="15:76" ht="14.25" customHeight="1" x14ac:dyDescent="0.2">
      <c r="O81" s="13"/>
      <c r="P81" s="13"/>
      <c r="Q81" s="13"/>
      <c r="R81" s="13"/>
      <c r="X81" s="13"/>
      <c r="Y81" s="13"/>
      <c r="Z81" s="13"/>
      <c r="AA81" s="13"/>
      <c r="AB81" s="13"/>
      <c r="AC81" s="13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</row>
    <row r="82" spans="15:76" ht="14.25" customHeight="1" x14ac:dyDescent="0.2">
      <c r="O82" s="13"/>
      <c r="P82" s="13"/>
      <c r="Q82" s="13"/>
      <c r="R82" s="13"/>
      <c r="X82" s="13"/>
      <c r="Y82" s="13"/>
      <c r="Z82" s="13"/>
      <c r="AA82" s="13"/>
      <c r="AB82" s="13"/>
      <c r="AC82" s="13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</row>
    <row r="83" spans="15:76" ht="14.25" customHeight="1" x14ac:dyDescent="0.2">
      <c r="O83" s="13"/>
      <c r="P83" s="13"/>
      <c r="Q83" s="13"/>
      <c r="R83" s="13"/>
      <c r="X83" s="13"/>
      <c r="Y83" s="13"/>
      <c r="Z83" s="13"/>
      <c r="AA83" s="13"/>
      <c r="AB83" s="13"/>
      <c r="AC83" s="13"/>
      <c r="AL83" s="25" t="s">
        <v>38</v>
      </c>
      <c r="AM83" s="26" t="s">
        <v>39</v>
      </c>
      <c r="AN83" s="27" t="s">
        <v>1</v>
      </c>
      <c r="AO83" s="25" t="s">
        <v>40</v>
      </c>
      <c r="AP83" s="27" t="s">
        <v>41</v>
      </c>
      <c r="AQ83" s="28" t="s">
        <v>42</v>
      </c>
      <c r="AR83" s="27" t="s">
        <v>43</v>
      </c>
      <c r="AS83" s="27" t="s">
        <v>44</v>
      </c>
      <c r="AT83" s="27" t="s">
        <v>45</v>
      </c>
      <c r="AU83" s="27" t="s">
        <v>46</v>
      </c>
      <c r="AV83" s="25" t="s">
        <v>47</v>
      </c>
      <c r="AW83" s="27" t="s">
        <v>48</v>
      </c>
      <c r="AX83" s="27" t="s">
        <v>49</v>
      </c>
      <c r="AY83" s="28" t="s">
        <v>50</v>
      </c>
      <c r="AZ83" s="25" t="s">
        <v>51</v>
      </c>
      <c r="BA83" s="27" t="s">
        <v>52</v>
      </c>
      <c r="BB83" s="27" t="s">
        <v>53</v>
      </c>
      <c r="BC83" s="28" t="s">
        <v>54</v>
      </c>
      <c r="BD83" s="25" t="s">
        <v>55</v>
      </c>
      <c r="BE83" s="27" t="s">
        <v>56</v>
      </c>
      <c r="BF83" s="27" t="s">
        <v>57</v>
      </c>
      <c r="BG83" s="28" t="s">
        <v>58</v>
      </c>
      <c r="BH83" s="25" t="s">
        <v>59</v>
      </c>
      <c r="BI83" s="27" t="s">
        <v>51</v>
      </c>
      <c r="BJ83" s="27" t="s">
        <v>52</v>
      </c>
      <c r="BK83" s="27" t="s">
        <v>53</v>
      </c>
      <c r="BL83" s="27" t="s">
        <v>54</v>
      </c>
      <c r="BM83" s="27" t="s">
        <v>60</v>
      </c>
      <c r="BN83" s="27" t="s">
        <v>61</v>
      </c>
      <c r="BO83" s="27" t="s">
        <v>62</v>
      </c>
      <c r="BP83" s="27" t="s">
        <v>63</v>
      </c>
      <c r="BQ83" s="27" t="s">
        <v>64</v>
      </c>
      <c r="BR83" s="27" t="s">
        <v>65</v>
      </c>
      <c r="BS83" s="28" t="s">
        <v>66</v>
      </c>
      <c r="BT83" s="25" t="s">
        <v>67</v>
      </c>
      <c r="BU83" s="27" t="s">
        <v>68</v>
      </c>
      <c r="BV83" s="27" t="s">
        <v>69</v>
      </c>
      <c r="BW83" s="28" t="s">
        <v>70</v>
      </c>
    </row>
    <row r="84" spans="15:76" ht="14.25" customHeight="1" x14ac:dyDescent="0.2">
      <c r="O84" s="13"/>
      <c r="P84" s="13"/>
      <c r="Q84" s="13"/>
      <c r="R84" s="13"/>
      <c r="X84" s="13"/>
      <c r="Y84" s="13"/>
      <c r="Z84" s="13"/>
      <c r="AA84" s="13"/>
      <c r="AB84" s="13"/>
      <c r="AC84" s="13"/>
      <c r="AI84" s="30">
        <v>1</v>
      </c>
      <c r="AJ84" s="31">
        <f>ROUND(AK84,0)</f>
        <v>2</v>
      </c>
      <c r="AK84" s="32">
        <f>MIN(AL84:AL87)</f>
        <v>2.4500000000000002</v>
      </c>
      <c r="AL84" s="33">
        <f>SUM(BD84:BG84)+2.45</f>
        <v>2.4500000000000002</v>
      </c>
      <c r="AM84" s="34" t="str">
        <f>D65</f>
        <v>Portugal</v>
      </c>
      <c r="AN84" s="35">
        <f>SUM(AR84:AU84)</f>
        <v>0</v>
      </c>
      <c r="AO84" s="36">
        <f>E65+E67+F68</f>
        <v>0</v>
      </c>
      <c r="AP84" s="35">
        <f>F65+F67+E68</f>
        <v>0</v>
      </c>
      <c r="AQ84" s="37">
        <f>AO84-AP84</f>
        <v>0</v>
      </c>
      <c r="AR84" s="35" t="s">
        <v>71</v>
      </c>
      <c r="AS84" s="35">
        <f>IF(ISBLANK(E65),0,IF(E65&gt;F65,3,IF(E65=F65,1,0)))</f>
        <v>0</v>
      </c>
      <c r="AT84" s="35">
        <f>IF(ISBLANK(E67),0,IF(E67&gt;F67,3,IF(E67=F67,1,0)))</f>
        <v>0</v>
      </c>
      <c r="AU84" s="35">
        <f>IF(ISBLANK(F68),0,IF(F68&gt;E68,3,IF(F68=E68,1,0)))</f>
        <v>0</v>
      </c>
      <c r="AV84" s="36" t="s">
        <v>71</v>
      </c>
      <c r="AW84" s="35" t="b">
        <f>(10*(AQ84-AQ85)+AO84-AO85&gt;0)</f>
        <v>0</v>
      </c>
      <c r="AX84" s="35" t="b">
        <f>10*(AQ84-AQ86)+AO84-AO86&gt;0</f>
        <v>0</v>
      </c>
      <c r="AY84" s="37" t="b">
        <f>10*(AQ84-AQ87)+AO84-AO87&gt;0</f>
        <v>0</v>
      </c>
      <c r="AZ84" s="36">
        <f>10000*(AS84+AT84)+(E67-F67+E65-F65)*100+(E67+E65)</f>
        <v>0</v>
      </c>
      <c r="BA84" s="35">
        <f>10000*(AS84+AU84)+(E65-F65+F68-E68)*100+(E65+F68)</f>
        <v>0</v>
      </c>
      <c r="BB84" s="35">
        <f>10000*(AT84+AU84)+(F68-E68+E67-F67)*100+(F68+E67)</f>
        <v>0</v>
      </c>
      <c r="BC84" s="37" t="s">
        <v>71</v>
      </c>
      <c r="BD84" s="36" t="s">
        <v>71</v>
      </c>
      <c r="BE84" s="38">
        <f>IF($AN84&gt;$AN85,-0.5,IF($AN85&gt;$AN84,0.5,IF(AW84,-0.5,IF(AV85,0.5,BU84))))</f>
        <v>0</v>
      </c>
      <c r="BF84" s="38">
        <f>IF($AN84&gt;$AN86,-0.5,IF($AN86&gt;$AN84,0.5,IF(AX84,-0.5,IF(AV86,0.5,BV84))))</f>
        <v>0</v>
      </c>
      <c r="BG84" s="39">
        <f>IF($AN84&gt;$AN87,-0.5,IF($AN87&gt;$AN84,0.5,IF(AY84,-0.5,IF(AV87,0.5,BW84))))</f>
        <v>0</v>
      </c>
      <c r="BH84" s="40" t="b">
        <f>AND(AND(AN84=AN85,AN85=AN86,AN86=AN87),AND(AO84=AO85,AO85=AO86,AO86=AO87),AND(AP84=AP85,AP85=AP86,AP86=AP87))</f>
        <v>1</v>
      </c>
      <c r="BI84" s="40" t="b">
        <f>AND(NOT(BH84),AN84=AN85,AN84=AN86,AO84=AO85,AO84=AO86,AP84=AP85,AP84=AP86)</f>
        <v>0</v>
      </c>
      <c r="BJ84" s="40" t="b">
        <f>AND(NOT(BH84),AN84=AN85,AN84=AN87,AO84=AO85,AO84=AO87,AP84=AP85,AP84=AP87)</f>
        <v>0</v>
      </c>
      <c r="BK84" s="40" t="b">
        <f>AND(NOT(BH84),AN84=AN86,AN84=AN87,AO84=AO86,AO84=AO87,AP84=AP86,AP84=AP87)</f>
        <v>0</v>
      </c>
      <c r="BL84" s="40" t="b">
        <f>AND(NOT(BH84),AN85=AN86,AN85=AN87,AO85=AO86,AO85=AO87,AP85=AP86,AP85=AP87)</f>
        <v>0</v>
      </c>
      <c r="BM84" s="40" t="b">
        <f>AND(NOT(BH84),NOT(BI84),NOT(BJ84),AN84=AN85,AO84=AO85,AP84=AP85)</f>
        <v>0</v>
      </c>
      <c r="BN84" s="40" t="b">
        <f>AND(NOT(BH84),NOT(BI84),NOT(BK84),AN84=AN86,AO84=AO86,AP84=AP86)</f>
        <v>0</v>
      </c>
      <c r="BO84" s="40" t="b">
        <f>AND(NOT(BH84),NOT(BJ84),NOT(BK84),AN84=AN87,AO84=AO87,AP84=AP87)</f>
        <v>0</v>
      </c>
      <c r="BP84" s="40" t="b">
        <f>AND(NOT(BH84),NOT(BI84),NOT(BL84),AN85=AN86,AO85=AO86)</f>
        <v>0</v>
      </c>
      <c r="BQ84" s="40" t="b">
        <f>AND(NOT(BH84),NOT(BJ84),NOT(BL84),AN85=AN87,AO85=AO87,AP85=AP87)</f>
        <v>0</v>
      </c>
      <c r="BR84" s="40" t="b">
        <f>AND(NOT(BH84),NOT(BK84),NOT(BL84),AN86=AN87,AO86=AO87,AP86=AP87)</f>
        <v>0</v>
      </c>
      <c r="BS84" s="40" t="b">
        <f t="array" ref="BS84">AND(NOT(BH84:BR84))</f>
        <v>0</v>
      </c>
      <c r="BT84" s="36" t="s">
        <v>71</v>
      </c>
      <c r="BU84" s="35">
        <f>IF($BM84,IF(F65-E65&lt;0,-0.5,IF(E65-F65&lt;0,0.5,0)),IF($BI84,IF($AZ84&gt;$AZ85,-0.5,IF($AZ84&lt;$AZ85,0.5,0)),IF($BJ84,IF($BA84&gt;$BA85,-0.5, IF($BA84&lt;$BA85,0.5,0)),0)))</f>
        <v>0</v>
      </c>
      <c r="BV84" s="35">
        <f>IF($BN84,IF(F67-E67&lt;0,-0.5,IF(E67-F67&lt;0,0.5,0)),IF($BI84,IF($AZ84&gt;$AZ86,-0.5,IF($AZ84&lt;$AZ86,0.5,0)),IF($BK84,IF($BB84&gt;$BB86,-0.5,IF($BB84&lt;$BB86,0.5,0)),0)))</f>
        <v>0</v>
      </c>
      <c r="BW84" s="37">
        <f>IF($BO84,IF(E68-F68&lt;0,-0.5,IF(F68-E68&lt;0,0.5,0)),IF($BJ84,IF($BA84&gt;$BA87,-0.5,IF($BA84&lt;$BA87,0.5,0)),IF($BK84,IF($BB84&gt;$BB87,-0.5, IF($BB84&lt;$BB87,0.5,0)),0)))</f>
        <v>0</v>
      </c>
    </row>
    <row r="85" spans="15:76" ht="14.25" customHeight="1" x14ac:dyDescent="0.2">
      <c r="O85" s="13"/>
      <c r="P85" s="13"/>
      <c r="Q85" s="13"/>
      <c r="R85" s="13"/>
      <c r="X85" s="13"/>
      <c r="Y85" s="13"/>
      <c r="Z85" s="13"/>
      <c r="AA85" s="13"/>
      <c r="AB85" s="13"/>
      <c r="AC85" s="13"/>
      <c r="AI85" s="30">
        <f>IF(ROUND(AK85,0)=ROUND(AK84,0),AI84,2)</f>
        <v>1</v>
      </c>
      <c r="AJ85" s="31">
        <f>ROUND(AK85,0)</f>
        <v>2</v>
      </c>
      <c r="AK85" s="32">
        <f>MAX(MIN(AL84:AL86),MIN(AL84,AL85,AL87),MIN(AL84,AL86,AL87),MIN(AL85:AL87))</f>
        <v>2.46</v>
      </c>
      <c r="AL85" s="41">
        <f>SUM(BD85:BG85)+2.46</f>
        <v>2.46</v>
      </c>
      <c r="AM85" s="34" t="str">
        <f>G65</f>
        <v>Ghana</v>
      </c>
      <c r="AN85" s="35">
        <f>SUM(AR85:AU85)</f>
        <v>0</v>
      </c>
      <c r="AO85" s="36">
        <f>F65+F66+E69</f>
        <v>0</v>
      </c>
      <c r="AP85" s="35">
        <f>E65+E66+F69</f>
        <v>0</v>
      </c>
      <c r="AQ85" s="37">
        <f>AO85-AP85</f>
        <v>0</v>
      </c>
      <c r="AR85" s="35">
        <f>IF(ISBLANK(F65),0,IF(AS84=3,0,IF(AS84=1,1,3)))</f>
        <v>0</v>
      </c>
      <c r="AS85" s="35" t="s">
        <v>71</v>
      </c>
      <c r="AT85" s="35">
        <f>IF(ISBLANK(E69),0,IF(AS86=3,0,IF(AS86=1,1,3)))</f>
        <v>0</v>
      </c>
      <c r="AU85" s="35">
        <f>IF(ISBLANK(F66),0,IF(F66&gt;E66,3,IF(F66=E66,1,0)))</f>
        <v>0</v>
      </c>
      <c r="AV85" s="36" t="b">
        <f>(10*(AQ84-AQ85)+AO84-AO85&lt;0)</f>
        <v>0</v>
      </c>
      <c r="AW85" s="35" t="s">
        <v>71</v>
      </c>
      <c r="AX85" s="35" t="b">
        <f>10*(AQ85-AQ86)+AO85-AO86&gt;0</f>
        <v>0</v>
      </c>
      <c r="AY85" s="37" t="b">
        <f>10*(AQ85-AQ87)+AO85-AO87&gt;0</f>
        <v>0</v>
      </c>
      <c r="AZ85" s="36">
        <f>10000*(AR85+AT85)+(F65-E65+E69-F69)*100+(F65+E69)</f>
        <v>0</v>
      </c>
      <c r="BA85" s="35">
        <f>10000*(AR85+AU85)+(F65-E65+F66-E66)*100+(F65+F66)</f>
        <v>0</v>
      </c>
      <c r="BB85" s="35" t="s">
        <v>71</v>
      </c>
      <c r="BC85" s="37">
        <f>10000*(AT85+AU85)+(F66-E66+E69-F69)*100+(F66+E69)</f>
        <v>0</v>
      </c>
      <c r="BD85" s="42">
        <f>-BE84</f>
        <v>0</v>
      </c>
      <c r="BE85" s="35" t="s">
        <v>71</v>
      </c>
      <c r="BF85" s="38">
        <f>IF($AN85&gt;$AN86,-0.5,IF($AN86&gt;$AN85,0.5,IF(AX85,-0.5,IF(AW86,0.5,BV85))))</f>
        <v>0</v>
      </c>
      <c r="BG85" s="39">
        <f>IF($AN85&gt;$AN87,-0.5,IF($AN87&gt;$AN85,0.5,IF(AY85,-0.5,IF(AW87,0.5,BW85))))</f>
        <v>0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36"/>
      <c r="BU85" s="35" t="s">
        <v>71</v>
      </c>
      <c r="BV85" s="35">
        <f>IF($BP84,IF(F69-E69&lt;0,-0.5,IF(E69-F69&lt;0,0.5,0)),IF($BI84,IF($AZ85&gt;$AZ86,-0.5,IF($AZ85&lt;$AZ86,0.5,0)),IF($BL84,IF($BC85&gt;$BC86,-0.5,IF($BC85&lt;$BC86,0.5,0)),0)))</f>
        <v>0</v>
      </c>
      <c r="BW85" s="37">
        <f>IF($BQ84,IF(E66-F66&lt;0,-0.5,IF(F66-E66&lt;0,0.5,0)),IF($BJ84,IF($BA85&gt;$BA87,-0.5,IF($BA85&lt;$BA87,0.5,0)),IF($BL84,IF($BC85&gt;$BC87,-0.5,IF($BC85&lt;$BC87,0.5,0)),0)))</f>
        <v>0</v>
      </c>
    </row>
    <row r="86" spans="15:76" ht="14.25" customHeight="1" x14ac:dyDescent="0.2">
      <c r="O86" s="13"/>
      <c r="P86" s="13"/>
      <c r="Q86" s="13"/>
      <c r="R86" s="13"/>
      <c r="X86" s="13"/>
      <c r="Y86" s="13"/>
      <c r="Z86" s="13"/>
      <c r="AA86" s="13"/>
      <c r="AB86" s="13"/>
      <c r="AC86" s="13"/>
      <c r="AI86" s="30">
        <f>IF(ROUND(AK86,0)=ROUND(AK85,0),AI85,3)</f>
        <v>1</v>
      </c>
      <c r="AJ86" s="31">
        <f>ROUND(AK86,0)</f>
        <v>2</v>
      </c>
      <c r="AK86" s="32">
        <f>MIN(MAX(AL84:AL86),MAX(AL84,AL85,AL87),MAX(AL84,AL86,AL87),MAX(AL85:AL87))</f>
        <v>2.4700000000000002</v>
      </c>
      <c r="AL86" s="41">
        <f>SUM(BD86:BG86)+2.47</f>
        <v>2.4700000000000002</v>
      </c>
      <c r="AM86" s="34" t="str">
        <f>D64</f>
        <v>Uruguay</v>
      </c>
      <c r="AN86" s="35">
        <f>SUM(AR86:AU86)</f>
        <v>0</v>
      </c>
      <c r="AO86" s="36">
        <f>E64+F67+F69</f>
        <v>0</v>
      </c>
      <c r="AP86" s="35">
        <f>F64+E67+E69</f>
        <v>0</v>
      </c>
      <c r="AQ86" s="37">
        <f>AO86-AP86</f>
        <v>0</v>
      </c>
      <c r="AR86" s="35">
        <f>IF(ISBLANK(F67),0,IF(AT84=3,0,IF(AT84=1,1,3)))</f>
        <v>0</v>
      </c>
      <c r="AS86" s="35">
        <f>IF(ISBLANK(F69),0,IF(F69&gt;E69,3,IF(F69=E69,1,0)))</f>
        <v>0</v>
      </c>
      <c r="AT86" s="35" t="s">
        <v>71</v>
      </c>
      <c r="AU86" s="35">
        <f>IF(ISBLANK(E64),0,IF(E64&gt;F64,3,IF(E64=F64,1,0)))</f>
        <v>0</v>
      </c>
      <c r="AV86" s="36" t="b">
        <f>10*(AQ84-AQ86)+AO84-AO86&lt;0</f>
        <v>0</v>
      </c>
      <c r="AW86" s="35" t="b">
        <f>10*(AQ85-AQ86)+AO85-AO86&lt;0</f>
        <v>0</v>
      </c>
      <c r="AX86" s="35" t="s">
        <v>71</v>
      </c>
      <c r="AY86" s="37" t="b">
        <f>10*(AQ86-AQ87)+AO86-AO87&gt;0</f>
        <v>0</v>
      </c>
      <c r="AZ86" s="36">
        <f>10000*(AR86+AS86)+(F67-E67+F69-E69)*100+(F67+F69)</f>
        <v>0</v>
      </c>
      <c r="BA86" s="35" t="s">
        <v>71</v>
      </c>
      <c r="BB86" s="35">
        <f>10000*(AR86+AU86)+(E64-F64+F67-E67)*100+(E64+F67)</f>
        <v>0</v>
      </c>
      <c r="BC86" s="37">
        <f>10000*(AS86+AU86)+(E64-F64+F69-E69)*100+(E64+F69)</f>
        <v>0</v>
      </c>
      <c r="BD86" s="42">
        <f>-BF84</f>
        <v>0</v>
      </c>
      <c r="BE86" s="38">
        <f>-BF85</f>
        <v>0</v>
      </c>
      <c r="BF86" s="38" t="s">
        <v>71</v>
      </c>
      <c r="BG86" s="39">
        <f>IF($AN86&gt;$AN87,-0.5,IF($AN87&gt;$AN86,0.5,IF(AY86,-0.5,IF(AX87,0.5,BW86))))</f>
        <v>0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36"/>
      <c r="BU86" s="35"/>
      <c r="BV86" s="35" t="s">
        <v>71</v>
      </c>
      <c r="BW86" s="37">
        <f>IF($BR84,IF(F64-E64&lt;0,-0.5,IF(E64-F64&lt;0,0.5,0)),IF($BK84,IF($BB86&gt;$BB87,-0.5,IF($BB86&lt;$BB87,0.5,0)),IF($BL84,IF($BC86&gt;$BC87,-0.5,IF($BC86&lt;$BC87,0.5,0)),0)))</f>
        <v>0</v>
      </c>
    </row>
    <row r="87" spans="15:76" ht="14.25" customHeight="1" x14ac:dyDescent="0.2">
      <c r="O87" s="13"/>
      <c r="P87" s="13"/>
      <c r="Q87" s="13"/>
      <c r="R87" s="13"/>
      <c r="X87" s="13"/>
      <c r="Y87" s="13"/>
      <c r="Z87" s="13"/>
      <c r="AA87" s="13"/>
      <c r="AB87" s="13"/>
      <c r="AC87" s="13"/>
      <c r="AI87" s="30">
        <f>IF(ROUND(AK87,0)=ROUND(AK86,0),AI86,4)</f>
        <v>1</v>
      </c>
      <c r="AJ87" s="31">
        <f>ROUND(AK87,0)</f>
        <v>2</v>
      </c>
      <c r="AK87" s="32">
        <f>MAX(AL84:AL87)</f>
        <v>2.48</v>
      </c>
      <c r="AL87" s="43">
        <f>SUM(BD87:BG87)+2.48</f>
        <v>2.48</v>
      </c>
      <c r="AM87" s="44" t="str">
        <f>G64</f>
        <v>Corée du sud</v>
      </c>
      <c r="AN87" s="40">
        <f>SUM(AR87:AU87)</f>
        <v>0</v>
      </c>
      <c r="AO87" s="45">
        <f>F64+E66+E68</f>
        <v>0</v>
      </c>
      <c r="AP87" s="40">
        <f>E64+F66+F68</f>
        <v>0</v>
      </c>
      <c r="AQ87" s="46">
        <f>AO87-AP87</f>
        <v>0</v>
      </c>
      <c r="AR87" s="40">
        <f>IF(ISBLANK(E68),0,IF(AU84=3,0,IF(AU84=1,1,3)))</f>
        <v>0</v>
      </c>
      <c r="AS87" s="40">
        <f>IF(ISBLANK(E66),0,IF(AU85=3,0,IF(AU85=1,1,3)))</f>
        <v>0</v>
      </c>
      <c r="AT87" s="40">
        <f>IF(ISBLANK(F64),0,IF(AU86=3,0,IF(AU86=1,1,3)))</f>
        <v>0</v>
      </c>
      <c r="AU87" s="40" t="s">
        <v>71</v>
      </c>
      <c r="AV87" s="45" t="b">
        <f>10*(AQ84-AQ87)+AO84-AO87&lt;0</f>
        <v>0</v>
      </c>
      <c r="AW87" s="40" t="b">
        <f>10*(AQ85-AQ87)+AO85-AO87&lt;0</f>
        <v>0</v>
      </c>
      <c r="AX87" s="40" t="b">
        <f>10*(AQ86-AQ87)+AO86-AO87&lt;0</f>
        <v>0</v>
      </c>
      <c r="AY87" s="46" t="s">
        <v>71</v>
      </c>
      <c r="AZ87" s="45" t="s">
        <v>71</v>
      </c>
      <c r="BA87" s="40">
        <f>10000*(AR87+AS87)+(E66-F66+E68-F68)*100+(E66+E68)</f>
        <v>0</v>
      </c>
      <c r="BB87" s="40">
        <f>10000*(AR87+AT87)+(E68-F68+F64-E64)*100+(E68+F64)</f>
        <v>0</v>
      </c>
      <c r="BC87" s="46">
        <f>10000*(AS87+AT87)+(E66-F66+F64-E64)*100+(E66+F64)</f>
        <v>0</v>
      </c>
      <c r="BD87" s="47">
        <f>-BG84</f>
        <v>0</v>
      </c>
      <c r="BE87" s="48">
        <f>-BG85</f>
        <v>0</v>
      </c>
      <c r="BF87" s="48">
        <f>-BG86</f>
        <v>0</v>
      </c>
      <c r="BG87" s="46" t="s">
        <v>71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45"/>
      <c r="BU87" s="40"/>
      <c r="BV87" s="40"/>
      <c r="BW87" s="46" t="s">
        <v>71</v>
      </c>
    </row>
    <row r="88" spans="15:76" ht="14.25" customHeight="1" x14ac:dyDescent="0.2">
      <c r="O88" s="13"/>
      <c r="P88" s="13"/>
      <c r="Q88" s="13"/>
      <c r="R88" s="13"/>
      <c r="X88" s="13"/>
      <c r="Y88" s="13"/>
      <c r="Z88" s="13"/>
      <c r="AA88" s="13"/>
      <c r="AB88" s="13"/>
      <c r="AC88" s="13"/>
    </row>
  </sheetData>
  <sheetProtection algorithmName="SHA-512" hashValue="LBoPtiTMegnEzbo1sg86SBD68rFyLkmG6p28M//B8y2qrXQzEJMjRl8KObM7lnzYA1F3jSJwJPSTIHEX+BYAWw==" saltValue="TnkpEeu0TiGRo6qK9+Ytyw==" spinCount="100000" sheet="1" objects="1" scenarios="1"/>
  <mergeCells count="57">
    <mergeCell ref="B63:G63"/>
    <mergeCell ref="Y73:AC74"/>
    <mergeCell ref="S48:S49"/>
    <mergeCell ref="T48:T49"/>
    <mergeCell ref="S52:T53"/>
    <mergeCell ref="U52:W53"/>
    <mergeCell ref="S57:T58"/>
    <mergeCell ref="U57:W58"/>
    <mergeCell ref="S59:T60"/>
    <mergeCell ref="U59:W60"/>
    <mergeCell ref="B55:G55"/>
    <mergeCell ref="S55:T56"/>
    <mergeCell ref="U55:W56"/>
    <mergeCell ref="W41:W42"/>
    <mergeCell ref="S43:S44"/>
    <mergeCell ref="T43:T44"/>
    <mergeCell ref="S46:V47"/>
    <mergeCell ref="W46:W47"/>
    <mergeCell ref="B47:G47"/>
    <mergeCell ref="S41:V42"/>
    <mergeCell ref="S36:S37"/>
    <mergeCell ref="T36:T37"/>
    <mergeCell ref="S38:S39"/>
    <mergeCell ref="T38:T39"/>
    <mergeCell ref="B39:G39"/>
    <mergeCell ref="S35:V35"/>
    <mergeCell ref="B23:G23"/>
    <mergeCell ref="S25:V25"/>
    <mergeCell ref="S26:S27"/>
    <mergeCell ref="T26:T27"/>
    <mergeCell ref="S28:S29"/>
    <mergeCell ref="T28:T29"/>
    <mergeCell ref="S30:S31"/>
    <mergeCell ref="T30:T31"/>
    <mergeCell ref="B31:G31"/>
    <mergeCell ref="S32:S33"/>
    <mergeCell ref="T32:T33"/>
    <mergeCell ref="S18:S19"/>
    <mergeCell ref="T18:T19"/>
    <mergeCell ref="S20:S21"/>
    <mergeCell ref="T20:T21"/>
    <mergeCell ref="S22:S23"/>
    <mergeCell ref="T22:T23"/>
    <mergeCell ref="S16:S17"/>
    <mergeCell ref="T16:T17"/>
    <mergeCell ref="B3:W4"/>
    <mergeCell ref="B7:G7"/>
    <mergeCell ref="S7:V7"/>
    <mergeCell ref="S8:S9"/>
    <mergeCell ref="T8:T9"/>
    <mergeCell ref="S10:S11"/>
    <mergeCell ref="T10:T11"/>
    <mergeCell ref="S12:S13"/>
    <mergeCell ref="T12:T13"/>
    <mergeCell ref="S14:S15"/>
    <mergeCell ref="T14:T15"/>
    <mergeCell ref="B15:G15"/>
  </mergeCells>
  <conditionalFormatting sqref="U10 U12 U14 U16 U18 U20 U22 U26 U32 U36 U38 U48 U8 U28 U30">
    <cfRule type="expression" dxfId="7" priority="1" stopIfTrue="1">
      <formula>100*$V8+$W8&gt;100*$V9+$W9</formula>
    </cfRule>
  </conditionalFormatting>
  <conditionalFormatting sqref="U11 U13 U15 U17 U19 U21 U23 U33 U37 U9 U27 U31 U29 U49:U50 U39:U40">
    <cfRule type="expression" dxfId="6" priority="2" stopIfTrue="1">
      <formula>100*$V9+$W9&gt;100*$V8+$W8</formula>
    </cfRule>
  </conditionalFormatting>
  <conditionalFormatting sqref="J34:N34 J42:N42 J10:N10 J26:N26 J18:N18 J58:N58 J66:N66 J50:N50">
    <cfRule type="expression" dxfId="5" priority="3" stopIfTrue="1">
      <formula>OR($I10&lt;3)</formula>
    </cfRule>
  </conditionalFormatting>
  <conditionalFormatting sqref="J35:N35 J43:N43 J11:N11 J19:N19 J51:N51 J59:N59 J67:N67 J27:N27">
    <cfRule type="expression" dxfId="4" priority="4" stopIfTrue="1">
      <formula>$I11&lt;3</formula>
    </cfRule>
  </conditionalFormatting>
  <conditionalFormatting sqref="U52 U55 U57 U59">
    <cfRule type="cellIs" dxfId="3" priority="5" stopIfTrue="1" operator="notEqual">
      <formula>"-"</formula>
    </cfRule>
  </conditionalFormatting>
  <conditionalFormatting sqref="U51">
    <cfRule type="expression" dxfId="2" priority="6" stopIfTrue="1">
      <formula>100*$V51+$W51&gt;100*$V49+$W49</formula>
    </cfRule>
  </conditionalFormatting>
  <conditionalFormatting sqref="U43">
    <cfRule type="expression" dxfId="1" priority="7" stopIfTrue="1">
      <formula>100*$V43+$W43&gt;100*$V44+$W44</formula>
    </cfRule>
  </conditionalFormatting>
  <conditionalFormatting sqref="U44">
    <cfRule type="expression" dxfId="0" priority="8" stopIfTrue="1">
      <formula>100*$V44+$W44&gt;100*$V43+$W43</formula>
    </cfRule>
  </conditionalFormatting>
  <hyperlinks>
    <hyperlink ref="B3:W4" r:id="rId1" display="Pronostiquez sur la Coupe du monde 2022 !" xr:uid="{2C9BF49E-FDF4-48CC-BEDF-56477A5FCF13}"/>
    <hyperlink ref="U2" r:id="rId2" display="coupedumonde2022.net" xr:uid="{33A699A1-6B34-401C-8C62-74A9F18C077E}"/>
  </hyperlinks>
  <pageMargins left="0.23622047244094491" right="0.23622047244094491" top="0.74803149606299213" bottom="0.74803149606299213" header="0.31496062992125984" footer="0.31496062992125984"/>
  <pageSetup paperSize="8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Entrez vos résultats !</vt:lpstr>
      <vt:lpstr>'Entrez vos résultats !'!Zone_d_impression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ROUQUIER</cp:lastModifiedBy>
  <cp:lastPrinted>2022-05-27T20:16:59Z</cp:lastPrinted>
  <dcterms:created xsi:type="dcterms:W3CDTF">2018-04-25T15:51:00Z</dcterms:created>
  <dcterms:modified xsi:type="dcterms:W3CDTF">2022-05-27T21:45:20Z</dcterms:modified>
</cp:coreProperties>
</file>