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test\"/>
    </mc:Choice>
  </mc:AlternateContent>
  <xr:revisionPtr revIDLastSave="0" documentId="13_ncr:1_{CEAF95F5-F474-4753-88C3-E259BAC6AB46}" xr6:coauthVersionLast="47" xr6:coauthVersionMax="47" xr10:uidLastSave="{00000000-0000-0000-0000-000000000000}"/>
  <bookViews>
    <workbookView xWindow="-108" yWindow="-108" windowWidth="23256" windowHeight="12576" activeTab="8" xr2:uid="{03733E59-DD11-4B7D-B56B-AB0297CD995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definedNames>
    <definedName name="_xlnm._FilterDatabase" localSheetId="2" hidden="1">Sheet3!$A$6:$G$12</definedName>
    <definedName name="_xlnm._FilterDatabase" localSheetId="6" hidden="1">Sheet7!$A$5:$I$11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9" l="1"/>
  <c r="H21" i="9"/>
  <c r="G21" i="9"/>
  <c r="G22" i="9"/>
  <c r="J7" i="9"/>
  <c r="J8" i="9"/>
  <c r="J9" i="9"/>
  <c r="J10" i="9"/>
  <c r="J11" i="9"/>
  <c r="J6" i="9"/>
  <c r="I7" i="9"/>
  <c r="I8" i="9"/>
  <c r="I9" i="9"/>
  <c r="I10" i="9"/>
  <c r="I11" i="9"/>
  <c r="I6" i="9"/>
  <c r="H7" i="9"/>
  <c r="H8" i="9"/>
  <c r="H9" i="9"/>
  <c r="H10" i="9"/>
  <c r="H11" i="9"/>
  <c r="H6" i="9"/>
  <c r="G7" i="9"/>
  <c r="G8" i="9"/>
  <c r="G9" i="9"/>
  <c r="G10" i="9"/>
  <c r="G11" i="9"/>
  <c r="G6" i="9"/>
  <c r="F7" i="9"/>
  <c r="F8" i="9"/>
  <c r="F9" i="9"/>
  <c r="F10" i="9"/>
  <c r="F11" i="9"/>
  <c r="F6" i="9"/>
  <c r="D7" i="9"/>
  <c r="D8" i="9"/>
  <c r="D9" i="9"/>
  <c r="D10" i="9"/>
  <c r="D11" i="9"/>
  <c r="D6" i="9"/>
  <c r="C7" i="9"/>
  <c r="C8" i="9"/>
  <c r="C9" i="9"/>
  <c r="C10" i="9"/>
  <c r="C11" i="9"/>
  <c r="C6" i="9"/>
  <c r="D7" i="7"/>
  <c r="I7" i="7" s="1"/>
  <c r="D6" i="7"/>
  <c r="I6" i="7" s="1"/>
  <c r="D8" i="7"/>
  <c r="I8" i="7" s="1"/>
  <c r="D10" i="7"/>
  <c r="D9" i="7"/>
  <c r="G9" i="7" s="1"/>
  <c r="H9" i="7" s="1"/>
  <c r="D11" i="7"/>
  <c r="G11" i="7" s="1"/>
  <c r="H11" i="7" s="1"/>
  <c r="C7" i="7"/>
  <c r="C6" i="7"/>
  <c r="C8" i="7"/>
  <c r="C10" i="7"/>
  <c r="C9" i="7"/>
  <c r="C11" i="7"/>
  <c r="E14" i="8"/>
  <c r="E15" i="8"/>
  <c r="E16" i="8"/>
  <c r="E13" i="8"/>
  <c r="H7" i="8"/>
  <c r="H8" i="8"/>
  <c r="H9" i="8"/>
  <c r="H6" i="8"/>
  <c r="E7" i="8"/>
  <c r="E8" i="8"/>
  <c r="E9" i="8"/>
  <c r="G7" i="8"/>
  <c r="G8" i="8"/>
  <c r="G9" i="8"/>
  <c r="G6" i="8"/>
  <c r="E6" i="8"/>
  <c r="D7" i="8"/>
  <c r="D8" i="8"/>
  <c r="D9" i="8"/>
  <c r="D6" i="8"/>
  <c r="J6" i="6"/>
  <c r="J7" i="6"/>
  <c r="J5" i="6"/>
  <c r="I6" i="6"/>
  <c r="I7" i="6"/>
  <c r="I5" i="6"/>
  <c r="F6" i="6"/>
  <c r="F7" i="6"/>
  <c r="F5" i="6"/>
  <c r="B6" i="6"/>
  <c r="B7" i="6"/>
  <c r="B5" i="6"/>
  <c r="D6" i="6"/>
  <c r="D7" i="6"/>
  <c r="D5" i="6"/>
  <c r="G20" i="5"/>
  <c r="G21" i="5"/>
  <c r="G22" i="5"/>
  <c r="G23" i="5"/>
  <c r="G19" i="5"/>
  <c r="G6" i="5"/>
  <c r="G7" i="5"/>
  <c r="G8" i="5"/>
  <c r="G9" i="5"/>
  <c r="G10" i="5"/>
  <c r="G11" i="5"/>
  <c r="G12" i="5"/>
  <c r="G13" i="5"/>
  <c r="F7" i="5"/>
  <c r="F8" i="5"/>
  <c r="F9" i="5"/>
  <c r="F10" i="5"/>
  <c r="F11" i="5"/>
  <c r="F12" i="5"/>
  <c r="F13" i="5"/>
  <c r="E7" i="5"/>
  <c r="E8" i="5"/>
  <c r="E9" i="5"/>
  <c r="E10" i="5"/>
  <c r="E11" i="5"/>
  <c r="E12" i="5"/>
  <c r="E13" i="5"/>
  <c r="E6" i="5"/>
  <c r="F6" i="5" s="1"/>
  <c r="C7" i="5"/>
  <c r="C8" i="5"/>
  <c r="C9" i="5"/>
  <c r="C10" i="5"/>
  <c r="C11" i="5"/>
  <c r="C12" i="5"/>
  <c r="C13" i="5"/>
  <c r="C6" i="5"/>
  <c r="B7" i="5"/>
  <c r="B8" i="5"/>
  <c r="B9" i="5"/>
  <c r="B10" i="5"/>
  <c r="B11" i="5"/>
  <c r="B12" i="5"/>
  <c r="B13" i="5"/>
  <c r="B6" i="5"/>
  <c r="J6" i="4"/>
  <c r="J7" i="4"/>
  <c r="J8" i="4"/>
  <c r="J5" i="4"/>
  <c r="I6" i="4"/>
  <c r="I7" i="4"/>
  <c r="I8" i="4"/>
  <c r="I5" i="4"/>
  <c r="H5" i="4"/>
  <c r="H6" i="4"/>
  <c r="H7" i="4"/>
  <c r="H8" i="4"/>
  <c r="G6" i="4"/>
  <c r="G7" i="4"/>
  <c r="G8" i="4"/>
  <c r="G5" i="4"/>
  <c r="D5" i="4"/>
  <c r="D6" i="4"/>
  <c r="D7" i="4"/>
  <c r="D8" i="4"/>
  <c r="C12" i="3"/>
  <c r="C7" i="3"/>
  <c r="F7" i="3" s="1"/>
  <c r="C11" i="3"/>
  <c r="F11" i="3" s="1"/>
  <c r="C10" i="3"/>
  <c r="C9" i="3"/>
  <c r="C8" i="3"/>
  <c r="F8" i="3" s="1"/>
  <c r="G8" i="3" s="1"/>
  <c r="C6" i="3"/>
  <c r="F6" i="3" s="1"/>
  <c r="E11" i="3"/>
  <c r="E10" i="3"/>
  <c r="E9" i="3"/>
  <c r="E8" i="3"/>
  <c r="E6" i="3"/>
  <c r="E7" i="3"/>
  <c r="E12" i="3"/>
  <c r="G9" i="2"/>
  <c r="G6" i="2"/>
  <c r="G7" i="2"/>
  <c r="G8" i="2"/>
  <c r="G5" i="2"/>
  <c r="E5" i="2"/>
  <c r="E6" i="2"/>
  <c r="E7" i="2"/>
  <c r="E8" i="2"/>
  <c r="F6" i="2"/>
  <c r="F7" i="2"/>
  <c r="F8" i="2"/>
  <c r="F5" i="2"/>
  <c r="D6" i="2"/>
  <c r="D7" i="2"/>
  <c r="D8" i="2"/>
  <c r="D5" i="2"/>
  <c r="B6" i="2"/>
  <c r="B7" i="2"/>
  <c r="B8" i="2"/>
  <c r="B5" i="2"/>
  <c r="J3" i="1"/>
  <c r="H17" i="1"/>
  <c r="I17" i="1"/>
  <c r="J17" i="1"/>
  <c r="G17" i="1"/>
  <c r="H16" i="1"/>
  <c r="I16" i="1"/>
  <c r="J16" i="1"/>
  <c r="G16" i="1"/>
  <c r="G6" i="1"/>
  <c r="G7" i="1"/>
  <c r="G8" i="1"/>
  <c r="G15" i="1" s="1"/>
  <c r="G9" i="1"/>
  <c r="I9" i="1" s="1"/>
  <c r="J9" i="1" s="1"/>
  <c r="G10" i="1"/>
  <c r="G11" i="1"/>
  <c r="G12" i="1"/>
  <c r="I12" i="1" s="1"/>
  <c r="G13" i="1"/>
  <c r="H15" i="1"/>
  <c r="G5" i="1"/>
  <c r="I5" i="1" s="1"/>
  <c r="J5" i="1" s="1"/>
  <c r="H14" i="1"/>
  <c r="H5" i="1"/>
  <c r="H6" i="1"/>
  <c r="I6" i="1" s="1"/>
  <c r="J6" i="1" s="1"/>
  <c r="H7" i="1"/>
  <c r="H8" i="1"/>
  <c r="H9" i="1"/>
  <c r="H10" i="1"/>
  <c r="H11" i="1"/>
  <c r="H12" i="1"/>
  <c r="H13" i="1"/>
  <c r="E11" i="7" l="1"/>
  <c r="G10" i="7"/>
  <c r="H10" i="7" s="1"/>
  <c r="I10" i="7" s="1"/>
  <c r="E9" i="7"/>
  <c r="G8" i="7"/>
  <c r="H8" i="7" s="1"/>
  <c r="I11" i="7"/>
  <c r="E10" i="7"/>
  <c r="G6" i="7"/>
  <c r="H6" i="7" s="1"/>
  <c r="E8" i="7"/>
  <c r="G7" i="7"/>
  <c r="H7" i="7" s="1"/>
  <c r="I9" i="7"/>
  <c r="E6" i="7"/>
  <c r="E7" i="7"/>
  <c r="F12" i="3"/>
  <c r="G6" i="3"/>
  <c r="G11" i="3"/>
  <c r="F10" i="3"/>
  <c r="G10" i="3" s="1"/>
  <c r="G12" i="3"/>
  <c r="F9" i="3"/>
  <c r="G9" i="3"/>
  <c r="G7" i="3"/>
  <c r="J13" i="1"/>
  <c r="I13" i="1"/>
  <c r="G14" i="1"/>
  <c r="J12" i="1"/>
  <c r="I10" i="1"/>
  <c r="J10" i="1" s="1"/>
  <c r="I8" i="1"/>
  <c r="I11" i="1"/>
  <c r="J11" i="1" s="1"/>
  <c r="I7" i="1"/>
  <c r="J7" i="1" s="1"/>
  <c r="I14" i="1" l="1"/>
  <c r="I15" i="1"/>
  <c r="J8" i="1"/>
  <c r="J14" i="1" l="1"/>
  <c r="J15" i="1"/>
</calcChain>
</file>

<file path=xl/sharedStrings.xml><?xml version="1.0" encoding="utf-8"?>
<sst xmlns="http://schemas.openxmlformats.org/spreadsheetml/2006/main" count="380" uniqueCount="271">
  <si>
    <t>Cty TNHH Đại Thái Bình Dương</t>
  </si>
  <si>
    <t>Tháng:</t>
  </si>
  <si>
    <t>S
T
T</t>
  </si>
  <si>
    <t>HỌ</t>
  </si>
  <si>
    <t>TÊN</t>
  </si>
  <si>
    <t>CHỨC VỤ</t>
  </si>
  <si>
    <t xml:space="preserve">LƯƠNG CĂN BẢN </t>
  </si>
  <si>
    <t xml:space="preserve">NGÀY CÔNG </t>
  </si>
  <si>
    <t>PHỤ CẤP CHỨC VỤ</t>
  </si>
  <si>
    <t xml:space="preserve">LƯƠNG </t>
  </si>
  <si>
    <t>TẠM ỨNG</t>
  </si>
  <si>
    <t>CÒN LẠI</t>
  </si>
  <si>
    <t>Trần Thị</t>
  </si>
  <si>
    <t>Yến</t>
  </si>
  <si>
    <t>NV</t>
  </si>
  <si>
    <t xml:space="preserve">Nguyễn </t>
  </si>
  <si>
    <t>Thành</t>
  </si>
  <si>
    <t>BV</t>
  </si>
  <si>
    <t xml:space="preserve">Đoàn </t>
  </si>
  <si>
    <t>An</t>
  </si>
  <si>
    <t>TP</t>
  </si>
  <si>
    <t>Lê</t>
  </si>
  <si>
    <t>Thanh</t>
  </si>
  <si>
    <t xml:space="preserve">Hồ </t>
  </si>
  <si>
    <t>Kim</t>
  </si>
  <si>
    <t>PGĐ</t>
  </si>
  <si>
    <t>Thế</t>
  </si>
  <si>
    <t xml:space="preserve">Nguyễn Văn </t>
  </si>
  <si>
    <t>Sơn</t>
  </si>
  <si>
    <t>KT</t>
  </si>
  <si>
    <t>Nam</t>
  </si>
  <si>
    <t>Hồ Tấn</t>
  </si>
  <si>
    <t>Tài</t>
  </si>
  <si>
    <t>TỔNG CỘNG:</t>
  </si>
  <si>
    <t>TRUNG BÌNH:</t>
  </si>
  <si>
    <t>CAO NHẤT:</t>
  </si>
  <si>
    <t>THẤP NHẤT:</t>
  </si>
  <si>
    <t>GĐ</t>
  </si>
  <si>
    <t>PHIẾU GIAO NHẬN</t>
  </si>
  <si>
    <t>MÃ SP</t>
  </si>
  <si>
    <t>LƯỢNG</t>
  </si>
  <si>
    <t xml:space="preserve">ĐƠN GIÁ </t>
  </si>
  <si>
    <t>THÀNH TIỀN</t>
  </si>
  <si>
    <t>TÊN
 SP</t>
  </si>
  <si>
    <t>TỔNG CỘNG</t>
  </si>
  <si>
    <t>XB01</t>
  </si>
  <si>
    <t>S001</t>
  </si>
  <si>
    <t>T001</t>
  </si>
  <si>
    <t>T002</t>
  </si>
  <si>
    <t>SẢN PHẨM</t>
  </si>
  <si>
    <t>THÀNH 
TIỀN</t>
  </si>
  <si>
    <t>KHUYẾN
 MÃI</t>
  </si>
  <si>
    <t>Tên SP</t>
  </si>
  <si>
    <t>Đơn giá</t>
  </si>
  <si>
    <t>Tổng cộng:</t>
  </si>
  <si>
    <t>Xà bông LifeBoy</t>
  </si>
  <si>
    <t>Nước</t>
  </si>
  <si>
    <t>Súp Knor</t>
  </si>
  <si>
    <t>Thực phẩm</t>
  </si>
  <si>
    <t>BẢNG CHI PHÍ VẬN CHUYỂN</t>
  </si>
  <si>
    <t>CHỦ HÀNG</t>
  </si>
  <si>
    <t>LOẠI HÀNG</t>
  </si>
  <si>
    <t>ĐỊNH MỨC</t>
  </si>
  <si>
    <t>TRỌNG LƯỢNG</t>
  </si>
  <si>
    <t>GIÁ CƯỚC</t>
  </si>
  <si>
    <t>TIỀN PHẠT</t>
  </si>
  <si>
    <t>THÀNH TIỀN
(VN)</t>
  </si>
  <si>
    <t>Tỷ giá USD:</t>
  </si>
  <si>
    <t>Cty E</t>
  </si>
  <si>
    <t>A</t>
  </si>
  <si>
    <t>DNTN D</t>
  </si>
  <si>
    <t>B</t>
  </si>
  <si>
    <t>Cty G</t>
  </si>
  <si>
    <t>Tổ hợp C</t>
  </si>
  <si>
    <t>Cty A</t>
  </si>
  <si>
    <t>XN B</t>
  </si>
  <si>
    <t>XN F</t>
  </si>
  <si>
    <t>C</t>
  </si>
  <si>
    <t>BẢNG ĐỊNH MỨC VÀ GIÁ CƯỚC</t>
  </si>
  <si>
    <t>D</t>
  </si>
  <si>
    <t xml:space="preserve">  </t>
  </si>
  <si>
    <t>BẢNG KẾT QUẢ TUYỂN SINH</t>
  </si>
  <si>
    <t>SỐ 
TT</t>
  </si>
  <si>
    <t>HỌ VÀ TÊN</t>
  </si>
  <si>
    <t>MÃ SỐ NGÀNH ƯU TIÊN</t>
  </si>
  <si>
    <t>TÊN NGÀNH</t>
  </si>
  <si>
    <t>TOÁN</t>
  </si>
  <si>
    <t>LÝ</t>
  </si>
  <si>
    <t>CỘNG ĐIỂM</t>
  </si>
  <si>
    <t>ĐIỂM ƯU TIÊN</t>
  </si>
  <si>
    <t>KẾT QUẢ</t>
  </si>
  <si>
    <t>Lê Văn Bình</t>
  </si>
  <si>
    <t>A1</t>
  </si>
  <si>
    <t>Trần Thị Cơ</t>
  </si>
  <si>
    <t>B3</t>
  </si>
  <si>
    <t>Lý Thị Loan</t>
  </si>
  <si>
    <t>C2</t>
  </si>
  <si>
    <t>Trần Hoàng Thái</t>
  </si>
  <si>
    <t>C4</t>
  </si>
  <si>
    <t>NGÀNH HỌC</t>
  </si>
  <si>
    <t>Mã ngành</t>
  </si>
  <si>
    <t>Tên ngành</t>
  </si>
  <si>
    <t>Tin học</t>
  </si>
  <si>
    <t>Lý</t>
  </si>
  <si>
    <t>Hóa</t>
  </si>
  <si>
    <t>Mã 
ưu tiên</t>
  </si>
  <si>
    <t>Điểm</t>
  </si>
  <si>
    <t>BÁO CÁO BÁN HÀNG</t>
  </si>
  <si>
    <t>MÃ MH</t>
  </si>
  <si>
    <t>MẶT HÀNG</t>
  </si>
  <si>
    <t>ĐƠN GIÁ</t>
  </si>
  <si>
    <t>SỐ LƯỢNG</t>
  </si>
  <si>
    <t>PHÍ CHUYỂN CHỞ</t>
  </si>
  <si>
    <t>HD1</t>
  </si>
  <si>
    <t>FD</t>
  </si>
  <si>
    <t>FD1</t>
  </si>
  <si>
    <t>MS1</t>
  </si>
  <si>
    <t>SD1</t>
  </si>
  <si>
    <t>DD1</t>
  </si>
  <si>
    <t>HD2</t>
  </si>
  <si>
    <t>MS2</t>
  </si>
  <si>
    <t>DD2</t>
  </si>
  <si>
    <t>HD</t>
  </si>
  <si>
    <t>MS</t>
  </si>
  <si>
    <t>SD</t>
  </si>
  <si>
    <t>DD</t>
  </si>
  <si>
    <t>Đĩa cứng</t>
  </si>
  <si>
    <t>Đĩa mềm</t>
  </si>
  <si>
    <t>Mouse</t>
  </si>
  <si>
    <t>SD Ram</t>
  </si>
  <si>
    <t>DD Ram</t>
  </si>
  <si>
    <t>BẢNG THỐNG KÊ</t>
  </si>
  <si>
    <t>Số lượng đã bán</t>
  </si>
  <si>
    <t>BÁO CÁO THUẾ THÁNG 1</t>
  </si>
  <si>
    <t>Số ĐKKD</t>
  </si>
  <si>
    <t>Tên chợ</t>
  </si>
  <si>
    <t>Mã hàng</t>
  </si>
  <si>
    <t>Tên mặt hàng</t>
  </si>
  <si>
    <t>Vốn KD</t>
  </si>
  <si>
    <t>Tiền thuế</t>
  </si>
  <si>
    <t>Ngày đóng thực tế</t>
  </si>
  <si>
    <t>Tiền phạt</t>
  </si>
  <si>
    <t>Tiền phải nộp</t>
  </si>
  <si>
    <t>001/DK</t>
  </si>
  <si>
    <t>001/BT</t>
  </si>
  <si>
    <t>002/BC</t>
  </si>
  <si>
    <t>VKT</t>
  </si>
  <si>
    <t>QA</t>
  </si>
  <si>
    <t>Ngày hết hạn 
đóng thuế</t>
  </si>
  <si>
    <t>01/01/2018</t>
  </si>
  <si>
    <t>Bảng 1</t>
  </si>
  <si>
    <t>Bảng 2</t>
  </si>
  <si>
    <t>Mã
hàng</t>
  </si>
  <si>
    <t>Tên hàng</t>
  </si>
  <si>
    <t>Thuế %</t>
  </si>
  <si>
    <t>Vải Kate</t>
  </si>
  <si>
    <t>Quần áo</t>
  </si>
  <si>
    <t>01/15/2018</t>
  </si>
  <si>
    <t>01/13/2018</t>
  </si>
  <si>
    <t>01/19/2018</t>
  </si>
  <si>
    <t>BÀI THỰC HÀNH EXCEL SỐ 12</t>
  </si>
  <si>
    <t>1) Nhập và định dạng dữ liệu như bảng tính sau:</t>
  </si>
  <si>
    <t>BẢNG KÊ CHI TIẾT ĐẠI LÝ BƯU ĐIỆN TRONG NGÀY</t>
  </si>
  <si>
    <t>NGÀY</t>
  </si>
  <si>
    <t>BẮT ĐẦU</t>
  </si>
  <si>
    <t>KẾT THÚC</t>
  </si>
  <si>
    <t>SỐ GIỜ</t>
  </si>
  <si>
    <t>SỐ PHÚT</t>
  </si>
  <si>
    <t>TỈNH</t>
  </si>
  <si>
    <t>TIỀN</t>
  </si>
  <si>
    <t>BDG</t>
  </si>
  <si>
    <t>DTP</t>
  </si>
  <si>
    <t>AGG</t>
  </si>
  <si>
    <t>Tỉnh</t>
  </si>
  <si>
    <t>Số cuộc gọi từng tỉnh:</t>
  </si>
  <si>
    <t>AG</t>
  </si>
  <si>
    <t>BD</t>
  </si>
  <si>
    <t>HNI</t>
  </si>
  <si>
    <t>Yêu cầu tính toán:</t>
  </si>
  <si>
    <t>1) SỐ GiỜ = KẾT THÚC - BẮT ĐẦU.</t>
  </si>
  <si>
    <t>2) SỐ PHÚT = GIỜ * 60 + PHÚT + GIÂY/60, với GIỜ, PHÚT, GIÂY là các giá trị giờ, phút, giây
    ở ô SỐ GIỜ tương ứng. Định dạng với 2 số lẻ.</t>
  </si>
  <si>
    <t>3) ĐƠN GIÁ: Căn cứ vào TỈNH, tra cứu trong bảng ĐƠN GIÁ.</t>
  </si>
  <si>
    <t>4) TIỀN = SỐ PHÚT * ĐƠN GIÁ.</t>
  </si>
  <si>
    <t>5) Thống kê số cuộc gọi như BẢNG THỐNG KÊ trên.</t>
  </si>
  <si>
    <r>
      <t xml:space="preserve">6) Trang trí cho bảng tính và lưu lại với tên </t>
    </r>
    <r>
      <rPr>
        <b/>
        <sz val="12"/>
        <rFont val="Times New Roman"/>
        <family val="1"/>
      </rPr>
      <t>Bai12.xls</t>
    </r>
  </si>
  <si>
    <t>QUẢN LÝ KHO HÀNG</t>
  </si>
  <si>
    <t>Link video:</t>
  </si>
  <si>
    <t>https://www.youtube.com/watch?v=tNNyUow2mhg</t>
  </si>
  <si>
    <t>Ngày</t>
  </si>
  <si>
    <t>Chứng từ</t>
  </si>
  <si>
    <t>Tên Vật
Tư</t>
  </si>
  <si>
    <t>Hình thức</t>
  </si>
  <si>
    <t>Nguồn gốc</t>
  </si>
  <si>
    <t>Số lượng</t>
  </si>
  <si>
    <t>Thành
tiền</t>
  </si>
  <si>
    <t>Giảm giá</t>
  </si>
  <si>
    <t>CPDABX</t>
  </si>
  <si>
    <t>MGINBX</t>
  </si>
  <si>
    <t>TIVPTN</t>
  </si>
  <si>
    <t>MGIHNN</t>
  </si>
  <si>
    <t>CPDTTX</t>
  </si>
  <si>
    <t>SCSNBX</t>
  </si>
  <si>
    <t>DANH MỤC KHÁCH HÀNG</t>
  </si>
  <si>
    <t>Mã khách hàng</t>
  </si>
  <si>
    <t>TL</t>
  </si>
  <si>
    <t>PT</t>
  </si>
  <si>
    <t>HN</t>
  </si>
  <si>
    <t>SO</t>
  </si>
  <si>
    <t>Công Ty TLD</t>
  </si>
  <si>
    <t>Công Ty PTE</t>
  </si>
  <si>
    <t>HTX Hạnh Nguyên</t>
  </si>
  <si>
    <t>Công Ty SO &amp; TI</t>
  </si>
  <si>
    <t>DANH MỤC KHO HÀNG</t>
  </si>
  <si>
    <t>DANH MỤC VẬT TƯ</t>
  </si>
  <si>
    <t>MAKHO</t>
  </si>
  <si>
    <t>Tên Kho</t>
  </si>
  <si>
    <t>MAVT</t>
  </si>
  <si>
    <t>Tên Vật Tư</t>
  </si>
  <si>
    <t>Giá Nhập</t>
  </si>
  <si>
    <t>AB</t>
  </si>
  <si>
    <t>Sách giáo khoa</t>
  </si>
  <si>
    <t>CPD</t>
  </si>
  <si>
    <t>Compact Disk</t>
  </si>
  <si>
    <t>AH</t>
  </si>
  <si>
    <t>Hồ sơ các loại</t>
  </si>
  <si>
    <t>TIV</t>
  </si>
  <si>
    <t>Tivi Samsung</t>
  </si>
  <si>
    <t>TT</t>
  </si>
  <si>
    <t>Sách kỹ thuật</t>
  </si>
  <si>
    <t>SCS</t>
  </si>
  <si>
    <t>Sáo cửa sổ</t>
  </si>
  <si>
    <t>NB</t>
  </si>
  <si>
    <t>Sách hướng dẫn</t>
  </si>
  <si>
    <t>MGI</t>
  </si>
  <si>
    <t>Máy giặt Sanyo</t>
  </si>
  <si>
    <t>Xuất</t>
  </si>
  <si>
    <t>Tên khách hàng</t>
  </si>
  <si>
    <t>BẢNG THEO DÕI THI CÔNG THÁNG 05/2014</t>
  </si>
  <si>
    <t>https://www.youtube.com/watch?v=AWd87Sou0NM</t>
  </si>
  <si>
    <t>Ngày thi
công</t>
  </si>
  <si>
    <t>Mã nhân
viên</t>
  </si>
  <si>
    <t>Nhân viên</t>
  </si>
  <si>
    <t>Hệ số
công việc</t>
  </si>
  <si>
    <t>Mã thi công</t>
  </si>
  <si>
    <t>Tên sản
phẩm</t>
  </si>
  <si>
    <t>Số lượng
thi công</t>
  </si>
  <si>
    <t>Tiền
thưởng</t>
  </si>
  <si>
    <t>NV02</t>
  </si>
  <si>
    <t>VT-150</t>
  </si>
  <si>
    <t>NV03</t>
  </si>
  <si>
    <t>DH-75</t>
  </si>
  <si>
    <t>VT-120</t>
  </si>
  <si>
    <t>NV01</t>
  </si>
  <si>
    <t>VC-104</t>
  </si>
  <si>
    <t>DH-50</t>
  </si>
  <si>
    <t>VT-200</t>
  </si>
  <si>
    <t>THÔNG TIN NHÂN VIÊN</t>
  </si>
  <si>
    <t>THÔNG TIN SẢN PHẨM</t>
  </si>
  <si>
    <t>Mã SP</t>
  </si>
  <si>
    <t>Hoàng Thị Yến</t>
  </si>
  <si>
    <t>VT</t>
  </si>
  <si>
    <t>Vòng tay</t>
  </si>
  <si>
    <t>Trần An</t>
  </si>
  <si>
    <t>VC</t>
  </si>
  <si>
    <t>Vòng cổ</t>
  </si>
  <si>
    <t>Nguyễn Minh</t>
  </si>
  <si>
    <t>DH</t>
  </si>
  <si>
    <t>Đồng hồ</t>
  </si>
  <si>
    <t>THỐNG KÊ</t>
  </si>
  <si>
    <t>Tổng số
lượng thi
công</t>
  </si>
  <si>
    <t>Tổng
thành
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</si>
</sst>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70" formatCode="dd/mm"/>
    <numFmt numFmtId="171" formatCode="_-* #,##0\ &quot;₫&quot;_-;\-* #,##0\ &quot;₫&quot;_-;_-* &quot;-&quot;\ &quot;₫&quot;_-;_-@_-"/>
    <numFmt numFmtId="174" formatCode="h:mm:ss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00CC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12"/>
      <color theme="1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color theme="1"/>
      <name val="Calibri"/>
      <family val="2"/>
      <charset val="163"/>
      <scheme val="minor"/>
    </font>
    <font>
      <b/>
      <u/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1C5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right"/>
    </xf>
    <xf numFmtId="0" fontId="2" fillId="5" borderId="2" xfId="0" applyFont="1" applyFill="1" applyBorder="1"/>
    <xf numFmtId="3" fontId="2" fillId="4" borderId="2" xfId="0" applyNumberFormat="1" applyFont="1" applyFill="1" applyBorder="1" applyAlignment="1">
      <alignment horizontal="right" vertical="center" wrapText="1"/>
    </xf>
    <xf numFmtId="3" fontId="2" fillId="4" borderId="2" xfId="0" applyNumberFormat="1" applyFont="1" applyFill="1" applyBorder="1" applyAlignment="1">
      <alignment horizontal="right"/>
    </xf>
    <xf numFmtId="0" fontId="4" fillId="0" borderId="0" xfId="0" applyFont="1" applyAlignment="1">
      <alignment horizontal="right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3" borderId="2" xfId="0" applyFont="1" applyFill="1" applyBorder="1"/>
    <xf numFmtId="0" fontId="2" fillId="6" borderId="2" xfId="0" applyFont="1" applyFill="1" applyBorder="1" applyAlignment="1">
      <alignment horizontal="center"/>
    </xf>
    <xf numFmtId="0" fontId="2" fillId="0" borderId="8" xfId="0" applyFont="1" applyBorder="1"/>
    <xf numFmtId="0" fontId="3" fillId="5" borderId="2" xfId="0" applyFont="1" applyFill="1" applyBorder="1"/>
    <xf numFmtId="0" fontId="2" fillId="3" borderId="2" xfId="0" applyFont="1" applyFill="1" applyBorder="1" applyAlignment="1">
      <alignment wrapText="1"/>
    </xf>
    <xf numFmtId="3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wrapText="1"/>
    </xf>
    <xf numFmtId="3" fontId="4" fillId="0" borderId="0" xfId="0" applyNumberFormat="1" applyFont="1" applyAlignment="1">
      <alignment horizontal="center" vertical="center" wrapText="1"/>
    </xf>
    <xf numFmtId="3" fontId="2" fillId="7" borderId="2" xfId="0" applyNumberFormat="1" applyFont="1" applyFill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wrapText="1"/>
    </xf>
    <xf numFmtId="3" fontId="2" fillId="3" borderId="2" xfId="0" applyNumberFormat="1" applyFont="1" applyFill="1" applyBorder="1" applyAlignment="1">
      <alignment horizontal="left" wrapText="1"/>
    </xf>
    <xf numFmtId="3" fontId="2" fillId="7" borderId="2" xfId="0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wrapText="1"/>
    </xf>
    <xf numFmtId="3" fontId="2" fillId="5" borderId="2" xfId="0" applyNumberFormat="1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wrapText="1"/>
    </xf>
    <xf numFmtId="0" fontId="2" fillId="6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right"/>
    </xf>
    <xf numFmtId="0" fontId="2" fillId="6" borderId="6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5" fillId="0" borderId="0" xfId="0" applyFont="1"/>
    <xf numFmtId="3" fontId="2" fillId="0" borderId="0" xfId="0" applyNumberFormat="1" applyFont="1" applyAlignment="1">
      <alignment horizontal="center" wrapText="1"/>
    </xf>
    <xf numFmtId="3" fontId="2" fillId="0" borderId="0" xfId="0" applyNumberFormat="1" applyFont="1"/>
    <xf numFmtId="3" fontId="2" fillId="6" borderId="2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Border="1"/>
    <xf numFmtId="3" fontId="2" fillId="0" borderId="0" xfId="0" applyNumberFormat="1" applyFont="1" applyBorder="1"/>
    <xf numFmtId="3" fontId="7" fillId="0" borderId="0" xfId="0" applyNumberFormat="1" applyFont="1"/>
    <xf numFmtId="3" fontId="7" fillId="0" borderId="0" xfId="0" applyNumberFormat="1" applyFont="1" applyBorder="1"/>
    <xf numFmtId="3" fontId="2" fillId="6" borderId="2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/>
    <xf numFmtId="14" fontId="2" fillId="3" borderId="2" xfId="0" quotePrefix="1" applyNumberFormat="1" applyFont="1" applyFill="1" applyBorder="1" applyAlignment="1">
      <alignment horizontal="center" vertical="center"/>
    </xf>
    <xf numFmtId="14" fontId="2" fillId="3" borderId="2" xfId="0" quotePrefix="1" applyNumberFormat="1" applyFont="1" applyFill="1" applyBorder="1" applyAlignment="1">
      <alignment horizontal="center"/>
    </xf>
    <xf numFmtId="0" fontId="2" fillId="0" borderId="2" xfId="0" applyNumberFormat="1" applyFont="1" applyBorder="1"/>
    <xf numFmtId="0" fontId="8" fillId="8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6" borderId="9" xfId="0" applyFont="1" applyFill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9" fillId="9" borderId="6" xfId="0" applyFont="1" applyFill="1" applyBorder="1" applyAlignment="1">
      <alignment horizontal="center"/>
    </xf>
    <xf numFmtId="171" fontId="9" fillId="9" borderId="15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left" wrapText="1"/>
    </xf>
    <xf numFmtId="0" fontId="9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9" fillId="0" borderId="14" xfId="0" applyFont="1" applyBorder="1"/>
    <xf numFmtId="0" fontId="9" fillId="9" borderId="15" xfId="0" applyFont="1" applyFill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9" fillId="0" borderId="17" xfId="0" applyFont="1" applyBorder="1"/>
    <xf numFmtId="0" fontId="8" fillId="6" borderId="0" xfId="0" applyFont="1" applyFill="1"/>
    <xf numFmtId="0" fontId="9" fillId="6" borderId="0" xfId="0" applyFont="1" applyFill="1"/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left" wrapText="1"/>
    </xf>
    <xf numFmtId="0" fontId="10" fillId="0" borderId="0" xfId="0" applyFont="1"/>
    <xf numFmtId="170" fontId="9" fillId="0" borderId="14" xfId="0" applyNumberFormat="1" applyFont="1" applyBorder="1" applyAlignment="1">
      <alignment horizontal="center" vertical="center"/>
    </xf>
    <xf numFmtId="170" fontId="9" fillId="0" borderId="16" xfId="0" applyNumberFormat="1" applyFont="1" applyBorder="1" applyAlignment="1">
      <alignment horizontal="center" vertical="center"/>
    </xf>
    <xf numFmtId="170" fontId="9" fillId="0" borderId="17" xfId="0" applyNumberFormat="1" applyFont="1" applyBorder="1" applyAlignment="1">
      <alignment horizontal="center" vertical="center"/>
    </xf>
    <xf numFmtId="2" fontId="10" fillId="6" borderId="10" xfId="0" applyNumberFormat="1" applyFont="1" applyFill="1" applyBorder="1" applyAlignment="1">
      <alignment horizontal="center" vertical="center"/>
    </xf>
    <xf numFmtId="2" fontId="10" fillId="6" borderId="1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2" fontId="9" fillId="7" borderId="17" xfId="0" applyNumberFormat="1" applyFont="1" applyFill="1" applyBorder="1" applyAlignment="1">
      <alignment horizontal="center" vertical="center"/>
    </xf>
    <xf numFmtId="2" fontId="9" fillId="7" borderId="22" xfId="0" applyNumberFormat="1" applyFont="1" applyFill="1" applyBorder="1" applyAlignment="1">
      <alignment horizontal="center" vertical="center"/>
    </xf>
    <xf numFmtId="0" fontId="9" fillId="7" borderId="23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174" fontId="9" fillId="0" borderId="2" xfId="0" applyNumberFormat="1" applyFont="1" applyBorder="1" applyAlignment="1">
      <alignment horizontal="center"/>
    </xf>
    <xf numFmtId="174" fontId="9" fillId="0" borderId="4" xfId="0" applyNumberFormat="1" applyFont="1" applyBorder="1" applyAlignment="1">
      <alignment horizontal="center"/>
    </xf>
    <xf numFmtId="174" fontId="9" fillId="0" borderId="18" xfId="0" applyNumberFormat="1" applyFont="1" applyBorder="1" applyAlignment="1">
      <alignment horizontal="center"/>
    </xf>
    <xf numFmtId="2" fontId="10" fillId="0" borderId="11" xfId="0" applyNumberFormat="1" applyFont="1" applyBorder="1" applyAlignment="1">
      <alignment horizontal="center" vertical="center" wrapText="1"/>
    </xf>
    <xf numFmtId="2" fontId="9" fillId="9" borderId="6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6" fillId="0" borderId="0" xfId="1" applyAlignment="1" applyProtection="1"/>
    <xf numFmtId="0" fontId="13" fillId="10" borderId="2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 wrapText="1"/>
    </xf>
    <xf numFmtId="14" fontId="0" fillId="0" borderId="2" xfId="0" applyNumberFormat="1" applyBorder="1"/>
    <xf numFmtId="0" fontId="13" fillId="0" borderId="0" xfId="0" applyFont="1" applyAlignment="1">
      <alignment horizontal="center"/>
    </xf>
    <xf numFmtId="0" fontId="13" fillId="10" borderId="2" xfId="0" applyFont="1" applyFill="1" applyBorder="1"/>
    <xf numFmtId="0" fontId="13" fillId="10" borderId="2" xfId="0" applyFont="1" applyFill="1" applyBorder="1" applyAlignment="1">
      <alignment horizontal="center"/>
    </xf>
    <xf numFmtId="0" fontId="13" fillId="0" borderId="2" xfId="0" applyFont="1" applyBorder="1" applyAlignment="1">
      <alignment wrapText="1"/>
    </xf>
    <xf numFmtId="0" fontId="0" fillId="0" borderId="2" xfId="0" applyBorder="1" applyAlignment="1">
      <alignment horizontal="center" wrapText="1"/>
    </xf>
    <xf numFmtId="0" fontId="13" fillId="0" borderId="0" xfId="0" applyFont="1" applyAlignment="1">
      <alignment horizontal="center" vertical="center"/>
    </xf>
    <xf numFmtId="3" fontId="0" fillId="0" borderId="2" xfId="0" applyNumberFormat="1" applyBorder="1"/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14" fontId="0" fillId="0" borderId="0" xfId="0" applyNumberFormat="1"/>
    <xf numFmtId="0" fontId="1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CC00"/>
      <color rgb="FF21C5FF"/>
      <color rgb="FF0000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Sheet7!$F$18</c:f>
              <c:strCache>
                <c:ptCount val="1"/>
                <c:pt idx="0">
                  <c:v>Giá Nhập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Sheet7!$D$19:$D$22</c:f>
              <c:strCache>
                <c:ptCount val="4"/>
                <c:pt idx="0">
                  <c:v>CPD</c:v>
                </c:pt>
                <c:pt idx="1">
                  <c:v>TIV</c:v>
                </c:pt>
                <c:pt idx="2">
                  <c:v>SCS</c:v>
                </c:pt>
                <c:pt idx="3">
                  <c:v>MGI</c:v>
                </c:pt>
              </c:strCache>
            </c:strRef>
          </c:cat>
          <c:val>
            <c:numRef>
              <c:f>Sheet7!$F$19:$F$22</c:f>
              <c:numCache>
                <c:formatCode>General</c:formatCode>
                <c:ptCount val="4"/>
                <c:pt idx="0">
                  <c:v>25000</c:v>
                </c:pt>
                <c:pt idx="1">
                  <c:v>3500000</c:v>
                </c:pt>
                <c:pt idx="2">
                  <c:v>150000</c:v>
                </c:pt>
                <c:pt idx="3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8-4F7C-989E-FB10CF011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123471"/>
        <c:axId val="1277125135"/>
      </c:barChart>
      <c:catAx>
        <c:axId val="127712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25135"/>
        <c:crosses val="autoZero"/>
        <c:auto val="1"/>
        <c:lblAlgn val="ctr"/>
        <c:lblOffset val="100"/>
        <c:noMultiLvlLbl val="0"/>
      </c:catAx>
      <c:valAx>
        <c:axId val="127712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2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12</xdr:row>
      <xdr:rowOff>106680</xdr:rowOff>
    </xdr:from>
    <xdr:to>
      <xdr:col>13</xdr:col>
      <xdr:colOff>487680</xdr:colOff>
      <xdr:row>22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6F2E76-BC8D-21E2-865C-695A49CEE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297180</xdr:colOff>
      <xdr:row>2</xdr:row>
      <xdr:rowOff>152400</xdr:rowOff>
    </xdr:from>
    <xdr:to>
      <xdr:col>22</xdr:col>
      <xdr:colOff>175390</xdr:colOff>
      <xdr:row>19</xdr:row>
      <xdr:rowOff>492866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80FC4A-C2B6-7E6E-3067-DA5C31F68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3180" y="685800"/>
          <a:ext cx="7193410" cy="3815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youtube.com/watch?v=tNNyUow2mhg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youtube.com/watch?v=AWd87Sou0N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4005E-B262-48AD-9A1F-D22B30AD7DD2}">
  <dimension ref="A3:J17"/>
  <sheetViews>
    <sheetView zoomScale="115" zoomScaleNormal="115" workbookViewId="0">
      <selection activeCell="J5" sqref="J5"/>
    </sheetView>
  </sheetViews>
  <sheetFormatPr defaultColWidth="9.109375" defaultRowHeight="14.4" x14ac:dyDescent="0.3"/>
  <cols>
    <col min="1" max="1" width="4.44140625" style="1" customWidth="1"/>
    <col min="2" max="2" width="13.109375" style="2" customWidth="1"/>
    <col min="3" max="3" width="8.33203125" style="2" customWidth="1"/>
    <col min="4" max="4" width="7.5546875" style="2" customWidth="1"/>
    <col min="5" max="5" width="10.44140625" style="3" customWidth="1"/>
    <col min="6" max="6" width="9.109375" style="3"/>
    <col min="7" max="7" width="9.5546875" style="3" customWidth="1"/>
    <col min="8" max="8" width="10.33203125" style="3" customWidth="1"/>
    <col min="9" max="9" width="13.109375" style="3" bestFit="1" customWidth="1"/>
    <col min="10" max="10" width="10.33203125" style="3" bestFit="1" customWidth="1"/>
    <col min="11" max="16384" width="9.109375" style="1"/>
  </cols>
  <sheetData>
    <row r="3" spans="1:10" ht="15.75" customHeight="1" x14ac:dyDescent="0.3">
      <c r="A3" s="41" t="s">
        <v>0</v>
      </c>
      <c r="B3" s="41"/>
      <c r="C3" s="41"/>
      <c r="D3" s="41"/>
      <c r="E3" s="41"/>
      <c r="F3" s="41"/>
      <c r="G3" s="41"/>
      <c r="H3" s="41"/>
      <c r="I3" s="19" t="s">
        <v>1</v>
      </c>
      <c r="J3" s="19">
        <f ca="1">MONTH(TODAY())</f>
        <v>1</v>
      </c>
    </row>
    <row r="4" spans="1:10" ht="65.25" customHeight="1" x14ac:dyDescent="0.3">
      <c r="A4" s="8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</row>
    <row r="5" spans="1:10" ht="15.6" x14ac:dyDescent="0.3">
      <c r="A5" s="9">
        <v>1</v>
      </c>
      <c r="B5" s="10" t="s">
        <v>12</v>
      </c>
      <c r="C5" s="10" t="s">
        <v>13</v>
      </c>
      <c r="D5" s="10" t="s">
        <v>14</v>
      </c>
      <c r="E5" s="11">
        <v>1000</v>
      </c>
      <c r="F5" s="11">
        <v>24</v>
      </c>
      <c r="G5" s="17">
        <f>IF(D5="GĐ",500,IF(D5="TP",300,IF(D5="PGĐ",400,IF(D5="KT",250,100))))</f>
        <v>100</v>
      </c>
      <c r="H5" s="17">
        <f xml:space="preserve"> F5*E5</f>
        <v>24000</v>
      </c>
      <c r="I5" s="17">
        <f>ROUND(IF((G5+H5)*2/3&lt;25000,(G5+H5)*2/3,25000),-3)</f>
        <v>16000</v>
      </c>
      <c r="J5" s="17">
        <f>G5+H5-I5</f>
        <v>8100</v>
      </c>
    </row>
    <row r="6" spans="1:10" ht="15.6" x14ac:dyDescent="0.3">
      <c r="A6" s="9">
        <v>2</v>
      </c>
      <c r="B6" s="10" t="s">
        <v>15</v>
      </c>
      <c r="C6" s="10" t="s">
        <v>16</v>
      </c>
      <c r="D6" s="12" t="s">
        <v>17</v>
      </c>
      <c r="E6" s="13">
        <v>1000</v>
      </c>
      <c r="F6" s="13">
        <v>30</v>
      </c>
      <c r="G6" s="17">
        <f t="shared" ref="G6:G13" si="0">IF(D6="GĐ",500,IF(D6="TP",300,IF(D6="PGĐ",400,IF(D6="KT",250,100))))</f>
        <v>100</v>
      </c>
      <c r="H6" s="17">
        <f t="shared" ref="H6:H13" si="1" xml:space="preserve"> F6*E6</f>
        <v>30000</v>
      </c>
      <c r="I6" s="17">
        <f t="shared" ref="I6:I13" si="2">ROUND(IF((G6+H6)*2/3&lt;25000,(G6+H6)*2/3,25000),-3)</f>
        <v>20000</v>
      </c>
      <c r="J6" s="17">
        <f t="shared" ref="J6:J13" si="3">G6+H6-I6</f>
        <v>10100</v>
      </c>
    </row>
    <row r="7" spans="1:10" ht="15.6" x14ac:dyDescent="0.3">
      <c r="A7" s="9">
        <v>3</v>
      </c>
      <c r="B7" s="10" t="s">
        <v>18</v>
      </c>
      <c r="C7" s="10" t="s">
        <v>19</v>
      </c>
      <c r="D7" s="12" t="s">
        <v>20</v>
      </c>
      <c r="E7" s="13">
        <v>3000</v>
      </c>
      <c r="F7" s="13">
        <v>25</v>
      </c>
      <c r="G7" s="17">
        <f t="shared" si="0"/>
        <v>300</v>
      </c>
      <c r="H7" s="17">
        <f t="shared" si="1"/>
        <v>75000</v>
      </c>
      <c r="I7" s="17">
        <f t="shared" si="2"/>
        <v>25000</v>
      </c>
      <c r="J7" s="17">
        <f t="shared" si="3"/>
        <v>50300</v>
      </c>
    </row>
    <row r="8" spans="1:10" ht="15.6" x14ac:dyDescent="0.3">
      <c r="A8" s="9">
        <v>4</v>
      </c>
      <c r="B8" s="10" t="s">
        <v>21</v>
      </c>
      <c r="C8" s="10" t="s">
        <v>22</v>
      </c>
      <c r="D8" s="12" t="s">
        <v>37</v>
      </c>
      <c r="E8" s="13">
        <v>5000</v>
      </c>
      <c r="F8" s="13">
        <v>28</v>
      </c>
      <c r="G8" s="17">
        <f t="shared" si="0"/>
        <v>500</v>
      </c>
      <c r="H8" s="17">
        <f t="shared" si="1"/>
        <v>140000</v>
      </c>
      <c r="I8" s="17">
        <f t="shared" si="2"/>
        <v>25000</v>
      </c>
      <c r="J8" s="17">
        <f t="shared" si="3"/>
        <v>115500</v>
      </c>
    </row>
    <row r="9" spans="1:10" ht="15.6" x14ac:dyDescent="0.3">
      <c r="A9" s="9">
        <v>5</v>
      </c>
      <c r="B9" s="10" t="s">
        <v>23</v>
      </c>
      <c r="C9" s="10" t="s">
        <v>24</v>
      </c>
      <c r="D9" s="12" t="s">
        <v>25</v>
      </c>
      <c r="E9" s="13">
        <v>4000</v>
      </c>
      <c r="F9" s="13">
        <v>26</v>
      </c>
      <c r="G9" s="17">
        <f t="shared" si="0"/>
        <v>400</v>
      </c>
      <c r="H9" s="17">
        <f t="shared" si="1"/>
        <v>104000</v>
      </c>
      <c r="I9" s="17">
        <f t="shared" si="2"/>
        <v>25000</v>
      </c>
      <c r="J9" s="17">
        <f t="shared" si="3"/>
        <v>79400</v>
      </c>
    </row>
    <row r="10" spans="1:10" ht="15.6" x14ac:dyDescent="0.3">
      <c r="A10" s="9">
        <v>6</v>
      </c>
      <c r="B10" s="10" t="s">
        <v>12</v>
      </c>
      <c r="C10" s="10" t="s">
        <v>26</v>
      </c>
      <c r="D10" s="12" t="s">
        <v>20</v>
      </c>
      <c r="E10" s="13">
        <v>2000</v>
      </c>
      <c r="F10" s="13">
        <v>29</v>
      </c>
      <c r="G10" s="17">
        <f t="shared" si="0"/>
        <v>300</v>
      </c>
      <c r="H10" s="17">
        <f t="shared" si="1"/>
        <v>58000</v>
      </c>
      <c r="I10" s="17">
        <f t="shared" si="2"/>
        <v>25000</v>
      </c>
      <c r="J10" s="17">
        <f t="shared" si="3"/>
        <v>33300</v>
      </c>
    </row>
    <row r="11" spans="1:10" ht="15.6" x14ac:dyDescent="0.3">
      <c r="A11" s="9">
        <v>7</v>
      </c>
      <c r="B11" s="10" t="s">
        <v>27</v>
      </c>
      <c r="C11" s="10" t="s">
        <v>28</v>
      </c>
      <c r="D11" s="12" t="s">
        <v>29</v>
      </c>
      <c r="E11" s="13">
        <v>1000</v>
      </c>
      <c r="F11" s="13">
        <v>30</v>
      </c>
      <c r="G11" s="17">
        <f t="shared" si="0"/>
        <v>250</v>
      </c>
      <c r="H11" s="17">
        <f t="shared" si="1"/>
        <v>30000</v>
      </c>
      <c r="I11" s="17">
        <f t="shared" si="2"/>
        <v>20000</v>
      </c>
      <c r="J11" s="17">
        <f t="shared" si="3"/>
        <v>10250</v>
      </c>
    </row>
    <row r="12" spans="1:10" ht="15.6" x14ac:dyDescent="0.3">
      <c r="A12" s="9">
        <v>8</v>
      </c>
      <c r="B12" s="10" t="s">
        <v>21</v>
      </c>
      <c r="C12" s="10" t="s">
        <v>30</v>
      </c>
      <c r="D12" s="12" t="s">
        <v>20</v>
      </c>
      <c r="E12" s="13">
        <v>3000</v>
      </c>
      <c r="F12" s="13">
        <v>30</v>
      </c>
      <c r="G12" s="17">
        <f t="shared" si="0"/>
        <v>300</v>
      </c>
      <c r="H12" s="17">
        <f t="shared" si="1"/>
        <v>90000</v>
      </c>
      <c r="I12" s="17">
        <f t="shared" si="2"/>
        <v>25000</v>
      </c>
      <c r="J12" s="17">
        <f t="shared" si="3"/>
        <v>65300</v>
      </c>
    </row>
    <row r="13" spans="1:10" ht="15.6" x14ac:dyDescent="0.3">
      <c r="A13" s="9">
        <v>9</v>
      </c>
      <c r="B13" s="14" t="s">
        <v>31</v>
      </c>
      <c r="C13" s="14" t="s">
        <v>32</v>
      </c>
      <c r="D13" s="14" t="s">
        <v>14</v>
      </c>
      <c r="E13" s="15">
        <v>1000</v>
      </c>
      <c r="F13" s="15">
        <v>26</v>
      </c>
      <c r="G13" s="17">
        <f t="shared" si="0"/>
        <v>100</v>
      </c>
      <c r="H13" s="17">
        <f t="shared" si="1"/>
        <v>26000</v>
      </c>
      <c r="I13" s="17">
        <f t="shared" si="2"/>
        <v>17000</v>
      </c>
      <c r="J13" s="17">
        <f t="shared" si="3"/>
        <v>9100</v>
      </c>
    </row>
    <row r="14" spans="1:10" ht="15.6" x14ac:dyDescent="0.3">
      <c r="A14" s="4"/>
      <c r="B14" s="7"/>
      <c r="C14" s="7"/>
      <c r="D14" s="42" t="s">
        <v>33</v>
      </c>
      <c r="E14" s="42"/>
      <c r="F14" s="42"/>
      <c r="G14" s="18">
        <f>SUM(G5:G13)</f>
        <v>2350</v>
      </c>
      <c r="H14" s="18">
        <f t="shared" ref="H14:J14" si="4">SUM(H5:H13)</f>
        <v>577000</v>
      </c>
      <c r="I14" s="18">
        <f t="shared" si="4"/>
        <v>198000</v>
      </c>
      <c r="J14" s="18">
        <f t="shared" si="4"/>
        <v>381350</v>
      </c>
    </row>
    <row r="15" spans="1:10" ht="15.6" x14ac:dyDescent="0.3">
      <c r="A15" s="5"/>
      <c r="B15" s="6"/>
      <c r="C15" s="6"/>
      <c r="D15" s="42" t="s">
        <v>34</v>
      </c>
      <c r="E15" s="42"/>
      <c r="F15" s="42"/>
      <c r="G15" s="18">
        <f>AVERAGE(G5:G13)</f>
        <v>261.11111111111109</v>
      </c>
      <c r="H15" s="18">
        <f t="shared" ref="H15:J15" si="5">AVERAGE(H5:H13)</f>
        <v>64111.111111111109</v>
      </c>
      <c r="I15" s="18">
        <f t="shared" si="5"/>
        <v>22000</v>
      </c>
      <c r="J15" s="18">
        <f t="shared" si="5"/>
        <v>42372.222222222219</v>
      </c>
    </row>
    <row r="16" spans="1:10" ht="15.6" x14ac:dyDescent="0.3">
      <c r="A16" s="5"/>
      <c r="B16" s="6"/>
      <c r="C16" s="6"/>
      <c r="D16" s="42" t="s">
        <v>35</v>
      </c>
      <c r="E16" s="42"/>
      <c r="F16" s="42"/>
      <c r="G16" s="18">
        <f>MAX(G5:G13)</f>
        <v>500</v>
      </c>
      <c r="H16" s="18">
        <f t="shared" ref="H16:J16" si="6">MAX(H5:H13)</f>
        <v>140000</v>
      </c>
      <c r="I16" s="18">
        <f t="shared" si="6"/>
        <v>25000</v>
      </c>
      <c r="J16" s="18">
        <f t="shared" si="6"/>
        <v>115500</v>
      </c>
    </row>
    <row r="17" spans="1:10" ht="15.6" x14ac:dyDescent="0.3">
      <c r="A17" s="5"/>
      <c r="B17" s="6"/>
      <c r="C17" s="6"/>
      <c r="D17" s="42" t="s">
        <v>36</v>
      </c>
      <c r="E17" s="42"/>
      <c r="F17" s="42"/>
      <c r="G17" s="18">
        <f>MIN(G5:G13)</f>
        <v>100</v>
      </c>
      <c r="H17" s="18">
        <f t="shared" ref="H17:J17" si="7">MIN(H5:H13)</f>
        <v>24000</v>
      </c>
      <c r="I17" s="18">
        <f t="shared" si="7"/>
        <v>16000</v>
      </c>
      <c r="J17" s="18">
        <f t="shared" si="7"/>
        <v>8100</v>
      </c>
    </row>
  </sheetData>
  <mergeCells count="5">
    <mergeCell ref="A3:H3"/>
    <mergeCell ref="D14:F14"/>
    <mergeCell ref="D15:F15"/>
    <mergeCell ref="D16:F16"/>
    <mergeCell ref="D17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D63B-7FAB-4FD9-BCCA-9234E42AF265}">
  <dimension ref="A3:G15"/>
  <sheetViews>
    <sheetView showGridLines="0" zoomScaleNormal="100" workbookViewId="0">
      <selection activeCell="E5" sqref="E5"/>
    </sheetView>
  </sheetViews>
  <sheetFormatPr defaultColWidth="9.109375" defaultRowHeight="15.6" x14ac:dyDescent="0.3"/>
  <cols>
    <col min="1" max="1" width="9.109375" style="5"/>
    <col min="2" max="2" width="19.33203125" style="5" customWidth="1"/>
    <col min="3" max="3" width="9.109375" style="5"/>
    <col min="4" max="4" width="10.88671875" style="5" customWidth="1"/>
    <col min="5" max="5" width="7.88671875" style="5" customWidth="1"/>
    <col min="6" max="6" width="6.6640625" style="5" customWidth="1"/>
    <col min="7" max="7" width="11.6640625" style="5" customWidth="1"/>
    <col min="8" max="16384" width="9.109375" style="5"/>
  </cols>
  <sheetData>
    <row r="3" spans="1:7" x14ac:dyDescent="0.3">
      <c r="A3" s="49" t="s">
        <v>38</v>
      </c>
      <c r="B3" s="49"/>
      <c r="C3" s="49"/>
      <c r="D3" s="49"/>
      <c r="E3" s="49"/>
      <c r="F3" s="49"/>
      <c r="G3" s="49"/>
    </row>
    <row r="4" spans="1:7" ht="33" customHeight="1" x14ac:dyDescent="0.3">
      <c r="A4" s="20" t="s">
        <v>39</v>
      </c>
      <c r="B4" s="21" t="s">
        <v>43</v>
      </c>
      <c r="C4" s="20" t="s">
        <v>40</v>
      </c>
      <c r="D4" s="20" t="s">
        <v>41</v>
      </c>
      <c r="E4" s="43" t="s">
        <v>51</v>
      </c>
      <c r="F4" s="44"/>
      <c r="G4" s="21" t="s">
        <v>50</v>
      </c>
    </row>
    <row r="5" spans="1:7" x14ac:dyDescent="0.3">
      <c r="A5" s="22" t="s">
        <v>45</v>
      </c>
      <c r="B5" s="16" t="str">
        <f>VLOOKUP(A5,$A$12:$C$15,2,0)</f>
        <v>Xà bông LifeBoy</v>
      </c>
      <c r="C5" s="22">
        <v>19</v>
      </c>
      <c r="D5" s="16">
        <f>VLOOKUP(A5,$A$12:$C$15,3,0)</f>
        <v>4200</v>
      </c>
      <c r="E5" s="16">
        <f>LOOKUP(C5,{0,5,10,15,19},{0,1,2,3,5})</f>
        <v>5</v>
      </c>
      <c r="F5" s="16">
        <f>IF(AND(C5&gt;=1,C5&lt;=4),0,IF(AND(C5&gt;=5,C5&lt;=9),1,IF(AND(C5&gt;=10,C5&lt;=14),2,IF(AND(C5&gt;=15,C5&lt;19),3,5))))</f>
        <v>5</v>
      </c>
      <c r="G5" s="16">
        <f>(C5-E5)*D5</f>
        <v>58800</v>
      </c>
    </row>
    <row r="6" spans="1:7" x14ac:dyDescent="0.3">
      <c r="A6" s="22" t="s">
        <v>46</v>
      </c>
      <c r="B6" s="16" t="str">
        <f t="shared" ref="B6:B8" si="0">VLOOKUP(A6,$A$12:$C$15,2,0)</f>
        <v>Nước</v>
      </c>
      <c r="C6" s="22">
        <v>5</v>
      </c>
      <c r="D6" s="16">
        <f t="shared" ref="D6:D8" si="1">VLOOKUP(A6,$A$12:$C$15,3,0)</f>
        <v>4350</v>
      </c>
      <c r="E6" s="16">
        <f>LOOKUP(C6,{0,5,10,15,19},{0,1,2,3,5})</f>
        <v>1</v>
      </c>
      <c r="F6" s="16">
        <f t="shared" ref="F6:F8" si="2">IF(AND(C6&gt;=1,C6&lt;=4),0,IF(AND(C6&gt;=5,C6&lt;=9),1,IF(AND(C6&gt;=10,C6&lt;=14),2,IF(AND(C6&gt;=15,C6&lt;19),3,5))))</f>
        <v>1</v>
      </c>
      <c r="G6" s="16">
        <f t="shared" ref="G6:G8" si="3">(C6-E6)*D6</f>
        <v>17400</v>
      </c>
    </row>
    <row r="7" spans="1:7" x14ac:dyDescent="0.3">
      <c r="A7" s="22" t="s">
        <v>47</v>
      </c>
      <c r="B7" s="16" t="str">
        <f t="shared" si="0"/>
        <v>Thực phẩm</v>
      </c>
      <c r="C7" s="22">
        <v>16</v>
      </c>
      <c r="D7" s="16">
        <f t="shared" si="1"/>
        <v>2000</v>
      </c>
      <c r="E7" s="16">
        <f>LOOKUP(C7,{0,5,10,15,19},{0,1,2,3,5})</f>
        <v>3</v>
      </c>
      <c r="F7" s="16">
        <f t="shared" si="2"/>
        <v>3</v>
      </c>
      <c r="G7" s="16">
        <f t="shared" si="3"/>
        <v>26000</v>
      </c>
    </row>
    <row r="8" spans="1:7" x14ac:dyDescent="0.3">
      <c r="A8" s="22" t="s">
        <v>48</v>
      </c>
      <c r="B8" s="16" t="str">
        <f t="shared" si="0"/>
        <v>Súp Knor</v>
      </c>
      <c r="C8" s="22">
        <v>1</v>
      </c>
      <c r="D8" s="16">
        <f t="shared" si="1"/>
        <v>1000</v>
      </c>
      <c r="E8" s="16">
        <f>LOOKUP(C8,{0,5,10,15,19},{0,1,2,3,5})</f>
        <v>0</v>
      </c>
      <c r="F8" s="16">
        <f t="shared" si="2"/>
        <v>0</v>
      </c>
      <c r="G8" s="16">
        <f t="shared" si="3"/>
        <v>1000</v>
      </c>
    </row>
    <row r="9" spans="1:7" x14ac:dyDescent="0.3">
      <c r="A9" s="46" t="s">
        <v>54</v>
      </c>
      <c r="B9" s="47"/>
      <c r="C9" s="47"/>
      <c r="D9" s="47"/>
      <c r="E9" s="47"/>
      <c r="F9" s="48"/>
      <c r="G9" s="25">
        <f>SUM(G5:G8)</f>
        <v>103200</v>
      </c>
    </row>
    <row r="10" spans="1:7" x14ac:dyDescent="0.3">
      <c r="A10" s="45" t="s">
        <v>49</v>
      </c>
      <c r="B10" s="45"/>
      <c r="C10" s="45"/>
      <c r="D10" s="24"/>
      <c r="E10" s="24"/>
      <c r="F10" s="24"/>
    </row>
    <row r="11" spans="1:7" x14ac:dyDescent="0.3">
      <c r="A11" s="23" t="s">
        <v>39</v>
      </c>
      <c r="B11" s="23" t="s">
        <v>52</v>
      </c>
      <c r="C11" s="23" t="s">
        <v>53</v>
      </c>
    </row>
    <row r="12" spans="1:7" x14ac:dyDescent="0.3">
      <c r="A12" s="22" t="s">
        <v>45</v>
      </c>
      <c r="B12" s="22" t="s">
        <v>55</v>
      </c>
      <c r="C12" s="22">
        <v>4200</v>
      </c>
    </row>
    <row r="13" spans="1:7" x14ac:dyDescent="0.3">
      <c r="A13" s="22" t="s">
        <v>46</v>
      </c>
      <c r="B13" s="22" t="s">
        <v>56</v>
      </c>
      <c r="C13" s="22">
        <v>4350</v>
      </c>
    </row>
    <row r="14" spans="1:7" x14ac:dyDescent="0.3">
      <c r="A14" s="22" t="s">
        <v>48</v>
      </c>
      <c r="B14" s="22" t="s">
        <v>57</v>
      </c>
      <c r="C14" s="22">
        <v>1000</v>
      </c>
    </row>
    <row r="15" spans="1:7" x14ac:dyDescent="0.3">
      <c r="A15" s="22" t="s">
        <v>47</v>
      </c>
      <c r="B15" s="22" t="s">
        <v>58</v>
      </c>
      <c r="C15" s="22">
        <v>2000</v>
      </c>
    </row>
  </sheetData>
  <mergeCells count="4">
    <mergeCell ref="E4:F4"/>
    <mergeCell ref="A10:C10"/>
    <mergeCell ref="A9:F9"/>
    <mergeCell ref="A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AD05-7D6D-46F8-B771-C11D5C3013B2}">
  <dimension ref="A2:H19"/>
  <sheetViews>
    <sheetView showGridLines="0" topLeftCell="A4" workbookViewId="0">
      <selection activeCell="E6" sqref="E6"/>
    </sheetView>
  </sheetViews>
  <sheetFormatPr defaultColWidth="9.109375" defaultRowHeight="15.6" x14ac:dyDescent="0.3"/>
  <cols>
    <col min="1" max="1" width="11.44140625" style="28" customWidth="1"/>
    <col min="2" max="2" width="9.109375" style="28"/>
    <col min="3" max="3" width="11" style="28" customWidth="1"/>
    <col min="4" max="4" width="14.109375" style="28" customWidth="1"/>
    <col min="5" max="5" width="9.109375" style="28"/>
    <col min="6" max="6" width="12" style="28" customWidth="1"/>
    <col min="7" max="7" width="11.88671875" style="28" customWidth="1"/>
    <col min="8" max="16384" width="9.109375" style="28"/>
  </cols>
  <sheetData>
    <row r="2" spans="1:8" x14ac:dyDescent="0.3">
      <c r="A2" s="27"/>
      <c r="B2" s="27"/>
      <c r="C2" s="27"/>
      <c r="D2" s="27"/>
      <c r="E2" s="27"/>
      <c r="F2" s="27"/>
      <c r="G2" s="27"/>
    </row>
    <row r="3" spans="1:8" x14ac:dyDescent="0.3">
      <c r="A3" s="50" t="s">
        <v>59</v>
      </c>
      <c r="B3" s="50"/>
      <c r="C3" s="50"/>
      <c r="D3" s="50"/>
      <c r="E3" s="50"/>
      <c r="F3" s="50"/>
      <c r="G3" s="50"/>
    </row>
    <row r="4" spans="1:8" x14ac:dyDescent="0.3">
      <c r="A4" s="27"/>
      <c r="B4" s="27"/>
      <c r="C4" s="27"/>
      <c r="D4" s="29" t="s">
        <v>67</v>
      </c>
      <c r="E4" s="29">
        <v>21700</v>
      </c>
      <c r="F4" s="27"/>
      <c r="G4" s="27"/>
    </row>
    <row r="5" spans="1:8" ht="46.8" x14ac:dyDescent="0.3">
      <c r="A5" s="30" t="s">
        <v>60</v>
      </c>
      <c r="B5" s="30" t="s">
        <v>61</v>
      </c>
      <c r="C5" s="30" t="s">
        <v>62</v>
      </c>
      <c r="D5" s="30" t="s">
        <v>63</v>
      </c>
      <c r="E5" s="30" t="s">
        <v>64</v>
      </c>
      <c r="F5" s="30" t="s">
        <v>65</v>
      </c>
      <c r="G5" s="30" t="s">
        <v>66</v>
      </c>
    </row>
    <row r="6" spans="1:8" x14ac:dyDescent="0.3">
      <c r="A6" s="32" t="s">
        <v>75</v>
      </c>
      <c r="B6" s="31" t="s">
        <v>77</v>
      </c>
      <c r="C6" s="35">
        <f t="shared" ref="C6:C12" si="0">VLOOKUP(B6,$A$16:$C$19,2,0)</f>
        <v>600</v>
      </c>
      <c r="D6" s="31">
        <v>350</v>
      </c>
      <c r="E6" s="35">
        <f t="shared" ref="E6:E12" si="1">VLOOKUP(B6,$A$16:$C$19,3,0)</f>
        <v>1</v>
      </c>
      <c r="F6" s="35">
        <f t="shared" ref="F6:F12" si="2">IF(D6&gt;C6,(D6-C6)*20%*E6,0)</f>
        <v>0</v>
      </c>
      <c r="G6" s="35">
        <f t="shared" ref="G6:G12" si="3">(E6+F6)*$E$4</f>
        <v>21700</v>
      </c>
    </row>
    <row r="7" spans="1:8" x14ac:dyDescent="0.3">
      <c r="A7" s="31" t="s">
        <v>76</v>
      </c>
      <c r="B7" s="31" t="s">
        <v>77</v>
      </c>
      <c r="C7" s="35">
        <f t="shared" si="0"/>
        <v>600</v>
      </c>
      <c r="D7" s="31">
        <v>70</v>
      </c>
      <c r="E7" s="35">
        <f t="shared" si="1"/>
        <v>1</v>
      </c>
      <c r="F7" s="35">
        <f t="shared" si="2"/>
        <v>0</v>
      </c>
      <c r="G7" s="35">
        <f t="shared" si="3"/>
        <v>21700</v>
      </c>
    </row>
    <row r="8" spans="1:8" x14ac:dyDescent="0.3">
      <c r="A8" s="32" t="s">
        <v>74</v>
      </c>
      <c r="B8" s="31" t="s">
        <v>69</v>
      </c>
      <c r="C8" s="35">
        <f t="shared" si="0"/>
        <v>200</v>
      </c>
      <c r="D8" s="31">
        <v>500</v>
      </c>
      <c r="E8" s="35">
        <f t="shared" si="1"/>
        <v>3</v>
      </c>
      <c r="F8" s="35">
        <f t="shared" si="2"/>
        <v>180</v>
      </c>
      <c r="G8" s="35">
        <f t="shared" si="3"/>
        <v>3971100</v>
      </c>
    </row>
    <row r="9" spans="1:8" x14ac:dyDescent="0.3">
      <c r="A9" s="32" t="s">
        <v>73</v>
      </c>
      <c r="B9" s="31" t="s">
        <v>71</v>
      </c>
      <c r="C9" s="35">
        <f t="shared" si="0"/>
        <v>400</v>
      </c>
      <c r="D9" s="31">
        <v>1000</v>
      </c>
      <c r="E9" s="35">
        <f t="shared" si="1"/>
        <v>2</v>
      </c>
      <c r="F9" s="35">
        <f t="shared" si="2"/>
        <v>240</v>
      </c>
      <c r="G9" s="35">
        <f t="shared" si="3"/>
        <v>5251400</v>
      </c>
    </row>
    <row r="10" spans="1:8" x14ac:dyDescent="0.3">
      <c r="A10" s="32" t="s">
        <v>72</v>
      </c>
      <c r="B10" s="31" t="s">
        <v>69</v>
      </c>
      <c r="C10" s="35">
        <f t="shared" si="0"/>
        <v>200</v>
      </c>
      <c r="D10" s="31">
        <v>800</v>
      </c>
      <c r="E10" s="35">
        <f t="shared" si="1"/>
        <v>3</v>
      </c>
      <c r="F10" s="35">
        <f t="shared" si="2"/>
        <v>360</v>
      </c>
      <c r="G10" s="35">
        <f t="shared" si="3"/>
        <v>7877100</v>
      </c>
    </row>
    <row r="11" spans="1:8" x14ac:dyDescent="0.3">
      <c r="A11" s="32" t="s">
        <v>70</v>
      </c>
      <c r="B11" s="31" t="s">
        <v>71</v>
      </c>
      <c r="C11" s="35">
        <f t="shared" si="0"/>
        <v>400</v>
      </c>
      <c r="D11" s="31">
        <v>1580</v>
      </c>
      <c r="E11" s="35">
        <f t="shared" si="1"/>
        <v>2</v>
      </c>
      <c r="F11" s="35">
        <f t="shared" si="2"/>
        <v>472</v>
      </c>
      <c r="G11" s="35">
        <f t="shared" si="3"/>
        <v>10285800</v>
      </c>
      <c r="H11" s="28" t="s">
        <v>80</v>
      </c>
    </row>
    <row r="12" spans="1:8" x14ac:dyDescent="0.3">
      <c r="A12" s="31" t="s">
        <v>68</v>
      </c>
      <c r="B12" s="31" t="s">
        <v>69</v>
      </c>
      <c r="C12" s="35">
        <f t="shared" si="0"/>
        <v>200</v>
      </c>
      <c r="D12" s="31">
        <v>1900</v>
      </c>
      <c r="E12" s="35">
        <f t="shared" si="1"/>
        <v>3</v>
      </c>
      <c r="F12" s="35">
        <f t="shared" si="2"/>
        <v>1020</v>
      </c>
      <c r="G12" s="35">
        <f t="shared" si="3"/>
        <v>22199100</v>
      </c>
    </row>
    <row r="14" spans="1:8" ht="32.25" customHeight="1" x14ac:dyDescent="0.3">
      <c r="A14" s="51" t="s">
        <v>78</v>
      </c>
      <c r="B14" s="51"/>
      <c r="C14" s="51"/>
    </row>
    <row r="15" spans="1:8" ht="31.2" x14ac:dyDescent="0.3">
      <c r="A15" s="33" t="s">
        <v>61</v>
      </c>
      <c r="B15" s="33" t="s">
        <v>62</v>
      </c>
      <c r="C15" s="33" t="s">
        <v>64</v>
      </c>
    </row>
    <row r="16" spans="1:8" x14ac:dyDescent="0.3">
      <c r="A16" s="31" t="s">
        <v>69</v>
      </c>
      <c r="B16" s="31">
        <v>200</v>
      </c>
      <c r="C16" s="31">
        <v>3</v>
      </c>
    </row>
    <row r="17" spans="1:3" x14ac:dyDescent="0.3">
      <c r="A17" s="31" t="s">
        <v>71</v>
      </c>
      <c r="B17" s="31">
        <v>400</v>
      </c>
      <c r="C17" s="31">
        <v>2</v>
      </c>
    </row>
    <row r="18" spans="1:3" x14ac:dyDescent="0.3">
      <c r="A18" s="31" t="s">
        <v>77</v>
      </c>
      <c r="B18" s="31">
        <v>600</v>
      </c>
      <c r="C18" s="31">
        <v>1</v>
      </c>
    </row>
    <row r="19" spans="1:3" x14ac:dyDescent="0.3">
      <c r="A19" s="31" t="s">
        <v>79</v>
      </c>
      <c r="B19" s="31">
        <v>800</v>
      </c>
      <c r="C19" s="34">
        <v>0.5</v>
      </c>
    </row>
  </sheetData>
  <sortState xmlns:xlrd2="http://schemas.microsoft.com/office/spreadsheetml/2017/richdata2" ref="A6:G12">
    <sortCondition ref="G6:G12"/>
  </sortState>
  <mergeCells count="2">
    <mergeCell ref="A3:G3"/>
    <mergeCell ref="A14:C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7FBF-C360-47C2-ABCE-069E0CBABD69}">
  <dimension ref="A3:J14"/>
  <sheetViews>
    <sheetView showGridLines="0" topLeftCell="A2" workbookViewId="0">
      <selection activeCell="D23" sqref="D23"/>
    </sheetView>
  </sheetViews>
  <sheetFormatPr defaultColWidth="9.109375" defaultRowHeight="15.6" x14ac:dyDescent="0.3"/>
  <cols>
    <col min="1" max="1" width="11.109375" style="4" customWidth="1"/>
    <col min="2" max="2" width="17.6640625" style="4" customWidth="1"/>
    <col min="3" max="3" width="10.6640625" style="4" customWidth="1"/>
    <col min="4" max="4" width="11.33203125" style="4" customWidth="1"/>
    <col min="5" max="7" width="9.109375" style="4"/>
    <col min="8" max="8" width="8.109375" style="4" customWidth="1"/>
    <col min="9" max="16384" width="9.109375" style="4"/>
  </cols>
  <sheetData>
    <row r="3" spans="1:10" ht="15" customHeight="1" x14ac:dyDescent="0.3">
      <c r="A3" s="52" t="s">
        <v>81</v>
      </c>
      <c r="B3" s="52"/>
      <c r="C3" s="52"/>
      <c r="D3" s="52"/>
      <c r="E3" s="52"/>
      <c r="F3" s="52"/>
      <c r="G3" s="52"/>
      <c r="H3" s="52"/>
      <c r="I3" s="52"/>
      <c r="J3" s="52"/>
    </row>
    <row r="4" spans="1:10" ht="46.8" x14ac:dyDescent="0.3">
      <c r="A4" s="21" t="s">
        <v>82</v>
      </c>
      <c r="B4" s="21" t="s">
        <v>83</v>
      </c>
      <c r="C4" s="21" t="s">
        <v>84</v>
      </c>
      <c r="D4" s="21" t="s">
        <v>85</v>
      </c>
      <c r="E4" s="21" t="s">
        <v>86</v>
      </c>
      <c r="F4" s="21" t="s">
        <v>87</v>
      </c>
      <c r="G4" s="21" t="s">
        <v>88</v>
      </c>
      <c r="H4" s="21" t="s">
        <v>89</v>
      </c>
      <c r="I4" s="21" t="s">
        <v>44</v>
      </c>
      <c r="J4" s="21" t="s">
        <v>90</v>
      </c>
    </row>
    <row r="5" spans="1:10" x14ac:dyDescent="0.3">
      <c r="A5" s="36">
        <v>1</v>
      </c>
      <c r="B5" s="26" t="s">
        <v>91</v>
      </c>
      <c r="C5" s="10" t="s">
        <v>92</v>
      </c>
      <c r="D5" s="39" t="str">
        <f>HLOOKUP(LEFT(C5,1),$C$10:$E$11,2,0)</f>
        <v>Tin học</v>
      </c>
      <c r="E5" s="34">
        <v>7</v>
      </c>
      <c r="F5" s="34">
        <v>3</v>
      </c>
      <c r="G5" s="40">
        <f>E5*2+F5</f>
        <v>17</v>
      </c>
      <c r="H5" s="40">
        <f>VLOOKUP(VALUE(RIGHT(C5,1)),$G$11:$H$14,2,0)</f>
        <v>2</v>
      </c>
      <c r="I5" s="40">
        <f>H5+G5</f>
        <v>19</v>
      </c>
      <c r="J5" s="39" t="str">
        <f>IF(I5&gt;18,"Đậu","Rớt")</f>
        <v>Đậu</v>
      </c>
    </row>
    <row r="6" spans="1:10" x14ac:dyDescent="0.3">
      <c r="A6" s="36">
        <v>2</v>
      </c>
      <c r="B6" s="26" t="s">
        <v>93</v>
      </c>
      <c r="C6" s="10" t="s">
        <v>94</v>
      </c>
      <c r="D6" s="39" t="str">
        <f t="shared" ref="D6:D8" si="0">HLOOKUP(LEFT(C6,1),$C$10:$E$11,2,0)</f>
        <v>Lý</v>
      </c>
      <c r="E6" s="34">
        <v>4</v>
      </c>
      <c r="F6" s="34">
        <v>7</v>
      </c>
      <c r="G6" s="40">
        <f t="shared" ref="G6:G8" si="1">E6*2+F6</f>
        <v>15</v>
      </c>
      <c r="H6" s="40">
        <f t="shared" ref="H6:H8" si="2">VLOOKUP(VALUE(RIGHT(C6,1)),$G$11:$H$14,2,0)</f>
        <v>1</v>
      </c>
      <c r="I6" s="40">
        <f t="shared" ref="I6:I8" si="3">H6+G6</f>
        <v>16</v>
      </c>
      <c r="J6" s="39" t="str">
        <f t="shared" ref="J6:J8" si="4">IF(I6&gt;18,"Đậu","Rớt")</f>
        <v>Rớt</v>
      </c>
    </row>
    <row r="7" spans="1:10" x14ac:dyDescent="0.3">
      <c r="A7" s="36">
        <v>3</v>
      </c>
      <c r="B7" s="26" t="s">
        <v>95</v>
      </c>
      <c r="C7" s="10" t="s">
        <v>96</v>
      </c>
      <c r="D7" s="39" t="str">
        <f t="shared" si="0"/>
        <v>Hóa</v>
      </c>
      <c r="E7" s="34">
        <v>7</v>
      </c>
      <c r="F7" s="34">
        <v>6</v>
      </c>
      <c r="G7" s="40">
        <f t="shared" si="1"/>
        <v>20</v>
      </c>
      <c r="H7" s="40">
        <f t="shared" si="2"/>
        <v>1.5</v>
      </c>
      <c r="I7" s="40">
        <f t="shared" si="3"/>
        <v>21.5</v>
      </c>
      <c r="J7" s="39" t="str">
        <f t="shared" si="4"/>
        <v>Đậu</v>
      </c>
    </row>
    <row r="8" spans="1:10" x14ac:dyDescent="0.3">
      <c r="A8" s="36">
        <v>4</v>
      </c>
      <c r="B8" s="26" t="s">
        <v>97</v>
      </c>
      <c r="C8" s="10" t="s">
        <v>98</v>
      </c>
      <c r="D8" s="39" t="str">
        <f t="shared" si="0"/>
        <v>Hóa</v>
      </c>
      <c r="E8" s="34">
        <v>6</v>
      </c>
      <c r="F8" s="34">
        <v>6.5</v>
      </c>
      <c r="G8" s="40">
        <f t="shared" si="1"/>
        <v>18.5</v>
      </c>
      <c r="H8" s="40">
        <f t="shared" si="2"/>
        <v>0</v>
      </c>
      <c r="I8" s="40">
        <f t="shared" si="3"/>
        <v>18.5</v>
      </c>
      <c r="J8" s="39" t="str">
        <f t="shared" si="4"/>
        <v>Đậu</v>
      </c>
    </row>
    <row r="9" spans="1:10" x14ac:dyDescent="0.3">
      <c r="G9" s="54" t="s">
        <v>89</v>
      </c>
      <c r="H9" s="54"/>
    </row>
    <row r="10" spans="1:10" ht="32.25" customHeight="1" x14ac:dyDescent="0.3">
      <c r="A10" s="53" t="s">
        <v>99</v>
      </c>
      <c r="B10" s="38" t="s">
        <v>100</v>
      </c>
      <c r="C10" s="9" t="s">
        <v>69</v>
      </c>
      <c r="D10" s="9" t="s">
        <v>71</v>
      </c>
      <c r="E10" s="9" t="s">
        <v>77</v>
      </c>
      <c r="G10" s="21" t="s">
        <v>105</v>
      </c>
      <c r="H10" s="21" t="s">
        <v>106</v>
      </c>
    </row>
    <row r="11" spans="1:10" x14ac:dyDescent="0.3">
      <c r="A11" s="53"/>
      <c r="B11" s="38" t="s">
        <v>101</v>
      </c>
      <c r="C11" s="36" t="s">
        <v>102</v>
      </c>
      <c r="D11" s="36" t="s">
        <v>103</v>
      </c>
      <c r="E11" s="36" t="s">
        <v>104</v>
      </c>
      <c r="G11" s="26">
        <v>1</v>
      </c>
      <c r="H11" s="26">
        <v>2</v>
      </c>
    </row>
    <row r="12" spans="1:10" x14ac:dyDescent="0.3">
      <c r="G12" s="26">
        <v>2</v>
      </c>
      <c r="H12" s="26">
        <v>1.5</v>
      </c>
    </row>
    <row r="13" spans="1:10" x14ac:dyDescent="0.3">
      <c r="G13" s="37">
        <v>3</v>
      </c>
      <c r="H13" s="37">
        <v>1</v>
      </c>
    </row>
    <row r="14" spans="1:10" x14ac:dyDescent="0.3">
      <c r="G14" s="26">
        <v>4</v>
      </c>
      <c r="H14" s="26">
        <v>0</v>
      </c>
    </row>
  </sheetData>
  <mergeCells count="3">
    <mergeCell ref="A3:J3"/>
    <mergeCell ref="A10:A11"/>
    <mergeCell ref="G9:H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4422-4E77-464C-947C-E071C9F93ACA}">
  <dimension ref="A4:G23"/>
  <sheetViews>
    <sheetView showGridLines="0" topLeftCell="A4" workbookViewId="0">
      <selection activeCell="G13" sqref="G13"/>
    </sheetView>
  </sheetViews>
  <sheetFormatPr defaultColWidth="9.109375" defaultRowHeight="15.6" x14ac:dyDescent="0.3"/>
  <cols>
    <col min="1" max="1" width="10.6640625" style="4" customWidth="1"/>
    <col min="2" max="2" width="13.44140625" style="4" customWidth="1"/>
    <col min="3" max="3" width="12.33203125" style="4" customWidth="1"/>
    <col min="4" max="4" width="14.44140625" style="4" customWidth="1"/>
    <col min="5" max="5" width="12.109375" style="4" customWidth="1"/>
    <col min="6" max="6" width="11.33203125" style="4" customWidth="1"/>
    <col min="7" max="7" width="12.5546875" style="4" customWidth="1"/>
    <col min="8" max="16384" width="9.109375" style="4"/>
  </cols>
  <sheetData>
    <row r="4" spans="1:7" x14ac:dyDescent="0.3">
      <c r="A4" s="55" t="s">
        <v>107</v>
      </c>
      <c r="B4" s="52"/>
      <c r="C4" s="52"/>
      <c r="D4" s="52"/>
      <c r="E4" s="52"/>
      <c r="F4" s="52"/>
      <c r="G4" s="52"/>
    </row>
    <row r="5" spans="1:7" ht="46.8" x14ac:dyDescent="0.3">
      <c r="A5" s="21" t="s">
        <v>108</v>
      </c>
      <c r="B5" s="21" t="s">
        <v>109</v>
      </c>
      <c r="C5" s="21" t="s">
        <v>110</v>
      </c>
      <c r="D5" s="21" t="s">
        <v>111</v>
      </c>
      <c r="E5" s="21" t="s">
        <v>112</v>
      </c>
      <c r="F5" s="21" t="s">
        <v>42</v>
      </c>
      <c r="G5" s="21" t="s">
        <v>44</v>
      </c>
    </row>
    <row r="6" spans="1:7" x14ac:dyDescent="0.3">
      <c r="A6" s="26" t="s">
        <v>113</v>
      </c>
      <c r="B6" s="39" t="str">
        <f>VLOOKUP(LEFT(A6,2),$A$19:$D$23,2,0)</f>
        <v>Đĩa cứng</v>
      </c>
      <c r="C6" s="40">
        <f>VLOOKUP(LEFT(A6,2),$A$19:$D$23,RIGHT(A6,1)+2,0)</f>
        <v>49</v>
      </c>
      <c r="D6" s="26">
        <v>60</v>
      </c>
      <c r="E6" s="40">
        <f>IF(RIGHT(A6,1)="1",1%,5%)*C6</f>
        <v>0.49</v>
      </c>
      <c r="F6" s="35">
        <f>D6*(C6+E6)</f>
        <v>2969.4</v>
      </c>
      <c r="G6" s="35">
        <f>F6-(IF(F6&gt;=1000,1%*F6,0))</f>
        <v>2939.7060000000001</v>
      </c>
    </row>
    <row r="7" spans="1:7" x14ac:dyDescent="0.3">
      <c r="A7" s="26" t="s">
        <v>115</v>
      </c>
      <c r="B7" s="39" t="str">
        <f t="shared" ref="B7:B13" si="0">VLOOKUP(LEFT(A7,2),$A$19:$D$23,2,0)</f>
        <v>Đĩa mềm</v>
      </c>
      <c r="C7" s="40">
        <f t="shared" ref="C7:C13" si="1">VLOOKUP(LEFT(A7,2),$A$19:$D$23,RIGHT(A7,1)+2,0)</f>
        <v>2.5</v>
      </c>
      <c r="D7" s="26">
        <v>70</v>
      </c>
      <c r="E7" s="40">
        <f t="shared" ref="E7:E13" si="2">IF(RIGHT(A7,1)="1",1%,5%)*C7</f>
        <v>2.5000000000000001E-2</v>
      </c>
      <c r="F7" s="35">
        <f t="shared" ref="F7:F13" si="3">D7*(C7+E7)</f>
        <v>176.75</v>
      </c>
      <c r="G7" s="35">
        <f t="shared" ref="G7:G13" si="4">F7-(IF(F7&gt;=1000,1%*F7,0))</f>
        <v>176.75</v>
      </c>
    </row>
    <row r="8" spans="1:7" x14ac:dyDescent="0.3">
      <c r="A8" s="26" t="s">
        <v>116</v>
      </c>
      <c r="B8" s="39" t="str">
        <f t="shared" si="0"/>
        <v>Mouse</v>
      </c>
      <c r="C8" s="40">
        <f t="shared" si="1"/>
        <v>3</v>
      </c>
      <c r="D8" s="26">
        <v>30</v>
      </c>
      <c r="E8" s="40">
        <f t="shared" si="2"/>
        <v>0.03</v>
      </c>
      <c r="F8" s="35">
        <f t="shared" si="3"/>
        <v>90.899999999999991</v>
      </c>
      <c r="G8" s="35">
        <f t="shared" si="4"/>
        <v>90.899999999999991</v>
      </c>
    </row>
    <row r="9" spans="1:7" x14ac:dyDescent="0.3">
      <c r="A9" s="26" t="s">
        <v>117</v>
      </c>
      <c r="B9" s="39" t="str">
        <f t="shared" si="0"/>
        <v>SD Ram</v>
      </c>
      <c r="C9" s="40">
        <f t="shared" si="1"/>
        <v>13</v>
      </c>
      <c r="D9" s="26">
        <v>120</v>
      </c>
      <c r="E9" s="40">
        <f t="shared" si="2"/>
        <v>0.13</v>
      </c>
      <c r="F9" s="35">
        <f t="shared" si="3"/>
        <v>1575.6000000000001</v>
      </c>
      <c r="G9" s="35">
        <f t="shared" si="4"/>
        <v>1559.8440000000001</v>
      </c>
    </row>
    <row r="10" spans="1:7" x14ac:dyDescent="0.3">
      <c r="A10" s="26" t="s">
        <v>118</v>
      </c>
      <c r="B10" s="39" t="str">
        <f t="shared" si="0"/>
        <v>DD Ram</v>
      </c>
      <c r="C10" s="40">
        <f t="shared" si="1"/>
        <v>27</v>
      </c>
      <c r="D10" s="26">
        <v>100</v>
      </c>
      <c r="E10" s="40">
        <f t="shared" si="2"/>
        <v>0.27</v>
      </c>
      <c r="F10" s="35">
        <f t="shared" si="3"/>
        <v>2727</v>
      </c>
      <c r="G10" s="35">
        <f t="shared" si="4"/>
        <v>2699.73</v>
      </c>
    </row>
    <row r="11" spans="1:7" x14ac:dyDescent="0.3">
      <c r="A11" s="26" t="s">
        <v>119</v>
      </c>
      <c r="B11" s="39" t="str">
        <f t="shared" si="0"/>
        <v>Đĩa cứng</v>
      </c>
      <c r="C11" s="40">
        <f t="shared" si="1"/>
        <v>50</v>
      </c>
      <c r="D11" s="26">
        <v>50</v>
      </c>
      <c r="E11" s="40">
        <f t="shared" si="2"/>
        <v>2.5</v>
      </c>
      <c r="F11" s="35">
        <f t="shared" si="3"/>
        <v>2625</v>
      </c>
      <c r="G11" s="35">
        <f t="shared" si="4"/>
        <v>2598.75</v>
      </c>
    </row>
    <row r="12" spans="1:7" x14ac:dyDescent="0.3">
      <c r="A12" s="26" t="s">
        <v>120</v>
      </c>
      <c r="B12" s="39" t="str">
        <f t="shared" si="0"/>
        <v>Mouse</v>
      </c>
      <c r="C12" s="40">
        <f t="shared" si="1"/>
        <v>3.5</v>
      </c>
      <c r="D12" s="26">
        <v>65</v>
      </c>
      <c r="E12" s="40">
        <f t="shared" si="2"/>
        <v>0.17500000000000002</v>
      </c>
      <c r="F12" s="35">
        <f t="shared" si="3"/>
        <v>238.875</v>
      </c>
      <c r="G12" s="35">
        <f t="shared" si="4"/>
        <v>238.875</v>
      </c>
    </row>
    <row r="13" spans="1:7" x14ac:dyDescent="0.3">
      <c r="A13" s="26" t="s">
        <v>121</v>
      </c>
      <c r="B13" s="39" t="str">
        <f t="shared" si="0"/>
        <v>DD Ram</v>
      </c>
      <c r="C13" s="40">
        <f t="shared" si="1"/>
        <v>30</v>
      </c>
      <c r="D13" s="26">
        <v>20</v>
      </c>
      <c r="E13" s="40">
        <f t="shared" si="2"/>
        <v>1.5</v>
      </c>
      <c r="F13" s="35">
        <f t="shared" si="3"/>
        <v>630</v>
      </c>
      <c r="G13" s="35">
        <f t="shared" si="4"/>
        <v>630</v>
      </c>
    </row>
    <row r="16" spans="1:7" x14ac:dyDescent="0.3">
      <c r="A16" s="55" t="s">
        <v>110</v>
      </c>
      <c r="B16" s="52"/>
      <c r="C16" s="52"/>
      <c r="D16" s="52"/>
    </row>
    <row r="17" spans="1:7" ht="16.5" customHeight="1" x14ac:dyDescent="0.3">
      <c r="A17" s="56" t="s">
        <v>108</v>
      </c>
      <c r="B17" s="56" t="s">
        <v>109</v>
      </c>
      <c r="C17" s="43" t="s">
        <v>110</v>
      </c>
      <c r="D17" s="44"/>
      <c r="F17" s="58" t="s">
        <v>131</v>
      </c>
      <c r="G17" s="59"/>
    </row>
    <row r="18" spans="1:7" x14ac:dyDescent="0.3">
      <c r="A18" s="57"/>
      <c r="B18" s="57"/>
      <c r="C18" s="21">
        <v>1</v>
      </c>
      <c r="D18" s="21">
        <v>2</v>
      </c>
      <c r="F18" s="58" t="s">
        <v>132</v>
      </c>
      <c r="G18" s="59"/>
    </row>
    <row r="19" spans="1:7" x14ac:dyDescent="0.3">
      <c r="A19" s="26" t="s">
        <v>122</v>
      </c>
      <c r="B19" s="26" t="s">
        <v>126</v>
      </c>
      <c r="C19" s="26">
        <v>49</v>
      </c>
      <c r="D19" s="26">
        <v>50</v>
      </c>
      <c r="F19" s="26" t="s">
        <v>122</v>
      </c>
      <c r="G19" s="40">
        <f>SUMIF(A6:$A$13,F19&amp;"*",$D$6:$D$13)</f>
        <v>110</v>
      </c>
    </row>
    <row r="20" spans="1:7" x14ac:dyDescent="0.3">
      <c r="A20" s="26" t="s">
        <v>114</v>
      </c>
      <c r="B20" s="26" t="s">
        <v>127</v>
      </c>
      <c r="C20" s="26">
        <v>2.5</v>
      </c>
      <c r="D20" s="26">
        <v>3</v>
      </c>
      <c r="F20" s="26" t="s">
        <v>114</v>
      </c>
      <c r="G20" s="40">
        <f>SUMIF(A7:$A$13,F20&amp;"*",$D$6:$D$13)</f>
        <v>60</v>
      </c>
    </row>
    <row r="21" spans="1:7" x14ac:dyDescent="0.3">
      <c r="A21" s="26" t="s">
        <v>123</v>
      </c>
      <c r="B21" s="26" t="s">
        <v>128</v>
      </c>
      <c r="C21" s="26">
        <v>3</v>
      </c>
      <c r="D21" s="26">
        <v>3.5</v>
      </c>
      <c r="F21" s="26" t="s">
        <v>123</v>
      </c>
      <c r="G21" s="40">
        <f>SUMIF(A8:$A$13,F21&amp;"*",$D$6:$D$13)</f>
        <v>160</v>
      </c>
    </row>
    <row r="22" spans="1:7" x14ac:dyDescent="0.3">
      <c r="A22" s="26" t="s">
        <v>124</v>
      </c>
      <c r="B22" s="26" t="s">
        <v>129</v>
      </c>
      <c r="C22" s="26">
        <v>13</v>
      </c>
      <c r="D22" s="26">
        <v>15</v>
      </c>
      <c r="F22" s="26" t="s">
        <v>124</v>
      </c>
      <c r="G22" s="40">
        <f>SUMIF(A9:$A$13,F22&amp;"*",$D$6:$D$13)</f>
        <v>60</v>
      </c>
    </row>
    <row r="23" spans="1:7" x14ac:dyDescent="0.3">
      <c r="A23" s="26" t="s">
        <v>125</v>
      </c>
      <c r="B23" s="26" t="s">
        <v>130</v>
      </c>
      <c r="C23" s="26">
        <v>27</v>
      </c>
      <c r="D23" s="26">
        <v>30</v>
      </c>
      <c r="F23" s="26" t="s">
        <v>125</v>
      </c>
      <c r="G23" s="40">
        <f>SUMIF(A10:$A$13,F23&amp;"*",$D$6:$D$13)</f>
        <v>180</v>
      </c>
    </row>
  </sheetData>
  <mergeCells count="7">
    <mergeCell ref="A4:G4"/>
    <mergeCell ref="A16:D16"/>
    <mergeCell ref="A17:A18"/>
    <mergeCell ref="B17:B18"/>
    <mergeCell ref="C17:D17"/>
    <mergeCell ref="F17:G17"/>
    <mergeCell ref="F18:G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3DA8-E9D2-4671-8675-41F6EDB2B882}">
  <dimension ref="A2:J12"/>
  <sheetViews>
    <sheetView showGridLines="0" workbookViewId="0">
      <selection activeCell="G23" sqref="G23"/>
    </sheetView>
  </sheetViews>
  <sheetFormatPr defaultRowHeight="15.6" x14ac:dyDescent="0.3"/>
  <cols>
    <col min="1" max="1" width="8.88671875" style="64"/>
    <col min="2" max="2" width="11.21875" style="64" customWidth="1"/>
    <col min="3" max="3" width="11.109375" style="64" customWidth="1"/>
    <col min="4" max="4" width="11" style="64" bestFit="1" customWidth="1"/>
    <col min="5" max="5" width="13.109375" style="64" customWidth="1"/>
    <col min="6" max="6" width="10.77734375" style="64" customWidth="1"/>
    <col min="7" max="7" width="12.77734375" style="64" customWidth="1"/>
    <col min="8" max="8" width="14.21875" style="64" customWidth="1"/>
    <col min="9" max="9" width="13.5546875" style="64" customWidth="1"/>
    <col min="10" max="10" width="9.88671875" style="64" bestFit="1" customWidth="1"/>
    <col min="11" max="16384" width="8.88671875" style="64"/>
  </cols>
  <sheetData>
    <row r="2" spans="1:10" x14ac:dyDescent="0.3">
      <c r="A2" s="68" t="s">
        <v>150</v>
      </c>
    </row>
    <row r="3" spans="1:10" x14ac:dyDescent="0.3">
      <c r="A3" s="63" t="s">
        <v>133</v>
      </c>
      <c r="B3" s="63"/>
      <c r="C3" s="63"/>
      <c r="D3" s="63"/>
      <c r="E3" s="63"/>
      <c r="F3" s="63"/>
      <c r="G3" s="63"/>
      <c r="H3" s="63"/>
      <c r="I3" s="63"/>
      <c r="J3" s="63"/>
    </row>
    <row r="4" spans="1:10" ht="46.8" x14ac:dyDescent="0.3">
      <c r="A4" s="65" t="s">
        <v>134</v>
      </c>
      <c r="B4" s="65" t="s">
        <v>135</v>
      </c>
      <c r="C4" s="65" t="s">
        <v>136</v>
      </c>
      <c r="D4" s="65" t="s">
        <v>137</v>
      </c>
      <c r="E4" s="65" t="s">
        <v>138</v>
      </c>
      <c r="F4" s="65" t="s">
        <v>139</v>
      </c>
      <c r="G4" s="65" t="s">
        <v>148</v>
      </c>
      <c r="H4" s="65" t="s">
        <v>140</v>
      </c>
      <c r="I4" s="65" t="s">
        <v>141</v>
      </c>
      <c r="J4" s="65" t="s">
        <v>142</v>
      </c>
    </row>
    <row r="5" spans="1:10" x14ac:dyDescent="0.3">
      <c r="A5" s="71" t="s">
        <v>143</v>
      </c>
      <c r="B5" s="66" t="str">
        <f>IF(RIGHT(A5,2)="DK","Đa Kao",IF(RIGHT(A5,2)="BT","Bến Thành","Bà Chiểu"))</f>
        <v>Đa Kao</v>
      </c>
      <c r="C5" s="71" t="s">
        <v>146</v>
      </c>
      <c r="D5" s="66" t="str">
        <f>VLOOKUP(C5,$B$10:$D$12,2,0)</f>
        <v>Vải Kate</v>
      </c>
      <c r="E5" s="72">
        <v>10000000</v>
      </c>
      <c r="F5" s="66">
        <f>E5*10%</f>
        <v>1000000</v>
      </c>
      <c r="G5" s="73" t="s">
        <v>149</v>
      </c>
      <c r="H5" s="73" t="s">
        <v>149</v>
      </c>
      <c r="I5" s="75">
        <f>IF(H5-G5&gt;3,(H5-G5)*2%*F5,0)</f>
        <v>0</v>
      </c>
      <c r="J5" s="66">
        <f>F5+I5</f>
        <v>1000000</v>
      </c>
    </row>
    <row r="6" spans="1:10" x14ac:dyDescent="0.3">
      <c r="A6" s="71" t="s">
        <v>144</v>
      </c>
      <c r="B6" s="66" t="str">
        <f t="shared" ref="B6:B7" si="0">IF(RIGHT(A6,2)="DK","Đa Kao",IF(RIGHT(A6,2)="BT","Bến Thành","Bà Chiểu"))</f>
        <v>Bến Thành</v>
      </c>
      <c r="C6" s="71" t="s">
        <v>147</v>
      </c>
      <c r="D6" s="66" t="str">
        <f t="shared" ref="D6:D7" si="1">VLOOKUP(C6,$B$10:$D$12,2,0)</f>
        <v>Quần áo</v>
      </c>
      <c r="E6" s="72">
        <v>2000000</v>
      </c>
      <c r="F6" s="66">
        <f t="shared" ref="F6:F7" si="2">E6*10%</f>
        <v>200000</v>
      </c>
      <c r="G6" s="74" t="s">
        <v>157</v>
      </c>
      <c r="H6" s="73" t="s">
        <v>159</v>
      </c>
      <c r="I6" s="75">
        <f t="shared" ref="I6:I7" si="3">IF(H6-G6&gt;3,(H6-G6)*2%*F6,0)</f>
        <v>16000</v>
      </c>
      <c r="J6" s="66">
        <f t="shared" ref="J6:J7" si="4">F6+I6</f>
        <v>216000</v>
      </c>
    </row>
    <row r="7" spans="1:10" x14ac:dyDescent="0.3">
      <c r="A7" s="71" t="s">
        <v>145</v>
      </c>
      <c r="B7" s="66" t="str">
        <f t="shared" si="0"/>
        <v>Bà Chiểu</v>
      </c>
      <c r="C7" s="71" t="s">
        <v>20</v>
      </c>
      <c r="D7" s="66" t="str">
        <f t="shared" si="1"/>
        <v>Thực phẩm</v>
      </c>
      <c r="E7" s="72">
        <v>5000000</v>
      </c>
      <c r="F7" s="66">
        <f t="shared" si="2"/>
        <v>500000</v>
      </c>
      <c r="G7" s="73" t="s">
        <v>158</v>
      </c>
      <c r="H7" s="73" t="s">
        <v>157</v>
      </c>
      <c r="I7" s="75">
        <f t="shared" si="3"/>
        <v>0</v>
      </c>
      <c r="J7" s="66">
        <f t="shared" si="4"/>
        <v>500000</v>
      </c>
    </row>
    <row r="8" spans="1:10" x14ac:dyDescent="0.3">
      <c r="A8" s="67"/>
      <c r="B8" s="69" t="s">
        <v>151</v>
      </c>
      <c r="C8" s="67"/>
      <c r="D8" s="67"/>
      <c r="E8" s="67"/>
      <c r="F8" s="67"/>
      <c r="G8" s="67"/>
      <c r="H8" s="67"/>
      <c r="I8" s="67"/>
      <c r="J8" s="67"/>
    </row>
    <row r="9" spans="1:10" ht="31.2" x14ac:dyDescent="0.3">
      <c r="B9" s="65" t="s">
        <v>152</v>
      </c>
      <c r="C9" s="70" t="s">
        <v>153</v>
      </c>
      <c r="D9" s="70" t="s">
        <v>154</v>
      </c>
    </row>
    <row r="10" spans="1:10" x14ac:dyDescent="0.3">
      <c r="B10" s="72" t="s">
        <v>20</v>
      </c>
      <c r="C10" s="72" t="s">
        <v>58</v>
      </c>
      <c r="D10" s="72">
        <v>5</v>
      </c>
    </row>
    <row r="11" spans="1:10" x14ac:dyDescent="0.3">
      <c r="B11" s="72" t="s">
        <v>146</v>
      </c>
      <c r="C11" s="72" t="s">
        <v>155</v>
      </c>
      <c r="D11" s="72">
        <v>9</v>
      </c>
    </row>
    <row r="12" spans="1:10" x14ac:dyDescent="0.3">
      <c r="B12" s="72" t="s">
        <v>147</v>
      </c>
      <c r="C12" s="72" t="s">
        <v>156</v>
      </c>
      <c r="D12" s="72">
        <v>8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7186-82D0-4A62-99E0-A73D928240A6}">
  <sheetPr filterMode="1"/>
  <dimension ref="A1:I32"/>
  <sheetViews>
    <sheetView showGridLines="0" topLeftCell="A9" zoomScaleNormal="100" workbookViewId="0">
      <selection activeCell="P3" sqref="P3"/>
    </sheetView>
  </sheetViews>
  <sheetFormatPr defaultRowHeight="14.4" x14ac:dyDescent="0.3"/>
  <cols>
    <col min="1" max="1" width="16.44140625" customWidth="1"/>
    <col min="2" max="2" width="14.109375" customWidth="1"/>
    <col min="3" max="3" width="14.77734375" customWidth="1"/>
    <col min="4" max="4" width="17.109375" customWidth="1"/>
    <col min="5" max="5" width="16.5546875" customWidth="1"/>
    <col min="6" max="6" width="14" customWidth="1"/>
    <col min="8" max="8" width="14.33203125" customWidth="1"/>
  </cols>
  <sheetData>
    <row r="1" spans="1:9" ht="21" x14ac:dyDescent="0.4">
      <c r="A1" s="119" t="s">
        <v>185</v>
      </c>
      <c r="B1" s="119"/>
      <c r="C1" s="119"/>
      <c r="D1" s="119"/>
      <c r="E1" s="119"/>
      <c r="F1" s="119"/>
      <c r="G1" s="119"/>
      <c r="H1" s="119"/>
      <c r="I1" s="119"/>
    </row>
    <row r="2" spans="1:9" ht="21" x14ac:dyDescent="0.4">
      <c r="A2" s="120"/>
      <c r="B2" s="120"/>
      <c r="C2" s="120"/>
      <c r="D2" s="120"/>
      <c r="E2" s="120"/>
      <c r="F2" s="120"/>
      <c r="G2" s="120"/>
      <c r="H2" s="120"/>
      <c r="I2" s="120"/>
    </row>
    <row r="3" spans="1:9" x14ac:dyDescent="0.3">
      <c r="A3" s="121" t="s">
        <v>186</v>
      </c>
      <c r="B3" s="122" t="s">
        <v>187</v>
      </c>
    </row>
    <row r="5" spans="1:9" ht="28.8" x14ac:dyDescent="0.3">
      <c r="A5" s="123" t="s">
        <v>188</v>
      </c>
      <c r="B5" s="123" t="s">
        <v>189</v>
      </c>
      <c r="C5" s="124" t="s">
        <v>190</v>
      </c>
      <c r="D5" s="123" t="s">
        <v>191</v>
      </c>
      <c r="E5" s="123" t="s">
        <v>192</v>
      </c>
      <c r="F5" s="123" t="s">
        <v>193</v>
      </c>
      <c r="G5" s="123" t="s">
        <v>53</v>
      </c>
      <c r="H5" s="124" t="s">
        <v>194</v>
      </c>
      <c r="I5" s="123" t="s">
        <v>195</v>
      </c>
    </row>
    <row r="6" spans="1:9" hidden="1" x14ac:dyDescent="0.3">
      <c r="A6" s="125">
        <v>38346</v>
      </c>
      <c r="B6" s="60" t="s">
        <v>198</v>
      </c>
      <c r="C6" s="60" t="str">
        <f>VLOOKUP(LEFT(B6,3),$D$19:$F$22,2,0)</f>
        <v>Tivi Samsung</v>
      </c>
      <c r="D6" s="60" t="str">
        <f>IF(RIGHT(B6,1)="N","Nhập","Xuất")</f>
        <v>Nhập</v>
      </c>
      <c r="E6" s="60" t="str">
        <f>IF(D6="Xuất",VLOOKUP(MID(B6,4,2),$A$19:$B$22,2,0),HLOOKUP(MID(B6,4,2),$B$14:$E$15,2,0))</f>
        <v>Công Ty PTE</v>
      </c>
      <c r="F6" s="60">
        <v>65</v>
      </c>
      <c r="G6" s="132">
        <f>IF(D6="Xuất",102%*VLOOKUP(LEFT(B6,3),$D$19:$F$22,3,0),VLOOKUP(LEFT(B6,3),$D$19:$F$22,3,0))</f>
        <v>3500000</v>
      </c>
      <c r="H6" s="132">
        <f>F6*G6</f>
        <v>227500000</v>
      </c>
      <c r="I6" s="132">
        <f>IF(AND(F6&gt;200,D6="Xuất"),H6*10%,0)</f>
        <v>0</v>
      </c>
    </row>
    <row r="7" spans="1:9" hidden="1" x14ac:dyDescent="0.3">
      <c r="A7" s="125">
        <v>38317</v>
      </c>
      <c r="B7" s="60" t="s">
        <v>197</v>
      </c>
      <c r="C7" s="60" t="str">
        <f>VLOOKUP(LEFT(B7,3),$D$19:$F$22,2,0)</f>
        <v>Máy giặt Sanyo</v>
      </c>
      <c r="D7" s="60" t="str">
        <f>IF(RIGHT(B7,1)="N","Nhập","Xuất")</f>
        <v>Xuất</v>
      </c>
      <c r="E7" s="60" t="str">
        <f>IF(D7="Xuất",VLOOKUP(MID(B7,4,2),$A$19:$B$22,2,0),HLOOKUP(MID(B7,4,2),$B$14:$E$15,2,0))</f>
        <v>Sách hướng dẫn</v>
      </c>
      <c r="F7" s="60">
        <v>50</v>
      </c>
      <c r="G7" s="132">
        <f>IF(D7="Xuất",102%*VLOOKUP(LEFT(B7,3),$D$19:$F$22,3,0),VLOOKUP(LEFT(B7,3),$D$19:$F$22,3,0))</f>
        <v>3060000</v>
      </c>
      <c r="H7" s="132">
        <f>F7*G7</f>
        <v>153000000</v>
      </c>
      <c r="I7" s="132">
        <f>IF(AND(F7&gt;200,D7="Xuất"),H7*10%,0)</f>
        <v>0</v>
      </c>
    </row>
    <row r="8" spans="1:9" hidden="1" x14ac:dyDescent="0.3">
      <c r="A8" s="125">
        <v>38377</v>
      </c>
      <c r="B8" s="60" t="s">
        <v>199</v>
      </c>
      <c r="C8" s="60" t="str">
        <f>VLOOKUP(LEFT(B8,3),$D$19:$F$22,2,0)</f>
        <v>Máy giặt Sanyo</v>
      </c>
      <c r="D8" s="60" t="str">
        <f>IF(RIGHT(B8,1)="N","Nhập","Xuất")</f>
        <v>Nhập</v>
      </c>
      <c r="E8" s="60" t="str">
        <f>IF(D8="Xuất",VLOOKUP(MID(B8,4,2),$A$19:$B$22,2,0),HLOOKUP(MID(B8,4,2),$B$14:$E$15,2,0))</f>
        <v>HTX Hạnh Nguyên</v>
      </c>
      <c r="F8" s="60">
        <v>30</v>
      </c>
      <c r="G8" s="132">
        <f>IF(D8="Xuất",102%*VLOOKUP(LEFT(B8,3),$D$19:$F$22,3,0),VLOOKUP(LEFT(B8,3),$D$19:$F$22,3,0))</f>
        <v>3000000</v>
      </c>
      <c r="H8" s="132">
        <f>F8*G8</f>
        <v>90000000</v>
      </c>
      <c r="I8" s="132">
        <f>IF(AND(F8&gt;200,D8="Xuất"),H8*10%,0)</f>
        <v>0</v>
      </c>
    </row>
    <row r="9" spans="1:9" x14ac:dyDescent="0.3">
      <c r="A9" s="125">
        <v>111474</v>
      </c>
      <c r="B9" s="60" t="s">
        <v>201</v>
      </c>
      <c r="C9" s="60" t="str">
        <f>VLOOKUP(LEFT(B9,3),$D$19:$F$22,2,0)</f>
        <v>Sáo cửa sổ</v>
      </c>
      <c r="D9" s="60" t="str">
        <f>IF(RIGHT(B9,1)="N","Nhập","Xuất")</f>
        <v>Xuất</v>
      </c>
      <c r="E9" s="60" t="str">
        <f>IF(D9="Xuất",VLOOKUP(MID(B9,4,2),$A$19:$B$22,2,0),HLOOKUP(MID(B9,4,2),$B$14:$E$15,2,0))</f>
        <v>Sách hướng dẫn</v>
      </c>
      <c r="F9" s="60">
        <v>300</v>
      </c>
      <c r="G9" s="132">
        <f>IF(D9="Xuất",102%*VLOOKUP(LEFT(B9,3),$D$19:$F$22,3,0),VLOOKUP(LEFT(B9,3),$D$19:$F$22,3,0))</f>
        <v>153000</v>
      </c>
      <c r="H9" s="132">
        <f>F9*G9</f>
        <v>45900000</v>
      </c>
      <c r="I9" s="132">
        <f>IF(AND(F9&gt;200,D9="Xuất"),H9*10%,0)</f>
        <v>4590000</v>
      </c>
    </row>
    <row r="10" spans="1:9" x14ac:dyDescent="0.3">
      <c r="A10" s="125">
        <v>38381</v>
      </c>
      <c r="B10" s="60" t="s">
        <v>200</v>
      </c>
      <c r="C10" s="60" t="str">
        <f>VLOOKUP(LEFT(B10,3),$D$19:$F$22,2,0)</f>
        <v>Compact Disk</v>
      </c>
      <c r="D10" s="60" t="str">
        <f>IF(RIGHT(B10,1)="N","Nhập","Xuất")</f>
        <v>Xuất</v>
      </c>
      <c r="E10" s="60" t="str">
        <f>IF(D10="Xuất",VLOOKUP(MID(B10,4,2),$A$19:$B$22,2,0),HLOOKUP(MID(B10,4,2),$B$14:$E$15,2,0))</f>
        <v>Sách kỹ thuật</v>
      </c>
      <c r="F10" s="60">
        <v>500</v>
      </c>
      <c r="G10" s="132">
        <f>IF(D10="Xuất",102%*VLOOKUP(LEFT(B10,3),$D$19:$F$22,3,0),VLOOKUP(LEFT(B10,3),$D$19:$F$22,3,0))</f>
        <v>25500</v>
      </c>
      <c r="H10" s="132">
        <f>F10*G10</f>
        <v>12750000</v>
      </c>
      <c r="I10" s="132">
        <f>IF(AND(F10&gt;200,D10="Xuất"),H10*10%,0)</f>
        <v>1275000</v>
      </c>
    </row>
    <row r="11" spans="1:9" x14ac:dyDescent="0.3">
      <c r="A11" s="125">
        <v>38280</v>
      </c>
      <c r="B11" s="60" t="s">
        <v>196</v>
      </c>
      <c r="C11" s="60" t="str">
        <f>VLOOKUP(LEFT(B11,3),$D$19:$F$22,2,0)</f>
        <v>Compact Disk</v>
      </c>
      <c r="D11" s="60" t="str">
        <f>IF(RIGHT(B11,1)="N","Nhập","Xuất")</f>
        <v>Xuất</v>
      </c>
      <c r="E11" s="60" t="str">
        <f>IF(D11="Xuất",VLOOKUP(MID(B11,4,2),$A$19:$B$22,2,0),HLOOKUP(MID(B11,4,2),$B$14:$E$15,2,0))</f>
        <v>Sách giáo khoa</v>
      </c>
      <c r="F11" s="60">
        <v>100</v>
      </c>
      <c r="G11" s="132">
        <f>IF(D11="Xuất",102%*VLOOKUP(LEFT(B11,3),$D$19:$F$22,3,0),VLOOKUP(LEFT(B11,3),$D$19:$F$22,3,0))</f>
        <v>25500</v>
      </c>
      <c r="H11" s="132">
        <f>F11*G11</f>
        <v>2550000</v>
      </c>
      <c r="I11" s="132">
        <f>IF(AND(F11&gt;200,D11="Xuất"),H11*10%,0)</f>
        <v>0</v>
      </c>
    </row>
    <row r="13" spans="1:9" x14ac:dyDescent="0.3">
      <c r="A13" s="126" t="s">
        <v>202</v>
      </c>
      <c r="B13" s="126"/>
      <c r="C13" s="126"/>
      <c r="D13" s="126"/>
      <c r="E13" s="126"/>
    </row>
    <row r="14" spans="1:9" x14ac:dyDescent="0.3">
      <c r="A14" s="127" t="s">
        <v>203</v>
      </c>
      <c r="B14" s="128" t="s">
        <v>204</v>
      </c>
      <c r="C14" s="128" t="s">
        <v>205</v>
      </c>
      <c r="D14" s="128" t="s">
        <v>206</v>
      </c>
      <c r="E14" s="128" t="s">
        <v>207</v>
      </c>
    </row>
    <row r="15" spans="1:9" x14ac:dyDescent="0.3">
      <c r="A15" s="129" t="s">
        <v>236</v>
      </c>
      <c r="B15" s="130" t="s">
        <v>208</v>
      </c>
      <c r="C15" s="130" t="s">
        <v>209</v>
      </c>
      <c r="D15" s="130" t="s">
        <v>210</v>
      </c>
      <c r="E15" s="130" t="s">
        <v>211</v>
      </c>
    </row>
    <row r="17" spans="1:9" x14ac:dyDescent="0.3">
      <c r="A17" s="131" t="s">
        <v>212</v>
      </c>
      <c r="B17" s="131"/>
      <c r="D17" s="131" t="s">
        <v>213</v>
      </c>
      <c r="E17" s="131"/>
      <c r="F17" s="131"/>
    </row>
    <row r="18" spans="1:9" x14ac:dyDescent="0.3">
      <c r="A18" s="123" t="s">
        <v>214</v>
      </c>
      <c r="B18" s="123" t="s">
        <v>215</v>
      </c>
      <c r="D18" s="123" t="s">
        <v>216</v>
      </c>
      <c r="E18" s="123" t="s">
        <v>217</v>
      </c>
      <c r="F18" s="123" t="s">
        <v>218</v>
      </c>
    </row>
    <row r="19" spans="1:9" ht="28.8" x14ac:dyDescent="0.3">
      <c r="A19" s="60" t="s">
        <v>219</v>
      </c>
      <c r="B19" s="61" t="s">
        <v>220</v>
      </c>
      <c r="D19" s="60" t="s">
        <v>221</v>
      </c>
      <c r="E19" s="60" t="s">
        <v>222</v>
      </c>
      <c r="F19" s="60">
        <v>25000</v>
      </c>
    </row>
    <row r="20" spans="1:9" ht="28.8" x14ac:dyDescent="0.3">
      <c r="A20" s="60" t="s">
        <v>223</v>
      </c>
      <c r="B20" s="61" t="s">
        <v>224</v>
      </c>
      <c r="D20" s="60" t="s">
        <v>225</v>
      </c>
      <c r="E20" s="60" t="s">
        <v>226</v>
      </c>
      <c r="F20" s="60">
        <v>3500000</v>
      </c>
    </row>
    <row r="21" spans="1:9" ht="28.8" x14ac:dyDescent="0.3">
      <c r="A21" s="60" t="s">
        <v>227</v>
      </c>
      <c r="B21" s="61" t="s">
        <v>228</v>
      </c>
      <c r="D21" s="60" t="s">
        <v>229</v>
      </c>
      <c r="E21" s="60" t="s">
        <v>230</v>
      </c>
      <c r="F21" s="60">
        <v>150000</v>
      </c>
    </row>
    <row r="22" spans="1:9" ht="43.2" x14ac:dyDescent="0.3">
      <c r="A22" s="60" t="s">
        <v>231</v>
      </c>
      <c r="B22" s="61" t="s">
        <v>232</v>
      </c>
      <c r="D22" s="60" t="s">
        <v>233</v>
      </c>
      <c r="E22" s="60" t="s">
        <v>234</v>
      </c>
      <c r="F22" s="60">
        <v>3000000</v>
      </c>
    </row>
    <row r="25" spans="1:9" ht="28.8" x14ac:dyDescent="0.3">
      <c r="A25" s="123" t="s">
        <v>188</v>
      </c>
      <c r="B25" s="123" t="s">
        <v>189</v>
      </c>
      <c r="C25" s="124" t="s">
        <v>190</v>
      </c>
      <c r="D25" s="123" t="s">
        <v>191</v>
      </c>
      <c r="E25" s="123" t="s">
        <v>192</v>
      </c>
      <c r="F25" s="123" t="s">
        <v>193</v>
      </c>
      <c r="G25" s="123" t="s">
        <v>53</v>
      </c>
      <c r="H25" s="124" t="s">
        <v>194</v>
      </c>
      <c r="I25" s="123" t="s">
        <v>195</v>
      </c>
    </row>
    <row r="26" spans="1:9" x14ac:dyDescent="0.3">
      <c r="A26" s="125">
        <v>111474</v>
      </c>
      <c r="B26" s="60" t="s">
        <v>201</v>
      </c>
      <c r="C26" s="60" t="s">
        <v>230</v>
      </c>
      <c r="D26" s="60" t="s">
        <v>235</v>
      </c>
      <c r="E26" s="60" t="s">
        <v>232</v>
      </c>
      <c r="F26" s="60">
        <v>300</v>
      </c>
      <c r="G26" s="132">
        <v>153000</v>
      </c>
      <c r="H26" s="132">
        <v>45900000</v>
      </c>
      <c r="I26" s="132">
        <v>4590000</v>
      </c>
    </row>
    <row r="27" spans="1:9" x14ac:dyDescent="0.3">
      <c r="A27" s="125">
        <v>38381</v>
      </c>
      <c r="B27" s="60" t="s">
        <v>200</v>
      </c>
      <c r="C27" s="60" t="s">
        <v>222</v>
      </c>
      <c r="D27" s="60" t="s">
        <v>235</v>
      </c>
      <c r="E27" s="60" t="s">
        <v>228</v>
      </c>
      <c r="F27" s="60">
        <v>500</v>
      </c>
      <c r="G27" s="132">
        <v>25500</v>
      </c>
      <c r="H27" s="132">
        <v>12750000</v>
      </c>
      <c r="I27" s="132">
        <v>1275000</v>
      </c>
    </row>
    <row r="29" spans="1:9" ht="28.8" x14ac:dyDescent="0.3">
      <c r="A29" s="123" t="s">
        <v>188</v>
      </c>
      <c r="B29" s="123" t="s">
        <v>189</v>
      </c>
      <c r="C29" s="124" t="s">
        <v>190</v>
      </c>
      <c r="D29" s="123" t="s">
        <v>191</v>
      </c>
      <c r="E29" s="123" t="s">
        <v>192</v>
      </c>
      <c r="F29" s="123" t="s">
        <v>193</v>
      </c>
      <c r="G29" s="123" t="s">
        <v>53</v>
      </c>
      <c r="H29" s="124" t="s">
        <v>194</v>
      </c>
      <c r="I29" s="123" t="s">
        <v>195</v>
      </c>
    </row>
    <row r="30" spans="1:9" x14ac:dyDescent="0.3">
      <c r="A30" s="125">
        <v>111474</v>
      </c>
      <c r="B30" s="60" t="s">
        <v>201</v>
      </c>
      <c r="C30" s="60" t="s">
        <v>230</v>
      </c>
      <c r="D30" s="60" t="s">
        <v>235</v>
      </c>
      <c r="E30" s="60" t="s">
        <v>232</v>
      </c>
      <c r="F30" s="60">
        <v>300</v>
      </c>
      <c r="G30" s="132">
        <v>153000</v>
      </c>
      <c r="H30" s="132">
        <v>45900000</v>
      </c>
      <c r="I30" s="132">
        <v>4590000</v>
      </c>
    </row>
    <row r="31" spans="1:9" x14ac:dyDescent="0.3">
      <c r="A31" s="125">
        <v>38381</v>
      </c>
      <c r="B31" s="60" t="s">
        <v>200</v>
      </c>
      <c r="C31" s="60" t="s">
        <v>222</v>
      </c>
      <c r="D31" s="60" t="s">
        <v>235</v>
      </c>
      <c r="E31" s="60" t="s">
        <v>228</v>
      </c>
      <c r="F31" s="60">
        <v>500</v>
      </c>
      <c r="G31" s="132">
        <v>25500</v>
      </c>
      <c r="H31" s="132">
        <v>12750000</v>
      </c>
      <c r="I31" s="132">
        <v>1275000</v>
      </c>
    </row>
    <row r="32" spans="1:9" x14ac:dyDescent="0.3">
      <c r="A32" s="125">
        <v>38280</v>
      </c>
      <c r="B32" s="60" t="s">
        <v>196</v>
      </c>
      <c r="C32" s="60" t="s">
        <v>222</v>
      </c>
      <c r="D32" s="60" t="s">
        <v>235</v>
      </c>
      <c r="E32" s="60" t="s">
        <v>220</v>
      </c>
      <c r="F32" s="60">
        <v>100</v>
      </c>
      <c r="G32" s="132">
        <v>25500</v>
      </c>
      <c r="H32" s="132">
        <v>2550000</v>
      </c>
      <c r="I32" s="132">
        <v>0</v>
      </c>
    </row>
  </sheetData>
  <autoFilter ref="A5:I11" xr:uid="{51887186-82D0-4A62-99E0-A73D928240A6}">
    <filterColumn colId="5">
      <customFilters>
        <customFilter operator="greaterThanOrEqual" val="100"/>
      </customFilters>
    </filterColumn>
  </autoFilter>
  <sortState xmlns:xlrd2="http://schemas.microsoft.com/office/spreadsheetml/2017/richdata2" ref="A6:I11">
    <sortCondition descending="1" ref="H6:H11"/>
  </sortState>
  <mergeCells count="4">
    <mergeCell ref="A1:I1"/>
    <mergeCell ref="A13:E13"/>
    <mergeCell ref="A17:B17"/>
    <mergeCell ref="D17:F17"/>
  </mergeCells>
  <hyperlinks>
    <hyperlink ref="B3" r:id="rId1" xr:uid="{82970DA2-4393-4794-BF53-9EBA5EA8247D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13290-99C5-4A2A-BAD4-2CA10DE34407}">
  <dimension ref="A1:H23"/>
  <sheetViews>
    <sheetView workbookViewId="0">
      <selection activeCell="D9" sqref="D9"/>
    </sheetView>
  </sheetViews>
  <sheetFormatPr defaultColWidth="17" defaultRowHeight="15.6" x14ac:dyDescent="0.3"/>
  <cols>
    <col min="1" max="4" width="17" style="62"/>
    <col min="5" max="5" width="17.88671875" style="62" customWidth="1"/>
    <col min="6" max="16384" width="17" style="62"/>
  </cols>
  <sheetData>
    <row r="1" spans="1:8" x14ac:dyDescent="0.3">
      <c r="A1" s="76" t="s">
        <v>160</v>
      </c>
      <c r="B1" s="76"/>
      <c r="C1" s="76"/>
      <c r="D1" s="76"/>
      <c r="E1" s="76"/>
      <c r="F1" s="76"/>
      <c r="G1" s="76"/>
      <c r="H1" s="76"/>
    </row>
    <row r="2" spans="1:8" x14ac:dyDescent="0.3">
      <c r="A2" s="77"/>
      <c r="B2" s="78"/>
      <c r="C2" s="78"/>
      <c r="D2" s="101"/>
      <c r="E2" s="78"/>
      <c r="F2" s="78"/>
      <c r="G2" s="78"/>
      <c r="H2" s="78"/>
    </row>
    <row r="3" spans="1:8" x14ac:dyDescent="0.3">
      <c r="A3" s="78" t="s">
        <v>161</v>
      </c>
      <c r="B3" s="78"/>
      <c r="C3" s="78"/>
      <c r="D3" s="78"/>
      <c r="E3" s="78"/>
      <c r="F3" s="78"/>
      <c r="G3" s="78"/>
      <c r="H3" s="78"/>
    </row>
    <row r="4" spans="1:8" ht="16.2" thickBot="1" x14ac:dyDescent="0.35">
      <c r="A4" s="79" t="s">
        <v>162</v>
      </c>
      <c r="B4" s="79"/>
      <c r="C4" s="79"/>
      <c r="D4" s="79"/>
      <c r="E4" s="79"/>
      <c r="F4" s="79"/>
      <c r="G4" s="79"/>
      <c r="H4" s="79"/>
    </row>
    <row r="5" spans="1:8" ht="16.2" thickTop="1" x14ac:dyDescent="0.3">
      <c r="A5" s="80" t="s">
        <v>163</v>
      </c>
      <c r="B5" s="81" t="s">
        <v>164</v>
      </c>
      <c r="C5" s="81" t="s">
        <v>165</v>
      </c>
      <c r="D5" s="81" t="s">
        <v>166</v>
      </c>
      <c r="E5" s="117" t="s">
        <v>167</v>
      </c>
      <c r="F5" s="82" t="s">
        <v>168</v>
      </c>
      <c r="G5" s="83" t="s">
        <v>110</v>
      </c>
      <c r="H5" s="84" t="s">
        <v>169</v>
      </c>
    </row>
    <row r="6" spans="1:8" x14ac:dyDescent="0.3">
      <c r="A6" s="102">
        <v>39003</v>
      </c>
      <c r="B6" s="114">
        <v>0.54230324074074077</v>
      </c>
      <c r="C6" s="114">
        <v>0.54370370370370369</v>
      </c>
      <c r="D6" s="86">
        <f xml:space="preserve"> HOUR(C6-B6)</f>
        <v>0</v>
      </c>
      <c r="E6" s="118">
        <f>HOUR(C6-B6)*60+MINUTE(C6-B6)+SECOND(C6-B6)/60</f>
        <v>2.0166666666666666</v>
      </c>
      <c r="F6" s="85" t="s">
        <v>170</v>
      </c>
      <c r="G6" s="86">
        <f>VLOOKUP(F6,$A$13:$B$16,2,0)</f>
        <v>1000</v>
      </c>
      <c r="H6" s="87">
        <f>E6*G6</f>
        <v>2016.6666666666665</v>
      </c>
    </row>
    <row r="7" spans="1:8" x14ac:dyDescent="0.3">
      <c r="A7" s="102">
        <v>39007</v>
      </c>
      <c r="B7" s="114">
        <v>0.84571759259259249</v>
      </c>
      <c r="C7" s="114">
        <v>0.84653935185185192</v>
      </c>
      <c r="D7" s="86">
        <f t="shared" ref="D7:D9" si="0" xml:space="preserve"> HOUR(C7-B7)</f>
        <v>0</v>
      </c>
      <c r="E7" s="118">
        <f t="shared" ref="E7:E9" si="1">HOUR(C7-B7)*60+MINUTE(C7-B7)+SECOND(C7-B7)/60</f>
        <v>1.1833333333333333</v>
      </c>
      <c r="F7" s="85" t="s">
        <v>171</v>
      </c>
      <c r="G7" s="86">
        <f t="shared" ref="G7:G9" si="2">VLOOKUP(F7,$A$13:$B$16,2,0)</f>
        <v>1100</v>
      </c>
      <c r="H7" s="87">
        <f t="shared" ref="H7:H9" si="3">E7*G7</f>
        <v>1301.6666666666667</v>
      </c>
    </row>
    <row r="8" spans="1:8" x14ac:dyDescent="0.3">
      <c r="A8" s="103">
        <v>39008</v>
      </c>
      <c r="B8" s="115">
        <v>0.3439814814814815</v>
      </c>
      <c r="C8" s="115">
        <v>0.35289351851851852</v>
      </c>
      <c r="D8" s="86">
        <f t="shared" si="0"/>
        <v>0</v>
      </c>
      <c r="E8" s="118">
        <f t="shared" si="1"/>
        <v>12.833333333333334</v>
      </c>
      <c r="F8" s="88" t="s">
        <v>170</v>
      </c>
      <c r="G8" s="86">
        <f t="shared" si="2"/>
        <v>1000</v>
      </c>
      <c r="H8" s="87">
        <f t="shared" si="3"/>
        <v>12833.333333333334</v>
      </c>
    </row>
    <row r="9" spans="1:8" ht="16.2" thickBot="1" x14ac:dyDescent="0.35">
      <c r="A9" s="104">
        <v>39009</v>
      </c>
      <c r="B9" s="116">
        <v>0.59603009259259265</v>
      </c>
      <c r="C9" s="116">
        <v>0.59752314814814811</v>
      </c>
      <c r="D9" s="86">
        <f t="shared" si="0"/>
        <v>0</v>
      </c>
      <c r="E9" s="118">
        <f t="shared" si="1"/>
        <v>2.15</v>
      </c>
      <c r="F9" s="89" t="s">
        <v>172</v>
      </c>
      <c r="G9" s="86">
        <f t="shared" si="2"/>
        <v>1100</v>
      </c>
      <c r="H9" s="87">
        <f t="shared" si="3"/>
        <v>2365</v>
      </c>
    </row>
    <row r="10" spans="1:8" ht="16.8" thickTop="1" thickBot="1" x14ac:dyDescent="0.35">
      <c r="A10" s="90"/>
      <c r="B10" s="90"/>
      <c r="C10" s="90"/>
      <c r="D10" s="90"/>
      <c r="E10" s="90"/>
      <c r="F10" s="90"/>
      <c r="G10" s="90"/>
      <c r="H10" s="90"/>
    </row>
    <row r="11" spans="1:8" ht="16.2" thickTop="1" x14ac:dyDescent="0.3">
      <c r="A11" s="105" t="s">
        <v>110</v>
      </c>
      <c r="B11" s="106"/>
      <c r="C11" s="107"/>
      <c r="D11" s="108" t="s">
        <v>131</v>
      </c>
      <c r="E11" s="109"/>
      <c r="F11" s="78"/>
      <c r="G11" s="78"/>
      <c r="H11" s="78"/>
    </row>
    <row r="12" spans="1:8" ht="16.2" thickBot="1" x14ac:dyDescent="0.35">
      <c r="A12" s="110" t="s">
        <v>173</v>
      </c>
      <c r="B12" s="111" t="s">
        <v>53</v>
      </c>
      <c r="C12" s="107"/>
      <c r="D12" s="112" t="s">
        <v>174</v>
      </c>
      <c r="E12" s="113"/>
      <c r="F12" s="78"/>
      <c r="G12" s="78"/>
      <c r="H12" s="78"/>
    </row>
    <row r="13" spans="1:8" ht="16.2" thickTop="1" x14ac:dyDescent="0.3">
      <c r="A13" s="91" t="s">
        <v>172</v>
      </c>
      <c r="B13" s="92">
        <v>1100</v>
      </c>
      <c r="C13" s="77"/>
      <c r="D13" s="93" t="s">
        <v>175</v>
      </c>
      <c r="E13" s="94">
        <f>COUNTIF($F$6:$F$9,D13&amp;"*")</f>
        <v>1</v>
      </c>
      <c r="F13" s="78"/>
      <c r="G13" s="78"/>
      <c r="H13" s="78"/>
    </row>
    <row r="14" spans="1:8" x14ac:dyDescent="0.3">
      <c r="A14" s="85" t="s">
        <v>170</v>
      </c>
      <c r="B14" s="85">
        <v>1000</v>
      </c>
      <c r="C14" s="77"/>
      <c r="D14" s="93" t="s">
        <v>176</v>
      </c>
      <c r="E14" s="94">
        <f t="shared" ref="E14:E16" si="4">COUNTIF($F$6:$F$9,D14&amp;"*")</f>
        <v>2</v>
      </c>
      <c r="F14" s="78"/>
      <c r="G14" s="78"/>
      <c r="H14" s="78"/>
    </row>
    <row r="15" spans="1:8" x14ac:dyDescent="0.3">
      <c r="A15" s="95" t="s">
        <v>171</v>
      </c>
      <c r="B15" s="85">
        <v>1100</v>
      </c>
      <c r="C15" s="77"/>
      <c r="D15" s="93" t="s">
        <v>171</v>
      </c>
      <c r="E15" s="94">
        <f t="shared" si="4"/>
        <v>1</v>
      </c>
      <c r="F15" s="78"/>
      <c r="G15" s="78"/>
      <c r="H15" s="78"/>
    </row>
    <row r="16" spans="1:8" ht="16.2" thickBot="1" x14ac:dyDescent="0.35">
      <c r="A16" s="85" t="s">
        <v>177</v>
      </c>
      <c r="B16" s="85">
        <v>3250</v>
      </c>
      <c r="C16" s="77"/>
      <c r="D16" s="96" t="s">
        <v>177</v>
      </c>
      <c r="E16" s="94">
        <f t="shared" si="4"/>
        <v>0</v>
      </c>
      <c r="F16" s="78"/>
      <c r="G16" s="78"/>
      <c r="H16" s="78"/>
    </row>
    <row r="17" spans="1:8" ht="16.2" thickTop="1" x14ac:dyDescent="0.3">
      <c r="A17" s="97" t="s">
        <v>178</v>
      </c>
      <c r="B17" s="98"/>
      <c r="C17" s="98"/>
      <c r="D17" s="98"/>
      <c r="E17" s="99"/>
      <c r="F17" s="98"/>
      <c r="G17" s="98"/>
      <c r="H17" s="98"/>
    </row>
    <row r="18" spans="1:8" x14ac:dyDescent="0.3">
      <c r="A18" s="98" t="s">
        <v>179</v>
      </c>
      <c r="B18" s="98"/>
      <c r="C18" s="98"/>
      <c r="D18" s="98"/>
      <c r="E18" s="98"/>
      <c r="F18" s="98"/>
      <c r="G18" s="98"/>
      <c r="H18" s="98"/>
    </row>
    <row r="19" spans="1:8" x14ac:dyDescent="0.3">
      <c r="A19" s="100" t="s">
        <v>180</v>
      </c>
      <c r="B19" s="100"/>
      <c r="C19" s="100"/>
      <c r="D19" s="100"/>
      <c r="E19" s="100"/>
      <c r="F19" s="100"/>
      <c r="G19" s="100"/>
      <c r="H19" s="100"/>
    </row>
    <row r="20" spans="1:8" x14ac:dyDescent="0.3">
      <c r="A20" s="98" t="s">
        <v>181</v>
      </c>
      <c r="B20" s="98"/>
      <c r="C20" s="98"/>
      <c r="D20" s="98"/>
      <c r="E20" s="98"/>
      <c r="F20" s="98"/>
      <c r="G20" s="98"/>
      <c r="H20" s="98"/>
    </row>
    <row r="21" spans="1:8" x14ac:dyDescent="0.3">
      <c r="A21" s="98" t="s">
        <v>182</v>
      </c>
      <c r="B21" s="98"/>
      <c r="C21" s="98"/>
      <c r="D21" s="98"/>
      <c r="E21" s="98"/>
      <c r="F21" s="98"/>
      <c r="G21" s="98"/>
      <c r="H21" s="98"/>
    </row>
    <row r="22" spans="1:8" x14ac:dyDescent="0.3">
      <c r="A22" s="98" t="s">
        <v>183</v>
      </c>
      <c r="B22" s="98"/>
      <c r="C22" s="98"/>
      <c r="D22" s="98"/>
      <c r="E22" s="98"/>
      <c r="F22" s="98"/>
      <c r="G22" s="98"/>
      <c r="H22" s="98"/>
    </row>
    <row r="23" spans="1:8" x14ac:dyDescent="0.3">
      <c r="A23" s="98" t="s">
        <v>184</v>
      </c>
      <c r="B23" s="98"/>
      <c r="C23" s="98"/>
      <c r="D23" s="98"/>
      <c r="E23" s="98"/>
      <c r="F23" s="98"/>
      <c r="G23" s="98"/>
      <c r="H23" s="98"/>
    </row>
  </sheetData>
  <mergeCells count="7">
    <mergeCell ref="A19:H19"/>
    <mergeCell ref="A1:H1"/>
    <mergeCell ref="A4:H4"/>
    <mergeCell ref="A10:H10"/>
    <mergeCell ref="A11:B11"/>
    <mergeCell ref="D11:E11"/>
    <mergeCell ref="D12:E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A87C-A584-4EE0-BF69-E708ACCF9194}">
  <dimension ref="A1:J22"/>
  <sheetViews>
    <sheetView tabSelected="1" topLeftCell="A4" workbookViewId="0">
      <selection activeCell="J7" sqref="J7"/>
    </sheetView>
  </sheetViews>
  <sheetFormatPr defaultRowHeight="14.4" x14ac:dyDescent="0.3"/>
  <cols>
    <col min="1" max="1" width="12.77734375" customWidth="1"/>
    <col min="3" max="3" width="15.109375" customWidth="1"/>
    <col min="6" max="6" width="10.33203125" customWidth="1"/>
  </cols>
  <sheetData>
    <row r="1" spans="1:10" ht="21" x14ac:dyDescent="0.4">
      <c r="A1" s="119" t="s">
        <v>237</v>
      </c>
      <c r="B1" s="119"/>
      <c r="C1" s="119"/>
      <c r="D1" s="119"/>
      <c r="E1" s="119"/>
      <c r="F1" s="119"/>
      <c r="G1" s="119"/>
      <c r="H1" s="119"/>
      <c r="I1" s="119"/>
      <c r="J1" s="119"/>
    </row>
    <row r="2" spans="1:10" ht="21" x14ac:dyDescent="0.4">
      <c r="A2" s="120"/>
      <c r="B2" s="120"/>
      <c r="C2" s="120"/>
      <c r="D2" s="120"/>
      <c r="E2" s="120"/>
      <c r="F2" s="120"/>
      <c r="G2" s="120"/>
      <c r="H2" s="120"/>
      <c r="I2" s="120"/>
      <c r="J2" s="120"/>
    </row>
    <row r="3" spans="1:10" x14ac:dyDescent="0.3">
      <c r="A3" s="121" t="s">
        <v>186</v>
      </c>
      <c r="B3" s="122" t="s">
        <v>238</v>
      </c>
    </row>
    <row r="5" spans="1:10" ht="28.8" x14ac:dyDescent="0.3">
      <c r="A5" s="133" t="s">
        <v>239</v>
      </c>
      <c r="B5" s="133" t="s">
        <v>240</v>
      </c>
      <c r="C5" s="134" t="s">
        <v>241</v>
      </c>
      <c r="D5" s="133" t="s">
        <v>242</v>
      </c>
      <c r="E5" s="133" t="s">
        <v>243</v>
      </c>
      <c r="F5" s="133" t="s">
        <v>244</v>
      </c>
      <c r="G5" s="133" t="s">
        <v>245</v>
      </c>
      <c r="H5" s="133" t="s">
        <v>53</v>
      </c>
      <c r="I5" s="133" t="s">
        <v>194</v>
      </c>
      <c r="J5" s="133" t="s">
        <v>246</v>
      </c>
    </row>
    <row r="6" spans="1:10" x14ac:dyDescent="0.3">
      <c r="A6" s="125">
        <v>41774</v>
      </c>
      <c r="B6" s="60" t="s">
        <v>247</v>
      </c>
      <c r="C6" s="60" t="str">
        <f>VLOOKUP(B6,$B$15:$D$17,2,0)</f>
        <v>Trần An</v>
      </c>
      <c r="D6" s="60">
        <f>VLOOKUP(B6,$B$15:$D$17,3,0)</f>
        <v>1.2</v>
      </c>
      <c r="E6" s="60" t="s">
        <v>248</v>
      </c>
      <c r="F6" s="60" t="str">
        <f>VLOOKUP(LEFT(E6,2),$F$15:$H$17,2,0)</f>
        <v>Vòng tay</v>
      </c>
      <c r="G6" s="60">
        <f>VALUE(RIGHT(E6,LEN(E6)-3))</f>
        <v>150</v>
      </c>
      <c r="H6" s="60">
        <f>VLOOKUP(LEFT(E6,2),$F$15:$H$17,3,0)</f>
        <v>2000</v>
      </c>
      <c r="I6" s="60">
        <f>G6*H6*D6</f>
        <v>360000</v>
      </c>
      <c r="J6" s="60">
        <f>IF(AND(TRUE,G6&gt;=150),50000,0)</f>
        <v>50000</v>
      </c>
    </row>
    <row r="7" spans="1:10" x14ac:dyDescent="0.3">
      <c r="A7" s="125">
        <v>41774</v>
      </c>
      <c r="B7" s="60" t="s">
        <v>249</v>
      </c>
      <c r="C7" s="60" t="str">
        <f t="shared" ref="C7:C11" si="0">VLOOKUP(B7,$B$15:$D$17,2,0)</f>
        <v>Nguyễn Minh</v>
      </c>
      <c r="D7" s="60">
        <f t="shared" ref="D7:D11" si="1">VLOOKUP(B7,$B$15:$D$17,3,0)</f>
        <v>1</v>
      </c>
      <c r="E7" s="60" t="s">
        <v>250</v>
      </c>
      <c r="F7" s="60" t="str">
        <f t="shared" ref="F7:F11" si="2">VLOOKUP(LEFT(E7,2),$F$15:$H$17,2,0)</f>
        <v>Đồng hồ</v>
      </c>
      <c r="G7" s="60">
        <f t="shared" ref="G7:G11" si="3">VALUE(RIGHT(E7,LEN(E7)-3))</f>
        <v>75</v>
      </c>
      <c r="H7" s="60">
        <f t="shared" ref="H7:H11" si="4">VLOOKUP(LEFT(E7,2),$F$15:$H$17,3,0)</f>
        <v>7000</v>
      </c>
      <c r="I7" s="60">
        <f t="shared" ref="I7:I11" si="5">G7*H7*D7</f>
        <v>525000</v>
      </c>
      <c r="J7" s="60">
        <f t="shared" ref="J7:J11" si="6">IF(AND(TRUE,G7&gt;=150),50000,0)</f>
        <v>0</v>
      </c>
    </row>
    <row r="8" spans="1:10" x14ac:dyDescent="0.3">
      <c r="A8" s="125">
        <v>41774</v>
      </c>
      <c r="B8" s="60" t="s">
        <v>247</v>
      </c>
      <c r="C8" s="60" t="str">
        <f t="shared" si="0"/>
        <v>Trần An</v>
      </c>
      <c r="D8" s="60">
        <f t="shared" si="1"/>
        <v>1.2</v>
      </c>
      <c r="E8" s="60" t="s">
        <v>251</v>
      </c>
      <c r="F8" s="60" t="str">
        <f t="shared" si="2"/>
        <v>Vòng tay</v>
      </c>
      <c r="G8" s="60">
        <f t="shared" si="3"/>
        <v>120</v>
      </c>
      <c r="H8" s="60">
        <f t="shared" si="4"/>
        <v>2000</v>
      </c>
      <c r="I8" s="60">
        <f t="shared" si="5"/>
        <v>288000</v>
      </c>
      <c r="J8" s="60">
        <f t="shared" si="6"/>
        <v>0</v>
      </c>
    </row>
    <row r="9" spans="1:10" x14ac:dyDescent="0.3">
      <c r="A9" s="125">
        <v>41775</v>
      </c>
      <c r="B9" s="60" t="s">
        <v>252</v>
      </c>
      <c r="C9" s="60" t="str">
        <f t="shared" si="0"/>
        <v>Hoàng Thị Yến</v>
      </c>
      <c r="D9" s="60">
        <f t="shared" si="1"/>
        <v>1.5</v>
      </c>
      <c r="E9" s="60" t="s">
        <v>253</v>
      </c>
      <c r="F9" s="60" t="str">
        <f t="shared" si="2"/>
        <v>Vòng cổ</v>
      </c>
      <c r="G9" s="60">
        <f t="shared" si="3"/>
        <v>104</v>
      </c>
      <c r="H9" s="60">
        <f t="shared" si="4"/>
        <v>3000</v>
      </c>
      <c r="I9" s="60">
        <f t="shared" si="5"/>
        <v>468000</v>
      </c>
      <c r="J9" s="60">
        <f t="shared" si="6"/>
        <v>0</v>
      </c>
    </row>
    <row r="10" spans="1:10" x14ac:dyDescent="0.3">
      <c r="A10" s="125">
        <v>41775</v>
      </c>
      <c r="B10" s="60" t="s">
        <v>249</v>
      </c>
      <c r="C10" s="60" t="str">
        <f t="shared" si="0"/>
        <v>Nguyễn Minh</v>
      </c>
      <c r="D10" s="60">
        <f t="shared" si="1"/>
        <v>1</v>
      </c>
      <c r="E10" s="60" t="s">
        <v>254</v>
      </c>
      <c r="F10" s="60" t="str">
        <f t="shared" si="2"/>
        <v>Đồng hồ</v>
      </c>
      <c r="G10" s="60">
        <f t="shared" si="3"/>
        <v>50</v>
      </c>
      <c r="H10" s="60">
        <f t="shared" si="4"/>
        <v>7000</v>
      </c>
      <c r="I10" s="60">
        <f t="shared" si="5"/>
        <v>350000</v>
      </c>
      <c r="J10" s="60">
        <f t="shared" si="6"/>
        <v>0</v>
      </c>
    </row>
    <row r="11" spans="1:10" x14ac:dyDescent="0.3">
      <c r="A11" s="125">
        <v>41776</v>
      </c>
      <c r="B11" s="60" t="s">
        <v>249</v>
      </c>
      <c r="C11" s="60" t="str">
        <f t="shared" si="0"/>
        <v>Nguyễn Minh</v>
      </c>
      <c r="D11" s="60">
        <f t="shared" si="1"/>
        <v>1</v>
      </c>
      <c r="E11" s="60" t="s">
        <v>255</v>
      </c>
      <c r="F11" s="60" t="str">
        <f t="shared" si="2"/>
        <v>Vòng tay</v>
      </c>
      <c r="G11" s="60">
        <f t="shared" si="3"/>
        <v>200</v>
      </c>
      <c r="H11" s="60">
        <f t="shared" si="4"/>
        <v>2000</v>
      </c>
      <c r="I11" s="60">
        <f t="shared" si="5"/>
        <v>400000</v>
      </c>
      <c r="J11" s="60">
        <f t="shared" si="6"/>
        <v>50000</v>
      </c>
    </row>
    <row r="12" spans="1:10" x14ac:dyDescent="0.3">
      <c r="A12" s="135"/>
    </row>
    <row r="13" spans="1:10" x14ac:dyDescent="0.3">
      <c r="B13" s="126" t="s">
        <v>256</v>
      </c>
      <c r="C13" s="126"/>
      <c r="D13" s="126"/>
      <c r="F13" s="126" t="s">
        <v>257</v>
      </c>
      <c r="G13" s="126"/>
      <c r="H13" s="126"/>
    </row>
    <row r="14" spans="1:10" ht="28.8" x14ac:dyDescent="0.3">
      <c r="B14" s="133" t="s">
        <v>240</v>
      </c>
      <c r="C14" s="134" t="s">
        <v>241</v>
      </c>
      <c r="D14" s="133" t="s">
        <v>242</v>
      </c>
      <c r="F14" s="133" t="s">
        <v>258</v>
      </c>
      <c r="G14" s="133" t="s">
        <v>244</v>
      </c>
      <c r="H14" s="133" t="s">
        <v>53</v>
      </c>
    </row>
    <row r="15" spans="1:10" x14ac:dyDescent="0.3">
      <c r="B15" s="60" t="s">
        <v>252</v>
      </c>
      <c r="C15" s="60" t="s">
        <v>259</v>
      </c>
      <c r="D15" s="60">
        <v>1.5</v>
      </c>
      <c r="F15" s="60" t="s">
        <v>260</v>
      </c>
      <c r="G15" s="60" t="s">
        <v>261</v>
      </c>
      <c r="H15" s="60">
        <v>2000</v>
      </c>
    </row>
    <row r="16" spans="1:10" x14ac:dyDescent="0.3">
      <c r="B16" s="60" t="s">
        <v>247</v>
      </c>
      <c r="C16" s="60" t="s">
        <v>262</v>
      </c>
      <c r="D16" s="60">
        <v>1.2</v>
      </c>
      <c r="F16" s="60" t="s">
        <v>263</v>
      </c>
      <c r="G16" s="60" t="s">
        <v>264</v>
      </c>
      <c r="H16" s="60">
        <v>3000</v>
      </c>
    </row>
    <row r="17" spans="2:8" x14ac:dyDescent="0.3">
      <c r="B17" s="60" t="s">
        <v>249</v>
      </c>
      <c r="C17" s="60" t="s">
        <v>265</v>
      </c>
      <c r="D17" s="60">
        <v>1</v>
      </c>
      <c r="F17" s="60" t="s">
        <v>266</v>
      </c>
      <c r="G17" s="60" t="s">
        <v>267</v>
      </c>
      <c r="H17" s="60">
        <v>7000</v>
      </c>
    </row>
    <row r="19" spans="2:8" x14ac:dyDescent="0.3">
      <c r="E19" s="136" t="s">
        <v>268</v>
      </c>
      <c r="F19" s="136"/>
      <c r="G19" s="136"/>
      <c r="H19" s="136"/>
    </row>
    <row r="20" spans="2:8" ht="43.2" x14ac:dyDescent="0.3">
      <c r="E20" s="134" t="s">
        <v>241</v>
      </c>
      <c r="F20" s="133" t="s">
        <v>244</v>
      </c>
      <c r="G20" s="133" t="s">
        <v>269</v>
      </c>
      <c r="H20" s="133" t="s">
        <v>270</v>
      </c>
    </row>
    <row r="21" spans="2:8" x14ac:dyDescent="0.3">
      <c r="E21" s="60" t="s">
        <v>262</v>
      </c>
      <c r="F21" s="60" t="s">
        <v>261</v>
      </c>
      <c r="G21" s="60">
        <f>I22</f>
        <v>0</v>
      </c>
      <c r="H21" s="60">
        <f>SUMIFS($I$6:$I$11,$C$6:$C$11,E21,$F$6:$F$11,F21)</f>
        <v>648000</v>
      </c>
    </row>
    <row r="22" spans="2:8" x14ac:dyDescent="0.3">
      <c r="E22" s="60" t="s">
        <v>265</v>
      </c>
      <c r="F22" s="60" t="s">
        <v>267</v>
      </c>
      <c r="G22" s="60">
        <f>SUMIFS($G$6:$G$11,$C$6:$C$11,E22,$F$6:$F$11,F22)</f>
        <v>125</v>
      </c>
      <c r="H22" s="60">
        <f>SUMIFS($I$6:$I$11,$C$6:$C$11,E22,$F$6:$F$11,F22)</f>
        <v>875000</v>
      </c>
    </row>
  </sheetData>
  <mergeCells count="4">
    <mergeCell ref="E19:H19"/>
    <mergeCell ref="A1:J1"/>
    <mergeCell ref="B13:D13"/>
    <mergeCell ref="F13:H13"/>
  </mergeCells>
  <hyperlinks>
    <hyperlink ref="B3" r:id="rId1" xr:uid="{4AB135D3-DA16-4D14-A5D3-EE34A754BE0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Hong Nguyen</dc:creator>
  <cp:lastModifiedBy>DELL</cp:lastModifiedBy>
  <dcterms:created xsi:type="dcterms:W3CDTF">2023-01-16T06:33:17Z</dcterms:created>
  <dcterms:modified xsi:type="dcterms:W3CDTF">2023-01-16T16:43:48Z</dcterms:modified>
</cp:coreProperties>
</file>