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2435"/>
  </bookViews>
  <sheets>
    <sheet name="Chapter B" sheetId="1" r:id="rId1"/>
    <sheet name="Chapter E" sheetId="2" r:id="rId2"/>
    <sheet name="H.W" sheetId="3" r:id="rId3"/>
  </sheets>
  <externalReferences>
    <externalReference r:id="rId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56" i="2" l="1"/>
  <c r="C156" i="2" s="1"/>
  <c r="B156" i="2"/>
  <c r="B159" i="2" s="1"/>
  <c r="D161" i="2" s="1"/>
  <c r="D163" i="2" s="1"/>
  <c r="H130" i="2"/>
  <c r="G130" i="2"/>
  <c r="E130" i="2"/>
  <c r="D130" i="2"/>
  <c r="C130" i="2"/>
  <c r="B130" i="2"/>
  <c r="G129" i="2"/>
  <c r="E129" i="2"/>
  <c r="D129" i="2"/>
  <c r="H129" i="2" s="1"/>
  <c r="C129" i="2"/>
  <c r="B129" i="2"/>
  <c r="G128" i="2"/>
  <c r="E128" i="2"/>
  <c r="D128" i="2"/>
  <c r="H128" i="2" s="1"/>
  <c r="C128" i="2"/>
  <c r="B128" i="2"/>
  <c r="G127" i="2"/>
  <c r="E127" i="2"/>
  <c r="D127" i="2"/>
  <c r="H127" i="2" s="1"/>
  <c r="C127" i="2"/>
  <c r="B127" i="2"/>
  <c r="C103" i="2"/>
  <c r="C104" i="2" s="1"/>
  <c r="C102" i="2"/>
  <c r="C105" i="2" s="1"/>
  <c r="H107" i="2" s="1"/>
  <c r="C110" i="2" s="1"/>
  <c r="F110" i="2" s="1"/>
  <c r="H110" i="2" s="1"/>
  <c r="C101" i="2"/>
  <c r="C100" i="2"/>
  <c r="C99" i="2"/>
  <c r="C111" i="2" s="1"/>
  <c r="F111" i="2" s="1"/>
  <c r="H111" i="2" s="1"/>
  <c r="C88" i="2"/>
  <c r="C72" i="2"/>
  <c r="H76" i="2" s="1"/>
  <c r="C79" i="2" s="1"/>
  <c r="F79" i="2" s="1"/>
  <c r="H79" i="2" s="1"/>
  <c r="C68" i="2"/>
  <c r="C67" i="2"/>
  <c r="C66" i="2"/>
  <c r="C73" i="2" s="1"/>
  <c r="C65" i="2"/>
  <c r="G88" i="2" s="1"/>
  <c r="C64" i="2"/>
  <c r="D88" i="2" s="1"/>
  <c r="G48" i="2"/>
  <c r="C48" i="2"/>
  <c r="D48" i="2" s="1"/>
  <c r="G47" i="2"/>
  <c r="C47" i="2"/>
  <c r="C46" i="2"/>
  <c r="D46" i="2" s="1"/>
  <c r="D45" i="2"/>
  <c r="F45" i="2" s="1"/>
  <c r="C45" i="2"/>
  <c r="G45" i="2" s="1"/>
  <c r="G44" i="2"/>
  <c r="C44" i="2"/>
  <c r="D44" i="2" s="1"/>
  <c r="G43" i="2"/>
  <c r="C43" i="2"/>
  <c r="D43" i="2" s="1"/>
  <c r="C42" i="2"/>
  <c r="D42" i="2" s="1"/>
  <c r="D41" i="2"/>
  <c r="F41" i="2" s="1"/>
  <c r="H41" i="2" s="1"/>
  <c r="C41" i="2"/>
  <c r="G41" i="2" s="1"/>
  <c r="G40" i="2"/>
  <c r="C40" i="2"/>
  <c r="D40" i="2" s="1"/>
  <c r="G39" i="2"/>
  <c r="C39" i="2"/>
  <c r="D39" i="2" s="1"/>
  <c r="C38" i="2"/>
  <c r="D38" i="2" s="1"/>
  <c r="D34" i="2"/>
  <c r="E34" i="2" s="1"/>
  <c r="C34" i="2"/>
  <c r="G34" i="2" s="1"/>
  <c r="G33" i="2"/>
  <c r="C33" i="2"/>
  <c r="F33" i="2" s="1"/>
  <c r="H33" i="2" s="1"/>
  <c r="G32" i="2"/>
  <c r="C32" i="2"/>
  <c r="F32" i="2" s="1"/>
  <c r="H32" i="2" s="1"/>
  <c r="C31" i="2"/>
  <c r="D31" i="2" s="1"/>
  <c r="E31" i="2" s="1"/>
  <c r="D30" i="2"/>
  <c r="E30" i="2" s="1"/>
  <c r="C30" i="2"/>
  <c r="G30" i="2" s="1"/>
  <c r="G29" i="2"/>
  <c r="C29" i="2"/>
  <c r="F29" i="2" s="1"/>
  <c r="H29" i="2" s="1"/>
  <c r="G28" i="2"/>
  <c r="C28" i="2"/>
  <c r="F28" i="2" s="1"/>
  <c r="H28" i="2" s="1"/>
  <c r="C27" i="2"/>
  <c r="D27" i="2" s="1"/>
  <c r="E27" i="2" s="1"/>
  <c r="D26" i="2"/>
  <c r="E26" i="2" s="1"/>
  <c r="C26" i="2"/>
  <c r="G26" i="2" s="1"/>
  <c r="G25" i="2"/>
  <c r="C25" i="2"/>
  <c r="F25" i="2" s="1"/>
  <c r="H25" i="2" s="1"/>
  <c r="G24" i="2"/>
  <c r="C24" i="2"/>
  <c r="D24" i="2" s="1"/>
  <c r="C20" i="2"/>
  <c r="C19" i="2"/>
  <c r="J11" i="1"/>
  <c r="H11" i="1"/>
  <c r="J10" i="1"/>
  <c r="H10" i="1"/>
  <c r="J9" i="1"/>
  <c r="H9" i="1"/>
  <c r="J8" i="1"/>
  <c r="H8" i="1"/>
  <c r="J7" i="1"/>
  <c r="H7" i="1"/>
  <c r="J5" i="1"/>
  <c r="H5" i="1"/>
  <c r="F46" i="2" l="1"/>
  <c r="E46" i="2"/>
  <c r="H106" i="2"/>
  <c r="F104" i="2"/>
  <c r="F42" i="2"/>
  <c r="H42" i="2" s="1"/>
  <c r="E42" i="2"/>
  <c r="C109" i="2"/>
  <c r="F109" i="2" s="1"/>
  <c r="H109" i="2" s="1"/>
  <c r="C114" i="2" s="1"/>
  <c r="F38" i="2"/>
  <c r="E38" i="2"/>
  <c r="F43" i="2"/>
  <c r="H43" i="2" s="1"/>
  <c r="E43" i="2"/>
  <c r="F24" i="2"/>
  <c r="H24" i="2" s="1"/>
  <c r="E24" i="2"/>
  <c r="F39" i="2"/>
  <c r="H39" i="2" s="1"/>
  <c r="E39" i="2"/>
  <c r="F48" i="2"/>
  <c r="H48" i="2" s="1"/>
  <c r="E48" i="2"/>
  <c r="F44" i="2"/>
  <c r="H44" i="2" s="1"/>
  <c r="E44" i="2"/>
  <c r="F40" i="2"/>
  <c r="H40" i="2" s="1"/>
  <c r="E40" i="2"/>
  <c r="H45" i="2"/>
  <c r="C80" i="2"/>
  <c r="F80" i="2" s="1"/>
  <c r="H80" i="2" s="1"/>
  <c r="C84" i="2" s="1"/>
  <c r="E88" i="2"/>
  <c r="F27" i="2"/>
  <c r="F31" i="2"/>
  <c r="F88" i="2"/>
  <c r="C115" i="2"/>
  <c r="G27" i="2"/>
  <c r="G31" i="2"/>
  <c r="G38" i="2"/>
  <c r="E41" i="2"/>
  <c r="G42" i="2"/>
  <c r="E45" i="2"/>
  <c r="G46" i="2"/>
  <c r="D25" i="2"/>
  <c r="E25" i="2" s="1"/>
  <c r="F26" i="2"/>
  <c r="H26" i="2" s="1"/>
  <c r="D29" i="2"/>
  <c r="E29" i="2" s="1"/>
  <c r="F30" i="2"/>
  <c r="H30" i="2" s="1"/>
  <c r="D33" i="2"/>
  <c r="E33" i="2" s="1"/>
  <c r="F34" i="2"/>
  <c r="H34" i="2" s="1"/>
  <c r="H88" i="2"/>
  <c r="I88" i="2"/>
  <c r="D28" i="2"/>
  <c r="E28" i="2" s="1"/>
  <c r="D32" i="2"/>
  <c r="E32" i="2" s="1"/>
  <c r="D47" i="2"/>
  <c r="C71" i="2"/>
  <c r="H75" i="2" s="1"/>
  <c r="C78" i="2" s="1"/>
  <c r="F78" i="2" s="1"/>
  <c r="H78" i="2" s="1"/>
  <c r="C83" i="2" s="1"/>
  <c r="B88" i="2"/>
  <c r="H31" i="2" l="1"/>
  <c r="H27" i="2"/>
  <c r="F47" i="2"/>
  <c r="H47" i="2" s="1"/>
  <c r="E47" i="2"/>
  <c r="H38" i="2"/>
  <c r="H46" i="2"/>
</calcChain>
</file>

<file path=xl/sharedStrings.xml><?xml version="1.0" encoding="utf-8"?>
<sst xmlns="http://schemas.openxmlformats.org/spreadsheetml/2006/main" count="264" uniqueCount="192">
  <si>
    <t>E   =</t>
    <phoneticPr fontId="4" type="noConversion"/>
  </si>
  <si>
    <t>Mpa</t>
    <phoneticPr fontId="4" type="noConversion"/>
  </si>
  <si>
    <t>Width-to-Thickness Ratios for Compression Members</t>
    <phoneticPr fontId="4" type="noConversion"/>
  </si>
  <si>
    <r>
      <rPr>
        <sz val="11"/>
        <color theme="1"/>
        <rFont val="맑은 고딕"/>
        <family val="3"/>
        <charset val="129"/>
        <scheme val="minor"/>
      </rPr>
      <t>Section Shape</t>
    </r>
    <r>
      <rPr>
        <sz val="10"/>
        <color theme="1"/>
        <rFont val="맑은 고딕"/>
        <family val="2"/>
        <charset val="129"/>
        <scheme val="minor"/>
      </rPr>
      <t xml:space="preserve">
(Width to thick ratio)</t>
    </r>
    <phoneticPr fontId="4" type="noConversion"/>
  </si>
  <si>
    <t>Shape</t>
    <phoneticPr fontId="4" type="noConversion"/>
  </si>
  <si>
    <t>Equation</t>
    <phoneticPr fontId="4" type="noConversion"/>
  </si>
  <si>
    <r>
      <t>kc =
4/</t>
    </r>
    <r>
      <rPr>
        <sz val="9"/>
        <color theme="1"/>
        <rFont val="맑은 고딕"/>
        <family val="3"/>
        <charset val="129"/>
      </rPr>
      <t>√(h/tw)
(0.35~0.76)</t>
    </r>
    <phoneticPr fontId="4" type="noConversion"/>
  </si>
  <si>
    <r>
      <t xml:space="preserve">Limiting Width to Thickness Ratio </t>
    </r>
    <r>
      <rPr>
        <sz val="11"/>
        <color theme="1"/>
        <rFont val="맑은 고딕"/>
        <family val="3"/>
        <charset val="129"/>
      </rPr>
      <t>λ</t>
    </r>
    <r>
      <rPr>
        <sz val="11"/>
        <color theme="1"/>
        <rFont val="맑은 고딕"/>
        <family val="2"/>
        <charset val="129"/>
      </rPr>
      <t>r
(nonslender/slender)</t>
    </r>
    <phoneticPr fontId="4" type="noConversion"/>
  </si>
  <si>
    <t xml:space="preserve"> (b/tf) for flange
</t>
    <phoneticPr fontId="4" type="noConversion"/>
  </si>
  <si>
    <t>H,T,C</t>
    <phoneticPr fontId="4" type="noConversion"/>
  </si>
  <si>
    <r>
      <t xml:space="preserve">0.56 </t>
    </r>
    <r>
      <rPr>
        <sz val="11"/>
        <color theme="1"/>
        <rFont val="맑은 고딕"/>
        <family val="3"/>
        <charset val="129"/>
      </rPr>
      <t>√</t>
    </r>
    <r>
      <rPr>
        <sz val="11"/>
        <color theme="1"/>
        <rFont val="맑은 고딕"/>
        <family val="2"/>
        <charset val="129"/>
      </rPr>
      <t>(E/Fy)</t>
    </r>
    <phoneticPr fontId="4" type="noConversion"/>
  </si>
  <si>
    <t>-</t>
    <phoneticPr fontId="4" type="noConversion"/>
  </si>
  <si>
    <t>L</t>
    <phoneticPr fontId="4" type="noConversion"/>
  </si>
  <si>
    <r>
      <t>0.45 √(E/Fy)</t>
    </r>
    <r>
      <rPr>
        <sz val="11"/>
        <color theme="1"/>
        <rFont val="맑은 고딕"/>
        <family val="2"/>
        <charset val="129"/>
      </rPr>
      <t/>
    </r>
    <phoneticPr fontId="4" type="noConversion"/>
  </si>
  <si>
    <t>Built Up</t>
    <phoneticPr fontId="4" type="noConversion"/>
  </si>
  <si>
    <r>
      <t>0.64 √(kc E/Fy)</t>
    </r>
    <r>
      <rPr>
        <sz val="11"/>
        <color theme="1"/>
        <rFont val="맑은 고딕"/>
        <family val="2"/>
        <charset val="129"/>
      </rPr>
      <t/>
    </r>
    <phoneticPr fontId="4" type="noConversion"/>
  </si>
  <si>
    <t>H (h/tw) for Web</t>
    <phoneticPr fontId="4" type="noConversion"/>
  </si>
  <si>
    <t>H</t>
    <phoneticPr fontId="4" type="noConversion"/>
  </si>
  <si>
    <r>
      <t xml:space="preserve">1.40 </t>
    </r>
    <r>
      <rPr>
        <sz val="11"/>
        <color theme="1"/>
        <rFont val="맑은 고딕"/>
        <family val="3"/>
        <charset val="129"/>
      </rPr>
      <t>√</t>
    </r>
    <r>
      <rPr>
        <sz val="11"/>
        <color theme="1"/>
        <rFont val="맑은 고딕"/>
        <family val="2"/>
        <charset val="129"/>
      </rPr>
      <t>(E/Fy)</t>
    </r>
    <phoneticPr fontId="4" type="noConversion"/>
  </si>
  <si>
    <t>T (h/tw) for Web</t>
    <phoneticPr fontId="4" type="noConversion"/>
  </si>
  <si>
    <t>T</t>
    <phoneticPr fontId="4" type="noConversion"/>
  </si>
  <si>
    <r>
      <t xml:space="preserve">0.75 </t>
    </r>
    <r>
      <rPr>
        <sz val="11"/>
        <color theme="1"/>
        <rFont val="맑은 고딕"/>
        <family val="3"/>
        <charset val="129"/>
      </rPr>
      <t>√</t>
    </r>
    <r>
      <rPr>
        <sz val="11"/>
        <color theme="1"/>
        <rFont val="맑은 고딕"/>
        <family val="2"/>
        <charset val="129"/>
      </rPr>
      <t>(E/Fy)</t>
    </r>
    <phoneticPr fontId="4" type="noConversion"/>
  </si>
  <si>
    <t>압축재는 가급적 Slender Member를 지양 함.</t>
    <phoneticPr fontId="4" type="noConversion"/>
  </si>
  <si>
    <t>E1. GENERAL PROVISIONS</t>
    <phoneticPr fontId="4" type="noConversion"/>
  </si>
  <si>
    <t>The nominal compressive strength, Pn, shall be the lowest obtained from (E3) or (E4)</t>
    <phoneticPr fontId="4" type="noConversion"/>
  </si>
  <si>
    <r>
      <t xml:space="preserve">The Design Compressive Strength, </t>
    </r>
    <r>
      <rPr>
        <sz val="11"/>
        <color theme="1"/>
        <rFont val="맑은 고딕"/>
        <family val="3"/>
        <charset val="129"/>
      </rPr>
      <t>ψ</t>
    </r>
    <r>
      <rPr>
        <sz val="11"/>
        <color theme="1"/>
        <rFont val="맑은 고딕"/>
        <family val="2"/>
        <charset val="129"/>
      </rPr>
      <t xml:space="preserve"> Pn</t>
    </r>
    <phoneticPr fontId="4" type="noConversion"/>
  </si>
  <si>
    <r>
      <t>The Allowable Compressive Strength, Pn/</t>
    </r>
    <r>
      <rPr>
        <sz val="11"/>
        <color theme="1"/>
        <rFont val="맑은 고딕"/>
        <family val="3"/>
        <charset val="129"/>
      </rPr>
      <t>Ω</t>
    </r>
    <phoneticPr fontId="4" type="noConversion"/>
  </si>
  <si>
    <t>ψ=0.9                              Ω=1.67</t>
    <phoneticPr fontId="4" type="noConversion"/>
  </si>
  <si>
    <t>E3. FLEXURAL BUCKLING OF MEMBERS WITHOUT SLENDER ELEMENTS</t>
    <phoneticPr fontId="4" type="noConversion"/>
  </si>
  <si>
    <t>(H, Channel, Box, Pipe, T, 2Ls 형상의 Flexural Buckling인 경우)</t>
    <phoneticPr fontId="4" type="noConversion"/>
  </si>
  <si>
    <t>E   =</t>
    <phoneticPr fontId="4" type="noConversion"/>
  </si>
  <si>
    <t>Fe =</t>
    <phoneticPr fontId="4" type="noConversion"/>
  </si>
  <si>
    <t>(Elastic buckling stress)</t>
    <phoneticPr fontId="4" type="noConversion"/>
  </si>
  <si>
    <t>(Limiting 세장비 for Fy =250Mpa)</t>
    <phoneticPr fontId="4" type="noConversion"/>
  </si>
  <si>
    <t>(Limiting 세장비 for Fy =345Mpa)</t>
    <phoneticPr fontId="4" type="noConversion"/>
  </si>
  <si>
    <t>세장비(λ)에 따른 Critical Stress(Fcr)</t>
    <phoneticPr fontId="4" type="noConversion"/>
  </si>
  <si>
    <t>Fy =</t>
    <phoneticPr fontId="4" type="noConversion"/>
  </si>
  <si>
    <t>λ</t>
    <phoneticPr fontId="4" type="noConversion"/>
  </si>
  <si>
    <t>Fe</t>
    <phoneticPr fontId="4" type="noConversion"/>
  </si>
  <si>
    <r>
      <t>Fy/Fe=</t>
    </r>
    <r>
      <rPr>
        <sz val="9"/>
        <color theme="1"/>
        <rFont val="맑은 고딕"/>
        <family val="3"/>
        <charset val="129"/>
      </rPr>
      <t>α</t>
    </r>
    <phoneticPr fontId="4" type="noConversion"/>
  </si>
  <si>
    <r>
      <t>0.658</t>
    </r>
    <r>
      <rPr>
        <vertAlign val="superscript"/>
        <sz val="9"/>
        <color theme="1"/>
        <rFont val="맑은 고딕"/>
        <family val="3"/>
        <charset val="129"/>
      </rPr>
      <t>α</t>
    </r>
    <phoneticPr fontId="4" type="noConversion"/>
  </si>
  <si>
    <t>Fcr (E3-2)</t>
    <phoneticPr fontId="4" type="noConversion"/>
  </si>
  <si>
    <t>Fcr (E3-3)</t>
    <phoneticPr fontId="4" type="noConversion"/>
  </si>
  <si>
    <t>Pn</t>
    <phoneticPr fontId="4" type="noConversion"/>
  </si>
  <si>
    <t>Ag 는 Section Area</t>
    <phoneticPr fontId="4" type="noConversion"/>
  </si>
  <si>
    <t>세장비(λ)에 따른 Critical Stress(Fcr)</t>
    <phoneticPr fontId="4" type="noConversion"/>
  </si>
  <si>
    <t>Fe</t>
    <phoneticPr fontId="4" type="noConversion"/>
  </si>
  <si>
    <t>Fy/Fe</t>
    <phoneticPr fontId="4" type="noConversion"/>
  </si>
  <si>
    <r>
      <t>0.658</t>
    </r>
    <r>
      <rPr>
        <vertAlign val="superscript"/>
        <sz val="9"/>
        <color theme="1"/>
        <rFont val="맑은 고딕"/>
        <family val="3"/>
        <charset val="129"/>
      </rPr>
      <t>α</t>
    </r>
    <phoneticPr fontId="4" type="noConversion"/>
  </si>
  <si>
    <t>Fcr (E3-2)</t>
    <phoneticPr fontId="4" type="noConversion"/>
  </si>
  <si>
    <t>Fcr (E3-3)</t>
    <phoneticPr fontId="4" type="noConversion"/>
  </si>
  <si>
    <t>Pn</t>
    <phoneticPr fontId="4" type="noConversion"/>
  </si>
  <si>
    <t>Ag 는 Section Area</t>
    <phoneticPr fontId="4" type="noConversion"/>
  </si>
  <si>
    <t>E4. TORSIONAL AND FLEXURAL-TORSIONAL BUCKLING OF SINGLE ANGLES AND MEMBERS</t>
    <phoneticPr fontId="4" type="noConversion"/>
  </si>
  <si>
    <t>WITHOUT SLENDER ELEMENTS</t>
    <phoneticPr fontId="4" type="noConversion"/>
  </si>
  <si>
    <t>(H, Channel, T, 2Ls 형상의 Flexural-Torsional Buckling인 경우)</t>
    <phoneticPr fontId="4" type="noConversion"/>
  </si>
  <si>
    <t>a) For doubly symmetric members(H) twisting about the shear center</t>
    <phoneticPr fontId="4" type="noConversion"/>
  </si>
  <si>
    <t xml:space="preserve">    (Torsional unbraced length가 횡좌굴 길이를 초과할 경우 지배 함.)</t>
    <phoneticPr fontId="4" type="noConversion"/>
  </si>
  <si>
    <t>Fy =</t>
    <phoneticPr fontId="4" type="noConversion"/>
  </si>
  <si>
    <t>H =</t>
    <phoneticPr fontId="4" type="noConversion"/>
  </si>
  <si>
    <t>mm</t>
    <phoneticPr fontId="4" type="noConversion"/>
  </si>
  <si>
    <t>B =</t>
    <phoneticPr fontId="4" type="noConversion"/>
  </si>
  <si>
    <t>mm</t>
    <phoneticPr fontId="4" type="noConversion"/>
  </si>
  <si>
    <t>tw =</t>
    <phoneticPr fontId="4" type="noConversion"/>
  </si>
  <si>
    <t>tf =</t>
    <phoneticPr fontId="4" type="noConversion"/>
  </si>
  <si>
    <t>mm</t>
    <phoneticPr fontId="4" type="noConversion"/>
  </si>
  <si>
    <t>Cw =</t>
    <phoneticPr fontId="4" type="noConversion"/>
  </si>
  <si>
    <t>mm6</t>
    <phoneticPr fontId="4" type="noConversion"/>
  </si>
  <si>
    <t>for warping constant</t>
    <phoneticPr fontId="4" type="noConversion"/>
  </si>
  <si>
    <t>J=</t>
    <phoneticPr fontId="4" type="noConversion"/>
  </si>
  <si>
    <t>mm4</t>
    <phoneticPr fontId="4" type="noConversion"/>
  </si>
  <si>
    <t>for torsional constant</t>
    <phoneticPr fontId="4" type="noConversion"/>
  </si>
  <si>
    <t>Ix =</t>
    <phoneticPr fontId="4" type="noConversion"/>
  </si>
  <si>
    <t>Iy =</t>
    <phoneticPr fontId="4" type="noConversion"/>
  </si>
  <si>
    <t>mm4</t>
    <phoneticPr fontId="4" type="noConversion"/>
  </si>
  <si>
    <t>Ag =</t>
    <phoneticPr fontId="4" type="noConversion"/>
  </si>
  <si>
    <t>mm2</t>
    <phoneticPr fontId="4" type="noConversion"/>
  </si>
  <si>
    <t>x0=</t>
    <phoneticPr fontId="4" type="noConversion"/>
  </si>
  <si>
    <t>for shear center</t>
    <phoneticPr fontId="4" type="noConversion"/>
  </si>
  <si>
    <t>y0=</t>
    <phoneticPr fontId="4" type="noConversion"/>
  </si>
  <si>
    <t>for shear center</t>
    <phoneticPr fontId="4" type="noConversion"/>
  </si>
  <si>
    <t>rx =</t>
    <phoneticPr fontId="4" type="noConversion"/>
  </si>
  <si>
    <t>for radius of gyration</t>
    <phoneticPr fontId="4" type="noConversion"/>
  </si>
  <si>
    <t>ry =</t>
    <phoneticPr fontId="4" type="noConversion"/>
  </si>
  <si>
    <t>for radius of gyration</t>
    <phoneticPr fontId="4" type="noConversion"/>
  </si>
  <si>
    <r>
      <t>ro</t>
    </r>
    <r>
      <rPr>
        <sz val="11"/>
        <color theme="1"/>
        <rFont val="맑은 고딕"/>
        <family val="2"/>
        <charset val="129"/>
        <scheme val="minor"/>
      </rPr>
      <t xml:space="preserve"> =</t>
    </r>
    <phoneticPr fontId="4" type="noConversion"/>
  </si>
  <si>
    <t>for radius of gyration about the shear center</t>
    <phoneticPr fontId="4" type="noConversion"/>
  </si>
  <si>
    <t>Lcx =</t>
    <phoneticPr fontId="4" type="noConversion"/>
  </si>
  <si>
    <t>for effective length</t>
    <phoneticPr fontId="4" type="noConversion"/>
  </si>
  <si>
    <t>λx =</t>
    <phoneticPr fontId="4" type="noConversion"/>
  </si>
  <si>
    <t>Lcy=</t>
    <phoneticPr fontId="4" type="noConversion"/>
  </si>
  <si>
    <t>λy =</t>
    <phoneticPr fontId="4" type="noConversion"/>
  </si>
  <si>
    <t>Lcz=</t>
    <phoneticPr fontId="4" type="noConversion"/>
  </si>
  <si>
    <t>for effective length for torsional</t>
    <phoneticPr fontId="4" type="noConversion"/>
  </si>
  <si>
    <t>Fex =</t>
    <phoneticPr fontId="4" type="noConversion"/>
  </si>
  <si>
    <t>Mpa</t>
    <phoneticPr fontId="4" type="noConversion"/>
  </si>
  <si>
    <t>Fy/Fex=</t>
    <phoneticPr fontId="4" type="noConversion"/>
  </si>
  <si>
    <t>Fcrx=</t>
    <phoneticPr fontId="4" type="noConversion"/>
  </si>
  <si>
    <t>Fey =</t>
    <phoneticPr fontId="4" type="noConversion"/>
  </si>
  <si>
    <t>Fy/Fey=</t>
    <phoneticPr fontId="4" type="noConversion"/>
  </si>
  <si>
    <t>Fcry=</t>
    <phoneticPr fontId="4" type="noConversion"/>
  </si>
  <si>
    <t>Fez=</t>
    <phoneticPr fontId="4" type="noConversion"/>
  </si>
  <si>
    <t>Fy/Fez=</t>
    <phoneticPr fontId="4" type="noConversion"/>
  </si>
  <si>
    <t>Fcrz=</t>
    <phoneticPr fontId="4" type="noConversion"/>
  </si>
  <si>
    <t>ψ=</t>
    <phoneticPr fontId="4" type="noConversion"/>
  </si>
  <si>
    <t>Ω=</t>
    <phoneticPr fontId="4" type="noConversion"/>
  </si>
  <si>
    <t>ψPn =</t>
    <phoneticPr fontId="4" type="noConversion"/>
  </si>
  <si>
    <t>kN</t>
    <phoneticPr fontId="4" type="noConversion"/>
  </si>
  <si>
    <t>=0.9 x Min(Fcrx, Fxry, Fcrz) x Ag</t>
    <phoneticPr fontId="4" type="noConversion"/>
  </si>
  <si>
    <t>Pn/Ω =</t>
    <phoneticPr fontId="4" type="noConversion"/>
  </si>
  <si>
    <t>kN</t>
    <phoneticPr fontId="4" type="noConversion"/>
  </si>
  <si>
    <t>=1/1.67 x Min(Fcrx, Fxry, Fcrz) x Ag</t>
    <phoneticPr fontId="4" type="noConversion"/>
  </si>
  <si>
    <t>Reference</t>
    <phoneticPr fontId="4" type="noConversion"/>
  </si>
  <si>
    <t>Lcz(mm)</t>
    <phoneticPr fontId="4" type="noConversion"/>
  </si>
  <si>
    <t>Fe(Mpa)</t>
    <phoneticPr fontId="4" type="noConversion"/>
  </si>
  <si>
    <t>b-1) For singly symmetric members(T) twisting about the shear center where y is the axis of symmetry</t>
    <phoneticPr fontId="4" type="noConversion"/>
  </si>
  <si>
    <t>d =</t>
    <phoneticPr fontId="4" type="noConversion"/>
  </si>
  <si>
    <t>b =</t>
    <phoneticPr fontId="4" type="noConversion"/>
  </si>
  <si>
    <t>tw =</t>
    <phoneticPr fontId="4" type="noConversion"/>
  </si>
  <si>
    <t>mm6</t>
    <phoneticPr fontId="4" type="noConversion"/>
  </si>
  <si>
    <t>for warping constant</t>
    <phoneticPr fontId="4" type="noConversion"/>
  </si>
  <si>
    <t>for torsional constant</t>
    <phoneticPr fontId="4" type="noConversion"/>
  </si>
  <si>
    <t>Ix =</t>
    <phoneticPr fontId="4" type="noConversion"/>
  </si>
  <si>
    <t>Iy =</t>
    <phoneticPr fontId="4" type="noConversion"/>
  </si>
  <si>
    <t>mm4</t>
    <phoneticPr fontId="4" type="noConversion"/>
  </si>
  <si>
    <t>mm2</t>
    <phoneticPr fontId="4" type="noConversion"/>
  </si>
  <si>
    <t>y0 =</t>
    <phoneticPr fontId="4" type="noConversion"/>
  </si>
  <si>
    <t>Lcx =</t>
    <phoneticPr fontId="4" type="noConversion"/>
  </si>
  <si>
    <t>for effective length</t>
    <phoneticPr fontId="4" type="noConversion"/>
  </si>
  <si>
    <t>Lcy=</t>
    <phoneticPr fontId="4" type="noConversion"/>
  </si>
  <si>
    <t>Lcz=</t>
    <phoneticPr fontId="4" type="noConversion"/>
  </si>
  <si>
    <t>Fex =</t>
    <phoneticPr fontId="4" type="noConversion"/>
  </si>
  <si>
    <t>Fy/Fex=</t>
    <phoneticPr fontId="4" type="noConversion"/>
  </si>
  <si>
    <t>Fey =</t>
    <phoneticPr fontId="4" type="noConversion"/>
  </si>
  <si>
    <t>Fcry=</t>
    <phoneticPr fontId="4" type="noConversion"/>
  </si>
  <si>
    <t>Fez=</t>
    <phoneticPr fontId="4" type="noConversion"/>
  </si>
  <si>
    <t>Fy/Fet=</t>
    <phoneticPr fontId="4" type="noConversion"/>
  </si>
  <si>
    <t>Fcrt=</t>
    <phoneticPr fontId="4" type="noConversion"/>
  </si>
  <si>
    <t>Ω=</t>
    <phoneticPr fontId="4" type="noConversion"/>
  </si>
  <si>
    <t>=0.9 x Min(Fcrx, Fxry, Fcrt) x Ag</t>
    <phoneticPr fontId="4" type="noConversion"/>
  </si>
  <si>
    <t>=1/1.67 x Min(Fcrx, Fxry, Fcrt) x Ag</t>
    <phoneticPr fontId="4" type="noConversion"/>
  </si>
  <si>
    <t>Lcz  =</t>
    <phoneticPr fontId="4" type="noConversion"/>
  </si>
  <si>
    <t>Ix(mm4)</t>
    <phoneticPr fontId="4" type="noConversion"/>
  </si>
  <si>
    <t>Iy(mm4)</t>
    <phoneticPr fontId="4" type="noConversion"/>
  </si>
  <si>
    <t>Cw(mm6)</t>
    <phoneticPr fontId="4" type="noConversion"/>
  </si>
  <si>
    <t>J(mm4)</t>
    <phoneticPr fontId="4" type="noConversion"/>
  </si>
  <si>
    <t>i(mm)</t>
    <phoneticPr fontId="4" type="noConversion"/>
  </si>
  <si>
    <t>λ</t>
    <phoneticPr fontId="4" type="noConversion"/>
  </si>
  <si>
    <t>H-200x200</t>
    <phoneticPr fontId="4" type="noConversion"/>
  </si>
  <si>
    <t>H-294x200</t>
    <phoneticPr fontId="4" type="noConversion"/>
  </si>
  <si>
    <t>H-400x400</t>
    <phoneticPr fontId="4" type="noConversion"/>
  </si>
  <si>
    <t>H-700x300</t>
    <phoneticPr fontId="4" type="noConversion"/>
  </si>
  <si>
    <t>일반적으로 built up 부재에서 판의 두께가 작을 때 지배적 임. 그 외는 E3의 약축에 대한
 세장비가 지배적이다.</t>
    <phoneticPr fontId="4" type="noConversion"/>
  </si>
  <si>
    <t>H Section의 Torsional effective length가 양방향 lateral effective length보다 클 때 E4가 지배적임.</t>
    <phoneticPr fontId="4" type="noConversion"/>
  </si>
  <si>
    <t>E7. MEMBERS WITH SLENDER ELEMENTS</t>
    <phoneticPr fontId="4" type="noConversion"/>
  </si>
  <si>
    <t xml:space="preserve">     (Flexural, Torsional, and Flexural-Torsional Buckling with Local Buckling)</t>
    <phoneticPr fontId="4" type="noConversion"/>
  </si>
  <si>
    <t>1. Slender Element Members Excluding Round HSS</t>
    <phoneticPr fontId="4" type="noConversion"/>
  </si>
  <si>
    <t>Fcr =</t>
    <phoneticPr fontId="4" type="noConversion"/>
  </si>
  <si>
    <r>
      <t>λ</t>
    </r>
    <r>
      <rPr>
        <sz val="12.65"/>
        <color theme="1"/>
        <rFont val="맑은 고딕"/>
        <family val="3"/>
        <charset val="129"/>
      </rPr>
      <t>r =</t>
    </r>
    <phoneticPr fontId="4" type="noConversion"/>
  </si>
  <si>
    <t>for Limiting Width to thickness ratios for compression members</t>
    <phoneticPr fontId="4" type="noConversion"/>
  </si>
  <si>
    <t>b=</t>
    <phoneticPr fontId="4" type="noConversion"/>
  </si>
  <si>
    <t>for Member Width</t>
    <phoneticPr fontId="4" type="noConversion"/>
  </si>
  <si>
    <t>t=</t>
    <phoneticPr fontId="4" type="noConversion"/>
  </si>
  <si>
    <t>for Member thickness</t>
    <phoneticPr fontId="4" type="noConversion"/>
  </si>
  <si>
    <t>for Width to thickness ratios for compression members</t>
    <phoneticPr fontId="4" type="noConversion"/>
  </si>
  <si>
    <r>
      <t>λ</t>
    </r>
    <r>
      <rPr>
        <sz val="12.65"/>
        <color theme="1"/>
        <rFont val="맑은 고딕"/>
        <family val="3"/>
        <charset val="129"/>
      </rPr>
      <t xml:space="preserve">     =</t>
    </r>
    <phoneticPr fontId="4" type="noConversion"/>
  </si>
  <si>
    <t>c1=</t>
    <phoneticPr fontId="4" type="noConversion"/>
  </si>
  <si>
    <t>c2=</t>
  </si>
  <si>
    <t>Fel=</t>
    <phoneticPr fontId="4" type="noConversion"/>
  </si>
  <si>
    <t>for Elastic local buckling stress</t>
    <phoneticPr fontId="4" type="noConversion"/>
  </si>
  <si>
    <t>(E7-5)</t>
    <phoneticPr fontId="4" type="noConversion"/>
  </si>
  <si>
    <t>be1 =</t>
    <phoneticPr fontId="4" type="noConversion"/>
  </si>
  <si>
    <t>=</t>
    <phoneticPr fontId="4" type="noConversion"/>
  </si>
  <si>
    <t>(E7-3)</t>
    <phoneticPr fontId="4" type="noConversion"/>
  </si>
  <si>
    <t>be = Min{ b or b1 }</t>
    <phoneticPr fontId="4" type="noConversion"/>
  </si>
  <si>
    <t>=</t>
    <phoneticPr fontId="4" type="noConversion"/>
  </si>
  <si>
    <t xml:space="preserve">H.W #1 </t>
    <phoneticPr fontId="4" type="noConversion"/>
  </si>
  <si>
    <t>AISC 360의 Section E3에 따라서 강재 항복강도 Fy=250Mpa, Fy=345Mpa에 대하여 아래 표와 같이 Excel로 작성</t>
    <phoneticPr fontId="4" type="noConversion"/>
  </si>
  <si>
    <t xml:space="preserve">H.W #2 </t>
    <phoneticPr fontId="4" type="noConversion"/>
  </si>
  <si>
    <t>상기 그림과 같이 작성된 도표를 이용하여 다음 조건의 기둥의 압축 설계 강도 ?</t>
    <phoneticPr fontId="4" type="noConversion"/>
  </si>
  <si>
    <t>(Design Example E.1D 참조)</t>
    <phoneticPr fontId="4" type="noConversion"/>
  </si>
  <si>
    <t>Unit- kN.mm</t>
    <phoneticPr fontId="4" type="noConversion"/>
  </si>
  <si>
    <t>부재 형상</t>
    <phoneticPr fontId="4" type="noConversion"/>
  </si>
  <si>
    <t>kLx(S)</t>
    <phoneticPr fontId="4" type="noConversion"/>
  </si>
  <si>
    <t>kLy(W)</t>
    <phoneticPr fontId="4" type="noConversion"/>
  </si>
  <si>
    <t>ψPn</t>
    <phoneticPr fontId="4" type="noConversion"/>
  </si>
  <si>
    <r>
      <t>Pn/</t>
    </r>
    <r>
      <rPr>
        <sz val="11"/>
        <color theme="1"/>
        <rFont val="맑은 고딕"/>
        <family val="3"/>
        <charset val="129"/>
      </rPr>
      <t>ψ</t>
    </r>
    <phoneticPr fontId="4" type="noConversion"/>
  </si>
  <si>
    <t>단위무게</t>
    <phoneticPr fontId="4" type="noConversion"/>
  </si>
  <si>
    <t>H-248 x 249x 8 x 13</t>
    <phoneticPr fontId="4" type="noConversion"/>
  </si>
  <si>
    <t>66kg/m</t>
    <phoneticPr fontId="4" type="noConversion"/>
  </si>
  <si>
    <t>H-400 x 200 x 8 x 13</t>
    <phoneticPr fontId="4" type="noConversion"/>
  </si>
  <si>
    <t>H-400 x 200 x 8 x 13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</si>
</sst>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1" formatCode="_-* #,##0_-;\-* #,##0_-;_-* &quot;-&quot;_-;_-@_-"/>
    <numFmt numFmtId="176" formatCode="&quot;Fy=&quot;0&quot;Mpa&quot;"/>
    <numFmt numFmtId="177" formatCode="0.0"/>
    <numFmt numFmtId="178" formatCode="0&quot;Ag&quot;"/>
    <numFmt numFmtId="179" formatCode="0_ "/>
    <numFmt numFmtId="180" formatCode="0.000_ "/>
    <numFmt numFmtId="181" formatCode="0.0_ "/>
    <numFmt numFmtId="182" formatCode="0.00_ "/>
    <numFmt numFmtId="183" formatCode="_-* #,##0_-;\-* #,##0_-;_-* &quot;-&quot;??_-;_-@_-"/>
    <numFmt numFmtId="184" formatCode="mm&quot;월&quot;\ dd&quot;일&quot;"/>
  </numFmts>
  <fonts count="3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2"/>
      <charset val="129"/>
    </font>
    <font>
      <sz val="9"/>
      <color theme="1"/>
      <name val="맑은 고딕"/>
      <family val="3"/>
      <charset val="129"/>
      <scheme val="minor"/>
    </font>
    <font>
      <sz val="9"/>
      <color theme="1"/>
      <name val="HY신명조"/>
      <family val="1"/>
      <charset val="129"/>
    </font>
    <font>
      <sz val="8"/>
      <color theme="1"/>
      <name val="맑은 고딕"/>
      <family val="3"/>
      <charset val="129"/>
      <scheme val="minor"/>
    </font>
    <font>
      <vertAlign val="superscript"/>
      <sz val="9"/>
      <color theme="1"/>
      <name val="맑은 고딕"/>
      <family val="3"/>
      <charset val="129"/>
    </font>
    <font>
      <sz val="6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궁서"/>
      <family val="1"/>
      <charset val="129"/>
    </font>
    <font>
      <sz val="8"/>
      <color rgb="FF0000FF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</font>
    <font>
      <sz val="11"/>
      <color theme="0" tint="-0.499984740745262"/>
      <name val="맑은 고딕"/>
      <family val="2"/>
      <charset val="129"/>
      <scheme val="minor"/>
    </font>
    <font>
      <sz val="8"/>
      <color theme="0" tint="-0.499984740745262"/>
      <name val="맑은 고딕"/>
      <family val="2"/>
      <charset val="129"/>
      <scheme val="minor"/>
    </font>
    <font>
      <sz val="9"/>
      <color theme="0" tint="-0.499984740745262"/>
      <name val="맑은 고딕"/>
      <family val="2"/>
      <charset val="129"/>
      <scheme val="minor"/>
    </font>
    <font>
      <sz val="10"/>
      <color theme="0" tint="-0.499984740745262"/>
      <name val="맑은 고딕"/>
      <family val="2"/>
      <charset val="129"/>
      <scheme val="minor"/>
    </font>
    <font>
      <sz val="6"/>
      <color theme="0" tint="-0.499984740745262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sz val="9"/>
      <color theme="0" tint="-0.499984740745262"/>
      <name val="맑은 고딕"/>
      <family val="3"/>
      <charset val="129"/>
      <scheme val="minor"/>
    </font>
    <font>
      <sz val="9"/>
      <color rgb="FFFF0000"/>
      <name val="궁서"/>
      <family val="1"/>
      <charset val="129"/>
    </font>
    <font>
      <sz val="8"/>
      <color theme="1"/>
      <name val="맑은 고딕"/>
      <family val="3"/>
      <charset val="129"/>
    </font>
    <font>
      <sz val="11"/>
      <color rgb="FF0000FF"/>
      <name val="맑은 고딕"/>
      <family val="2"/>
      <charset val="129"/>
      <scheme val="minor"/>
    </font>
    <font>
      <sz val="12.65"/>
      <color theme="1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38">
    <xf numFmtId="0" fontId="0" fillId="0" borderId="0" xfId="0">
      <alignment vertical="center"/>
    </xf>
    <xf numFmtId="0" fontId="3" fillId="2" borderId="0" xfId="0" applyFont="1" applyFill="1" applyAlignment="1">
      <alignment horizontal="left" vertical="center"/>
    </xf>
    <xf numFmtId="3" fontId="3" fillId="2" borderId="0" xfId="0" applyNumberFormat="1" applyFont="1" applyFill="1" applyAlignment="1">
      <alignment horizontal="center"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5" fillId="2" borderId="0" xfId="0" applyFont="1" applyFill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77" fontId="0" fillId="2" borderId="1" xfId="0" applyNumberFormat="1" applyFill="1" applyBorder="1" applyAlignment="1">
      <alignment horizontal="center" vertical="center"/>
    </xf>
    <xf numFmtId="177" fontId="0" fillId="2" borderId="4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0" fontId="13" fillId="2" borderId="0" xfId="0" applyFont="1" applyFill="1">
      <alignment vertical="center"/>
    </xf>
    <xf numFmtId="0" fontId="0" fillId="3" borderId="0" xfId="0" applyFill="1">
      <alignment vertical="center"/>
    </xf>
    <xf numFmtId="0" fontId="5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3" fontId="12" fillId="4" borderId="1" xfId="0" applyNumberFormat="1" applyFont="1" applyFill="1" applyBorder="1">
      <alignment vertical="center"/>
    </xf>
    <xf numFmtId="0" fontId="12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12" fillId="2" borderId="0" xfId="0" applyFont="1" applyFill="1" applyAlignment="1">
      <alignment horizontal="left" vertical="center"/>
    </xf>
    <xf numFmtId="1" fontId="12" fillId="4" borderId="1" xfId="0" applyNumberFormat="1" applyFont="1" applyFill="1" applyBorder="1">
      <alignment vertical="center"/>
    </xf>
    <xf numFmtId="0" fontId="12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right" vertical="center"/>
    </xf>
    <xf numFmtId="0" fontId="12" fillId="4" borderId="1" xfId="0" applyFont="1" applyFill="1" applyBorder="1" applyAlignment="1">
      <alignment horizontal="right" vertical="center"/>
    </xf>
    <xf numFmtId="0" fontId="9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1" fontId="12" fillId="2" borderId="1" xfId="0" applyNumberFormat="1" applyFont="1" applyFill="1" applyBorder="1" applyAlignment="1">
      <alignment horizontal="center" vertical="center"/>
    </xf>
    <xf numFmtId="2" fontId="16" fillId="2" borderId="1" xfId="0" applyNumberFormat="1" applyFont="1" applyFill="1" applyBorder="1" applyAlignment="1">
      <alignment horizontal="center" vertical="center"/>
    </xf>
    <xf numFmtId="1" fontId="16" fillId="2" borderId="1" xfId="0" applyNumberFormat="1" applyFont="1" applyFill="1" applyBorder="1" applyAlignment="1">
      <alignment horizontal="center" vertical="center"/>
    </xf>
    <xf numFmtId="178" fontId="12" fillId="2" borderId="1" xfId="0" applyNumberFormat="1" applyFont="1" applyFill="1" applyBorder="1" applyAlignment="1">
      <alignment horizontal="center" vertical="center"/>
    </xf>
    <xf numFmtId="1" fontId="17" fillId="2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8" fillId="2" borderId="0" xfId="0" applyFont="1" applyFill="1">
      <alignment vertical="center"/>
    </xf>
    <xf numFmtId="0" fontId="19" fillId="6" borderId="1" xfId="0" applyFont="1" applyFill="1" applyBorder="1" applyAlignment="1">
      <alignment vertical="center"/>
    </xf>
    <xf numFmtId="0" fontId="6" fillId="2" borderId="0" xfId="0" applyFont="1" applyFill="1">
      <alignment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41" fontId="5" fillId="2" borderId="0" xfId="1" applyFont="1" applyFill="1" applyAlignment="1">
      <alignment horizontal="center" vertical="center"/>
    </xf>
    <xf numFmtId="179" fontId="20" fillId="0" borderId="1" xfId="0" applyNumberFormat="1" applyFont="1" applyFill="1" applyBorder="1" applyAlignment="1">
      <alignment vertical="center"/>
    </xf>
    <xf numFmtId="41" fontId="21" fillId="0" borderId="1" xfId="1" applyFont="1" applyFill="1" applyBorder="1" applyAlignment="1">
      <alignment vertical="center"/>
    </xf>
    <xf numFmtId="41" fontId="22" fillId="0" borderId="1" xfId="1" applyFont="1" applyFill="1" applyBorder="1" applyAlignment="1">
      <alignment vertical="center"/>
    </xf>
    <xf numFmtId="41" fontId="21" fillId="2" borderId="0" xfId="0" applyNumberFormat="1" applyFont="1" applyFill="1" applyAlignment="1">
      <alignment vertical="center"/>
    </xf>
    <xf numFmtId="180" fontId="20" fillId="2" borderId="0" xfId="0" applyNumberFormat="1" applyFont="1" applyFill="1" applyBorder="1" applyAlignment="1">
      <alignment vertical="center"/>
    </xf>
    <xf numFmtId="0" fontId="6" fillId="2" borderId="0" xfId="0" quotePrefix="1" applyFont="1" applyFill="1">
      <alignment vertical="center"/>
    </xf>
    <xf numFmtId="0" fontId="20" fillId="2" borderId="0" xfId="0" applyFont="1" applyFill="1">
      <alignment vertical="center"/>
    </xf>
    <xf numFmtId="0" fontId="0" fillId="2" borderId="0" xfId="0" applyFill="1" applyBorder="1">
      <alignment vertical="center"/>
    </xf>
    <xf numFmtId="179" fontId="20" fillId="4" borderId="1" xfId="0" applyNumberFormat="1" applyFont="1" applyFill="1" applyBorder="1" applyAlignment="1">
      <alignment vertical="center"/>
    </xf>
    <xf numFmtId="0" fontId="23" fillId="2" borderId="0" xfId="0" applyFont="1" applyFill="1" applyAlignment="1">
      <alignment horizontal="center" vertical="center"/>
    </xf>
    <xf numFmtId="177" fontId="20" fillId="2" borderId="1" xfId="0" applyNumberFormat="1" applyFont="1" applyFill="1" applyBorder="1">
      <alignment vertical="center"/>
    </xf>
    <xf numFmtId="0" fontId="7" fillId="2" borderId="0" xfId="0" applyFont="1" applyFill="1">
      <alignment vertical="center"/>
    </xf>
    <xf numFmtId="2" fontId="20" fillId="2" borderId="1" xfId="0" applyNumberFormat="1" applyFont="1" applyFill="1" applyBorder="1">
      <alignment vertical="center"/>
    </xf>
    <xf numFmtId="0" fontId="7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3" fillId="2" borderId="0" xfId="0" applyFont="1" applyFill="1">
      <alignment vertical="center"/>
    </xf>
    <xf numFmtId="181" fontId="8" fillId="2" borderId="0" xfId="0" applyNumberFormat="1" applyFont="1" applyFill="1" applyBorder="1" applyAlignment="1">
      <alignment vertical="center"/>
    </xf>
    <xf numFmtId="177" fontId="8" fillId="2" borderId="0" xfId="0" applyNumberFormat="1" applyFont="1" applyFill="1" applyBorder="1">
      <alignment vertical="center"/>
    </xf>
    <xf numFmtId="182" fontId="8" fillId="2" borderId="0" xfId="0" applyNumberFormat="1" applyFont="1" applyFill="1" applyBorder="1" applyAlignment="1">
      <alignment vertical="center"/>
    </xf>
    <xf numFmtId="41" fontId="8" fillId="4" borderId="0" xfId="1" applyFont="1" applyFill="1" applyBorder="1" applyAlignment="1">
      <alignment vertical="center"/>
    </xf>
    <xf numFmtId="0" fontId="8" fillId="2" borderId="0" xfId="0" quotePrefix="1" applyFont="1" applyFill="1">
      <alignment vertical="center"/>
    </xf>
    <xf numFmtId="177" fontId="12" fillId="2" borderId="0" xfId="0" applyNumberFormat="1" applyFont="1" applyFill="1" applyBorder="1">
      <alignment vertical="center"/>
    </xf>
    <xf numFmtId="0" fontId="12" fillId="2" borderId="0" xfId="0" quotePrefix="1" applyFont="1" applyFill="1">
      <alignment vertical="center"/>
    </xf>
    <xf numFmtId="0" fontId="24" fillId="2" borderId="0" xfId="0" applyFont="1" applyFill="1">
      <alignment vertical="center"/>
    </xf>
    <xf numFmtId="179" fontId="25" fillId="0" borderId="0" xfId="0" applyNumberFormat="1" applyFont="1" applyFill="1" applyBorder="1" applyAlignment="1">
      <alignment horizontal="center" vertical="center"/>
    </xf>
    <xf numFmtId="0" fontId="26" fillId="2" borderId="0" xfId="0" applyFont="1" applyFill="1">
      <alignment vertical="center"/>
    </xf>
    <xf numFmtId="0" fontId="27" fillId="2" borderId="0" xfId="0" applyFont="1" applyFill="1">
      <alignment vertical="center"/>
    </xf>
    <xf numFmtId="183" fontId="28" fillId="2" borderId="0" xfId="0" applyNumberFormat="1" applyFont="1" applyFill="1">
      <alignment vertical="center"/>
    </xf>
    <xf numFmtId="0" fontId="29" fillId="2" borderId="6" xfId="0" applyFont="1" applyFill="1" applyBorder="1" applyAlignment="1">
      <alignment horizontal="center" vertical="center"/>
    </xf>
    <xf numFmtId="179" fontId="29" fillId="0" borderId="7" xfId="0" applyNumberFormat="1" applyFont="1" applyFill="1" applyBorder="1" applyAlignment="1">
      <alignment horizontal="center" vertical="center"/>
    </xf>
    <xf numFmtId="0" fontId="29" fillId="2" borderId="7" xfId="0" applyFont="1" applyFill="1" applyBorder="1" applyAlignment="1">
      <alignment horizontal="center" vertical="center"/>
    </xf>
    <xf numFmtId="179" fontId="29" fillId="0" borderId="8" xfId="0" applyNumberFormat="1" applyFont="1" applyFill="1" applyBorder="1" applyAlignment="1">
      <alignment horizontal="center" vertical="center"/>
    </xf>
    <xf numFmtId="0" fontId="29" fillId="2" borderId="9" xfId="0" applyFont="1" applyFill="1" applyBorder="1" applyAlignment="1">
      <alignment horizontal="center" vertical="center"/>
    </xf>
    <xf numFmtId="179" fontId="29" fillId="4" borderId="1" xfId="0" applyNumberFormat="1" applyFont="1" applyFill="1" applyBorder="1" applyAlignment="1">
      <alignment horizontal="center" vertical="center"/>
    </xf>
    <xf numFmtId="179" fontId="29" fillId="4" borderId="10" xfId="0" applyNumberFormat="1" applyFont="1" applyFill="1" applyBorder="1" applyAlignment="1">
      <alignment horizontal="center" vertical="center"/>
    </xf>
    <xf numFmtId="0" fontId="30" fillId="2" borderId="11" xfId="0" applyFont="1" applyFill="1" applyBorder="1">
      <alignment vertical="center"/>
    </xf>
    <xf numFmtId="0" fontId="30" fillId="2" borderId="0" xfId="0" applyFont="1" applyFill="1" applyBorder="1">
      <alignment vertical="center"/>
    </xf>
    <xf numFmtId="179" fontId="29" fillId="0" borderId="0" xfId="0" applyNumberFormat="1" applyFont="1" applyFill="1" applyBorder="1" applyAlignment="1">
      <alignment vertical="center"/>
    </xf>
    <xf numFmtId="0" fontId="31" fillId="2" borderId="0" xfId="0" applyFont="1" applyFill="1" applyBorder="1">
      <alignment vertical="center"/>
    </xf>
    <xf numFmtId="183" fontId="28" fillId="2" borderId="0" xfId="0" applyNumberFormat="1" applyFont="1" applyFill="1" applyBorder="1">
      <alignment vertical="center"/>
    </xf>
    <xf numFmtId="0" fontId="30" fillId="2" borderId="12" xfId="0" applyFont="1" applyFill="1" applyBorder="1">
      <alignment vertical="center"/>
    </xf>
    <xf numFmtId="0" fontId="30" fillId="2" borderId="13" xfId="0" applyFont="1" applyFill="1" applyBorder="1">
      <alignment vertical="center"/>
    </xf>
    <xf numFmtId="0" fontId="30" fillId="2" borderId="14" xfId="0" applyFont="1" applyFill="1" applyBorder="1">
      <alignment vertical="center"/>
    </xf>
    <xf numFmtId="179" fontId="29" fillId="0" borderId="14" xfId="0" applyNumberFormat="1" applyFont="1" applyFill="1" applyBorder="1" applyAlignment="1">
      <alignment vertical="center"/>
    </xf>
    <xf numFmtId="0" fontId="31" fillId="2" borderId="14" xfId="0" applyFont="1" applyFill="1" applyBorder="1">
      <alignment vertical="center"/>
    </xf>
    <xf numFmtId="183" fontId="28" fillId="2" borderId="14" xfId="0" applyNumberFormat="1" applyFont="1" applyFill="1" applyBorder="1">
      <alignment vertical="center"/>
    </xf>
    <xf numFmtId="0" fontId="30" fillId="2" borderId="15" xfId="0" applyFont="1" applyFill="1" applyBorder="1">
      <alignment vertical="center"/>
    </xf>
    <xf numFmtId="179" fontId="20" fillId="0" borderId="0" xfId="0" applyNumberFormat="1" applyFont="1" applyFill="1" applyBorder="1" applyAlignment="1">
      <alignment vertical="center"/>
    </xf>
    <xf numFmtId="183" fontId="21" fillId="2" borderId="0" xfId="0" applyNumberFormat="1" applyFont="1" applyFill="1">
      <alignment vertical="center"/>
    </xf>
    <xf numFmtId="0" fontId="32" fillId="2" borderId="0" xfId="0" applyFont="1" applyFill="1">
      <alignment vertical="center"/>
    </xf>
    <xf numFmtId="0" fontId="32" fillId="7" borderId="0" xfId="0" applyFont="1" applyFill="1">
      <alignment vertical="center"/>
    </xf>
    <xf numFmtId="0" fontId="2" fillId="7" borderId="0" xfId="0" applyFont="1" applyFill="1">
      <alignment vertical="center"/>
    </xf>
    <xf numFmtId="180" fontId="20" fillId="0" borderId="0" xfId="0" applyNumberFormat="1" applyFont="1" applyFill="1" applyBorder="1" applyAlignment="1">
      <alignment vertical="center"/>
    </xf>
    <xf numFmtId="0" fontId="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20" fillId="2" borderId="1" xfId="0" applyFont="1" applyFill="1" applyBorder="1">
      <alignment vertical="center"/>
    </xf>
    <xf numFmtId="0" fontId="20" fillId="2" borderId="1" xfId="0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right" vertical="center"/>
    </xf>
    <xf numFmtId="1" fontId="14" fillId="2" borderId="1" xfId="0" applyNumberFormat="1" applyFont="1" applyFill="1" applyBorder="1" applyAlignment="1">
      <alignment horizontal="center" vertical="center"/>
    </xf>
    <xf numFmtId="177" fontId="14" fillId="2" borderId="1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34" fillId="4" borderId="1" xfId="0" applyFont="1" applyFill="1" applyBorder="1">
      <alignment vertical="center"/>
    </xf>
    <xf numFmtId="0" fontId="10" fillId="2" borderId="0" xfId="0" applyFont="1" applyFill="1">
      <alignment vertical="center"/>
    </xf>
    <xf numFmtId="177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7" fontId="0" fillId="2" borderId="1" xfId="0" applyNumberFormat="1" applyFill="1" applyBorder="1">
      <alignment vertical="center"/>
    </xf>
    <xf numFmtId="0" fontId="34" fillId="4" borderId="1" xfId="0" applyFont="1" applyFill="1" applyBorder="1" applyAlignment="1">
      <alignment horizontal="right" vertical="center"/>
    </xf>
    <xf numFmtId="1" fontId="0" fillId="2" borderId="1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84" fontId="0" fillId="2" borderId="0" xfId="0" applyNumberFormat="1" applyFill="1">
      <alignment vertical="center"/>
    </xf>
    <xf numFmtId="0" fontId="34" fillId="2" borderId="0" xfId="0" applyFont="1" applyFill="1">
      <alignment vertical="center"/>
    </xf>
    <xf numFmtId="0" fontId="0" fillId="2" borderId="4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5" xfId="0" applyFill="1" applyBorder="1">
      <alignment vertical="center"/>
    </xf>
    <xf numFmtId="0" fontId="10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16" xfId="0" applyFill="1" applyBorder="1">
      <alignment vertical="center"/>
    </xf>
    <xf numFmtId="0" fontId="0" fillId="4" borderId="1" xfId="0" applyFill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74108704281237E-2"/>
          <c:y val="6.0939685674319101E-2"/>
          <c:w val="0.84328242118177477"/>
          <c:h val="0.7533251049123672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'Chapter E'!$B$24:$B$34</c:f>
              <c:numCache>
                <c:formatCode>General</c:formatCode>
                <c:ptCount val="11"/>
                <c:pt idx="0">
                  <c:v>1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113</c:v>
                </c:pt>
                <c:pt idx="7">
                  <c:v>133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</c:numCache>
            </c:numRef>
          </c:xVal>
          <c:yVal>
            <c:numRef>
              <c:f>'Chapter E'!$H$24:$H$34</c:f>
              <c:numCache>
                <c:formatCode>0"Ag"</c:formatCode>
                <c:ptCount val="11"/>
                <c:pt idx="0">
                  <c:v>249.98673439962971</c:v>
                </c:pt>
                <c:pt idx="1">
                  <c:v>244.74953808756206</c:v>
                </c:pt>
                <c:pt idx="2">
                  <c:v>229.65055395001099</c:v>
                </c:pt>
                <c:pt idx="3">
                  <c:v>206.52701028051894</c:v>
                </c:pt>
                <c:pt idx="4">
                  <c:v>178.01228025067678</c:v>
                </c:pt>
                <c:pt idx="5">
                  <c:v>147.05737613356055</c:v>
                </c:pt>
                <c:pt idx="6">
                  <c:v>126.96216597874788</c:v>
                </c:pt>
                <c:pt idx="7">
                  <c:v>97.789302966958886</c:v>
                </c:pt>
                <c:pt idx="8">
                  <c:v>67.553665625000008</c:v>
                </c:pt>
                <c:pt idx="9">
                  <c:v>53.37573580246913</c:v>
                </c:pt>
                <c:pt idx="10">
                  <c:v>43.234346000000002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B-4B80-9413-0DAD7A551D0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'Chapter E'!$B$38:$B$48</c:f>
              <c:numCache>
                <c:formatCode>General</c:formatCode>
                <c:ptCount val="11"/>
                <c:pt idx="0">
                  <c:v>1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113</c:v>
                </c:pt>
                <c:pt idx="7">
                  <c:v>133</c:v>
                </c:pt>
                <c:pt idx="8">
                  <c:v>160</c:v>
                </c:pt>
                <c:pt idx="9">
                  <c:v>178</c:v>
                </c:pt>
                <c:pt idx="10">
                  <c:v>200</c:v>
                </c:pt>
              </c:numCache>
            </c:numRef>
          </c:xVal>
          <c:yVal>
            <c:numRef>
              <c:f>'Chapter E'!$H$38:$H$48</c:f>
              <c:numCache>
                <c:formatCode>0"Ag"</c:formatCode>
                <c:ptCount val="11"/>
                <c:pt idx="0">
                  <c:v>344.97473724535564</c:v>
                </c:pt>
                <c:pt idx="1">
                  <c:v>335.04109444123208</c:v>
                </c:pt>
                <c:pt idx="2">
                  <c:v>306.85628962199615</c:v>
                </c:pt>
                <c:pt idx="3">
                  <c:v>265.05130532019132</c:v>
                </c:pt>
                <c:pt idx="4">
                  <c:v>215.91500890032952</c:v>
                </c:pt>
                <c:pt idx="5">
                  <c:v>165.87986941232771</c:v>
                </c:pt>
                <c:pt idx="6">
                  <c:v>135.43533871094056</c:v>
                </c:pt>
                <c:pt idx="7">
                  <c:v>97.765494940358423</c:v>
                </c:pt>
                <c:pt idx="8">
                  <c:v>67.553665625000008</c:v>
                </c:pt>
                <c:pt idx="9">
                  <c:v>54.581929049362451</c:v>
                </c:pt>
                <c:pt idx="10">
                  <c:v>43.234346000000002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0B-4B80-9413-0DAD7A551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301119"/>
        <c:axId val="1805302367"/>
      </c:scatterChart>
      <c:valAx>
        <c:axId val="1805301119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Slenderness(Lc/r)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5302367"/>
        <c:crosses val="autoZero"/>
        <c:crossBetween val="midCat"/>
      </c:valAx>
      <c:valAx>
        <c:axId val="18053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Critical Stress, Fcr(MPa)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5301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chart" Target="../charts/chart1.xml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3.png"/><Relationship Id="rId16" Type="http://schemas.openxmlformats.org/officeDocument/2006/relationships/image" Target="../media/image16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18</xdr:col>
      <xdr:colOff>573738</xdr:colOff>
      <xdr:row>28</xdr:row>
      <xdr:rowOff>106559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4950" y="419100"/>
          <a:ext cx="4002738" cy="62311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70206</xdr:colOff>
      <xdr:row>16</xdr:row>
      <xdr:rowOff>11905</xdr:rowOff>
    </xdr:from>
    <xdr:ext cx="535781" cy="19645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/>
            <xdr:cNvSpPr txBox="1"/>
          </xdr:nvSpPr>
          <xdr:spPr>
            <a:xfrm>
              <a:off x="1441806" y="3326605"/>
              <a:ext cx="535781" cy="196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en-US" altLang="ko-KR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m:rPr>
                          <m:sty m:val="p"/>
                        </m:rPr>
                        <a:rPr lang="el-GR" altLang="ko-KR" sz="1100" i="1">
                          <a:latin typeface="Cambria Math" panose="02040503050406030204" pitchFamily="18" charset="0"/>
                        </a:rPr>
                        <m:t>π</m:t>
                      </m:r>
                    </m:e>
                    <m:sup>
                      <m:r>
                        <a:rPr lang="en-US" altLang="ko-K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ko-KR" altLang="en-US" sz="1100"/>
                <a:t> </a:t>
              </a:r>
              <a:r>
                <a:rPr lang="en-US" altLang="ko-KR" sz="1100"/>
                <a:t>E</a:t>
              </a:r>
              <a:r>
                <a:rPr lang="en-US" altLang="ko-KR" sz="1100" baseline="0"/>
                <a:t> / </a:t>
              </a:r>
              <a14:m>
                <m:oMath xmlns:m="http://schemas.openxmlformats.org/officeDocument/2006/math">
                  <m:sSup>
                    <m:sSupPr>
                      <m:ctrlPr>
                        <a:rPr lang="en-US" altLang="ko-KR" sz="110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m:rPr>
                          <m:sty m:val="p"/>
                        </m:rPr>
                        <a:rPr lang="el-GR" altLang="ko-KR" sz="1100" i="1" baseline="0">
                          <a:latin typeface="Cambria Math" panose="02040503050406030204" pitchFamily="18" charset="0"/>
                        </a:rPr>
                        <m:t>λ</m:t>
                      </m:r>
                    </m:e>
                    <m:sup>
                      <m:r>
                        <a:rPr lang="en-US" altLang="ko-KR" sz="1100" b="0" i="1" baseline="0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ko-KR" altLang="en-US" sz="1100"/>
                <a:t> </a:t>
              </a:r>
            </a:p>
          </xdr:txBody>
        </xdr:sp>
      </mc:Choice>
      <mc:Fallback>
        <xdr:sp macro="" textlink="">
          <xdr:nvSpPr>
            <xdr:cNvPr id="2" name="TextBox 1"/>
            <xdr:cNvSpPr txBox="1"/>
          </xdr:nvSpPr>
          <xdr:spPr>
            <a:xfrm>
              <a:off x="1441806" y="3326605"/>
              <a:ext cx="535781" cy="196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l-GR" altLang="ko-KR" sz="1100" i="0">
                  <a:latin typeface="Cambria Math" panose="02040503050406030204" pitchFamily="18" charset="0"/>
                </a:rPr>
                <a:t>π</a:t>
              </a:r>
              <a:r>
                <a:rPr lang="en-US" altLang="ko-KR" sz="1100" i="0">
                  <a:latin typeface="Cambria Math" panose="02040503050406030204" pitchFamily="18" charset="0"/>
                </a:rPr>
                <a:t>^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2</a:t>
              </a:r>
              <a:r>
                <a:rPr lang="ko-KR" altLang="en-US" sz="1100"/>
                <a:t> </a:t>
              </a:r>
              <a:r>
                <a:rPr lang="en-US" altLang="ko-KR" sz="1100"/>
                <a:t>E</a:t>
              </a:r>
              <a:r>
                <a:rPr lang="en-US" altLang="ko-KR" sz="1100" baseline="0"/>
                <a:t> / </a:t>
              </a:r>
              <a:r>
                <a:rPr lang="el-GR" altLang="ko-KR" sz="1100" i="0" baseline="0">
                  <a:latin typeface="Cambria Math" panose="02040503050406030204" pitchFamily="18" charset="0"/>
                </a:rPr>
                <a:t>λ</a:t>
              </a:r>
              <a:r>
                <a:rPr lang="en-US" altLang="ko-KR" sz="1100" i="0" baseline="0">
                  <a:latin typeface="Cambria Math" panose="02040503050406030204" pitchFamily="18" charset="0"/>
                </a:rPr>
                <a:t>^</a:t>
              </a:r>
              <a:r>
                <a:rPr lang="en-US" altLang="ko-KR" sz="1100" b="0" i="0" baseline="0">
                  <a:latin typeface="Cambria Math" panose="02040503050406030204" pitchFamily="18" charset="0"/>
                </a:rPr>
                <a:t>2</a:t>
              </a:r>
              <a:r>
                <a:rPr lang="ko-KR" altLang="en-US" sz="1100"/>
                <a:t> </a:t>
              </a:r>
            </a:p>
          </xdr:txBody>
        </xdr:sp>
      </mc:Fallback>
    </mc:AlternateContent>
    <xdr:clientData/>
  </xdr:oneCellAnchor>
  <xdr:oneCellAnchor>
    <xdr:from>
      <xdr:col>12</xdr:col>
      <xdr:colOff>238125</xdr:colOff>
      <xdr:row>25</xdr:row>
      <xdr:rowOff>157162</xdr:rowOff>
    </xdr:from>
    <xdr:ext cx="65" cy="344453"/>
    <xdr:sp macro="" textlink="">
      <xdr:nvSpPr>
        <xdr:cNvPr id="3" name="TextBox 2"/>
        <xdr:cNvSpPr txBox="1"/>
      </xdr:nvSpPr>
      <xdr:spPr>
        <a:xfrm>
          <a:off x="8505825" y="5091112"/>
          <a:ext cx="65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altLang="ko-KR" sz="1100"/>
        </a:p>
        <a:p>
          <a:endParaRPr lang="ko-KR" altLang="en-US" sz="1100"/>
        </a:p>
      </xdr:txBody>
    </xdr:sp>
    <xdr:clientData/>
  </xdr:oneCellAnchor>
  <xdr:oneCellAnchor>
    <xdr:from>
      <xdr:col>0</xdr:col>
      <xdr:colOff>657225</xdr:colOff>
      <xdr:row>17</xdr:row>
      <xdr:rowOff>61912</xdr:rowOff>
    </xdr:from>
    <xdr:ext cx="682228" cy="4546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/>
            <xdr:cNvSpPr txBox="1"/>
          </xdr:nvSpPr>
          <xdr:spPr>
            <a:xfrm>
              <a:off x="657225" y="3548062"/>
              <a:ext cx="682228" cy="4546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1000" b="0" i="1">
                        <a:latin typeface="Cambria Math" panose="02040503050406030204" pitchFamily="18" charset="0"/>
                      </a:rPr>
                      <m:t>4.71</m:t>
                    </m:r>
                    <m:rad>
                      <m:radPr>
                        <m:degHide m:val="on"/>
                        <m:ctrlPr>
                          <a:rPr lang="ko-KR" altLang="en-US" sz="10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US" altLang="ko-KR" sz="10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altLang="ko-KR" sz="1000" b="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</m:num>
                          <m:den>
                            <m:r>
                              <a:rPr lang="en-US" altLang="ko-KR" sz="1000" b="0" i="1">
                                <a:latin typeface="Cambria Math" panose="02040503050406030204" pitchFamily="18" charset="0"/>
                              </a:rPr>
                              <m:t>𝐹𝑦</m:t>
                            </m:r>
                          </m:den>
                        </m:f>
                        <m:r>
                          <a:rPr lang="en-US" altLang="ko-KR" sz="10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rad>
                  </m:oMath>
                </m:oMathPara>
              </a14:m>
              <a:endParaRPr lang="ko-KR" altLang="en-US" sz="1000"/>
            </a:p>
          </xdr:txBody>
        </xdr:sp>
      </mc:Choice>
      <mc:Fallback>
        <xdr:sp macro="" textlink="">
          <xdr:nvSpPr>
            <xdr:cNvPr id="4" name="TextBox 3"/>
            <xdr:cNvSpPr txBox="1"/>
          </xdr:nvSpPr>
          <xdr:spPr>
            <a:xfrm>
              <a:off x="657225" y="3548062"/>
              <a:ext cx="682228" cy="4546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altLang="ko-KR" sz="1000" b="0" i="0">
                  <a:latin typeface="Cambria Math" panose="02040503050406030204" pitchFamily="18" charset="0"/>
                </a:rPr>
                <a:t>4.71</a:t>
              </a:r>
              <a:r>
                <a:rPr lang="ko-KR" altLang="en-US" sz="1000" i="0">
                  <a:latin typeface="Cambria Math" panose="02040503050406030204" pitchFamily="18" charset="0"/>
                </a:rPr>
                <a:t>√(</a:t>
              </a:r>
              <a:r>
                <a:rPr lang="en-US" altLang="ko-KR" sz="1000" b="0" i="0">
                  <a:latin typeface="Cambria Math" panose="02040503050406030204" pitchFamily="18" charset="0"/>
                </a:rPr>
                <a:t>𝐸/𝐹𝑦=</a:t>
              </a:r>
              <a:r>
                <a:rPr lang="ko-KR" altLang="en-US" sz="1000" b="0" i="0">
                  <a:latin typeface="Cambria Math" panose="02040503050406030204" pitchFamily="18" charset="0"/>
                </a:rPr>
                <a:t>)</a:t>
              </a:r>
              <a:endParaRPr lang="ko-KR" altLang="en-US" sz="1000"/>
            </a:p>
          </xdr:txBody>
        </xdr:sp>
      </mc:Fallback>
    </mc:AlternateContent>
    <xdr:clientData/>
  </xdr:oneCellAnchor>
  <xdr:twoCellAnchor editAs="oneCell">
    <xdr:from>
      <xdr:col>9</xdr:col>
      <xdr:colOff>31490</xdr:colOff>
      <xdr:row>12</xdr:row>
      <xdr:rowOff>174496</xdr:rowOff>
    </xdr:from>
    <xdr:to>
      <xdr:col>14</xdr:col>
      <xdr:colOff>31491</xdr:colOff>
      <xdr:row>23</xdr:row>
      <xdr:rowOff>140223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1790" y="2689096"/>
          <a:ext cx="3429001" cy="2042177"/>
        </a:xfrm>
        <a:prstGeom prst="rect">
          <a:avLst/>
        </a:prstGeom>
      </xdr:spPr>
    </xdr:pic>
    <xdr:clientData/>
  </xdr:twoCellAnchor>
  <xdr:twoCellAnchor editAs="oneCell">
    <xdr:from>
      <xdr:col>9</xdr:col>
      <xdr:colOff>42841</xdr:colOff>
      <xdr:row>24</xdr:row>
      <xdr:rowOff>7425</xdr:rowOff>
    </xdr:from>
    <xdr:to>
      <xdr:col>13</xdr:col>
      <xdr:colOff>532086</xdr:colOff>
      <xdr:row>32</xdr:row>
      <xdr:rowOff>94175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3141" y="4769925"/>
          <a:ext cx="3232445" cy="1458350"/>
        </a:xfrm>
        <a:prstGeom prst="rect">
          <a:avLst/>
        </a:prstGeom>
      </xdr:spPr>
    </xdr:pic>
    <xdr:clientData/>
  </xdr:twoCellAnchor>
  <xdr:twoCellAnchor>
    <xdr:from>
      <xdr:col>9</xdr:col>
      <xdr:colOff>59121</xdr:colOff>
      <xdr:row>33</xdr:row>
      <xdr:rowOff>72176</xdr:rowOff>
    </xdr:from>
    <xdr:to>
      <xdr:col>16</xdr:col>
      <xdr:colOff>381000</xdr:colOff>
      <xdr:row>48</xdr:row>
      <xdr:rowOff>177362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2</xdr:col>
      <xdr:colOff>971932</xdr:colOff>
      <xdr:row>154</xdr:row>
      <xdr:rowOff>135963</xdr:rowOff>
    </xdr:from>
    <xdr:ext cx="662609" cy="34445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/>
            <xdr:cNvSpPr txBox="1"/>
          </xdr:nvSpPr>
          <xdr:spPr>
            <a:xfrm>
              <a:off x="2048257" y="31358913"/>
              <a:ext cx="662609" cy="344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m:rPr>
                      <m:sty m:val="p"/>
                    </m:rPr>
                    <a:rPr lang="el-GR" altLang="ko-KR" sz="1100" i="1">
                      <a:latin typeface="Cambria Math" panose="02040503050406030204" pitchFamily="18" charset="0"/>
                    </a:rPr>
                    <m:t>λ</m:t>
                  </m:r>
                  <m:r>
                    <a:rPr lang="en-US" altLang="ko-KR" sz="1100" b="0" i="1">
                      <a:latin typeface="Cambria Math" panose="02040503050406030204" pitchFamily="18" charset="0"/>
                    </a:rPr>
                    <m:t>𝑟</m:t>
                  </m:r>
                  <m:rad>
                    <m:radPr>
                      <m:degHide m:val="on"/>
                      <m:ctrlPr>
                        <a:rPr lang="ko-KR" altLang="en-US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en-US" altLang="ko-KR" sz="11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US" altLang="ko-KR" sz="1100" b="0" i="1">
                              <a:latin typeface="Cambria Math" panose="02040503050406030204" pitchFamily="18" charset="0"/>
                            </a:rPr>
                            <m:t>𝐹𝑦</m:t>
                          </m:r>
                        </m:num>
                        <m:den>
                          <m:r>
                            <a:rPr lang="en-US" altLang="ko-KR" sz="1100" b="0" i="1">
                              <a:latin typeface="Cambria Math" panose="02040503050406030204" pitchFamily="18" charset="0"/>
                            </a:rPr>
                            <m:t>𝐹𝑐𝑟</m:t>
                          </m:r>
                        </m:den>
                      </m:f>
                    </m:e>
                  </m:rad>
                  <m:r>
                    <a:rPr lang="en-US" altLang="ko-KR" sz="1100" b="0" i="1">
                      <a:latin typeface="Cambria Math" panose="02040503050406030204" pitchFamily="18" charset="0"/>
                    </a:rPr>
                    <m:t>  </m:t>
                  </m:r>
                </m:oMath>
              </a14:m>
              <a:r>
                <a:rPr lang="en-US" altLang="ko-KR" sz="1100" b="0" i="1">
                  <a:latin typeface="Cambria Math" panose="02040503050406030204" pitchFamily="18" charset="0"/>
                </a:rPr>
                <a:t>=</a:t>
              </a:r>
              <a14:m>
                <m:oMath xmlns:m="http://schemas.openxmlformats.org/officeDocument/2006/math">
                  <m:r>
                    <a:rPr lang="en-US" altLang="ko-KR" sz="11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endParaRPr lang="ko-KR" altLang="en-US" sz="1100"/>
            </a:p>
          </xdr:txBody>
        </xdr:sp>
      </mc:Choice>
      <mc:Fallback>
        <xdr:sp macro="" textlink="">
          <xdr:nvSpPr>
            <xdr:cNvPr id="8" name="TextBox 7"/>
            <xdr:cNvSpPr txBox="1"/>
          </xdr:nvSpPr>
          <xdr:spPr>
            <a:xfrm>
              <a:off x="2048257" y="31358913"/>
              <a:ext cx="662609" cy="344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l-GR" altLang="ko-KR" sz="1100" i="0">
                  <a:latin typeface="Cambria Math" panose="02040503050406030204" pitchFamily="18" charset="0"/>
                </a:rPr>
                <a:t>λ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𝑟</a:t>
              </a:r>
              <a:r>
                <a:rPr lang="ko-KR" altLang="en-US" sz="1100" i="0">
                  <a:latin typeface="Cambria Math" panose="02040503050406030204" pitchFamily="18" charset="0"/>
                </a:rPr>
                <a:t>√(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𝐹𝑦/𝐹𝑐𝑟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)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  </a:t>
              </a:r>
              <a:r>
                <a:rPr lang="en-US" altLang="ko-KR" sz="1100" b="0" i="1">
                  <a:latin typeface="Cambria Math" panose="02040503050406030204" pitchFamily="18" charset="0"/>
                </a:rPr>
                <a:t>=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endParaRPr lang="ko-KR" altLang="en-US" sz="1100"/>
            </a:p>
          </xdr:txBody>
        </xdr:sp>
      </mc:Fallback>
    </mc:AlternateContent>
    <xdr:clientData/>
  </xdr:oneCellAnchor>
  <xdr:twoCellAnchor editAs="oneCell">
    <xdr:from>
      <xdr:col>0</xdr:col>
      <xdr:colOff>397565</xdr:colOff>
      <xdr:row>159</xdr:row>
      <xdr:rowOff>41415</xdr:rowOff>
    </xdr:from>
    <xdr:to>
      <xdr:col>2</xdr:col>
      <xdr:colOff>140804</xdr:colOff>
      <xdr:row>161</xdr:row>
      <xdr:rowOff>56324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565" y="32350215"/>
          <a:ext cx="1114839" cy="434009"/>
        </a:xfrm>
        <a:prstGeom prst="rect">
          <a:avLst/>
        </a:prstGeom>
      </xdr:spPr>
    </xdr:pic>
    <xdr:clientData/>
  </xdr:twoCellAnchor>
  <xdr:twoCellAnchor editAs="oneCell">
    <xdr:from>
      <xdr:col>10</xdr:col>
      <xdr:colOff>44824</xdr:colOff>
      <xdr:row>153</xdr:row>
      <xdr:rowOff>22412</xdr:rowOff>
    </xdr:from>
    <xdr:to>
      <xdr:col>19</xdr:col>
      <xdr:colOff>112059</xdr:colOff>
      <xdr:row>164</xdr:row>
      <xdr:rowOff>111278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0924" y="31035812"/>
          <a:ext cx="6239435" cy="24320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134</xdr:row>
      <xdr:rowOff>0</xdr:rowOff>
    </xdr:from>
    <xdr:to>
      <xdr:col>21</xdr:col>
      <xdr:colOff>336177</xdr:colOff>
      <xdr:row>150</xdr:row>
      <xdr:rowOff>30548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96100" y="26993850"/>
          <a:ext cx="7879977" cy="3421448"/>
        </a:xfrm>
        <a:prstGeom prst="rect">
          <a:avLst/>
        </a:prstGeom>
      </xdr:spPr>
    </xdr:pic>
    <xdr:clientData/>
  </xdr:twoCellAnchor>
  <xdr:twoCellAnchor editAs="oneCell">
    <xdr:from>
      <xdr:col>9</xdr:col>
      <xdr:colOff>161194</xdr:colOff>
      <xdr:row>0</xdr:row>
      <xdr:rowOff>21981</xdr:rowOff>
    </xdr:from>
    <xdr:to>
      <xdr:col>12</xdr:col>
      <xdr:colOff>315310</xdr:colOff>
      <xdr:row>12</xdr:row>
      <xdr:rowOff>196920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71494" y="21981"/>
          <a:ext cx="2211516" cy="2689539"/>
        </a:xfrm>
        <a:prstGeom prst="rect">
          <a:avLst/>
        </a:prstGeom>
      </xdr:spPr>
    </xdr:pic>
    <xdr:clientData/>
  </xdr:twoCellAnchor>
  <xdr:twoCellAnchor editAs="oneCell">
    <xdr:from>
      <xdr:col>8</xdr:col>
      <xdr:colOff>683172</xdr:colOff>
      <xdr:row>64</xdr:row>
      <xdr:rowOff>656</xdr:rowOff>
    </xdr:from>
    <xdr:to>
      <xdr:col>14</xdr:col>
      <xdr:colOff>419100</xdr:colOff>
      <xdr:row>65</xdr:row>
      <xdr:rowOff>17682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7672" y="12306956"/>
          <a:ext cx="3850728" cy="226576"/>
        </a:xfrm>
        <a:prstGeom prst="rect">
          <a:avLst/>
        </a:prstGeom>
      </xdr:spPr>
    </xdr:pic>
    <xdr:clientData/>
  </xdr:twoCellAnchor>
  <xdr:twoCellAnchor editAs="oneCell">
    <xdr:from>
      <xdr:col>9</xdr:col>
      <xdr:colOff>430696</xdr:colOff>
      <xdr:row>66</xdr:row>
      <xdr:rowOff>149088</xdr:rowOff>
    </xdr:from>
    <xdr:to>
      <xdr:col>13</xdr:col>
      <xdr:colOff>668663</xdr:colOff>
      <xdr:row>76</xdr:row>
      <xdr:rowOff>66676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40996" y="12874488"/>
          <a:ext cx="2981167" cy="2013088"/>
        </a:xfrm>
        <a:prstGeom prst="rect">
          <a:avLst/>
        </a:prstGeom>
      </xdr:spPr>
    </xdr:pic>
    <xdr:clientData/>
  </xdr:twoCellAnchor>
  <xdr:twoCellAnchor editAs="oneCell">
    <xdr:from>
      <xdr:col>0</xdr:col>
      <xdr:colOff>71604</xdr:colOff>
      <xdr:row>88</xdr:row>
      <xdr:rowOff>13322</xdr:rowOff>
    </xdr:from>
    <xdr:to>
      <xdr:col>1</xdr:col>
      <xdr:colOff>670085</xdr:colOff>
      <xdr:row>89</xdr:row>
      <xdr:rowOff>186838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04" y="17358347"/>
          <a:ext cx="1284281" cy="383066"/>
        </a:xfrm>
        <a:prstGeom prst="rect">
          <a:avLst/>
        </a:prstGeom>
      </xdr:spPr>
    </xdr:pic>
    <xdr:clientData/>
  </xdr:twoCellAnchor>
  <xdr:oneCellAnchor>
    <xdr:from>
      <xdr:col>8</xdr:col>
      <xdr:colOff>683172</xdr:colOff>
      <xdr:row>98</xdr:row>
      <xdr:rowOff>210206</xdr:rowOff>
    </xdr:from>
    <xdr:ext cx="5994455" cy="357021"/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7672" y="19660256"/>
          <a:ext cx="5994455" cy="357021"/>
        </a:xfrm>
        <a:prstGeom prst="rect">
          <a:avLst/>
        </a:prstGeom>
      </xdr:spPr>
    </xdr:pic>
    <xdr:clientData/>
  </xdr:oneCellAnchor>
  <xdr:twoCellAnchor editAs="oneCell">
    <xdr:from>
      <xdr:col>5</xdr:col>
      <xdr:colOff>618252</xdr:colOff>
      <xdr:row>57</xdr:row>
      <xdr:rowOff>82697</xdr:rowOff>
    </xdr:from>
    <xdr:to>
      <xdr:col>8</xdr:col>
      <xdr:colOff>250371</xdr:colOff>
      <xdr:row>63</xdr:row>
      <xdr:rowOff>15110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85352" y="10922147"/>
          <a:ext cx="1689519" cy="11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555172</xdr:colOff>
      <xdr:row>92</xdr:row>
      <xdr:rowOff>70758</xdr:rowOff>
    </xdr:from>
    <xdr:to>
      <xdr:col>8</xdr:col>
      <xdr:colOff>188148</xdr:colOff>
      <xdr:row>98</xdr:row>
      <xdr:rowOff>38100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22272" y="18263508"/>
          <a:ext cx="1690376" cy="1224642"/>
        </a:xfrm>
        <a:prstGeom prst="rect">
          <a:avLst/>
        </a:prstGeom>
      </xdr:spPr>
    </xdr:pic>
    <xdr:clientData/>
  </xdr:twoCellAnchor>
  <xdr:twoCellAnchor editAs="oneCell">
    <xdr:from>
      <xdr:col>14</xdr:col>
      <xdr:colOff>360751</xdr:colOff>
      <xdr:row>52</xdr:row>
      <xdr:rowOff>55790</xdr:rowOff>
    </xdr:from>
    <xdr:to>
      <xdr:col>19</xdr:col>
      <xdr:colOff>226281</xdr:colOff>
      <xdr:row>78</xdr:row>
      <xdr:rowOff>4357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00051" y="9847490"/>
          <a:ext cx="3294530" cy="5396867"/>
        </a:xfrm>
        <a:prstGeom prst="rect">
          <a:avLst/>
        </a:prstGeom>
      </xdr:spPr>
    </xdr:pic>
    <xdr:clientData/>
  </xdr:twoCellAnchor>
  <xdr:twoCellAnchor editAs="oneCell">
    <xdr:from>
      <xdr:col>19</xdr:col>
      <xdr:colOff>433027</xdr:colOff>
      <xdr:row>52</xdr:row>
      <xdr:rowOff>50026</xdr:rowOff>
    </xdr:from>
    <xdr:to>
      <xdr:col>24</xdr:col>
      <xdr:colOff>54132</xdr:colOff>
      <xdr:row>86</xdr:row>
      <xdr:rowOff>42231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01327" y="9841726"/>
          <a:ext cx="3050105" cy="712643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536863</xdr:colOff>
      <xdr:row>8</xdr:row>
      <xdr:rowOff>190500</xdr:rowOff>
    </xdr:from>
    <xdr:to>
      <xdr:col>47</xdr:col>
      <xdr:colOff>98084</xdr:colOff>
      <xdr:row>56</xdr:row>
      <xdr:rowOff>136325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405763" y="1866900"/>
          <a:ext cx="13963021" cy="8899325"/>
        </a:xfrm>
        <a:prstGeom prst="rect">
          <a:avLst/>
        </a:prstGeom>
      </xdr:spPr>
    </xdr:pic>
    <xdr:clientData/>
  </xdr:twoCellAnchor>
  <xdr:twoCellAnchor editAs="oneCell">
    <xdr:from>
      <xdr:col>26</xdr:col>
      <xdr:colOff>415637</xdr:colOff>
      <xdr:row>59</xdr:row>
      <xdr:rowOff>121227</xdr:rowOff>
    </xdr:from>
    <xdr:to>
      <xdr:col>46</xdr:col>
      <xdr:colOff>526690</xdr:colOff>
      <xdr:row>94</xdr:row>
      <xdr:rowOff>129175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4537" y="11379777"/>
          <a:ext cx="13827053" cy="73612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142874</xdr:rowOff>
    </xdr:from>
    <xdr:to>
      <xdr:col>11</xdr:col>
      <xdr:colOff>571500</xdr:colOff>
      <xdr:row>21</xdr:row>
      <xdr:rowOff>198893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771524"/>
          <a:ext cx="7334250" cy="382791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_02_&#44148;&#52629;%20Multi%20&#50644;&#51648;&#45768;&#50612;%20&#50977;&#49457;%20&#44368;&#50977;\2022\20220210_&#44053;&#54620;&#54840;\AISC%20360-Summary(22020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pter B"/>
      <sheetName val="Chapter E"/>
      <sheetName val="H.W"/>
    </sheetNames>
    <sheetDataSet>
      <sheetData sheetId="0"/>
      <sheetData sheetId="1">
        <row r="24">
          <cell r="B24">
            <v>1</v>
          </cell>
          <cell r="H24">
            <v>249.98673439962971</v>
          </cell>
        </row>
        <row r="25">
          <cell r="B25">
            <v>20</v>
          </cell>
          <cell r="H25">
            <v>244.74953808756206</v>
          </cell>
        </row>
        <row r="26">
          <cell r="B26">
            <v>40</v>
          </cell>
          <cell r="H26">
            <v>229.65055395001099</v>
          </cell>
        </row>
        <row r="27">
          <cell r="B27">
            <v>60</v>
          </cell>
          <cell r="H27">
            <v>206.52701028051894</v>
          </cell>
        </row>
        <row r="28">
          <cell r="B28">
            <v>80</v>
          </cell>
          <cell r="H28">
            <v>178.01228025067678</v>
          </cell>
        </row>
        <row r="29">
          <cell r="B29">
            <v>100</v>
          </cell>
          <cell r="H29">
            <v>147.05737613356055</v>
          </cell>
        </row>
        <row r="30">
          <cell r="B30">
            <v>113</v>
          </cell>
          <cell r="H30">
            <v>126.96216597874788</v>
          </cell>
        </row>
        <row r="31">
          <cell r="B31">
            <v>133</v>
          </cell>
          <cell r="H31">
            <v>97.789302966958886</v>
          </cell>
        </row>
        <row r="32">
          <cell r="B32">
            <v>160</v>
          </cell>
          <cell r="H32">
            <v>67.553665625000008</v>
          </cell>
        </row>
        <row r="33">
          <cell r="B33">
            <v>180</v>
          </cell>
          <cell r="H33">
            <v>53.37573580246913</v>
          </cell>
        </row>
        <row r="34">
          <cell r="B34">
            <v>200</v>
          </cell>
          <cell r="H34">
            <v>43.234346000000002</v>
          </cell>
        </row>
        <row r="38">
          <cell r="B38">
            <v>1</v>
          </cell>
          <cell r="H38">
            <v>344.97473724535564</v>
          </cell>
        </row>
        <row r="39">
          <cell r="B39">
            <v>20</v>
          </cell>
          <cell r="H39">
            <v>335.04109444123208</v>
          </cell>
        </row>
        <row r="40">
          <cell r="B40">
            <v>40</v>
          </cell>
          <cell r="H40">
            <v>306.85628962199615</v>
          </cell>
        </row>
        <row r="41">
          <cell r="B41">
            <v>60</v>
          </cell>
          <cell r="H41">
            <v>265.05130532019132</v>
          </cell>
        </row>
        <row r="42">
          <cell r="B42">
            <v>80</v>
          </cell>
          <cell r="H42">
            <v>215.91500890032952</v>
          </cell>
        </row>
        <row r="43">
          <cell r="B43">
            <v>100</v>
          </cell>
          <cell r="H43">
            <v>165.87986941232771</v>
          </cell>
        </row>
        <row r="44">
          <cell r="B44">
            <v>113</v>
          </cell>
          <cell r="H44">
            <v>135.43533871094056</v>
          </cell>
        </row>
        <row r="45">
          <cell r="B45">
            <v>133</v>
          </cell>
          <cell r="H45">
            <v>97.765494940358423</v>
          </cell>
        </row>
        <row r="46">
          <cell r="B46">
            <v>160</v>
          </cell>
          <cell r="H46">
            <v>67.553665625000008</v>
          </cell>
        </row>
        <row r="47">
          <cell r="B47">
            <v>178</v>
          </cell>
          <cell r="H47">
            <v>54.581929049362451</v>
          </cell>
        </row>
        <row r="48">
          <cell r="B48">
            <v>200</v>
          </cell>
          <cell r="H48">
            <v>43.234346000000002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tabSelected="1" zoomScale="130" zoomScaleNormal="130" workbookViewId="0">
      <selection activeCell="M6" sqref="M6"/>
    </sheetView>
  </sheetViews>
  <sheetFormatPr defaultRowHeight="16.5" x14ac:dyDescent="0.3"/>
  <cols>
    <col min="1" max="3" width="9" style="4"/>
    <col min="4" max="4" width="11.75" style="4" customWidth="1"/>
    <col min="5" max="12" width="9" style="4"/>
    <col min="13" max="16384" width="9" style="22"/>
  </cols>
  <sheetData>
    <row r="1" spans="2:11" x14ac:dyDescent="0.3">
      <c r="B1" s="1" t="s">
        <v>0</v>
      </c>
      <c r="C1" s="2">
        <v>200000</v>
      </c>
      <c r="D1" s="3" t="s">
        <v>1</v>
      </c>
    </row>
    <row r="2" spans="2:11" x14ac:dyDescent="0.3">
      <c r="B2" s="5" t="s">
        <v>2</v>
      </c>
    </row>
    <row r="3" spans="2:11" ht="36" customHeight="1" x14ac:dyDescent="0.3">
      <c r="B3" s="6" t="s">
        <v>3</v>
      </c>
      <c r="C3" s="7"/>
      <c r="D3" s="8" t="s">
        <v>4</v>
      </c>
      <c r="E3" s="8" t="s">
        <v>5</v>
      </c>
      <c r="F3" s="8"/>
      <c r="G3" s="9" t="s">
        <v>6</v>
      </c>
      <c r="H3" s="10" t="s">
        <v>7</v>
      </c>
      <c r="I3" s="8"/>
      <c r="J3" s="8"/>
      <c r="K3" s="8"/>
    </row>
    <row r="4" spans="2:11" ht="20.100000000000001" customHeight="1" x14ac:dyDescent="0.3">
      <c r="B4" s="7"/>
      <c r="C4" s="7"/>
      <c r="D4" s="8"/>
      <c r="E4" s="8"/>
      <c r="F4" s="8"/>
      <c r="G4" s="11"/>
      <c r="H4" s="12">
        <v>250</v>
      </c>
      <c r="I4" s="12"/>
      <c r="J4" s="12">
        <v>345</v>
      </c>
      <c r="K4" s="12"/>
    </row>
    <row r="5" spans="2:11" ht="20.100000000000001" customHeight="1" x14ac:dyDescent="0.3">
      <c r="B5" s="13" t="s">
        <v>8</v>
      </c>
      <c r="C5" s="14"/>
      <c r="D5" s="15" t="s">
        <v>9</v>
      </c>
      <c r="E5" s="8" t="s">
        <v>10</v>
      </c>
      <c r="F5" s="8"/>
      <c r="G5" s="16" t="s">
        <v>11</v>
      </c>
      <c r="H5" s="17">
        <f>0.56*(C1/H4)^0.5</f>
        <v>15.839191898578667</v>
      </c>
      <c r="I5" s="17"/>
      <c r="J5" s="17">
        <f>0.56*(C1/J4)^0.5</f>
        <v>13.483215545606152</v>
      </c>
      <c r="K5" s="17"/>
    </row>
    <row r="6" spans="2:11" ht="20.100000000000001" customHeight="1" x14ac:dyDescent="0.3">
      <c r="B6" s="13"/>
      <c r="C6" s="14"/>
      <c r="D6" s="15" t="s">
        <v>12</v>
      </c>
      <c r="E6" s="8" t="s">
        <v>13</v>
      </c>
      <c r="F6" s="8"/>
      <c r="G6" s="16"/>
      <c r="H6" s="18">
        <v>12.8</v>
      </c>
      <c r="I6" s="19"/>
      <c r="J6" s="18">
        <v>10.5</v>
      </c>
      <c r="K6" s="19"/>
    </row>
    <row r="7" spans="2:11" ht="20.100000000000001" customHeight="1" x14ac:dyDescent="0.3">
      <c r="B7" s="14"/>
      <c r="C7" s="14"/>
      <c r="D7" s="8" t="s">
        <v>14</v>
      </c>
      <c r="E7" s="8" t="s">
        <v>15</v>
      </c>
      <c r="F7" s="8"/>
      <c r="G7" s="20">
        <v>0.35</v>
      </c>
      <c r="H7" s="17">
        <f>0.64*(G7*$C$1/$H$4)^0.5</f>
        <v>10.709248339636167</v>
      </c>
      <c r="I7" s="17"/>
      <c r="J7" s="17">
        <f>0.64*(G7*$C$1/$J$4)^0.5</f>
        <v>9.1163175886325725</v>
      </c>
      <c r="K7" s="17"/>
    </row>
    <row r="8" spans="2:11" ht="20.100000000000001" customHeight="1" x14ac:dyDescent="0.3">
      <c r="B8" s="14"/>
      <c r="C8" s="14"/>
      <c r="D8" s="8"/>
      <c r="E8" s="8"/>
      <c r="F8" s="8"/>
      <c r="G8" s="20">
        <v>0.5</v>
      </c>
      <c r="H8" s="17">
        <f>0.64*(G8*$C$1/$H$4)^0.5</f>
        <v>12.8</v>
      </c>
      <c r="I8" s="17"/>
      <c r="J8" s="17">
        <f>0.64*(G8*$C$1/$J$4)^0.5</f>
        <v>10.896083593711984</v>
      </c>
      <c r="K8" s="17"/>
    </row>
    <row r="9" spans="2:11" ht="20.100000000000001" customHeight="1" x14ac:dyDescent="0.3">
      <c r="B9" s="14"/>
      <c r="C9" s="14"/>
      <c r="D9" s="8"/>
      <c r="E9" s="8"/>
      <c r="F9" s="8"/>
      <c r="G9" s="20">
        <v>0.76</v>
      </c>
      <c r="H9" s="17">
        <f>0.64*(G9*$C$1/$H$4)^0.5</f>
        <v>15.78089984760058</v>
      </c>
      <c r="I9" s="17"/>
      <c r="J9" s="17">
        <f>0.64*(G9*$C$1/$J$4)^0.5</f>
        <v>13.433594056519736</v>
      </c>
      <c r="K9" s="17"/>
    </row>
    <row r="10" spans="2:11" ht="20.100000000000001" customHeight="1" x14ac:dyDescent="0.3">
      <c r="B10" s="14" t="s">
        <v>16</v>
      </c>
      <c r="C10" s="14"/>
      <c r="D10" s="15" t="s">
        <v>17</v>
      </c>
      <c r="E10" s="8" t="s">
        <v>18</v>
      </c>
      <c r="F10" s="8"/>
      <c r="G10" s="15" t="s">
        <v>11</v>
      </c>
      <c r="H10" s="17">
        <f>1.4*(C1/H4)^0.5</f>
        <v>39.597979746446661</v>
      </c>
      <c r="I10" s="17"/>
      <c r="J10" s="17">
        <f>1.4*(C1/J4)^0.5</f>
        <v>33.708038864015371</v>
      </c>
      <c r="K10" s="17"/>
    </row>
    <row r="11" spans="2:11" ht="29.25" customHeight="1" x14ac:dyDescent="0.3">
      <c r="B11" s="14" t="s">
        <v>19</v>
      </c>
      <c r="C11" s="14"/>
      <c r="D11" s="15" t="s">
        <v>20</v>
      </c>
      <c r="E11" s="8" t="s">
        <v>21</v>
      </c>
      <c r="F11" s="8"/>
      <c r="G11" s="15" t="s">
        <v>11</v>
      </c>
      <c r="H11" s="17">
        <f>0.75*(C1/H4)^0.5</f>
        <v>21.213203435596427</v>
      </c>
      <c r="I11" s="17"/>
      <c r="J11" s="17">
        <f>0.75*(C1/J4)^0.5</f>
        <v>18.05787796286538</v>
      </c>
      <c r="K11" s="17"/>
    </row>
    <row r="12" spans="2:11" x14ac:dyDescent="0.3">
      <c r="B12" s="21" t="s">
        <v>22</v>
      </c>
    </row>
  </sheetData>
  <mergeCells count="30">
    <mergeCell ref="B11:C11"/>
    <mergeCell ref="E11:F11"/>
    <mergeCell ref="H11:I11"/>
    <mergeCell ref="J11:K11"/>
    <mergeCell ref="J7:K7"/>
    <mergeCell ref="H8:I8"/>
    <mergeCell ref="J8:K8"/>
    <mergeCell ref="H9:I9"/>
    <mergeCell ref="J9:K9"/>
    <mergeCell ref="B10:C10"/>
    <mergeCell ref="E10:F10"/>
    <mergeCell ref="H10:I10"/>
    <mergeCell ref="J10:K10"/>
    <mergeCell ref="B5:C9"/>
    <mergeCell ref="E5:F5"/>
    <mergeCell ref="H5:I5"/>
    <mergeCell ref="J5:K5"/>
    <mergeCell ref="E6:F6"/>
    <mergeCell ref="H6:I6"/>
    <mergeCell ref="J6:K6"/>
    <mergeCell ref="D7:D9"/>
    <mergeCell ref="E7:F9"/>
    <mergeCell ref="H7:I7"/>
    <mergeCell ref="B3:C4"/>
    <mergeCell ref="D3:D4"/>
    <mergeCell ref="E3:F4"/>
    <mergeCell ref="G3:G4"/>
    <mergeCell ref="H3:K3"/>
    <mergeCell ref="H4:I4"/>
    <mergeCell ref="J4:K4"/>
  </mergeCells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"/>
  <sheetViews>
    <sheetView topLeftCell="A5" zoomScale="40" zoomScaleNormal="40" workbookViewId="0">
      <selection activeCell="M6" sqref="M6"/>
    </sheetView>
  </sheetViews>
  <sheetFormatPr defaultRowHeight="16.5" x14ac:dyDescent="0.3"/>
  <cols>
    <col min="1" max="2" width="9" style="4" customWidth="1"/>
    <col min="3" max="3" width="8.875" style="4" customWidth="1"/>
    <col min="4" max="4" width="9.625" style="4" customWidth="1"/>
    <col min="5" max="9" width="9" style="4" customWidth="1"/>
    <col min="10" max="16384" width="9" style="22"/>
  </cols>
  <sheetData>
    <row r="1" spans="1:9" x14ac:dyDescent="0.3">
      <c r="A1" s="23" t="s">
        <v>23</v>
      </c>
      <c r="B1" s="23"/>
      <c r="C1" s="23"/>
      <c r="D1" s="23"/>
      <c r="E1" s="23"/>
      <c r="F1" s="23"/>
      <c r="G1" s="23"/>
      <c r="H1" s="23"/>
      <c r="I1" s="23"/>
    </row>
    <row r="3" spans="1:9" x14ac:dyDescent="0.3">
      <c r="A3" s="4" t="s">
        <v>24</v>
      </c>
    </row>
    <row r="5" spans="1:9" x14ac:dyDescent="0.3">
      <c r="A5" s="4" t="s">
        <v>25</v>
      </c>
    </row>
    <row r="6" spans="1:9" x14ac:dyDescent="0.3">
      <c r="A6" s="4" t="s">
        <v>26</v>
      </c>
    </row>
    <row r="8" spans="1:9" x14ac:dyDescent="0.3">
      <c r="B8" s="24" t="s">
        <v>27</v>
      </c>
      <c r="C8" s="24"/>
      <c r="D8" s="24"/>
      <c r="E8" s="24"/>
      <c r="F8" s="24"/>
      <c r="G8" s="24"/>
    </row>
    <row r="12" spans="1:9" x14ac:dyDescent="0.3">
      <c r="A12" s="23" t="s">
        <v>28</v>
      </c>
      <c r="B12" s="23"/>
      <c r="C12" s="23"/>
      <c r="D12" s="23"/>
      <c r="E12" s="23"/>
      <c r="F12" s="23"/>
      <c r="G12" s="23"/>
      <c r="H12" s="23"/>
      <c r="I12" s="23"/>
    </row>
    <row r="13" spans="1:9" x14ac:dyDescent="0.3">
      <c r="A13" s="25"/>
      <c r="B13" s="23" t="s">
        <v>29</v>
      </c>
      <c r="C13" s="23"/>
      <c r="D13" s="23"/>
      <c r="E13" s="23"/>
      <c r="F13" s="23"/>
      <c r="G13" s="23"/>
      <c r="H13" s="23"/>
    </row>
    <row r="14" spans="1:9" x14ac:dyDescent="0.3">
      <c r="A14" s="26"/>
      <c r="B14" s="26"/>
      <c r="C14" s="26"/>
      <c r="D14" s="26"/>
      <c r="E14" s="26"/>
      <c r="F14" s="26"/>
      <c r="G14" s="26"/>
    </row>
    <row r="16" spans="1:9" ht="14.1" customHeight="1" x14ac:dyDescent="0.3">
      <c r="A16" s="16"/>
      <c r="B16" s="27" t="s">
        <v>30</v>
      </c>
      <c r="C16" s="28">
        <v>200000</v>
      </c>
      <c r="D16" s="29" t="s">
        <v>1</v>
      </c>
      <c r="E16" s="29"/>
      <c r="F16" s="29"/>
    </row>
    <row r="17" spans="1:8" ht="14.1" customHeight="1" x14ac:dyDescent="0.3">
      <c r="A17" s="16"/>
      <c r="B17" s="27" t="s">
        <v>31</v>
      </c>
      <c r="C17" s="29"/>
      <c r="D17" s="29" t="s">
        <v>1</v>
      </c>
      <c r="E17" s="30" t="s">
        <v>32</v>
      </c>
      <c r="F17" s="29"/>
    </row>
    <row r="18" spans="1:8" ht="14.1" customHeight="1" x14ac:dyDescent="0.3">
      <c r="A18" s="16"/>
      <c r="B18" s="31"/>
      <c r="C18" s="29"/>
      <c r="D18" s="29"/>
      <c r="E18" s="29"/>
      <c r="F18" s="29"/>
    </row>
    <row r="19" spans="1:8" ht="14.1" customHeight="1" x14ac:dyDescent="0.3">
      <c r="A19" s="16"/>
      <c r="B19" s="31"/>
      <c r="C19" s="32">
        <f>4.71*(C16/F22)^0.5</f>
        <v>133.21891757554556</v>
      </c>
      <c r="D19" s="29"/>
      <c r="E19" s="30" t="s">
        <v>33</v>
      </c>
      <c r="F19" s="29"/>
    </row>
    <row r="20" spans="1:8" ht="14.1" customHeight="1" x14ac:dyDescent="0.3">
      <c r="A20" s="29"/>
      <c r="B20" s="31"/>
      <c r="C20" s="32">
        <f>4.71*(C16/F36)^0.5</f>
        <v>113.40347360679459</v>
      </c>
      <c r="D20" s="29"/>
      <c r="E20" s="30" t="s">
        <v>34</v>
      </c>
      <c r="F20" s="29"/>
    </row>
    <row r="21" spans="1:8" x14ac:dyDescent="0.3">
      <c r="A21" s="29"/>
      <c r="B21" s="31"/>
      <c r="C21" s="29"/>
      <c r="D21" s="29"/>
      <c r="E21" s="29"/>
      <c r="F21" s="29"/>
    </row>
    <row r="22" spans="1:8" x14ac:dyDescent="0.3">
      <c r="A22" s="33"/>
      <c r="B22" s="29" t="s">
        <v>35</v>
      </c>
      <c r="C22" s="29"/>
      <c r="D22" s="29"/>
      <c r="E22" s="34" t="s">
        <v>36</v>
      </c>
      <c r="F22" s="35">
        <v>250</v>
      </c>
      <c r="G22" s="29" t="s">
        <v>1</v>
      </c>
    </row>
    <row r="23" spans="1:8" ht="14.1" customHeight="1" x14ac:dyDescent="0.3">
      <c r="A23" s="29"/>
      <c r="B23" s="36" t="s">
        <v>37</v>
      </c>
      <c r="C23" s="37" t="s">
        <v>38</v>
      </c>
      <c r="D23" s="37" t="s">
        <v>39</v>
      </c>
      <c r="E23" s="37" t="s">
        <v>40</v>
      </c>
      <c r="F23" s="37" t="s">
        <v>41</v>
      </c>
      <c r="G23" s="37" t="s">
        <v>42</v>
      </c>
      <c r="H23" s="37" t="s">
        <v>43</v>
      </c>
    </row>
    <row r="24" spans="1:8" ht="14.1" customHeight="1" x14ac:dyDescent="0.3">
      <c r="A24" s="29"/>
      <c r="B24" s="38">
        <v>1</v>
      </c>
      <c r="C24" s="39">
        <f>(3.14*3.14)*$C$16/(B24*B24)</f>
        <v>1971920</v>
      </c>
      <c r="D24" s="40">
        <f>$F$22/C24</f>
        <v>1.2677999107468864E-4</v>
      </c>
      <c r="E24" s="40">
        <f>0.658^D24</f>
        <v>0.99994693759851883</v>
      </c>
      <c r="F24" s="39">
        <f>0.658^D24*$F$22</f>
        <v>249.98673439962971</v>
      </c>
      <c r="G24" s="41">
        <f t="shared" ref="G24:G34" si="0">0.877*C24</f>
        <v>1729373.84</v>
      </c>
      <c r="H24" s="42">
        <f>MIN(F24,G24)</f>
        <v>249.98673439962971</v>
      </c>
    </row>
    <row r="25" spans="1:8" ht="14.1" customHeight="1" x14ac:dyDescent="0.3">
      <c r="A25" s="29"/>
      <c r="B25" s="38">
        <v>20</v>
      </c>
      <c r="C25" s="39">
        <f t="shared" ref="C25:C34" si="1">(3.14*3.14)*$C$16/(B25*B25)</f>
        <v>4929.8</v>
      </c>
      <c r="D25" s="40">
        <f t="shared" ref="D25:D34" si="2">$F$22/C25</f>
        <v>5.071199642987545E-2</v>
      </c>
      <c r="E25" s="40">
        <f t="shared" ref="E25:E34" si="3">0.658^D25</f>
        <v>0.97899815235024823</v>
      </c>
      <c r="F25" s="39">
        <f t="shared" ref="F25:F34" si="4">0.658^($F$22/C25)*$F$22</f>
        <v>244.74953808756206</v>
      </c>
      <c r="G25" s="41">
        <f t="shared" si="0"/>
        <v>4323.4346000000005</v>
      </c>
      <c r="H25" s="42">
        <f t="shared" ref="H25:H30" si="5">MIN(F25,G25)</f>
        <v>244.74953808756206</v>
      </c>
    </row>
    <row r="26" spans="1:8" ht="14.1" customHeight="1" x14ac:dyDescent="0.3">
      <c r="A26" s="29"/>
      <c r="B26" s="38">
        <v>40</v>
      </c>
      <c r="C26" s="39">
        <f t="shared" si="1"/>
        <v>1232.45</v>
      </c>
      <c r="D26" s="40">
        <f t="shared" si="2"/>
        <v>0.2028479857195018</v>
      </c>
      <c r="E26" s="40">
        <f t="shared" si="3"/>
        <v>0.91860221580004398</v>
      </c>
      <c r="F26" s="39">
        <f t="shared" si="4"/>
        <v>229.65055395001099</v>
      </c>
      <c r="G26" s="41">
        <f t="shared" si="0"/>
        <v>1080.8586500000001</v>
      </c>
      <c r="H26" s="42">
        <f t="shared" si="5"/>
        <v>229.65055395001099</v>
      </c>
    </row>
    <row r="27" spans="1:8" ht="14.1" customHeight="1" x14ac:dyDescent="0.3">
      <c r="A27" s="29"/>
      <c r="B27" s="38">
        <v>60</v>
      </c>
      <c r="C27" s="39">
        <f t="shared" si="1"/>
        <v>547.75555555555559</v>
      </c>
      <c r="D27" s="40">
        <f t="shared" si="2"/>
        <v>0.45640796786887905</v>
      </c>
      <c r="E27" s="40">
        <f t="shared" si="3"/>
        <v>0.8261080411220757</v>
      </c>
      <c r="F27" s="39">
        <f t="shared" si="4"/>
        <v>206.52701028051894</v>
      </c>
      <c r="G27" s="41">
        <f t="shared" si="0"/>
        <v>480.38162222222223</v>
      </c>
      <c r="H27" s="42">
        <f t="shared" si="5"/>
        <v>206.52701028051894</v>
      </c>
    </row>
    <row r="28" spans="1:8" ht="14.1" customHeight="1" x14ac:dyDescent="0.3">
      <c r="A28" s="29"/>
      <c r="B28" s="38">
        <v>80</v>
      </c>
      <c r="C28" s="39">
        <f t="shared" si="1"/>
        <v>308.11250000000001</v>
      </c>
      <c r="D28" s="40">
        <f t="shared" si="2"/>
        <v>0.8113919428780072</v>
      </c>
      <c r="E28" s="40">
        <f t="shared" si="3"/>
        <v>0.71204912100270712</v>
      </c>
      <c r="F28" s="39">
        <f t="shared" si="4"/>
        <v>178.01228025067678</v>
      </c>
      <c r="G28" s="41">
        <f t="shared" si="0"/>
        <v>270.21466250000003</v>
      </c>
      <c r="H28" s="42">
        <f t="shared" si="5"/>
        <v>178.01228025067678</v>
      </c>
    </row>
    <row r="29" spans="1:8" ht="14.1" customHeight="1" x14ac:dyDescent="0.3">
      <c r="A29" s="29"/>
      <c r="B29" s="38">
        <v>100</v>
      </c>
      <c r="C29" s="39">
        <f t="shared" si="1"/>
        <v>197.19200000000001</v>
      </c>
      <c r="D29" s="40">
        <f t="shared" si="2"/>
        <v>1.2677999107468862</v>
      </c>
      <c r="E29" s="40">
        <f t="shared" si="3"/>
        <v>0.58822950453424216</v>
      </c>
      <c r="F29" s="39">
        <f t="shared" si="4"/>
        <v>147.05737613356055</v>
      </c>
      <c r="G29" s="41">
        <f t="shared" si="0"/>
        <v>172.93738400000001</v>
      </c>
      <c r="H29" s="42">
        <f t="shared" si="5"/>
        <v>147.05737613356055</v>
      </c>
    </row>
    <row r="30" spans="1:8" ht="14.1" customHeight="1" x14ac:dyDescent="0.3">
      <c r="A30" s="29"/>
      <c r="B30" s="38">
        <v>113</v>
      </c>
      <c r="C30" s="39">
        <f t="shared" si="1"/>
        <v>154.43026078784555</v>
      </c>
      <c r="D30" s="40">
        <f t="shared" si="2"/>
        <v>1.6188537060326993</v>
      </c>
      <c r="E30" s="40">
        <f t="shared" si="3"/>
        <v>0.5078486639149915</v>
      </c>
      <c r="F30" s="39">
        <f t="shared" si="4"/>
        <v>126.96216597874788</v>
      </c>
      <c r="G30" s="41">
        <f t="shared" si="0"/>
        <v>135.43533871094056</v>
      </c>
      <c r="H30" s="42">
        <f t="shared" si="5"/>
        <v>126.96216597874788</v>
      </c>
    </row>
    <row r="31" spans="1:8" ht="14.1" customHeight="1" x14ac:dyDescent="0.3">
      <c r="A31" s="29"/>
      <c r="B31" s="37">
        <v>133</v>
      </c>
      <c r="C31" s="43">
        <f t="shared" si="1"/>
        <v>111.4771892136356</v>
      </c>
      <c r="D31" s="40">
        <f t="shared" si="2"/>
        <v>2.242611262120167</v>
      </c>
      <c r="E31" s="40">
        <f t="shared" si="3"/>
        <v>0.39115721186783553</v>
      </c>
      <c r="F31" s="39">
        <f t="shared" si="4"/>
        <v>97.789302966958886</v>
      </c>
      <c r="G31" s="39">
        <f t="shared" si="0"/>
        <v>97.765494940358423</v>
      </c>
      <c r="H31" s="42">
        <f t="shared" ref="H31:H34" si="6">MAX(F31,G31)</f>
        <v>97.789302966958886</v>
      </c>
    </row>
    <row r="32" spans="1:8" ht="14.1" customHeight="1" x14ac:dyDescent="0.3">
      <c r="A32" s="29"/>
      <c r="B32" s="38">
        <v>160</v>
      </c>
      <c r="C32" s="39">
        <f t="shared" si="1"/>
        <v>77.028125000000003</v>
      </c>
      <c r="D32" s="40">
        <f t="shared" si="2"/>
        <v>3.2455677715120288</v>
      </c>
      <c r="E32" s="40">
        <f t="shared" si="3"/>
        <v>0.25706314622544058</v>
      </c>
      <c r="F32" s="41">
        <f t="shared" si="4"/>
        <v>64.26578655636014</v>
      </c>
      <c r="G32" s="39">
        <f t="shared" si="0"/>
        <v>67.553665625000008</v>
      </c>
      <c r="H32" s="42">
        <f t="shared" si="6"/>
        <v>67.553665625000008</v>
      </c>
    </row>
    <row r="33" spans="1:8" ht="14.1" customHeight="1" x14ac:dyDescent="0.3">
      <c r="A33" s="29"/>
      <c r="B33" s="38">
        <v>180</v>
      </c>
      <c r="C33" s="39">
        <f t="shared" si="1"/>
        <v>60.861728395061725</v>
      </c>
      <c r="D33" s="40">
        <f t="shared" si="2"/>
        <v>4.1076717108199121</v>
      </c>
      <c r="E33" s="40">
        <f t="shared" si="3"/>
        <v>0.17919737578171957</v>
      </c>
      <c r="F33" s="41">
        <f t="shared" si="4"/>
        <v>44.799343945429889</v>
      </c>
      <c r="G33" s="39">
        <f t="shared" si="0"/>
        <v>53.37573580246913</v>
      </c>
      <c r="H33" s="42">
        <f t="shared" si="6"/>
        <v>53.37573580246913</v>
      </c>
    </row>
    <row r="34" spans="1:8" ht="14.1" customHeight="1" x14ac:dyDescent="0.3">
      <c r="A34" s="29"/>
      <c r="B34" s="38">
        <v>200</v>
      </c>
      <c r="C34" s="39">
        <f t="shared" si="1"/>
        <v>49.298000000000002</v>
      </c>
      <c r="D34" s="40">
        <f t="shared" si="2"/>
        <v>5.071199642987545</v>
      </c>
      <c r="E34" s="40">
        <f t="shared" si="3"/>
        <v>0.11972565359778588</v>
      </c>
      <c r="F34" s="41">
        <f t="shared" si="4"/>
        <v>29.93141339944647</v>
      </c>
      <c r="G34" s="39">
        <f t="shared" si="0"/>
        <v>43.234346000000002</v>
      </c>
      <c r="H34" s="42">
        <f t="shared" si="6"/>
        <v>43.234346000000002</v>
      </c>
    </row>
    <row r="35" spans="1:8" x14ac:dyDescent="0.3">
      <c r="A35" s="29"/>
      <c r="B35" s="30" t="s">
        <v>44</v>
      </c>
      <c r="C35" s="29"/>
      <c r="D35" s="29"/>
      <c r="E35" s="29"/>
      <c r="F35" s="29"/>
    </row>
    <row r="36" spans="1:8" x14ac:dyDescent="0.3">
      <c r="A36" s="29"/>
      <c r="B36" s="29" t="s">
        <v>45</v>
      </c>
      <c r="C36" s="29"/>
      <c r="D36" s="29"/>
      <c r="E36" s="34" t="s">
        <v>36</v>
      </c>
      <c r="F36" s="35">
        <v>345</v>
      </c>
      <c r="G36" s="29" t="s">
        <v>1</v>
      </c>
    </row>
    <row r="37" spans="1:8" ht="14.1" customHeight="1" x14ac:dyDescent="0.3">
      <c r="A37" s="29"/>
      <c r="B37" s="36" t="s">
        <v>37</v>
      </c>
      <c r="C37" s="37" t="s">
        <v>46</v>
      </c>
      <c r="D37" s="37" t="s">
        <v>47</v>
      </c>
      <c r="E37" s="37" t="s">
        <v>48</v>
      </c>
      <c r="F37" s="37" t="s">
        <v>49</v>
      </c>
      <c r="G37" s="37" t="s">
        <v>50</v>
      </c>
      <c r="H37" s="37" t="s">
        <v>51</v>
      </c>
    </row>
    <row r="38" spans="1:8" ht="14.1" customHeight="1" x14ac:dyDescent="0.3">
      <c r="A38" s="29"/>
      <c r="B38" s="38">
        <v>1</v>
      </c>
      <c r="C38" s="39">
        <f>(3.14*3.14)*$C$16/(B38*B38)</f>
        <v>1971920</v>
      </c>
      <c r="D38" s="40">
        <f>$F$36/C38</f>
        <v>1.7495638768307031E-4</v>
      </c>
      <c r="E38" s="40">
        <f>0.658^D38</f>
        <v>0.99992677462421919</v>
      </c>
      <c r="F38" s="39">
        <f t="shared" ref="F38:F48" si="7">0.658^D38*$F$36</f>
        <v>344.97473724535564</v>
      </c>
      <c r="G38" s="41">
        <f t="shared" ref="G38:G48" si="8">0.877*C38</f>
        <v>1729373.84</v>
      </c>
      <c r="H38" s="42">
        <f>MIN(F38,G38)</f>
        <v>344.97473724535564</v>
      </c>
    </row>
    <row r="39" spans="1:8" ht="14.1" customHeight="1" x14ac:dyDescent="0.3">
      <c r="A39" s="29"/>
      <c r="B39" s="38">
        <v>20</v>
      </c>
      <c r="C39" s="39">
        <f t="shared" ref="C39:C48" si="9">(3.14*3.14)*$C$16/(B39*B39)</f>
        <v>4929.8</v>
      </c>
      <c r="D39" s="40">
        <f t="shared" ref="D39:D48" si="10">$F$36/C39</f>
        <v>6.998255507322812E-2</v>
      </c>
      <c r="E39" s="40">
        <f t="shared" ref="E39:E48" si="11">0.658^D39</f>
        <v>0.97113360707603502</v>
      </c>
      <c r="F39" s="39">
        <f t="shared" si="7"/>
        <v>335.04109444123208</v>
      </c>
      <c r="G39" s="41">
        <f t="shared" si="8"/>
        <v>4323.4346000000005</v>
      </c>
      <c r="H39" s="42">
        <f t="shared" ref="H39:H44" si="12">MIN(F39,G39)</f>
        <v>335.04109444123208</v>
      </c>
    </row>
    <row r="40" spans="1:8" ht="14.1" customHeight="1" x14ac:dyDescent="0.3">
      <c r="A40" s="29"/>
      <c r="B40" s="38">
        <v>40</v>
      </c>
      <c r="C40" s="39">
        <f t="shared" si="9"/>
        <v>1232.45</v>
      </c>
      <c r="D40" s="40">
        <f t="shared" si="10"/>
        <v>0.27993022029291248</v>
      </c>
      <c r="E40" s="40">
        <f t="shared" si="11"/>
        <v>0.88943852064346707</v>
      </c>
      <c r="F40" s="39">
        <f t="shared" si="7"/>
        <v>306.85628962199615</v>
      </c>
      <c r="G40" s="41">
        <f t="shared" si="8"/>
        <v>1080.8586500000001</v>
      </c>
      <c r="H40" s="42">
        <f t="shared" si="12"/>
        <v>306.85628962199615</v>
      </c>
    </row>
    <row r="41" spans="1:8" ht="14.1" customHeight="1" x14ac:dyDescent="0.3">
      <c r="A41" s="29"/>
      <c r="B41" s="38">
        <v>60</v>
      </c>
      <c r="C41" s="39">
        <f t="shared" si="9"/>
        <v>547.75555555555559</v>
      </c>
      <c r="D41" s="40">
        <f t="shared" si="10"/>
        <v>0.62984299565905311</v>
      </c>
      <c r="E41" s="40">
        <f t="shared" si="11"/>
        <v>0.76826465310200376</v>
      </c>
      <c r="F41" s="39">
        <f t="shared" si="7"/>
        <v>265.05130532019132</v>
      </c>
      <c r="G41" s="41">
        <f t="shared" si="8"/>
        <v>480.38162222222223</v>
      </c>
      <c r="H41" s="42">
        <f t="shared" si="12"/>
        <v>265.05130532019132</v>
      </c>
    </row>
    <row r="42" spans="1:8" ht="14.1" customHeight="1" x14ac:dyDescent="0.3">
      <c r="A42" s="29"/>
      <c r="B42" s="38">
        <v>80</v>
      </c>
      <c r="C42" s="39">
        <f t="shared" si="9"/>
        <v>308.11250000000001</v>
      </c>
      <c r="D42" s="40">
        <f t="shared" si="10"/>
        <v>1.1197208811716499</v>
      </c>
      <c r="E42" s="40">
        <f t="shared" si="11"/>
        <v>0.62584060550820153</v>
      </c>
      <c r="F42" s="39">
        <f t="shared" si="7"/>
        <v>215.91500890032952</v>
      </c>
      <c r="G42" s="41">
        <f t="shared" si="8"/>
        <v>270.21466250000003</v>
      </c>
      <c r="H42" s="42">
        <f t="shared" si="12"/>
        <v>215.91500890032952</v>
      </c>
    </row>
    <row r="43" spans="1:8" ht="14.1" customHeight="1" x14ac:dyDescent="0.3">
      <c r="A43" s="29"/>
      <c r="B43" s="38">
        <v>100</v>
      </c>
      <c r="C43" s="39">
        <f t="shared" si="9"/>
        <v>197.19200000000001</v>
      </c>
      <c r="D43" s="40">
        <f t="shared" si="10"/>
        <v>1.7495638768307029</v>
      </c>
      <c r="E43" s="40">
        <f t="shared" si="11"/>
        <v>0.48081121568790641</v>
      </c>
      <c r="F43" s="39">
        <f t="shared" si="7"/>
        <v>165.87986941232771</v>
      </c>
      <c r="G43" s="41">
        <f t="shared" si="8"/>
        <v>172.93738400000001</v>
      </c>
      <c r="H43" s="42">
        <f t="shared" si="12"/>
        <v>165.87986941232771</v>
      </c>
    </row>
    <row r="44" spans="1:8" ht="14.1" customHeight="1" x14ac:dyDescent="0.3">
      <c r="A44" s="29"/>
      <c r="B44" s="44">
        <v>113</v>
      </c>
      <c r="C44" s="39">
        <f t="shared" si="9"/>
        <v>154.43026078784555</v>
      </c>
      <c r="D44" s="40">
        <f t="shared" si="10"/>
        <v>2.2340181143251248</v>
      </c>
      <c r="E44" s="40">
        <f t="shared" si="11"/>
        <v>0.3925666063607095</v>
      </c>
      <c r="F44" s="39">
        <f t="shared" si="7"/>
        <v>135.43547919444478</v>
      </c>
      <c r="G44" s="39">
        <f t="shared" si="8"/>
        <v>135.43533871094056</v>
      </c>
      <c r="H44" s="42">
        <f t="shared" si="12"/>
        <v>135.43533871094056</v>
      </c>
    </row>
    <row r="45" spans="1:8" ht="14.1" customHeight="1" x14ac:dyDescent="0.3">
      <c r="A45" s="29"/>
      <c r="B45" s="38">
        <v>133</v>
      </c>
      <c r="C45" s="39">
        <f t="shared" si="9"/>
        <v>111.4771892136356</v>
      </c>
      <c r="D45" s="40">
        <f t="shared" si="10"/>
        <v>3.0948035417258306</v>
      </c>
      <c r="E45" s="40">
        <f t="shared" si="11"/>
        <v>0.27380719222053418</v>
      </c>
      <c r="F45" s="41">
        <f t="shared" si="7"/>
        <v>94.463481316084298</v>
      </c>
      <c r="G45" s="39">
        <f t="shared" si="8"/>
        <v>97.765494940358423</v>
      </c>
      <c r="H45" s="42">
        <f t="shared" ref="H45:H48" si="13">MAX(F45,G45)</f>
        <v>97.765494940358423</v>
      </c>
    </row>
    <row r="46" spans="1:8" ht="14.1" customHeight="1" x14ac:dyDescent="0.3">
      <c r="B46" s="38">
        <v>160</v>
      </c>
      <c r="C46" s="39">
        <f t="shared" si="9"/>
        <v>77.028125000000003</v>
      </c>
      <c r="D46" s="40">
        <f t="shared" si="10"/>
        <v>4.4788835246865997</v>
      </c>
      <c r="E46" s="40">
        <f t="shared" si="11"/>
        <v>0.15341045206211684</v>
      </c>
      <c r="F46" s="41">
        <f t="shared" si="7"/>
        <v>52.926605961430312</v>
      </c>
      <c r="G46" s="39">
        <f t="shared" si="8"/>
        <v>67.553665625000008</v>
      </c>
      <c r="H46" s="42">
        <f t="shared" si="13"/>
        <v>67.553665625000008</v>
      </c>
    </row>
    <row r="47" spans="1:8" ht="14.1" customHeight="1" x14ac:dyDescent="0.3">
      <c r="B47" s="38">
        <v>178</v>
      </c>
      <c r="C47" s="39">
        <f t="shared" si="9"/>
        <v>62.237091276353993</v>
      </c>
      <c r="D47" s="40">
        <f t="shared" si="10"/>
        <v>5.5433181873503994</v>
      </c>
      <c r="E47" s="40">
        <f t="shared" si="11"/>
        <v>9.8258083727969625E-2</v>
      </c>
      <c r="F47" s="41">
        <f t="shared" si="7"/>
        <v>33.899038886149519</v>
      </c>
      <c r="G47" s="39">
        <f t="shared" si="8"/>
        <v>54.581929049362451</v>
      </c>
      <c r="H47" s="42">
        <f t="shared" si="13"/>
        <v>54.581929049362451</v>
      </c>
    </row>
    <row r="48" spans="1:8" ht="14.1" customHeight="1" x14ac:dyDescent="0.3">
      <c r="B48" s="38">
        <v>200</v>
      </c>
      <c r="C48" s="39">
        <f t="shared" si="9"/>
        <v>49.298000000000002</v>
      </c>
      <c r="D48" s="40">
        <f t="shared" si="10"/>
        <v>6.9982555073228117</v>
      </c>
      <c r="E48" s="40">
        <f t="shared" si="11"/>
        <v>5.3443926604030238E-2</v>
      </c>
      <c r="F48" s="41">
        <f t="shared" si="7"/>
        <v>18.438154678390433</v>
      </c>
      <c r="G48" s="39">
        <f t="shared" si="8"/>
        <v>43.234346000000002</v>
      </c>
      <c r="H48" s="42">
        <f t="shared" si="13"/>
        <v>43.234346000000002</v>
      </c>
    </row>
    <row r="49" spans="1:9" x14ac:dyDescent="0.3">
      <c r="B49" s="30" t="s">
        <v>52</v>
      </c>
    </row>
    <row r="52" spans="1:9" x14ac:dyDescent="0.3">
      <c r="A52" s="23" t="s">
        <v>53</v>
      </c>
      <c r="B52" s="23"/>
      <c r="C52" s="23"/>
      <c r="D52" s="23"/>
      <c r="E52" s="23"/>
      <c r="F52" s="23"/>
      <c r="G52" s="23"/>
      <c r="H52" s="23"/>
      <c r="I52" s="23"/>
    </row>
    <row r="53" spans="1:9" x14ac:dyDescent="0.3">
      <c r="A53" s="23" t="s">
        <v>54</v>
      </c>
      <c r="B53" s="23"/>
      <c r="C53" s="23"/>
      <c r="D53" s="23"/>
      <c r="E53" s="23"/>
      <c r="F53" s="23"/>
      <c r="G53" s="23"/>
      <c r="H53" s="23"/>
      <c r="I53" s="23"/>
    </row>
    <row r="54" spans="1:9" x14ac:dyDescent="0.3">
      <c r="B54" s="23" t="s">
        <v>55</v>
      </c>
      <c r="C54" s="23"/>
      <c r="D54" s="23"/>
      <c r="E54" s="23"/>
      <c r="F54" s="23"/>
      <c r="G54" s="23"/>
      <c r="H54" s="23"/>
    </row>
    <row r="55" spans="1:9" x14ac:dyDescent="0.3">
      <c r="B55" s="45"/>
      <c r="C55" s="45"/>
      <c r="D55" s="45"/>
      <c r="E55" s="45"/>
      <c r="F55" s="45"/>
      <c r="G55" s="45"/>
      <c r="H55" s="45"/>
    </row>
    <row r="56" spans="1:9" x14ac:dyDescent="0.3">
      <c r="B56" s="45"/>
      <c r="C56" s="45"/>
      <c r="D56" s="45"/>
      <c r="E56" s="45"/>
      <c r="F56" s="45"/>
      <c r="G56" s="45"/>
      <c r="H56" s="45"/>
    </row>
    <row r="57" spans="1:9" x14ac:dyDescent="0.3">
      <c r="A57" s="4" t="s">
        <v>56</v>
      </c>
      <c r="B57" s="45"/>
      <c r="C57" s="45"/>
      <c r="D57" s="45"/>
      <c r="E57" s="45"/>
      <c r="F57" s="45"/>
      <c r="G57" s="45"/>
      <c r="H57" s="45"/>
    </row>
    <row r="58" spans="1:9" x14ac:dyDescent="0.3">
      <c r="A58" s="46" t="s">
        <v>57</v>
      </c>
      <c r="B58" s="45"/>
      <c r="C58" s="45"/>
      <c r="D58" s="45"/>
      <c r="E58" s="45"/>
      <c r="F58" s="45"/>
      <c r="G58" s="45"/>
      <c r="H58" s="45"/>
    </row>
    <row r="59" spans="1:9" x14ac:dyDescent="0.3">
      <c r="A59" s="46"/>
      <c r="B59" s="27" t="s">
        <v>58</v>
      </c>
      <c r="C59" s="47">
        <v>345</v>
      </c>
      <c r="D59" s="31" t="s">
        <v>1</v>
      </c>
      <c r="E59" s="45"/>
      <c r="F59" s="45"/>
      <c r="G59" s="45"/>
      <c r="H59" s="45"/>
    </row>
    <row r="60" spans="1:9" x14ac:dyDescent="0.3">
      <c r="A60" s="46"/>
      <c r="B60" s="27" t="s">
        <v>59</v>
      </c>
      <c r="C60" s="47">
        <v>700</v>
      </c>
      <c r="D60" s="31" t="s">
        <v>60</v>
      </c>
      <c r="E60" s="45"/>
      <c r="F60" s="45"/>
      <c r="G60" s="45"/>
      <c r="H60" s="45"/>
    </row>
    <row r="61" spans="1:9" x14ac:dyDescent="0.3">
      <c r="B61" s="27" t="s">
        <v>61</v>
      </c>
      <c r="C61" s="47">
        <v>300</v>
      </c>
      <c r="D61" s="31" t="s">
        <v>62</v>
      </c>
      <c r="E61" s="45"/>
      <c r="F61" s="45"/>
      <c r="G61" s="45"/>
      <c r="H61" s="45"/>
    </row>
    <row r="62" spans="1:9" x14ac:dyDescent="0.3">
      <c r="B62" s="27" t="s">
        <v>63</v>
      </c>
      <c r="C62" s="47">
        <v>13</v>
      </c>
      <c r="D62" s="31" t="s">
        <v>60</v>
      </c>
      <c r="E62" s="45"/>
      <c r="F62" s="45"/>
      <c r="G62" s="45"/>
      <c r="H62" s="45"/>
    </row>
    <row r="63" spans="1:9" x14ac:dyDescent="0.3">
      <c r="B63" s="27" t="s">
        <v>64</v>
      </c>
      <c r="C63" s="47">
        <v>24</v>
      </c>
      <c r="D63" s="31" t="s">
        <v>65</v>
      </c>
      <c r="E63" s="45"/>
      <c r="F63" s="45"/>
      <c r="G63" s="45"/>
      <c r="H63" s="45"/>
    </row>
    <row r="64" spans="1:9" x14ac:dyDescent="0.3">
      <c r="B64" s="48" t="s">
        <v>66</v>
      </c>
      <c r="C64" s="49">
        <f>C63*C61^3*(C60-C63)^2/24</f>
        <v>12338352000000</v>
      </c>
      <c r="D64" s="31" t="s">
        <v>67</v>
      </c>
      <c r="E64" s="50" t="s">
        <v>68</v>
      </c>
      <c r="F64" s="51"/>
      <c r="G64" s="52"/>
      <c r="H64" s="45"/>
    </row>
    <row r="65" spans="2:9" x14ac:dyDescent="0.3">
      <c r="B65" s="48" t="s">
        <v>69</v>
      </c>
      <c r="C65" s="53">
        <f>(2*C61*C63^3+(C60-2*C63)*C62^3)/3</f>
        <v>3242281.3333333335</v>
      </c>
      <c r="D65" s="31" t="s">
        <v>70</v>
      </c>
      <c r="E65" s="30" t="s">
        <v>71</v>
      </c>
      <c r="F65" s="3"/>
    </row>
    <row r="66" spans="2:9" x14ac:dyDescent="0.3">
      <c r="B66" s="48" t="s">
        <v>72</v>
      </c>
      <c r="C66" s="54">
        <f>C61*C60^3/12-((C61-C62)*(C60-2*C63)^3/12)</f>
        <v>1946069925.333333</v>
      </c>
      <c r="D66" s="31" t="s">
        <v>70</v>
      </c>
    </row>
    <row r="67" spans="2:9" x14ac:dyDescent="0.3">
      <c r="B67" s="48" t="s">
        <v>73</v>
      </c>
      <c r="C67" s="55">
        <f>2*C63*C61^3/12+(C60-2*C63)*C62^3/12</f>
        <v>108119370.33333333</v>
      </c>
      <c r="D67" s="31" t="s">
        <v>74</v>
      </c>
      <c r="G67" s="56"/>
      <c r="H67" s="56"/>
    </row>
    <row r="68" spans="2:9" x14ac:dyDescent="0.3">
      <c r="B68" s="48" t="s">
        <v>75</v>
      </c>
      <c r="C68" s="53">
        <f>2*C61*C63+(C60-2*C63)*C62</f>
        <v>22876</v>
      </c>
      <c r="D68" s="29" t="s">
        <v>76</v>
      </c>
      <c r="G68" s="57"/>
    </row>
    <row r="69" spans="2:9" x14ac:dyDescent="0.3">
      <c r="B69" s="58" t="s">
        <v>77</v>
      </c>
      <c r="C69" s="53">
        <v>0</v>
      </c>
      <c r="D69" s="29" t="s">
        <v>62</v>
      </c>
      <c r="E69" s="59" t="s">
        <v>78</v>
      </c>
      <c r="G69" s="57"/>
    </row>
    <row r="70" spans="2:9" x14ac:dyDescent="0.3">
      <c r="B70" s="58" t="s">
        <v>79</v>
      </c>
      <c r="C70" s="53">
        <v>0</v>
      </c>
      <c r="D70" s="29" t="s">
        <v>62</v>
      </c>
      <c r="E70" s="59" t="s">
        <v>80</v>
      </c>
      <c r="G70" s="57"/>
    </row>
    <row r="71" spans="2:9" x14ac:dyDescent="0.3">
      <c r="B71" s="48" t="s">
        <v>81</v>
      </c>
      <c r="C71" s="53">
        <f>(C66/C68)^0.5</f>
        <v>291.66826391122947</v>
      </c>
      <c r="D71" s="29" t="s">
        <v>62</v>
      </c>
      <c r="E71" s="59" t="s">
        <v>82</v>
      </c>
      <c r="G71" s="60"/>
    </row>
    <row r="72" spans="2:9" x14ac:dyDescent="0.3">
      <c r="B72" s="48" t="s">
        <v>83</v>
      </c>
      <c r="C72" s="53">
        <f>(C67/C68)^0.5</f>
        <v>68.748259871898696</v>
      </c>
      <c r="D72" s="29" t="s">
        <v>62</v>
      </c>
      <c r="E72" s="59" t="s">
        <v>84</v>
      </c>
    </row>
    <row r="73" spans="2:9" x14ac:dyDescent="0.3">
      <c r="B73" s="22" t="s">
        <v>85</v>
      </c>
      <c r="C73" s="53">
        <f>(C69^2+C70^2+(C66+C67)/C68)^0.5</f>
        <v>299.660974116425</v>
      </c>
      <c r="D73" s="22"/>
      <c r="E73" s="59" t="s">
        <v>86</v>
      </c>
    </row>
    <row r="74" spans="2:9" x14ac:dyDescent="0.3">
      <c r="B74" s="22"/>
      <c r="C74" s="22"/>
      <c r="D74" s="22"/>
      <c r="E74" s="22"/>
    </row>
    <row r="75" spans="2:9" x14ac:dyDescent="0.3">
      <c r="B75" s="48" t="s">
        <v>87</v>
      </c>
      <c r="C75" s="61">
        <v>3000</v>
      </c>
      <c r="D75" s="29" t="s">
        <v>62</v>
      </c>
      <c r="E75" s="59" t="s">
        <v>88</v>
      </c>
      <c r="G75" s="62" t="s">
        <v>89</v>
      </c>
      <c r="H75" s="63">
        <f>C75/C71</f>
        <v>10.285657958704288</v>
      </c>
    </row>
    <row r="76" spans="2:9" x14ac:dyDescent="0.3">
      <c r="B76" s="48" t="s">
        <v>90</v>
      </c>
      <c r="C76" s="61">
        <v>3000</v>
      </c>
      <c r="D76" s="29" t="s">
        <v>62</v>
      </c>
      <c r="E76" s="59" t="s">
        <v>88</v>
      </c>
      <c r="G76" s="62" t="s">
        <v>91</v>
      </c>
      <c r="H76" s="63">
        <f>C76/C72</f>
        <v>43.637468142321225</v>
      </c>
    </row>
    <row r="77" spans="2:9" x14ac:dyDescent="0.3">
      <c r="B77" s="48" t="s">
        <v>92</v>
      </c>
      <c r="C77" s="61">
        <v>6000</v>
      </c>
      <c r="D77" s="29" t="s">
        <v>62</v>
      </c>
      <c r="E77" s="30" t="s">
        <v>93</v>
      </c>
      <c r="H77" s="59"/>
    </row>
    <row r="78" spans="2:9" x14ac:dyDescent="0.3">
      <c r="B78" s="48" t="s">
        <v>94</v>
      </c>
      <c r="C78" s="63">
        <f>3.14*3.14*C16/(H75)^2</f>
        <v>18639.108464782625</v>
      </c>
      <c r="D78" s="29" t="s">
        <v>95</v>
      </c>
      <c r="E78" s="64" t="s">
        <v>96</v>
      </c>
      <c r="F78" s="65">
        <f>$C$59/C78</f>
        <v>1.850946898301788E-2</v>
      </c>
      <c r="G78" s="66" t="s">
        <v>97</v>
      </c>
      <c r="H78" s="63">
        <f>IF(F78&gt;2.5,0.877*C78,0.658^F78*$C$59)</f>
        <v>342.33756155032495</v>
      </c>
      <c r="I78" s="29" t="s">
        <v>1</v>
      </c>
    </row>
    <row r="79" spans="2:9" x14ac:dyDescent="0.3">
      <c r="B79" s="48" t="s">
        <v>98</v>
      </c>
      <c r="C79" s="63">
        <f>3.14*3.14*C16/(H76)^2</f>
        <v>1035.5479238197561</v>
      </c>
      <c r="D79" s="29" t="s">
        <v>1</v>
      </c>
      <c r="E79" s="48" t="s">
        <v>99</v>
      </c>
      <c r="F79" s="65">
        <f t="shared" ref="F79:F80" si="14">$C$59/C79</f>
        <v>0.33315696170527936</v>
      </c>
      <c r="G79" s="67" t="s">
        <v>100</v>
      </c>
      <c r="H79" s="63">
        <f t="shared" ref="H79:H80" si="15">IF(F79&gt;2.5,0.877*C79,0.658^F79*$C$59)</f>
        <v>300.09570933261813</v>
      </c>
      <c r="I79" s="29" t="s">
        <v>95</v>
      </c>
    </row>
    <row r="80" spans="2:9" x14ac:dyDescent="0.3">
      <c r="B80" s="48" t="s">
        <v>101</v>
      </c>
      <c r="C80" s="63">
        <f>(3.14*3.14*$C$16*$C$64/C77^2+77200*$C$65)/(C68*C73*C73)</f>
        <v>450.85630926372954</v>
      </c>
      <c r="D80" s="29" t="s">
        <v>95</v>
      </c>
      <c r="E80" s="48" t="s">
        <v>102</v>
      </c>
      <c r="F80" s="65">
        <f t="shared" si="14"/>
        <v>0.76521054027923419</v>
      </c>
      <c r="G80" s="67" t="s">
        <v>103</v>
      </c>
      <c r="H80" s="63">
        <f t="shared" si="15"/>
        <v>250.45149758608031</v>
      </c>
      <c r="I80" s="29" t="s">
        <v>95</v>
      </c>
    </row>
    <row r="81" spans="1:9" x14ac:dyDescent="0.3">
      <c r="B81" s="68" t="s">
        <v>104</v>
      </c>
      <c r="C81" s="69">
        <v>0.9</v>
      </c>
      <c r="D81" s="29"/>
      <c r="F81" s="70"/>
      <c r="H81" s="48"/>
    </row>
    <row r="82" spans="1:9" x14ac:dyDescent="0.3">
      <c r="B82" s="68" t="s">
        <v>105</v>
      </c>
      <c r="C82" s="71">
        <v>1.67</v>
      </c>
      <c r="D82" s="29"/>
      <c r="F82" s="70"/>
      <c r="H82" s="48"/>
    </row>
    <row r="83" spans="1:9" x14ac:dyDescent="0.3">
      <c r="B83" s="48" t="s">
        <v>106</v>
      </c>
      <c r="C83" s="72">
        <f>MIN(H78:H80)*C81*C68/1000</f>
        <v>5156.3956129012558</v>
      </c>
      <c r="D83" s="29" t="s">
        <v>107</v>
      </c>
      <c r="E83" s="73" t="s">
        <v>108</v>
      </c>
      <c r="F83" s="74"/>
      <c r="G83" s="29"/>
      <c r="H83" s="29"/>
    </row>
    <row r="84" spans="1:9" x14ac:dyDescent="0.3">
      <c r="B84" s="48" t="s">
        <v>109</v>
      </c>
      <c r="C84" s="72">
        <f>MIN(H78:H80)/C82/1000*C68</f>
        <v>3430.7356040593854</v>
      </c>
      <c r="D84" s="29" t="s">
        <v>110</v>
      </c>
      <c r="E84" s="75" t="s">
        <v>111</v>
      </c>
      <c r="F84" s="74"/>
      <c r="G84" s="29"/>
      <c r="H84" s="29"/>
    </row>
    <row r="85" spans="1:9" x14ac:dyDescent="0.3">
      <c r="A85" s="76"/>
      <c r="B85" s="76"/>
      <c r="C85" s="77"/>
      <c r="D85" s="78"/>
      <c r="E85" s="76"/>
      <c r="F85" s="76"/>
      <c r="G85" s="76"/>
      <c r="H85" s="76"/>
      <c r="I85" s="76"/>
    </row>
    <row r="86" spans="1:9" ht="17.25" thickBot="1" x14ac:dyDescent="0.35">
      <c r="A86" s="79" t="s">
        <v>112</v>
      </c>
      <c r="B86" s="76"/>
      <c r="C86" s="77"/>
      <c r="D86" s="78"/>
      <c r="E86" s="80"/>
      <c r="F86" s="76"/>
      <c r="G86" s="76"/>
      <c r="H86" s="76"/>
      <c r="I86" s="76"/>
    </row>
    <row r="87" spans="1:9" x14ac:dyDescent="0.3">
      <c r="A87" s="81" t="s">
        <v>113</v>
      </c>
      <c r="B87" s="82">
        <v>3000</v>
      </c>
      <c r="C87" s="82">
        <v>6000</v>
      </c>
      <c r="D87" s="83">
        <v>9000</v>
      </c>
      <c r="E87" s="82">
        <v>12000</v>
      </c>
      <c r="F87" s="83">
        <v>15000</v>
      </c>
      <c r="G87" s="82">
        <v>18000</v>
      </c>
      <c r="H87" s="83">
        <v>21000</v>
      </c>
      <c r="I87" s="84">
        <v>24000</v>
      </c>
    </row>
    <row r="88" spans="1:9" x14ac:dyDescent="0.3">
      <c r="A88" s="85" t="s">
        <v>114</v>
      </c>
      <c r="B88" s="86">
        <f t="shared" ref="B88:I88" si="16">(3.14*3.14*$C$16*$C$64/B87^2+77200*$C$65)/($C$66+$C$67)</f>
        <v>1437.8735528045636</v>
      </c>
      <c r="C88" s="86">
        <f>(3.14*3.14*$C$16*$C$64/C87^2+77200*$C$65)/($C$66+$C$67)</f>
        <v>450.8563092637296</v>
      </c>
      <c r="D88" s="86">
        <f t="shared" si="16"/>
        <v>268.07533823764925</v>
      </c>
      <c r="E88" s="86">
        <f t="shared" si="16"/>
        <v>204.10199837852113</v>
      </c>
      <c r="F88" s="86">
        <f t="shared" si="16"/>
        <v>174.4914810722961</v>
      </c>
      <c r="G88" s="86">
        <f t="shared" si="16"/>
        <v>158.40675562200101</v>
      </c>
      <c r="H88" s="86">
        <f t="shared" si="16"/>
        <v>148.70817348592328</v>
      </c>
      <c r="I88" s="87">
        <f t="shared" si="16"/>
        <v>142.41342065721901</v>
      </c>
    </row>
    <row r="89" spans="1:9" x14ac:dyDescent="0.3">
      <c r="A89" s="88"/>
      <c r="B89" s="89"/>
      <c r="C89" s="90"/>
      <c r="D89" s="91"/>
      <c r="E89" s="92"/>
      <c r="F89" s="89"/>
      <c r="G89" s="89"/>
      <c r="H89" s="89"/>
      <c r="I89" s="93"/>
    </row>
    <row r="90" spans="1:9" ht="17.25" thickBot="1" x14ac:dyDescent="0.35">
      <c r="A90" s="94"/>
      <c r="B90" s="95"/>
      <c r="C90" s="96"/>
      <c r="D90" s="97"/>
      <c r="E90" s="98"/>
      <c r="F90" s="95"/>
      <c r="G90" s="95"/>
      <c r="H90" s="95"/>
      <c r="I90" s="99"/>
    </row>
    <row r="91" spans="1:9" x14ac:dyDescent="0.3">
      <c r="C91" s="100"/>
      <c r="D91" s="29"/>
      <c r="E91" s="101"/>
    </row>
    <row r="92" spans="1:9" x14ac:dyDescent="0.3">
      <c r="A92" s="64" t="s">
        <v>115</v>
      </c>
      <c r="B92" s="45"/>
      <c r="C92" s="45"/>
      <c r="D92" s="45"/>
      <c r="E92" s="45"/>
      <c r="F92" s="45"/>
      <c r="G92" s="45"/>
      <c r="H92" s="45"/>
    </row>
    <row r="93" spans="1:9" x14ac:dyDescent="0.3">
      <c r="A93" s="46"/>
      <c r="B93" s="45"/>
      <c r="C93" s="45"/>
      <c r="D93" s="45"/>
      <c r="E93" s="45"/>
      <c r="F93" s="45"/>
      <c r="G93" s="45"/>
      <c r="H93" s="45"/>
    </row>
    <row r="94" spans="1:9" x14ac:dyDescent="0.3">
      <c r="A94" s="102"/>
      <c r="B94" s="27" t="s">
        <v>36</v>
      </c>
      <c r="C94" s="47">
        <v>345</v>
      </c>
      <c r="D94" s="31" t="s">
        <v>95</v>
      </c>
      <c r="E94" s="45"/>
      <c r="F94" s="45"/>
      <c r="G94" s="45"/>
      <c r="H94" s="45"/>
    </row>
    <row r="95" spans="1:9" x14ac:dyDescent="0.3">
      <c r="A95" s="103"/>
      <c r="B95" s="27" t="s">
        <v>116</v>
      </c>
      <c r="C95" s="47">
        <v>350</v>
      </c>
      <c r="D95" s="31" t="s">
        <v>62</v>
      </c>
      <c r="E95" s="45"/>
      <c r="F95" s="45"/>
      <c r="G95" s="45"/>
      <c r="H95" s="45"/>
    </row>
    <row r="96" spans="1:9" x14ac:dyDescent="0.3">
      <c r="A96" s="104"/>
      <c r="B96" s="27" t="s">
        <v>117</v>
      </c>
      <c r="C96" s="47">
        <v>300</v>
      </c>
      <c r="D96" s="31" t="s">
        <v>62</v>
      </c>
      <c r="E96" s="45"/>
      <c r="F96" s="45"/>
      <c r="G96" s="45"/>
      <c r="H96" s="45"/>
    </row>
    <row r="97" spans="1:9" x14ac:dyDescent="0.3">
      <c r="A97" s="104"/>
      <c r="B97" s="27" t="s">
        <v>118</v>
      </c>
      <c r="C97" s="47">
        <v>13</v>
      </c>
      <c r="D97" s="31" t="s">
        <v>62</v>
      </c>
      <c r="E97" s="45"/>
      <c r="F97" s="45"/>
      <c r="G97" s="45"/>
      <c r="H97" s="45"/>
    </row>
    <row r="98" spans="1:9" x14ac:dyDescent="0.3">
      <c r="A98" s="104"/>
      <c r="B98" s="27" t="s">
        <v>64</v>
      </c>
      <c r="C98" s="47">
        <v>24</v>
      </c>
      <c r="D98" s="31" t="s">
        <v>62</v>
      </c>
      <c r="E98" s="45"/>
      <c r="F98" s="45"/>
      <c r="G98" s="45"/>
      <c r="H98" s="45"/>
    </row>
    <row r="99" spans="1:9" x14ac:dyDescent="0.3">
      <c r="A99" s="104"/>
      <c r="B99" s="48" t="s">
        <v>66</v>
      </c>
      <c r="C99" s="49">
        <f>C98*C96^3*(C95-C98)^2/24</f>
        <v>2869452000000</v>
      </c>
      <c r="D99" s="31" t="s">
        <v>119</v>
      </c>
      <c r="E99" s="50" t="s">
        <v>120</v>
      </c>
      <c r="F99" s="51"/>
      <c r="G99" s="52"/>
      <c r="H99" s="45"/>
    </row>
    <row r="100" spans="1:9" x14ac:dyDescent="0.3">
      <c r="A100" s="104"/>
      <c r="B100" s="48" t="s">
        <v>69</v>
      </c>
      <c r="C100" s="53">
        <f>(C96*C98^3+(C95-C98)*C97^3)/3</f>
        <v>1621140.6666666667</v>
      </c>
      <c r="D100" s="31" t="s">
        <v>74</v>
      </c>
      <c r="E100" s="30" t="s">
        <v>121</v>
      </c>
      <c r="F100" s="3"/>
    </row>
    <row r="101" spans="1:9" x14ac:dyDescent="0.3">
      <c r="A101" s="104"/>
      <c r="B101" s="48" t="s">
        <v>122</v>
      </c>
      <c r="C101" s="55">
        <f>C96*C95^3/12-((C96-C97)*(C95-C98)^3/12)</f>
        <v>243258740.66666663</v>
      </c>
      <c r="D101" s="31" t="s">
        <v>74</v>
      </c>
    </row>
    <row r="102" spans="1:9" x14ac:dyDescent="0.3">
      <c r="A102" s="104"/>
      <c r="B102" s="48" t="s">
        <v>123</v>
      </c>
      <c r="C102" s="55">
        <f>C98*C96^3/12+(C95-C98)*C97^3/12</f>
        <v>54059685.166666664</v>
      </c>
      <c r="D102" s="31" t="s">
        <v>124</v>
      </c>
      <c r="G102" s="56"/>
      <c r="H102" s="56"/>
    </row>
    <row r="103" spans="1:9" x14ac:dyDescent="0.3">
      <c r="A103" s="104"/>
      <c r="B103" s="48" t="s">
        <v>75</v>
      </c>
      <c r="C103" s="53">
        <f>C96*C98+(C95-C98)*C97</f>
        <v>11438</v>
      </c>
      <c r="D103" s="29" t="s">
        <v>125</v>
      </c>
      <c r="G103" s="105"/>
    </row>
    <row r="104" spans="1:9" x14ac:dyDescent="0.3">
      <c r="A104" s="104"/>
      <c r="B104" s="48" t="s">
        <v>81</v>
      </c>
      <c r="C104" s="53">
        <f>(C101/C103)^0.5</f>
        <v>145.83413195561474</v>
      </c>
      <c r="D104" s="29" t="s">
        <v>60</v>
      </c>
      <c r="E104" s="4" t="s">
        <v>126</v>
      </c>
      <c r="F104" s="65">
        <f>$C$59/C104</f>
        <v>2.3657013305019863</v>
      </c>
      <c r="G104" s="60"/>
    </row>
    <row r="105" spans="1:9" x14ac:dyDescent="0.3">
      <c r="A105" s="104"/>
      <c r="B105" s="48" t="s">
        <v>83</v>
      </c>
      <c r="C105" s="53">
        <f>(C102/C103)^0.5</f>
        <v>68.748259871898696</v>
      </c>
      <c r="D105" s="29" t="s">
        <v>62</v>
      </c>
    </row>
    <row r="106" spans="1:9" x14ac:dyDescent="0.3">
      <c r="A106" s="104"/>
      <c r="B106" s="48" t="s">
        <v>127</v>
      </c>
      <c r="C106" s="61">
        <v>3000</v>
      </c>
      <c r="D106" s="29" t="s">
        <v>60</v>
      </c>
      <c r="E106" s="59" t="s">
        <v>128</v>
      </c>
      <c r="G106" s="62" t="s">
        <v>89</v>
      </c>
      <c r="H106" s="63">
        <f>C106/C104</f>
        <v>20.571315917408576</v>
      </c>
    </row>
    <row r="107" spans="1:9" x14ac:dyDescent="0.3">
      <c r="A107" s="104"/>
      <c r="B107" s="48" t="s">
        <v>129</v>
      </c>
      <c r="C107" s="61">
        <v>3000</v>
      </c>
      <c r="D107" s="29" t="s">
        <v>62</v>
      </c>
      <c r="E107" s="59" t="s">
        <v>88</v>
      </c>
      <c r="G107" s="62" t="s">
        <v>91</v>
      </c>
      <c r="H107" s="63">
        <f>C107/C105</f>
        <v>43.637468142321225</v>
      </c>
    </row>
    <row r="108" spans="1:9" x14ac:dyDescent="0.3">
      <c r="A108" s="104"/>
      <c r="B108" s="48" t="s">
        <v>130</v>
      </c>
      <c r="C108" s="61">
        <v>6000</v>
      </c>
      <c r="D108" s="29" t="s">
        <v>62</v>
      </c>
      <c r="E108" s="30" t="s">
        <v>93</v>
      </c>
      <c r="H108" s="59"/>
    </row>
    <row r="109" spans="1:9" x14ac:dyDescent="0.3">
      <c r="A109" s="104"/>
      <c r="B109" s="48" t="s">
        <v>131</v>
      </c>
      <c r="C109" s="63">
        <f>3.14*3.14*C47/(H106)^2</f>
        <v>1.4500548685406733</v>
      </c>
      <c r="D109" s="29" t="s">
        <v>1</v>
      </c>
      <c r="E109" s="64" t="s">
        <v>132</v>
      </c>
      <c r="F109" s="65">
        <f>$C$59/C109</f>
        <v>237.92203142437359</v>
      </c>
      <c r="G109" s="66" t="s">
        <v>97</v>
      </c>
      <c r="H109" s="63">
        <f>IF(F109&gt;2.5,0.877*C109,0.658^F109*$C$59)</f>
        <v>1.2716981197101704</v>
      </c>
      <c r="I109" s="29" t="s">
        <v>1</v>
      </c>
    </row>
    <row r="110" spans="1:9" x14ac:dyDescent="0.3">
      <c r="A110" s="104"/>
      <c r="B110" s="48" t="s">
        <v>133</v>
      </c>
      <c r="C110" s="63">
        <f>3.14*3.14*C47/(H107)^2</f>
        <v>0.32224745327904514</v>
      </c>
      <c r="D110" s="29" t="s">
        <v>1</v>
      </c>
      <c r="E110" s="48" t="s">
        <v>99</v>
      </c>
      <c r="F110" s="65">
        <f t="shared" ref="F110:F111" si="17">$C$59/C110</f>
        <v>1070.6058232250873</v>
      </c>
      <c r="G110" s="67" t="s">
        <v>134</v>
      </c>
      <c r="H110" s="63">
        <f t="shared" ref="H110:H111" si="18">IF(F110&gt;2.5,0.877*C110,0.658^F110*$C$59)</f>
        <v>0.28261101652572257</v>
      </c>
      <c r="I110" s="29" t="s">
        <v>1</v>
      </c>
    </row>
    <row r="111" spans="1:9" x14ac:dyDescent="0.3">
      <c r="A111" s="104"/>
      <c r="B111" s="48" t="s">
        <v>135</v>
      </c>
      <c r="C111" s="63">
        <f>(3.14*3.14*$C$16*$C$99/C108^2+77200*$C$100)/($C$103*11)</f>
        <v>2243938.760007842</v>
      </c>
      <c r="D111" s="29" t="s">
        <v>1</v>
      </c>
      <c r="E111" s="48" t="s">
        <v>136</v>
      </c>
      <c r="F111" s="65">
        <f t="shared" si="17"/>
        <v>1.5374751136202768E-4</v>
      </c>
      <c r="G111" s="67" t="s">
        <v>137</v>
      </c>
      <c r="H111" s="63">
        <f t="shared" si="18"/>
        <v>344.97779959367313</v>
      </c>
      <c r="I111" s="29" t="s">
        <v>1</v>
      </c>
    </row>
    <row r="112" spans="1:9" x14ac:dyDescent="0.3">
      <c r="A112" s="104"/>
      <c r="B112" s="68" t="s">
        <v>104</v>
      </c>
      <c r="C112" s="69">
        <v>0.9</v>
      </c>
      <c r="D112" s="29"/>
      <c r="F112" s="70"/>
      <c r="H112" s="48"/>
    </row>
    <row r="113" spans="1:8" x14ac:dyDescent="0.3">
      <c r="A113" s="104"/>
      <c r="B113" s="68" t="s">
        <v>138</v>
      </c>
      <c r="C113" s="71">
        <v>1.67</v>
      </c>
      <c r="D113" s="29"/>
      <c r="F113" s="70"/>
      <c r="H113" s="48"/>
    </row>
    <row r="114" spans="1:8" x14ac:dyDescent="0.3">
      <c r="A114" s="106"/>
      <c r="B114" s="48" t="s">
        <v>106</v>
      </c>
      <c r="C114" s="72">
        <f>MIN(H109:H111)*C112*C103/1000</f>
        <v>2.9092543263190938</v>
      </c>
      <c r="D114" s="29" t="s">
        <v>110</v>
      </c>
      <c r="E114" s="73" t="s">
        <v>139</v>
      </c>
      <c r="F114" s="74"/>
      <c r="G114" s="29"/>
      <c r="H114" s="29"/>
    </row>
    <row r="115" spans="1:8" x14ac:dyDescent="0.3">
      <c r="B115" s="48" t="s">
        <v>109</v>
      </c>
      <c r="C115" s="72">
        <f>MIN(H109:H111)/C113/1000*C103</f>
        <v>1.9356316209707871</v>
      </c>
      <c r="D115" s="29" t="s">
        <v>107</v>
      </c>
      <c r="E115" s="75" t="s">
        <v>140</v>
      </c>
      <c r="F115" s="74"/>
      <c r="G115" s="29"/>
      <c r="H115" s="29"/>
    </row>
    <row r="116" spans="1:8" x14ac:dyDescent="0.3">
      <c r="C116" s="100"/>
      <c r="D116" s="29"/>
      <c r="E116" s="101"/>
    </row>
    <row r="117" spans="1:8" x14ac:dyDescent="0.3">
      <c r="C117" s="100"/>
      <c r="D117" s="29"/>
      <c r="E117" s="101"/>
    </row>
    <row r="118" spans="1:8" x14ac:dyDescent="0.3">
      <c r="C118" s="100"/>
      <c r="D118" s="29"/>
      <c r="E118" s="101"/>
    </row>
    <row r="119" spans="1:8" x14ac:dyDescent="0.3">
      <c r="C119" s="100"/>
      <c r="D119" s="29"/>
    </row>
    <row r="120" spans="1:8" x14ac:dyDescent="0.3">
      <c r="C120" s="100"/>
      <c r="D120" s="29"/>
    </row>
    <row r="121" spans="1:8" x14ac:dyDescent="0.3">
      <c r="C121" s="100"/>
      <c r="D121" s="29"/>
    </row>
    <row r="122" spans="1:8" x14ac:dyDescent="0.3">
      <c r="C122" s="100"/>
      <c r="D122" s="29"/>
    </row>
    <row r="123" spans="1:8" x14ac:dyDescent="0.3">
      <c r="C123" s="100"/>
      <c r="D123" s="29"/>
    </row>
    <row r="124" spans="1:8" x14ac:dyDescent="0.3">
      <c r="C124" s="100"/>
      <c r="D124" s="29"/>
    </row>
    <row r="125" spans="1:8" x14ac:dyDescent="0.3">
      <c r="C125" s="107" t="s">
        <v>141</v>
      </c>
      <c r="D125" s="33">
        <v>8000</v>
      </c>
      <c r="E125" s="29" t="s">
        <v>62</v>
      </c>
    </row>
    <row r="126" spans="1:8" x14ac:dyDescent="0.3">
      <c r="A126" s="108"/>
      <c r="B126" s="109" t="s">
        <v>142</v>
      </c>
      <c r="C126" s="49" t="s">
        <v>143</v>
      </c>
      <c r="D126" s="49" t="s">
        <v>144</v>
      </c>
      <c r="E126" s="49" t="s">
        <v>145</v>
      </c>
      <c r="F126" s="49" t="s">
        <v>146</v>
      </c>
      <c r="G126" s="110" t="s">
        <v>147</v>
      </c>
      <c r="H126" s="49" t="s">
        <v>38</v>
      </c>
    </row>
    <row r="127" spans="1:8" x14ac:dyDescent="0.3">
      <c r="A127" s="111" t="s">
        <v>148</v>
      </c>
      <c r="B127" s="112">
        <f>4720*10000</f>
        <v>47200000</v>
      </c>
      <c r="C127" s="112">
        <f>1600*10000</f>
        <v>16000000</v>
      </c>
      <c r="D127" s="112">
        <f>142000*1000000</f>
        <v>142000000000</v>
      </c>
      <c r="E127" s="112">
        <f>29.8*10000</f>
        <v>298000</v>
      </c>
      <c r="F127" s="49">
        <v>50.2</v>
      </c>
      <c r="G127" s="113">
        <f>$D$125/F127</f>
        <v>159.36254980079681</v>
      </c>
      <c r="H127" s="114">
        <f>(3.14*3.14*$C$16*D127/($D$125*$D$125)+$C$16/(2*1.3)*E127)/(B127+C127)</f>
        <v>431.93472188412852</v>
      </c>
    </row>
    <row r="128" spans="1:8" x14ac:dyDescent="0.3">
      <c r="A128" s="111" t="s">
        <v>149</v>
      </c>
      <c r="B128" s="112">
        <f>11300*10000</f>
        <v>113000000</v>
      </c>
      <c r="C128" s="112">
        <f>1600*10000</f>
        <v>16000000</v>
      </c>
      <c r="D128" s="112">
        <f>319000*1000000</f>
        <v>319000000000</v>
      </c>
      <c r="E128" s="112">
        <f>35.8*10000</f>
        <v>358000</v>
      </c>
      <c r="F128" s="49">
        <v>47.1</v>
      </c>
      <c r="G128" s="113">
        <f>$D$125/F128</f>
        <v>169.85138004246284</v>
      </c>
      <c r="H128" s="114">
        <f>(3.14*3.14*$C$16*D128/($D$125*$D$125)+$C$16/(2*1.3)*E128)/(B128+C128)</f>
        <v>289.66860688729872</v>
      </c>
    </row>
    <row r="129" spans="1:8" x14ac:dyDescent="0.3">
      <c r="A129" s="111" t="s">
        <v>150</v>
      </c>
      <c r="B129" s="112">
        <f>66600*10000</f>
        <v>666000000</v>
      </c>
      <c r="C129" s="112">
        <f>22400*10000</f>
        <v>224000000</v>
      </c>
      <c r="D129" s="112">
        <f>8048000*1000000</f>
        <v>8048000000000</v>
      </c>
      <c r="E129" s="112">
        <f>303*10000</f>
        <v>3030000</v>
      </c>
      <c r="F129" s="49">
        <v>101</v>
      </c>
      <c r="G129" s="113">
        <f>$D$125/F129</f>
        <v>79.207920792079207</v>
      </c>
      <c r="H129" s="114">
        <f>(3.14*3.14*$C$16*D129/($D$125*$D$125)+$C$16/(2*1.3)*E129)/(B129+C129)</f>
        <v>540.50096974935184</v>
      </c>
    </row>
    <row r="130" spans="1:8" x14ac:dyDescent="0.3">
      <c r="A130" s="111" t="s">
        <v>151</v>
      </c>
      <c r="B130" s="112">
        <f>201000*10000</f>
        <v>2010000000</v>
      </c>
      <c r="C130" s="112">
        <f>10800*10000</f>
        <v>108000000</v>
      </c>
      <c r="D130" s="112">
        <f>12367000*1000000</f>
        <v>12367000000000</v>
      </c>
      <c r="E130" s="112">
        <f>383*10000</f>
        <v>3830000</v>
      </c>
      <c r="F130" s="49">
        <v>67.8</v>
      </c>
      <c r="G130" s="113">
        <f>$D$125/F130</f>
        <v>117.99410029498526</v>
      </c>
      <c r="H130" s="114">
        <f>(3.14*3.14*$C$16*D130/($D$125*$D$125)+$C$16/(2*1.3)*E130)/(B130+C130)</f>
        <v>319.00760782123916</v>
      </c>
    </row>
    <row r="132" spans="1:8" x14ac:dyDescent="0.3">
      <c r="A132" s="115" t="s">
        <v>152</v>
      </c>
      <c r="B132" s="116"/>
      <c r="C132" s="116"/>
      <c r="D132" s="116"/>
      <c r="E132" s="116"/>
      <c r="F132" s="116"/>
      <c r="G132" s="116"/>
      <c r="H132" s="116"/>
    </row>
    <row r="133" spans="1:8" x14ac:dyDescent="0.3">
      <c r="A133" s="116"/>
      <c r="B133" s="116"/>
      <c r="C133" s="116"/>
      <c r="D133" s="116"/>
      <c r="E133" s="116"/>
      <c r="F133" s="116"/>
      <c r="G133" s="116"/>
      <c r="H133" s="116"/>
    </row>
    <row r="134" spans="1:8" x14ac:dyDescent="0.3">
      <c r="A134" s="48" t="s">
        <v>153</v>
      </c>
      <c r="B134" s="48"/>
      <c r="C134" s="48"/>
      <c r="D134" s="48"/>
      <c r="E134" s="48"/>
      <c r="F134" s="48"/>
      <c r="G134" s="48"/>
      <c r="H134" s="48"/>
    </row>
    <row r="139" spans="1:8" x14ac:dyDescent="0.3">
      <c r="A139" s="117" t="s">
        <v>154</v>
      </c>
      <c r="B139" s="117"/>
      <c r="C139" s="117"/>
      <c r="D139" s="117"/>
      <c r="E139" s="117"/>
      <c r="F139" s="117"/>
      <c r="G139" s="117"/>
    </row>
    <row r="140" spans="1:8" x14ac:dyDescent="0.3">
      <c r="A140" s="118" t="s">
        <v>155</v>
      </c>
      <c r="C140" s="118"/>
      <c r="D140" s="118"/>
      <c r="E140" s="118"/>
      <c r="F140" s="118"/>
      <c r="G140" s="118"/>
    </row>
    <row r="141" spans="1:8" x14ac:dyDescent="0.3">
      <c r="A141" s="118"/>
    </row>
    <row r="142" spans="1:8" x14ac:dyDescent="0.3">
      <c r="A142" s="118"/>
    </row>
    <row r="143" spans="1:8" x14ac:dyDescent="0.3">
      <c r="A143" s="118"/>
    </row>
    <row r="144" spans="1:8" x14ac:dyDescent="0.3">
      <c r="A144" s="5" t="s">
        <v>156</v>
      </c>
    </row>
    <row r="148" spans="1:9" x14ac:dyDescent="0.3">
      <c r="A148" s="4" t="s">
        <v>58</v>
      </c>
      <c r="B148" s="119">
        <v>355</v>
      </c>
      <c r="C148" s="4" t="s">
        <v>1</v>
      </c>
    </row>
    <row r="149" spans="1:9" x14ac:dyDescent="0.3">
      <c r="A149" s="4" t="s">
        <v>157</v>
      </c>
      <c r="B149" s="119">
        <v>55</v>
      </c>
      <c r="C149" s="4" t="s">
        <v>1</v>
      </c>
    </row>
    <row r="150" spans="1:9" ht="19.5" x14ac:dyDescent="0.3">
      <c r="A150" s="120" t="s">
        <v>158</v>
      </c>
      <c r="B150" s="119">
        <v>18.100000000000001</v>
      </c>
      <c r="D150" s="4" t="s">
        <v>159</v>
      </c>
    </row>
    <row r="151" spans="1:9" x14ac:dyDescent="0.3">
      <c r="A151" s="4" t="s">
        <v>160</v>
      </c>
      <c r="B151" s="119">
        <v>200</v>
      </c>
      <c r="D151" s="4" t="s">
        <v>161</v>
      </c>
    </row>
    <row r="152" spans="1:9" x14ac:dyDescent="0.3">
      <c r="A152" s="4" t="s">
        <v>162</v>
      </c>
      <c r="B152" s="119">
        <v>5</v>
      </c>
      <c r="D152" s="4" t="s">
        <v>163</v>
      </c>
    </row>
    <row r="154" spans="1:9" x14ac:dyDescent="0.3">
      <c r="B154" s="22"/>
      <c r="C154" s="22"/>
      <c r="D154" s="22"/>
      <c r="E154" s="22"/>
      <c r="F154" s="59" t="s">
        <v>164</v>
      </c>
    </row>
    <row r="156" spans="1:9" ht="19.5" x14ac:dyDescent="0.3">
      <c r="A156" s="120" t="s">
        <v>165</v>
      </c>
      <c r="B156" s="121">
        <f>B151/B152</f>
        <v>40</v>
      </c>
      <c r="C156" s="122" t="str">
        <f>IF(E156&gt;B156,"&lt;","&gt;")</f>
        <v>&lt;</v>
      </c>
      <c r="E156" s="123">
        <f>B150*(B148/B149)^0.5</f>
        <v>45.984493433804801</v>
      </c>
    </row>
    <row r="157" spans="1:9" x14ac:dyDescent="0.3">
      <c r="A157" s="4" t="s">
        <v>166</v>
      </c>
      <c r="B157" s="124">
        <v>0.18</v>
      </c>
    </row>
    <row r="158" spans="1:9" x14ac:dyDescent="0.3">
      <c r="A158" s="4" t="s">
        <v>167</v>
      </c>
      <c r="B158" s="124">
        <v>1.31</v>
      </c>
    </row>
    <row r="159" spans="1:9" x14ac:dyDescent="0.3">
      <c r="A159" s="4" t="s">
        <v>168</v>
      </c>
      <c r="B159" s="125">
        <f>(B158*B150/B156)^2*B148</f>
        <v>124.74068122187504</v>
      </c>
      <c r="C159" s="4" t="s">
        <v>95</v>
      </c>
      <c r="D159" s="4" t="s">
        <v>169</v>
      </c>
      <c r="I159" s="4" t="s">
        <v>170</v>
      </c>
    </row>
    <row r="161" spans="1:9" x14ac:dyDescent="0.3">
      <c r="A161" s="4" t="s">
        <v>171</v>
      </c>
      <c r="C161" s="122" t="s">
        <v>172</v>
      </c>
      <c r="D161" s="126">
        <f>B151*(1-B157*(B159/B149)^0.5)*(B159/B149)^0.5</f>
        <v>219.5499861007396</v>
      </c>
      <c r="I161" s="4" t="s">
        <v>173</v>
      </c>
    </row>
    <row r="163" spans="1:9" x14ac:dyDescent="0.3">
      <c r="A163" s="4" t="s">
        <v>174</v>
      </c>
      <c r="C163" s="122" t="s">
        <v>175</v>
      </c>
      <c r="D163" s="126">
        <f>MIN(D161,B151)</f>
        <v>200</v>
      </c>
    </row>
  </sheetData>
  <mergeCells count="10">
    <mergeCell ref="B54:H54"/>
    <mergeCell ref="C85:C86"/>
    <mergeCell ref="A132:H133"/>
    <mergeCell ref="A139:G139"/>
    <mergeCell ref="A1:I1"/>
    <mergeCell ref="B8:G8"/>
    <mergeCell ref="A12:I12"/>
    <mergeCell ref="B13:H13"/>
    <mergeCell ref="A52:I52"/>
    <mergeCell ref="A53:I53"/>
  </mergeCells>
  <phoneticPr fontId="4" type="noConversion"/>
  <pageMargins left="0.7" right="0.7" top="0.75" bottom="0.75" header="0.3" footer="0.3"/>
  <pageSetup paperSize="9" orientation="portrait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5"/>
  <sheetViews>
    <sheetView topLeftCell="A10" workbookViewId="0">
      <selection activeCell="M6" sqref="M6"/>
    </sheetView>
  </sheetViews>
  <sheetFormatPr defaultRowHeight="16.5" x14ac:dyDescent="0.3"/>
  <cols>
    <col min="1" max="1" width="9.875" style="4" bestFit="1" customWidth="1"/>
    <col min="2" max="16384" width="9" style="4"/>
  </cols>
  <sheetData>
    <row r="2" spans="1:2" x14ac:dyDescent="0.3">
      <c r="A2" s="127">
        <v>44601</v>
      </c>
    </row>
    <row r="3" spans="1:2" x14ac:dyDescent="0.3">
      <c r="A3" s="4" t="s">
        <v>176</v>
      </c>
      <c r="B3" s="4" t="s">
        <v>177</v>
      </c>
    </row>
    <row r="25" spans="1:12" x14ac:dyDescent="0.3">
      <c r="A25" s="4" t="s">
        <v>178</v>
      </c>
      <c r="B25" s="4" t="s">
        <v>179</v>
      </c>
      <c r="J25" s="128" t="s">
        <v>180</v>
      </c>
    </row>
    <row r="26" spans="1:12" x14ac:dyDescent="0.3">
      <c r="L26" s="25" t="s">
        <v>181</v>
      </c>
    </row>
    <row r="27" spans="1:12" x14ac:dyDescent="0.3">
      <c r="B27" s="129" t="s">
        <v>182</v>
      </c>
      <c r="C27" s="130"/>
      <c r="D27" s="131"/>
      <c r="E27" s="15"/>
      <c r="F27" s="15" t="s">
        <v>183</v>
      </c>
      <c r="G27" s="15" t="s">
        <v>184</v>
      </c>
      <c r="H27" s="15"/>
      <c r="I27" s="15"/>
      <c r="J27" s="132" t="s">
        <v>185</v>
      </c>
      <c r="K27" s="133" t="s">
        <v>186</v>
      </c>
      <c r="L27" s="134" t="s">
        <v>187</v>
      </c>
    </row>
    <row r="28" spans="1:12" x14ac:dyDescent="0.3">
      <c r="B28" s="135" t="s">
        <v>188</v>
      </c>
      <c r="C28" s="136"/>
      <c r="D28" s="131"/>
      <c r="E28" s="134"/>
      <c r="F28" s="15">
        <v>3000</v>
      </c>
      <c r="G28" s="15">
        <v>3000</v>
      </c>
      <c r="H28" s="134"/>
      <c r="I28" s="134"/>
      <c r="J28" s="137"/>
      <c r="K28" s="137"/>
      <c r="L28" s="15" t="s">
        <v>189</v>
      </c>
    </row>
    <row r="29" spans="1:12" x14ac:dyDescent="0.3">
      <c r="B29" s="135" t="s">
        <v>188</v>
      </c>
      <c r="C29" s="136"/>
      <c r="D29" s="131"/>
      <c r="E29" s="134"/>
      <c r="F29" s="15">
        <v>6000</v>
      </c>
      <c r="G29" s="15">
        <v>3000</v>
      </c>
      <c r="H29" s="134"/>
      <c r="I29" s="134"/>
      <c r="J29" s="137"/>
      <c r="K29" s="137"/>
      <c r="L29" s="15"/>
    </row>
    <row r="30" spans="1:12" x14ac:dyDescent="0.3">
      <c r="B30" s="135" t="s">
        <v>188</v>
      </c>
      <c r="C30" s="136"/>
      <c r="D30" s="131"/>
      <c r="E30" s="134"/>
      <c r="F30" s="15">
        <v>3000</v>
      </c>
      <c r="G30" s="15">
        <v>6000</v>
      </c>
      <c r="H30" s="134"/>
      <c r="I30" s="134"/>
      <c r="J30" s="137"/>
      <c r="K30" s="137"/>
      <c r="L30" s="15"/>
    </row>
    <row r="31" spans="1:12" x14ac:dyDescent="0.3">
      <c r="B31" s="135" t="s">
        <v>188</v>
      </c>
      <c r="C31" s="136"/>
      <c r="D31" s="131"/>
      <c r="E31" s="134"/>
      <c r="F31" s="15">
        <v>6000</v>
      </c>
      <c r="G31" s="15">
        <v>6000</v>
      </c>
      <c r="H31" s="134"/>
      <c r="I31" s="134"/>
      <c r="J31" s="137"/>
      <c r="K31" s="137"/>
      <c r="L31" s="15"/>
    </row>
    <row r="32" spans="1:12" x14ac:dyDescent="0.3">
      <c r="B32" s="135" t="s">
        <v>190</v>
      </c>
      <c r="C32" s="136"/>
      <c r="D32" s="131"/>
      <c r="E32" s="134"/>
      <c r="F32" s="15">
        <v>3000</v>
      </c>
      <c r="G32" s="15">
        <v>3000</v>
      </c>
      <c r="H32" s="134"/>
      <c r="I32" s="134"/>
      <c r="J32" s="137"/>
      <c r="K32" s="137"/>
      <c r="L32" s="15" t="s">
        <v>189</v>
      </c>
    </row>
    <row r="33" spans="2:12" x14ac:dyDescent="0.3">
      <c r="B33" s="135" t="s">
        <v>191</v>
      </c>
      <c r="C33" s="136"/>
      <c r="D33" s="131"/>
      <c r="E33" s="134"/>
      <c r="F33" s="15">
        <v>6000</v>
      </c>
      <c r="G33" s="15">
        <v>3000</v>
      </c>
      <c r="H33" s="134"/>
      <c r="I33" s="134"/>
      <c r="J33" s="137"/>
      <c r="K33" s="137"/>
      <c r="L33" s="15"/>
    </row>
    <row r="34" spans="2:12" x14ac:dyDescent="0.3">
      <c r="B34" s="135" t="s">
        <v>190</v>
      </c>
      <c r="C34" s="136"/>
      <c r="D34" s="131"/>
      <c r="E34" s="134"/>
      <c r="F34" s="15">
        <v>3000</v>
      </c>
      <c r="G34" s="15">
        <v>6000</v>
      </c>
      <c r="H34" s="134"/>
      <c r="I34" s="134"/>
      <c r="J34" s="137"/>
      <c r="K34" s="137"/>
      <c r="L34" s="15"/>
    </row>
    <row r="35" spans="2:12" x14ac:dyDescent="0.3">
      <c r="B35" s="135" t="s">
        <v>190</v>
      </c>
      <c r="C35" s="136"/>
      <c r="D35" s="131"/>
      <c r="E35" s="134"/>
      <c r="F35" s="15">
        <v>6000</v>
      </c>
      <c r="G35" s="15">
        <v>6000</v>
      </c>
      <c r="H35" s="15"/>
      <c r="I35" s="134"/>
      <c r="J35" s="137"/>
      <c r="K35" s="137"/>
      <c r="L35" s="15"/>
    </row>
  </sheetData>
  <mergeCells count="1">
    <mergeCell ref="B27:C27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Chapter B</vt:lpstr>
      <vt:lpstr>Chapter E</vt:lpstr>
      <vt:lpstr>H.W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</dc:creator>
  <cp:lastModifiedBy>HEC</cp:lastModifiedBy>
  <dcterms:created xsi:type="dcterms:W3CDTF">2022-02-14T08:28:42Z</dcterms:created>
  <dcterms:modified xsi:type="dcterms:W3CDTF">2022-02-14T08:28:44Z</dcterms:modified>
</cp:coreProperties>
</file>