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bookViews>
    <workbookView xWindow="0" yWindow="0" windowWidth="28800" windowHeight="12435"/>
  </bookViews>
  <sheets>
    <sheet name="Chapter B" sheetId="1" r:id="rId1"/>
    <sheet name="Chapter E1" sheetId="2" r:id="rId2"/>
    <sheet name="Chapter E2" sheetId="3" r:id="rId3"/>
    <sheet name="H.W" sheetId="4" r:id="rId4"/>
    <sheet name="Chapter F" sheetId="5" r:id="rId5"/>
  </sheets>
  <externalReferences>
    <externalReference r:id="rId6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2" i="5" l="1"/>
  <c r="C41" i="5"/>
  <c r="C40" i="5"/>
  <c r="C39" i="5"/>
  <c r="C38" i="5"/>
  <c r="AD49" i="4"/>
  <c r="R49" i="4"/>
  <c r="Q49" i="4"/>
  <c r="K49" i="4"/>
  <c r="M49" i="4" s="1"/>
  <c r="X49" i="4" s="1"/>
  <c r="H49" i="4"/>
  <c r="I49" i="4" s="1"/>
  <c r="AD48" i="4"/>
  <c r="R48" i="4"/>
  <c r="Q48" i="4"/>
  <c r="O48" i="4"/>
  <c r="P48" i="4" s="1"/>
  <c r="S48" i="4" s="1"/>
  <c r="K48" i="4"/>
  <c r="M48" i="4" s="1"/>
  <c r="X48" i="4" s="1"/>
  <c r="J48" i="4"/>
  <c r="L48" i="4" s="1"/>
  <c r="W48" i="4" s="1"/>
  <c r="I48" i="4"/>
  <c r="H48" i="4"/>
  <c r="R47" i="4"/>
  <c r="Q47" i="4"/>
  <c r="P47" i="4"/>
  <c r="S47" i="4" s="1"/>
  <c r="M47" i="4"/>
  <c r="X47" i="4" s="1"/>
  <c r="K47" i="4"/>
  <c r="J47" i="4"/>
  <c r="L47" i="4" s="1"/>
  <c r="W47" i="4" s="1"/>
  <c r="H47" i="4"/>
  <c r="I47" i="4" s="1"/>
  <c r="R46" i="4"/>
  <c r="Q46" i="4"/>
  <c r="K46" i="4"/>
  <c r="M46" i="4" s="1"/>
  <c r="X46" i="4" s="1"/>
  <c r="J46" i="4"/>
  <c r="P46" i="4" s="1"/>
  <c r="S46" i="4" s="1"/>
  <c r="I46" i="4"/>
  <c r="H46" i="4"/>
  <c r="AD45" i="4"/>
  <c r="R45" i="4"/>
  <c r="Q45" i="4"/>
  <c r="K45" i="4"/>
  <c r="M45" i="4" s="1"/>
  <c r="X45" i="4" s="1"/>
  <c r="J45" i="4"/>
  <c r="H45" i="4"/>
  <c r="L45" i="4" s="1"/>
  <c r="W45" i="4" s="1"/>
  <c r="Q17" i="3"/>
  <c r="AU15" i="3"/>
  <c r="AL11" i="3"/>
  <c r="AJ11" i="3"/>
  <c r="K11" i="3"/>
  <c r="J11" i="3"/>
  <c r="L11" i="3" s="1"/>
  <c r="I11" i="3"/>
  <c r="H11" i="3"/>
  <c r="M11" i="3" s="1"/>
  <c r="AL10" i="3"/>
  <c r="AJ10" i="3"/>
  <c r="K10" i="3"/>
  <c r="M10" i="3" s="1"/>
  <c r="J10" i="3"/>
  <c r="L10" i="3" s="1"/>
  <c r="I10" i="3"/>
  <c r="H10" i="3"/>
  <c r="AL9" i="3"/>
  <c r="AJ9" i="3"/>
  <c r="R9" i="3"/>
  <c r="Q9" i="3"/>
  <c r="O9" i="3"/>
  <c r="P9" i="3" s="1"/>
  <c r="S9" i="3" s="1"/>
  <c r="N9" i="3"/>
  <c r="K9" i="3"/>
  <c r="M9" i="3" s="1"/>
  <c r="J9" i="3"/>
  <c r="L9" i="3" s="1"/>
  <c r="I9" i="3"/>
  <c r="H9" i="3"/>
  <c r="AL8" i="3"/>
  <c r="AJ8" i="3"/>
  <c r="R8" i="3"/>
  <c r="Q8" i="3"/>
  <c r="O8" i="3"/>
  <c r="N8" i="3"/>
  <c r="D14" i="3" s="1"/>
  <c r="L8" i="3"/>
  <c r="W8" i="3" s="1"/>
  <c r="K8" i="3"/>
  <c r="M8" i="3" s="1"/>
  <c r="J8" i="3"/>
  <c r="P8" i="3" s="1"/>
  <c r="S8" i="3" s="1"/>
  <c r="H8" i="3"/>
  <c r="I8" i="3" s="1"/>
  <c r="AT7" i="3"/>
  <c r="AR7" i="3"/>
  <c r="AL7" i="3"/>
  <c r="AJ7" i="3"/>
  <c r="Y7" i="3"/>
  <c r="R7" i="3"/>
  <c r="N7" i="3"/>
  <c r="P7" i="3" s="1"/>
  <c r="L7" i="3"/>
  <c r="W7" i="3" s="1"/>
  <c r="J7" i="3"/>
  <c r="I7" i="3"/>
  <c r="H7" i="3"/>
  <c r="K7" i="3" s="1"/>
  <c r="AT6" i="3"/>
  <c r="AR6" i="3"/>
  <c r="AW6" i="3" s="1"/>
  <c r="AO6" i="3"/>
  <c r="AL6" i="3"/>
  <c r="AJ6" i="3"/>
  <c r="R6" i="3"/>
  <c r="Q6" i="3"/>
  <c r="K6" i="3"/>
  <c r="M6" i="3" s="1"/>
  <c r="I6" i="3"/>
  <c r="H6" i="3"/>
  <c r="O6" i="3" s="1"/>
  <c r="AT5" i="3"/>
  <c r="AW5" i="3" s="1"/>
  <c r="AR5" i="3"/>
  <c r="AL5" i="3"/>
  <c r="AJ5" i="3"/>
  <c r="R5" i="3"/>
  <c r="Q5" i="3"/>
  <c r="AB5" i="3" s="1"/>
  <c r="L5" i="3"/>
  <c r="W5" i="3" s="1"/>
  <c r="K5" i="3"/>
  <c r="M5" i="3" s="1"/>
  <c r="J5" i="3"/>
  <c r="P5" i="3" s="1"/>
  <c r="S5" i="3" s="1"/>
  <c r="H5" i="3"/>
  <c r="I5" i="3" s="1"/>
  <c r="C68" i="2"/>
  <c r="C67" i="2"/>
  <c r="C72" i="2" s="1"/>
  <c r="H76" i="2" s="1"/>
  <c r="C79" i="2" s="1"/>
  <c r="F79" i="2" s="1"/>
  <c r="H79" i="2" s="1"/>
  <c r="C66" i="2"/>
  <c r="C73" i="2" s="1"/>
  <c r="C65" i="2"/>
  <c r="C64" i="2"/>
  <c r="D88" i="2" s="1"/>
  <c r="C48" i="2"/>
  <c r="G48" i="2" s="1"/>
  <c r="G47" i="2"/>
  <c r="C47" i="2"/>
  <c r="D47" i="2" s="1"/>
  <c r="G46" i="2"/>
  <c r="F46" i="2"/>
  <c r="H46" i="2" s="1"/>
  <c r="E46" i="2"/>
  <c r="D46" i="2"/>
  <c r="C46" i="2"/>
  <c r="C45" i="2"/>
  <c r="G45" i="2" s="1"/>
  <c r="C44" i="2"/>
  <c r="G44" i="2" s="1"/>
  <c r="G43" i="2"/>
  <c r="C43" i="2"/>
  <c r="D43" i="2" s="1"/>
  <c r="G42" i="2"/>
  <c r="F42" i="2"/>
  <c r="H42" i="2" s="1"/>
  <c r="E42" i="2"/>
  <c r="D42" i="2"/>
  <c r="C42" i="2"/>
  <c r="C41" i="2"/>
  <c r="G41" i="2" s="1"/>
  <c r="C40" i="2"/>
  <c r="G40" i="2" s="1"/>
  <c r="G39" i="2"/>
  <c r="C39" i="2"/>
  <c r="D39" i="2" s="1"/>
  <c r="G38" i="2"/>
  <c r="F38" i="2"/>
  <c r="H38" i="2" s="1"/>
  <c r="E38" i="2"/>
  <c r="D38" i="2"/>
  <c r="C38" i="2"/>
  <c r="C34" i="2"/>
  <c r="D34" i="2" s="1"/>
  <c r="E34" i="2" s="1"/>
  <c r="C33" i="2"/>
  <c r="G33" i="2" s="1"/>
  <c r="G32" i="2"/>
  <c r="H32" i="2" s="1"/>
  <c r="F32" i="2"/>
  <c r="C32" i="2"/>
  <c r="D32" i="2" s="1"/>
  <c r="E32" i="2" s="1"/>
  <c r="G31" i="2"/>
  <c r="F31" i="2"/>
  <c r="H31" i="2" s="1"/>
  <c r="E31" i="2"/>
  <c r="D31" i="2"/>
  <c r="C31" i="2"/>
  <c r="C30" i="2"/>
  <c r="G30" i="2" s="1"/>
  <c r="C29" i="2"/>
  <c r="G29" i="2" s="1"/>
  <c r="G28" i="2"/>
  <c r="H28" i="2" s="1"/>
  <c r="F28" i="2"/>
  <c r="C28" i="2"/>
  <c r="D28" i="2" s="1"/>
  <c r="E28" i="2" s="1"/>
  <c r="G27" i="2"/>
  <c r="F27" i="2"/>
  <c r="H27" i="2" s="1"/>
  <c r="E27" i="2"/>
  <c r="D27" i="2"/>
  <c r="C27" i="2"/>
  <c r="C26" i="2"/>
  <c r="D26" i="2" s="1"/>
  <c r="E26" i="2" s="1"/>
  <c r="C25" i="2"/>
  <c r="G25" i="2" s="1"/>
  <c r="G24" i="2"/>
  <c r="C24" i="2"/>
  <c r="D24" i="2" s="1"/>
  <c r="C20" i="2"/>
  <c r="C19" i="2"/>
  <c r="J11" i="1"/>
  <c r="H11" i="1"/>
  <c r="J10" i="1"/>
  <c r="H10" i="1"/>
  <c r="J9" i="1"/>
  <c r="H9" i="1"/>
  <c r="J8" i="1"/>
  <c r="H8" i="1"/>
  <c r="J7" i="1"/>
  <c r="H7" i="1"/>
  <c r="J5" i="1"/>
  <c r="H5" i="1"/>
  <c r="X10" i="3" l="1"/>
  <c r="Z10" i="3"/>
  <c r="AA9" i="3"/>
  <c r="AC9" i="3" s="1"/>
  <c r="Z8" i="3"/>
  <c r="X8" i="3"/>
  <c r="X11" i="3"/>
  <c r="Z11" i="3"/>
  <c r="F43" i="2"/>
  <c r="H43" i="2" s="1"/>
  <c r="E43" i="2"/>
  <c r="J6" i="3"/>
  <c r="L6" i="3" s="1"/>
  <c r="X5" i="3"/>
  <c r="Z5" i="3"/>
  <c r="D16" i="3"/>
  <c r="D17" i="3"/>
  <c r="W9" i="3"/>
  <c r="Y9" i="3"/>
  <c r="W11" i="3"/>
  <c r="Y11" i="3"/>
  <c r="F39" i="2"/>
  <c r="H39" i="2" s="1"/>
  <c r="E39" i="2"/>
  <c r="Z6" i="3"/>
  <c r="X6" i="3"/>
  <c r="Q7" i="3"/>
  <c r="AA7" i="3" s="1"/>
  <c r="M7" i="3"/>
  <c r="Z9" i="3"/>
  <c r="X9" i="3"/>
  <c r="F47" i="2"/>
  <c r="H47" i="2" s="1"/>
  <c r="E47" i="2"/>
  <c r="F24" i="2"/>
  <c r="H24" i="2" s="1"/>
  <c r="E24" i="2"/>
  <c r="AA8" i="3"/>
  <c r="Y10" i="3"/>
  <c r="AD10" i="3" s="1"/>
  <c r="AE10" i="3" s="1"/>
  <c r="W10" i="3"/>
  <c r="C80" i="2"/>
  <c r="F80" i="2" s="1"/>
  <c r="H80" i="2" s="1"/>
  <c r="C83" i="2" s="1"/>
  <c r="P45" i="4"/>
  <c r="S45" i="4" s="1"/>
  <c r="D41" i="2"/>
  <c r="AW12" i="3"/>
  <c r="D30" i="2"/>
  <c r="E30" i="2" s="1"/>
  <c r="D45" i="2"/>
  <c r="F88" i="2"/>
  <c r="Y5" i="3"/>
  <c r="D25" i="2"/>
  <c r="E25" i="2" s="1"/>
  <c r="F26" i="2"/>
  <c r="H26" i="2" s="1"/>
  <c r="D29" i="2"/>
  <c r="E29" i="2" s="1"/>
  <c r="F30" i="2"/>
  <c r="H30" i="2" s="1"/>
  <c r="D33" i="2"/>
  <c r="E33" i="2" s="1"/>
  <c r="F34" i="2"/>
  <c r="D40" i="2"/>
  <c r="D44" i="2"/>
  <c r="D48" i="2"/>
  <c r="H88" i="2"/>
  <c r="Y8" i="3"/>
  <c r="I45" i="4"/>
  <c r="L46" i="4"/>
  <c r="W46" i="4" s="1"/>
  <c r="O49" i="4"/>
  <c r="G88" i="2"/>
  <c r="G26" i="2"/>
  <c r="G34" i="2"/>
  <c r="I88" i="2"/>
  <c r="AO5" i="3"/>
  <c r="F25" i="2"/>
  <c r="H25" i="2" s="1"/>
  <c r="F29" i="2"/>
  <c r="H29" i="2" s="1"/>
  <c r="F33" i="2"/>
  <c r="H33" i="2" s="1"/>
  <c r="C71" i="2"/>
  <c r="H75" i="2" s="1"/>
  <c r="C78" i="2" s="1"/>
  <c r="F78" i="2" s="1"/>
  <c r="H78" i="2" s="1"/>
  <c r="C84" i="2" s="1"/>
  <c r="B88" i="2"/>
  <c r="S7" i="3"/>
  <c r="C88" i="2"/>
  <c r="E88" i="2"/>
  <c r="Y6" i="3" l="1"/>
  <c r="W6" i="3"/>
  <c r="P6" i="3"/>
  <c r="AD8" i="3"/>
  <c r="AE8" i="3" s="1"/>
  <c r="F44" i="2"/>
  <c r="H44" i="2" s="1"/>
  <c r="E44" i="2"/>
  <c r="AD5" i="3"/>
  <c r="AE5" i="3" s="1"/>
  <c r="AD11" i="3"/>
  <c r="AE11" i="3" s="1"/>
  <c r="E41" i="2"/>
  <c r="F41" i="2"/>
  <c r="H41" i="2" s="1"/>
  <c r="F48" i="2"/>
  <c r="H48" i="2" s="1"/>
  <c r="E48" i="2"/>
  <c r="J49" i="4"/>
  <c r="L49" i="4" s="1"/>
  <c r="W49" i="4" s="1"/>
  <c r="F40" i="2"/>
  <c r="H40" i="2" s="1"/>
  <c r="E40" i="2"/>
  <c r="AG10" i="3"/>
  <c r="AF10" i="3"/>
  <c r="AH10" i="3" s="1"/>
  <c r="H34" i="2"/>
  <c r="E45" i="2"/>
  <c r="F45" i="2"/>
  <c r="H45" i="2" s="1"/>
  <c r="AC8" i="3"/>
  <c r="X7" i="3"/>
  <c r="Z7" i="3"/>
  <c r="AD9" i="3"/>
  <c r="AE9" i="3" s="1"/>
  <c r="AG9" i="3" l="1"/>
  <c r="AH9" i="3" s="1"/>
  <c r="AF9" i="3"/>
  <c r="AF8" i="3"/>
  <c r="AH8" i="3"/>
  <c r="AG8" i="3"/>
  <c r="S6" i="3"/>
  <c r="AA6" i="3"/>
  <c r="AC6" i="3" s="1"/>
  <c r="AD6" i="3" s="1"/>
  <c r="AE6" i="3" s="1"/>
  <c r="AH11" i="3"/>
  <c r="AG11" i="3"/>
  <c r="AF11" i="3"/>
  <c r="P49" i="4"/>
  <c r="S49" i="4" s="1"/>
  <c r="AG5" i="3"/>
  <c r="AH5" i="3" s="1"/>
  <c r="AF5" i="3"/>
  <c r="AC7" i="3"/>
  <c r="AD7" i="3" s="1"/>
  <c r="AE7" i="3" s="1"/>
  <c r="AF6" i="3" l="1"/>
  <c r="AS6" i="3"/>
  <c r="AY6" i="3" s="1"/>
  <c r="AH6" i="3"/>
  <c r="AG6" i="3"/>
  <c r="AK6" i="3"/>
  <c r="AQ6" i="3" s="1"/>
  <c r="AZ6" i="3" s="1"/>
  <c r="AG7" i="3"/>
  <c r="AF7" i="3"/>
  <c r="AH7" i="3"/>
  <c r="AX12" i="3"/>
  <c r="AX5" i="3"/>
  <c r="AP5" i="3"/>
  <c r="AS5" i="3"/>
  <c r="AY5" i="3" s="1"/>
  <c r="AK5" i="3"/>
  <c r="AQ5" i="3" s="1"/>
  <c r="AZ5" i="3" s="1"/>
  <c r="BA5" i="3" s="1"/>
  <c r="AU16" i="3" l="1"/>
  <c r="AU14" i="3"/>
  <c r="BA6" i="3"/>
  <c r="AX6" i="3"/>
  <c r="AP6" i="3"/>
</calcChain>
</file>

<file path=xl/sharedStrings.xml><?xml version="1.0" encoding="utf-8"?>
<sst xmlns="http://schemas.openxmlformats.org/spreadsheetml/2006/main" count="388" uniqueCount="275">
  <si>
    <t>E   =</t>
    <phoneticPr fontId="4" type="noConversion"/>
  </si>
  <si>
    <t>Mpa</t>
    <phoneticPr fontId="4" type="noConversion"/>
  </si>
  <si>
    <t>Width-to-Thickness Ratios for Compression Members</t>
    <phoneticPr fontId="4" type="noConversion"/>
  </si>
  <si>
    <r>
      <rPr>
        <sz val="11"/>
        <color theme="1"/>
        <rFont val="맑은 고딕"/>
        <family val="3"/>
        <charset val="129"/>
        <scheme val="minor"/>
      </rPr>
      <t>Section Shape</t>
    </r>
    <r>
      <rPr>
        <sz val="10"/>
        <color theme="1"/>
        <rFont val="맑은 고딕"/>
        <family val="2"/>
        <charset val="129"/>
        <scheme val="minor"/>
      </rPr>
      <t xml:space="preserve">
(Width to thick ratio)</t>
    </r>
    <phoneticPr fontId="4" type="noConversion"/>
  </si>
  <si>
    <t>Shape</t>
    <phoneticPr fontId="4" type="noConversion"/>
  </si>
  <si>
    <t>Equation</t>
    <phoneticPr fontId="4" type="noConversion"/>
  </si>
  <si>
    <r>
      <t>kc =
4/</t>
    </r>
    <r>
      <rPr>
        <sz val="9"/>
        <color theme="1"/>
        <rFont val="맑은 고딕"/>
        <family val="3"/>
        <charset val="129"/>
      </rPr>
      <t>√(h/tw)
(0.35~0.76)</t>
    </r>
    <phoneticPr fontId="4" type="noConversion"/>
  </si>
  <si>
    <r>
      <t xml:space="preserve">Limiting Width to Thickness Ratio </t>
    </r>
    <r>
      <rPr>
        <sz val="11"/>
        <color theme="1"/>
        <rFont val="맑은 고딕"/>
        <family val="3"/>
        <charset val="129"/>
      </rPr>
      <t>λ</t>
    </r>
    <r>
      <rPr>
        <sz val="11"/>
        <color theme="1"/>
        <rFont val="맑은 고딕"/>
        <family val="2"/>
        <charset val="129"/>
      </rPr>
      <t>r
(nonslender/slender)</t>
    </r>
    <phoneticPr fontId="4" type="noConversion"/>
  </si>
  <si>
    <t xml:space="preserve"> (b/tf) for flange
</t>
    <phoneticPr fontId="4" type="noConversion"/>
  </si>
  <si>
    <t>H,T,C</t>
    <phoneticPr fontId="4" type="noConversion"/>
  </si>
  <si>
    <r>
      <t xml:space="preserve">0.56 </t>
    </r>
    <r>
      <rPr>
        <sz val="11"/>
        <color theme="1"/>
        <rFont val="맑은 고딕"/>
        <family val="3"/>
        <charset val="129"/>
      </rPr>
      <t>√</t>
    </r>
    <r>
      <rPr>
        <sz val="11"/>
        <color theme="1"/>
        <rFont val="맑은 고딕"/>
        <family val="2"/>
        <charset val="129"/>
      </rPr>
      <t>(E/Fy)</t>
    </r>
    <phoneticPr fontId="4" type="noConversion"/>
  </si>
  <si>
    <t>-</t>
    <phoneticPr fontId="4" type="noConversion"/>
  </si>
  <si>
    <t>L</t>
    <phoneticPr fontId="4" type="noConversion"/>
  </si>
  <si>
    <r>
      <t>0.45 √(E/Fy)</t>
    </r>
    <r>
      <rPr>
        <sz val="11"/>
        <color theme="1"/>
        <rFont val="맑은 고딕"/>
        <family val="2"/>
        <charset val="129"/>
      </rPr>
      <t/>
    </r>
    <phoneticPr fontId="4" type="noConversion"/>
  </si>
  <si>
    <t>Built Up</t>
    <phoneticPr fontId="4" type="noConversion"/>
  </si>
  <si>
    <r>
      <t>0.64 √(kc E/Fy)</t>
    </r>
    <r>
      <rPr>
        <sz val="11"/>
        <color theme="1"/>
        <rFont val="맑은 고딕"/>
        <family val="2"/>
        <charset val="129"/>
      </rPr>
      <t/>
    </r>
    <phoneticPr fontId="4" type="noConversion"/>
  </si>
  <si>
    <t>H (h/tw) for Web</t>
    <phoneticPr fontId="4" type="noConversion"/>
  </si>
  <si>
    <t>H</t>
    <phoneticPr fontId="4" type="noConversion"/>
  </si>
  <si>
    <r>
      <t xml:space="preserve">1.40 </t>
    </r>
    <r>
      <rPr>
        <sz val="11"/>
        <color theme="1"/>
        <rFont val="맑은 고딕"/>
        <family val="3"/>
        <charset val="129"/>
      </rPr>
      <t>√</t>
    </r>
    <r>
      <rPr>
        <sz val="11"/>
        <color theme="1"/>
        <rFont val="맑은 고딕"/>
        <family val="2"/>
        <charset val="129"/>
      </rPr>
      <t>(E/Fy)</t>
    </r>
    <phoneticPr fontId="4" type="noConversion"/>
  </si>
  <si>
    <t>-</t>
    <phoneticPr fontId="4" type="noConversion"/>
  </si>
  <si>
    <t>T (h/tw) for Web</t>
    <phoneticPr fontId="4" type="noConversion"/>
  </si>
  <si>
    <t>T</t>
    <phoneticPr fontId="4" type="noConversion"/>
  </si>
  <si>
    <r>
      <t xml:space="preserve">0.75 </t>
    </r>
    <r>
      <rPr>
        <sz val="11"/>
        <color theme="1"/>
        <rFont val="맑은 고딕"/>
        <family val="3"/>
        <charset val="129"/>
      </rPr>
      <t>√</t>
    </r>
    <r>
      <rPr>
        <sz val="11"/>
        <color theme="1"/>
        <rFont val="맑은 고딕"/>
        <family val="2"/>
        <charset val="129"/>
      </rPr>
      <t>(E/Fy)</t>
    </r>
    <phoneticPr fontId="4" type="noConversion"/>
  </si>
  <si>
    <t>-</t>
    <phoneticPr fontId="4" type="noConversion"/>
  </si>
  <si>
    <t>압축재는 가급적 Slender Member를 지양 함.</t>
    <phoneticPr fontId="4" type="noConversion"/>
  </si>
  <si>
    <t>E1. GENERAL PROVISIONS</t>
    <phoneticPr fontId="4" type="noConversion"/>
  </si>
  <si>
    <t>The nominal compressive strength, Pn, shall be the lowest obtained from (E3) or (E4)</t>
    <phoneticPr fontId="4" type="noConversion"/>
  </si>
  <si>
    <r>
      <t xml:space="preserve">The Design Compressive Strength, </t>
    </r>
    <r>
      <rPr>
        <sz val="11"/>
        <color theme="1"/>
        <rFont val="맑은 고딕"/>
        <family val="3"/>
        <charset val="129"/>
      </rPr>
      <t>ψ</t>
    </r>
    <r>
      <rPr>
        <sz val="11"/>
        <color theme="1"/>
        <rFont val="맑은 고딕"/>
        <family val="2"/>
        <charset val="129"/>
      </rPr>
      <t xml:space="preserve"> Pn</t>
    </r>
    <phoneticPr fontId="4" type="noConversion"/>
  </si>
  <si>
    <r>
      <t>The Allowable Compressive Strength, Pn/</t>
    </r>
    <r>
      <rPr>
        <sz val="11"/>
        <color theme="1"/>
        <rFont val="맑은 고딕"/>
        <family val="3"/>
        <charset val="129"/>
      </rPr>
      <t>Ω</t>
    </r>
    <phoneticPr fontId="4" type="noConversion"/>
  </si>
  <si>
    <t>ψ=0.9                              Ω=1.67</t>
    <phoneticPr fontId="4" type="noConversion"/>
  </si>
  <si>
    <t>E3. FLEXURAL BUCKLING OF MEMBERS WITHOUT SLENDER ELEMENTS</t>
    <phoneticPr fontId="4" type="noConversion"/>
  </si>
  <si>
    <t>(H, Channel, Box, Pipe, T, 2Ls 형상의 Flexural Buckling인 경우)</t>
    <phoneticPr fontId="4" type="noConversion"/>
  </si>
  <si>
    <t>E   =</t>
    <phoneticPr fontId="4" type="noConversion"/>
  </si>
  <si>
    <t>Mpa</t>
    <phoneticPr fontId="4" type="noConversion"/>
  </si>
  <si>
    <t>Fe =</t>
    <phoneticPr fontId="4" type="noConversion"/>
  </si>
  <si>
    <t>(Elastic buckling stress)</t>
    <phoneticPr fontId="4" type="noConversion"/>
  </si>
  <si>
    <t>(Limiting 세장비 for Fy =250Mpa)</t>
    <phoneticPr fontId="4" type="noConversion"/>
  </si>
  <si>
    <t>(Limiting 세장비 for Fy =345Mpa)</t>
    <phoneticPr fontId="4" type="noConversion"/>
  </si>
  <si>
    <t>세장비(λ)에 따른 Critical Stress(Fcr)</t>
    <phoneticPr fontId="4" type="noConversion"/>
  </si>
  <si>
    <t>Fy =</t>
    <phoneticPr fontId="4" type="noConversion"/>
  </si>
  <si>
    <t>λ</t>
    <phoneticPr fontId="4" type="noConversion"/>
  </si>
  <si>
    <t>Fe</t>
    <phoneticPr fontId="4" type="noConversion"/>
  </si>
  <si>
    <r>
      <t>Fy/Fe=</t>
    </r>
    <r>
      <rPr>
        <sz val="9"/>
        <color theme="1"/>
        <rFont val="맑은 고딕"/>
        <family val="3"/>
        <charset val="129"/>
      </rPr>
      <t>α</t>
    </r>
    <phoneticPr fontId="4" type="noConversion"/>
  </si>
  <si>
    <r>
      <t>0.658</t>
    </r>
    <r>
      <rPr>
        <vertAlign val="superscript"/>
        <sz val="9"/>
        <color theme="1"/>
        <rFont val="맑은 고딕"/>
        <family val="3"/>
        <charset val="129"/>
      </rPr>
      <t>α</t>
    </r>
    <phoneticPr fontId="4" type="noConversion"/>
  </si>
  <si>
    <t>Fcr (E3-2)</t>
    <phoneticPr fontId="4" type="noConversion"/>
  </si>
  <si>
    <t>Fcr (E3-3)</t>
    <phoneticPr fontId="4" type="noConversion"/>
  </si>
  <si>
    <t>Pn</t>
    <phoneticPr fontId="4" type="noConversion"/>
  </si>
  <si>
    <t>Ag 는 Section Area</t>
    <phoneticPr fontId="4" type="noConversion"/>
  </si>
  <si>
    <t>세장비(λ)에 따른 Critical Stress(Fcr)</t>
    <phoneticPr fontId="4" type="noConversion"/>
  </si>
  <si>
    <t>Mpa</t>
    <phoneticPr fontId="4" type="noConversion"/>
  </si>
  <si>
    <t>λ</t>
    <phoneticPr fontId="4" type="noConversion"/>
  </si>
  <si>
    <t>Fy/Fe</t>
    <phoneticPr fontId="4" type="noConversion"/>
  </si>
  <si>
    <r>
      <t>0.658</t>
    </r>
    <r>
      <rPr>
        <vertAlign val="superscript"/>
        <sz val="9"/>
        <color theme="1"/>
        <rFont val="맑은 고딕"/>
        <family val="3"/>
        <charset val="129"/>
      </rPr>
      <t>α</t>
    </r>
    <phoneticPr fontId="4" type="noConversion"/>
  </si>
  <si>
    <t>Fcr (E3-2)</t>
    <phoneticPr fontId="4" type="noConversion"/>
  </si>
  <si>
    <t>Fcr (E3-3)</t>
    <phoneticPr fontId="4" type="noConversion"/>
  </si>
  <si>
    <t>Pn</t>
    <phoneticPr fontId="4" type="noConversion"/>
  </si>
  <si>
    <t>Ag 는 Section Area</t>
    <phoneticPr fontId="4" type="noConversion"/>
  </si>
  <si>
    <t>E4. TORSIONAL AND FLEXURAL-TORSIONAL BUCKLING OF SINGLE ANGLES AND MEMBERS</t>
    <phoneticPr fontId="4" type="noConversion"/>
  </si>
  <si>
    <t>WITHOUT SLENDER ELEMENTS</t>
    <phoneticPr fontId="4" type="noConversion"/>
  </si>
  <si>
    <t>(H, Channel, T, 2Ls 형상의 Flexural-Torsional Buckling인 경우)</t>
    <phoneticPr fontId="4" type="noConversion"/>
  </si>
  <si>
    <t>a) For doubly symmetric members(H) twisting about the shear center</t>
    <phoneticPr fontId="4" type="noConversion"/>
  </si>
  <si>
    <t xml:space="preserve">    (Torsional unbraced length가 횡좌굴 길이를 초과할 경우 지배 함.)</t>
    <phoneticPr fontId="4" type="noConversion"/>
  </si>
  <si>
    <t>Mpa</t>
    <phoneticPr fontId="4" type="noConversion"/>
  </si>
  <si>
    <t>H =</t>
    <phoneticPr fontId="4" type="noConversion"/>
  </si>
  <si>
    <t>mm</t>
    <phoneticPr fontId="4" type="noConversion"/>
  </si>
  <si>
    <t>B =</t>
    <phoneticPr fontId="4" type="noConversion"/>
  </si>
  <si>
    <t>tw =</t>
    <phoneticPr fontId="4" type="noConversion"/>
  </si>
  <si>
    <t>mm</t>
    <phoneticPr fontId="4" type="noConversion"/>
  </si>
  <si>
    <t>tf =</t>
    <phoneticPr fontId="4" type="noConversion"/>
  </si>
  <si>
    <t>Cw =</t>
    <phoneticPr fontId="4" type="noConversion"/>
  </si>
  <si>
    <t>mm6</t>
    <phoneticPr fontId="4" type="noConversion"/>
  </si>
  <si>
    <t>for warping constant</t>
    <phoneticPr fontId="4" type="noConversion"/>
  </si>
  <si>
    <t>J=</t>
    <phoneticPr fontId="4" type="noConversion"/>
  </si>
  <si>
    <t>mm4</t>
    <phoneticPr fontId="4" type="noConversion"/>
  </si>
  <si>
    <t>for torsional constant</t>
    <phoneticPr fontId="4" type="noConversion"/>
  </si>
  <si>
    <t>Ix =</t>
    <phoneticPr fontId="4" type="noConversion"/>
  </si>
  <si>
    <t>mm4</t>
    <phoneticPr fontId="4" type="noConversion"/>
  </si>
  <si>
    <t>Iy =</t>
    <phoneticPr fontId="4" type="noConversion"/>
  </si>
  <si>
    <t>Ag =</t>
    <phoneticPr fontId="4" type="noConversion"/>
  </si>
  <si>
    <t>mm2</t>
    <phoneticPr fontId="4" type="noConversion"/>
  </si>
  <si>
    <t>x0=</t>
    <phoneticPr fontId="4" type="noConversion"/>
  </si>
  <si>
    <t>for shear center</t>
    <phoneticPr fontId="4" type="noConversion"/>
  </si>
  <si>
    <t>y0=</t>
    <phoneticPr fontId="4" type="noConversion"/>
  </si>
  <si>
    <t>for shear center</t>
    <phoneticPr fontId="4" type="noConversion"/>
  </si>
  <si>
    <t>rx =</t>
    <phoneticPr fontId="4" type="noConversion"/>
  </si>
  <si>
    <t>mm</t>
    <phoneticPr fontId="4" type="noConversion"/>
  </si>
  <si>
    <t>for radius of gyration</t>
    <phoneticPr fontId="4" type="noConversion"/>
  </si>
  <si>
    <t>ry =</t>
    <phoneticPr fontId="4" type="noConversion"/>
  </si>
  <si>
    <t>for radius of gyration</t>
    <phoneticPr fontId="4" type="noConversion"/>
  </si>
  <si>
    <r>
      <t>ro</t>
    </r>
    <r>
      <rPr>
        <sz val="11"/>
        <color theme="1"/>
        <rFont val="맑은 고딕"/>
        <family val="2"/>
        <charset val="129"/>
        <scheme val="minor"/>
      </rPr>
      <t xml:space="preserve"> =</t>
    </r>
    <phoneticPr fontId="4" type="noConversion"/>
  </si>
  <si>
    <t>for radius of gyration about the shear center</t>
    <phoneticPr fontId="4" type="noConversion"/>
  </si>
  <si>
    <t>Lcx =</t>
    <phoneticPr fontId="4" type="noConversion"/>
  </si>
  <si>
    <t>for effective length</t>
    <phoneticPr fontId="4" type="noConversion"/>
  </si>
  <si>
    <t>λx =</t>
    <phoneticPr fontId="4" type="noConversion"/>
  </si>
  <si>
    <t>Lcy=</t>
    <phoneticPr fontId="4" type="noConversion"/>
  </si>
  <si>
    <t>for effective length</t>
    <phoneticPr fontId="4" type="noConversion"/>
  </si>
  <si>
    <t>λy =</t>
    <phoneticPr fontId="4" type="noConversion"/>
  </si>
  <si>
    <t>Lcz=</t>
    <phoneticPr fontId="4" type="noConversion"/>
  </si>
  <si>
    <t>for effective length for torsional</t>
    <phoneticPr fontId="4" type="noConversion"/>
  </si>
  <si>
    <t>Fex =</t>
    <phoneticPr fontId="4" type="noConversion"/>
  </si>
  <si>
    <t>Fy/Fex=</t>
    <phoneticPr fontId="4" type="noConversion"/>
  </si>
  <si>
    <t>Fcrx=</t>
    <phoneticPr fontId="4" type="noConversion"/>
  </si>
  <si>
    <t>Fey =</t>
    <phoneticPr fontId="4" type="noConversion"/>
  </si>
  <si>
    <t>Fy/Fey=</t>
    <phoneticPr fontId="4" type="noConversion"/>
  </si>
  <si>
    <t>Fcry=</t>
    <phoneticPr fontId="4" type="noConversion"/>
  </si>
  <si>
    <t>Fez=</t>
    <phoneticPr fontId="4" type="noConversion"/>
  </si>
  <si>
    <t>Fy/Fez=</t>
    <phoneticPr fontId="4" type="noConversion"/>
  </si>
  <si>
    <t>Fcrz=</t>
    <phoneticPr fontId="4" type="noConversion"/>
  </si>
  <si>
    <t>ψ=</t>
    <phoneticPr fontId="4" type="noConversion"/>
  </si>
  <si>
    <t>Ω=</t>
    <phoneticPr fontId="4" type="noConversion"/>
  </si>
  <si>
    <t>ψPn =</t>
    <phoneticPr fontId="4" type="noConversion"/>
  </si>
  <si>
    <t>kN</t>
    <phoneticPr fontId="4" type="noConversion"/>
  </si>
  <si>
    <t>=0.9 x Min(Fcrx, Fxry, Fcrz) x Ag</t>
    <phoneticPr fontId="4" type="noConversion"/>
  </si>
  <si>
    <t>비틀림은 torsion이라고 그러고, 뒤틀림은 warping이라고 합니다.</t>
  </si>
  <si>
    <t>Pn/Ω =</t>
    <phoneticPr fontId="4" type="noConversion"/>
  </si>
  <si>
    <t>=1/1.67 x Min(Fcrx, Fxry, Fcrz) x Ag</t>
    <phoneticPr fontId="4" type="noConversion"/>
  </si>
  <si>
    <t>일반적으로 torsion이 일어나면, 축방향(길이방향)으로는 아무런 변위가 일어나지 않습니다. 주로 Closed section에서 그렇지요. 단면이 ㅁ자 모양일때를 생각하시면 됩니다.</t>
  </si>
  <si>
    <t>하지만, warping이 일어나면, 축방향(길이방향)으로 변위가 일어납니다. 즉, 나는 분명 힘을 옆으로 줬는데 90도방향으로도 추가로 변위가 일어나는 거지요. 주로 Open section에서 그렇습니다. 단면이 ㄷ자 모양입니다.</t>
  </si>
  <si>
    <t>Reference</t>
    <phoneticPr fontId="4" type="noConversion"/>
  </si>
  <si>
    <t>​</t>
  </si>
  <si>
    <t>Lcz(mm)</t>
    <phoneticPr fontId="4" type="noConversion"/>
  </si>
  <si>
    <t>이 둘의 차이는 축방향 변위의 유무입니다.</t>
  </si>
  <si>
    <t>Fe(Mpa)</t>
    <phoneticPr fontId="4" type="noConversion"/>
  </si>
  <si>
    <r>
      <t>[출처]</t>
    </r>
    <r>
      <rPr>
        <sz val="8"/>
        <color rgb="FF000000"/>
        <rFont val="Dotum"/>
        <family val="3"/>
      </rPr>
      <t xml:space="preserve"> torsion &amp; warping|</t>
    </r>
    <r>
      <rPr>
        <b/>
        <sz val="8"/>
        <color rgb="FF000000"/>
        <rFont val="Dotum"/>
        <family val="3"/>
      </rPr>
      <t>작성자</t>
    </r>
    <r>
      <rPr>
        <sz val="8"/>
        <color rgb="FF000000"/>
        <rFont val="Dotum"/>
        <family val="3"/>
      </rPr>
      <t xml:space="preserve"> 자유로운방랑자</t>
    </r>
  </si>
  <si>
    <t>CHAPTER E
DESIGN OF MEMBERS FOR COMPRESSION</t>
  </si>
  <si>
    <t>Unit-mm.N</t>
  </si>
  <si>
    <t>MEMBER DIMENSION</t>
  </si>
  <si>
    <t>PROPERTIES</t>
  </si>
  <si>
    <t>CONSTANT</t>
  </si>
  <si>
    <t>UNBRACED LENGTH</t>
  </si>
  <si>
    <t>SLENDERNESS
 RATIO</t>
  </si>
  <si>
    <t>ELASTIC BUCKLING OR TWISTING STRESS</t>
  </si>
  <si>
    <t>CRITICAL STRESS</t>
  </si>
  <si>
    <t>DESIGN
STRENGTH-1</t>
    <phoneticPr fontId="39" type="noConversion"/>
  </si>
  <si>
    <t>RATIO OF REDUCTION AREA OF SLENDER ELEMENT FLANGE (E7.2~E7.5)</t>
    <phoneticPr fontId="39" type="noConversion"/>
  </si>
  <si>
    <t>RATIO OF REDUCTION AREA OF SLENDER ELEMENT WEB  (E7.2~E7.5)</t>
    <phoneticPr fontId="39" type="noConversion"/>
  </si>
  <si>
    <t>DESIGN
STRENGTH-2</t>
    <phoneticPr fontId="39" type="noConversion"/>
  </si>
  <si>
    <t>Shape</t>
  </si>
  <si>
    <t>H (D)</t>
  </si>
  <si>
    <t>B(2L)</t>
  </si>
  <si>
    <t>tw</t>
  </si>
  <si>
    <t>tf</t>
  </si>
  <si>
    <t>Fy</t>
  </si>
  <si>
    <t>Ag</t>
    <phoneticPr fontId="39" type="noConversion"/>
  </si>
  <si>
    <t>Weight
( kg/m)</t>
  </si>
  <si>
    <t>Ix</t>
  </si>
  <si>
    <t>Iy</t>
  </si>
  <si>
    <t>rx</t>
  </si>
  <si>
    <t>ry</t>
  </si>
  <si>
    <t>x0</t>
  </si>
  <si>
    <t>y0</t>
  </si>
  <si>
    <t>ro</t>
  </si>
  <si>
    <t>Cw</t>
  </si>
  <si>
    <t>J</t>
  </si>
  <si>
    <t>H</t>
  </si>
  <si>
    <t>KLx</t>
  </si>
  <si>
    <t>KLy</t>
  </si>
  <si>
    <t>KLz</t>
  </si>
  <si>
    <t>Lcy/rx</t>
  </si>
  <si>
    <t>Lcy/ry</t>
  </si>
  <si>
    <t>Fex
(E3-4)
(E4-5)</t>
  </si>
  <si>
    <t>Fey
(E3-4)
(E4-6)</t>
  </si>
  <si>
    <t>Fez
(E4-7)</t>
  </si>
  <si>
    <t>Fet
(E4-2)</t>
  </si>
  <si>
    <t>Fet
(E4-3)</t>
  </si>
  <si>
    <t>Fe,min
(x,y,t)</t>
  </si>
  <si>
    <t>Fy/Fe
(2.25)</t>
  </si>
  <si>
    <t>Fcr(a)
(&lt;)</t>
  </si>
  <si>
    <t>Fcr(b)
(&gt;)</t>
  </si>
  <si>
    <t>0.9 (Pn=Fcr Ag)</t>
    <phoneticPr fontId="39" type="noConversion"/>
  </si>
  <si>
    <t>c1</t>
    <phoneticPr fontId="39" type="noConversion"/>
  </si>
  <si>
    <t>c2</t>
    <phoneticPr fontId="39" type="noConversion"/>
  </si>
  <si>
    <t>Ratio of 
Reduction Area</t>
    <phoneticPr fontId="39" type="noConversion"/>
  </si>
  <si>
    <t>Ae</t>
    <phoneticPr fontId="39" type="noConversion"/>
  </si>
  <si>
    <t>0.9 (Pn=Fcr Ae)</t>
    <phoneticPr fontId="39" type="noConversion"/>
  </si>
  <si>
    <t>-</t>
  </si>
  <si>
    <t>T</t>
  </si>
  <si>
    <t>C</t>
  </si>
  <si>
    <t>L</t>
  </si>
  <si>
    <t>2L</t>
  </si>
  <si>
    <t>PIPE</t>
  </si>
  <si>
    <t>BOX</t>
  </si>
  <si>
    <t>For Individual Angle or web Angle in Two Dimension Truss(E5-1&amp;2)</t>
  </si>
  <si>
    <t>For Built Up Members(E6-1&amp;2)</t>
  </si>
  <si>
    <t>ra</t>
  </si>
  <si>
    <t>=</t>
  </si>
  <si>
    <t>for radius of gyration about x or y axis</t>
  </si>
  <si>
    <t>a</t>
  </si>
  <si>
    <t>distance between connectors</t>
  </si>
  <si>
    <t>for length between work points</t>
  </si>
  <si>
    <t>ri</t>
  </si>
  <si>
    <t>min. radius of gyration of individual component</t>
  </si>
  <si>
    <t>L/ra</t>
  </si>
  <si>
    <t>a/ri</t>
  </si>
  <si>
    <t>Lc/r</t>
  </si>
  <si>
    <t>for the effective slenderness ratios</t>
  </si>
  <si>
    <t>max. a</t>
  </si>
  <si>
    <t>ri x 40</t>
  </si>
  <si>
    <t>mm</t>
  </si>
  <si>
    <t>(E6-2a)</t>
  </si>
  <si>
    <t xml:space="preserve"> </t>
  </si>
  <si>
    <t>Cw=Warping Constant(mm6)</t>
  </si>
  <si>
    <t>J=Torsional Constant(mm4)</t>
  </si>
  <si>
    <t xml:space="preserve">H.W #1 </t>
    <phoneticPr fontId="4" type="noConversion"/>
  </si>
  <si>
    <t>AISC 360의 Section E3에 따라서 강재 항복강도 Fy=250Mpa, Fy=345Mpa에 대하여 아래 표와 같이 Excel로 작성</t>
    <phoneticPr fontId="4" type="noConversion"/>
  </si>
  <si>
    <t xml:space="preserve">H.W #2 </t>
    <phoneticPr fontId="4" type="noConversion"/>
  </si>
  <si>
    <t>상기 그림과 같이 작성된 도표를 이용하여 다음 조건의 기둥의 압축 설계 강도 ?</t>
    <phoneticPr fontId="4" type="noConversion"/>
  </si>
  <si>
    <t>(Design Example E.1D 참조)</t>
    <phoneticPr fontId="4" type="noConversion"/>
  </si>
  <si>
    <t>Unit- kN.mm</t>
    <phoneticPr fontId="4" type="noConversion"/>
  </si>
  <si>
    <t>부재 형상</t>
    <phoneticPr fontId="4" type="noConversion"/>
  </si>
  <si>
    <t>kLx(S)</t>
    <phoneticPr fontId="4" type="noConversion"/>
  </si>
  <si>
    <t>kLy(W)</t>
    <phoneticPr fontId="4" type="noConversion"/>
  </si>
  <si>
    <t>ψPn</t>
    <phoneticPr fontId="4" type="noConversion"/>
  </si>
  <si>
    <r>
      <t>Pn/</t>
    </r>
    <r>
      <rPr>
        <sz val="11"/>
        <color theme="1"/>
        <rFont val="맑은 고딕"/>
        <family val="3"/>
        <charset val="129"/>
      </rPr>
      <t>ψ</t>
    </r>
    <phoneticPr fontId="4" type="noConversion"/>
  </si>
  <si>
    <t>단위무게</t>
    <phoneticPr fontId="4" type="noConversion"/>
  </si>
  <si>
    <t>H-248 x 249x 8 x 13</t>
    <phoneticPr fontId="4" type="noConversion"/>
  </si>
  <si>
    <t>66kg/m</t>
    <phoneticPr fontId="4" type="noConversion"/>
  </si>
  <si>
    <t>H-248 x 249x 8 x 13</t>
    <phoneticPr fontId="4" type="noConversion"/>
  </si>
  <si>
    <t>H-400 x 200 x 8 x 13</t>
    <phoneticPr fontId="4" type="noConversion"/>
  </si>
  <si>
    <t>66kg/m</t>
    <phoneticPr fontId="4" type="noConversion"/>
  </si>
  <si>
    <t>H-400 x 200 x 8 x 13</t>
    <phoneticPr fontId="4" type="noConversion"/>
  </si>
  <si>
    <t>아래 열거된 5개 부재의 유효 좌굴길이에 대한 설계 강도를 구하시오</t>
    <phoneticPr fontId="4" type="noConversion"/>
  </si>
  <si>
    <t>RATIO OF REDUCTION AREA OF SLENDER ELEMENT FLANGE (E7.2~E7.5)</t>
    <phoneticPr fontId="39" type="noConversion"/>
  </si>
  <si>
    <t>Ag</t>
    <phoneticPr fontId="39" type="noConversion"/>
  </si>
  <si>
    <t>c2</t>
    <phoneticPr fontId="39" type="noConversion"/>
  </si>
  <si>
    <t>c1</t>
    <phoneticPr fontId="39" type="noConversion"/>
  </si>
  <si>
    <t>H</t>
    <phoneticPr fontId="4" type="noConversion"/>
  </si>
  <si>
    <t xml:space="preserve">H.W #2 </t>
    <phoneticPr fontId="4" type="noConversion"/>
  </si>
  <si>
    <t>도면번호(MD1-0-A-201-54-00033)의  MAIN TRUSS(MT1)의 상현재의 설계 강도는 얼마인가요.</t>
    <phoneticPr fontId="4" type="noConversion"/>
  </si>
  <si>
    <t xml:space="preserve">H.W #3 </t>
    <phoneticPr fontId="4" type="noConversion"/>
  </si>
  <si>
    <t>도면번호(MD1-0-A-201-54-00001)에서 건물 그리드 3/B번 C7의 기둥의  상현재의 설계 강도는 얼마인가요.</t>
    <phoneticPr fontId="4" type="noConversion"/>
  </si>
  <si>
    <t>CHAPTER F</t>
    <phoneticPr fontId="4" type="noConversion"/>
  </si>
  <si>
    <t>DESIGN OF MEMBERS FOR FLEXURE</t>
    <phoneticPr fontId="4" type="noConversion"/>
  </si>
  <si>
    <t>F1. GENERAL PROVISIONS</t>
    <phoneticPr fontId="4" type="noConversion"/>
  </si>
  <si>
    <t>(F1-1)</t>
    <phoneticPr fontId="4" type="noConversion"/>
  </si>
  <si>
    <t>Cb =</t>
    <phoneticPr fontId="4" type="noConversion"/>
  </si>
  <si>
    <t>for Lateral torsional buckling modificaiton factor</t>
    <phoneticPr fontId="4" type="noConversion"/>
  </si>
  <si>
    <t>하중 조건</t>
    <phoneticPr fontId="4" type="noConversion"/>
  </si>
  <si>
    <t>Cb</t>
    <phoneticPr fontId="4" type="noConversion"/>
  </si>
  <si>
    <t>Max=</t>
    <phoneticPr fontId="4" type="noConversion"/>
  </si>
  <si>
    <t>N.mm</t>
    <phoneticPr fontId="4" type="noConversion"/>
  </si>
  <si>
    <t>kN.m</t>
    <phoneticPr fontId="4" type="noConversion"/>
  </si>
  <si>
    <t>for absolute value of max. moment</t>
    <phoneticPr fontId="4" type="noConversion"/>
  </si>
  <si>
    <t>단순보의 등분포</t>
    <phoneticPr fontId="4" type="noConversion"/>
  </si>
  <si>
    <t>MA=</t>
    <phoneticPr fontId="4" type="noConversion"/>
  </si>
  <si>
    <t>N.mm</t>
    <phoneticPr fontId="4" type="noConversion"/>
  </si>
  <si>
    <t>for absolute value of moment at 1/4</t>
    <phoneticPr fontId="4" type="noConversion"/>
  </si>
  <si>
    <t>연속보의 등분포</t>
    <phoneticPr fontId="4" type="noConversion"/>
  </si>
  <si>
    <t>MB=</t>
    <phoneticPr fontId="4" type="noConversion"/>
  </si>
  <si>
    <t>for absolute value of moment at 1/2</t>
    <phoneticPr fontId="4" type="noConversion"/>
  </si>
  <si>
    <t>모멘트 하중</t>
    <phoneticPr fontId="4" type="noConversion"/>
  </si>
  <si>
    <t>MC=</t>
    <phoneticPr fontId="4" type="noConversion"/>
  </si>
  <si>
    <t>for absolute value of moment at 3/4</t>
    <phoneticPr fontId="4" type="noConversion"/>
  </si>
  <si>
    <t>연속보 측면하중</t>
    <phoneticPr fontId="4" type="noConversion"/>
  </si>
  <si>
    <t>F2. DOUBLY SYMMETRIC COMPACT H SHAPE MEMBERS AND CHANNEL BEND ABOUT THEIR MAJOR AXIS</t>
    <phoneticPr fontId="4" type="noConversion"/>
  </si>
  <si>
    <t>1. Yielding</t>
    <phoneticPr fontId="4" type="noConversion"/>
  </si>
  <si>
    <t>Mp is plastic moment</t>
    <phoneticPr fontId="4" type="noConversion"/>
  </si>
  <si>
    <t>2. Lateral-Torsional Buckling</t>
    <phoneticPr fontId="4" type="noConversion"/>
  </si>
  <si>
    <t>F3. DOUBLY SYMMETRIC H SHAPE MEMBERS WITH COMPACT WEBS AND</t>
    <phoneticPr fontId="4" type="noConversion"/>
  </si>
  <si>
    <t>NONCOMPACT OR SLENDER FLANGE BENT ABOUT THEIR MAJOR AXIS</t>
    <phoneticPr fontId="4" type="noConversion"/>
  </si>
  <si>
    <t>Width Thickness Ratio</t>
    <phoneticPr fontId="4" type="noConversion"/>
  </si>
  <si>
    <t>Unbraced Length</t>
    <phoneticPr fontId="4" type="noConversion"/>
  </si>
  <si>
    <t>F2</t>
    <phoneticPr fontId="4" type="noConversion"/>
  </si>
  <si>
    <t>Flange=C, Web=C</t>
    <phoneticPr fontId="4" type="noConversion"/>
  </si>
  <si>
    <t xml:space="preserve">  FLANGE 그래프 1 구간</t>
    <phoneticPr fontId="4" type="noConversion"/>
  </si>
  <si>
    <t>UL 그래프 1, 2, 3구간</t>
    <phoneticPr fontId="4" type="noConversion"/>
  </si>
  <si>
    <t>F3</t>
  </si>
  <si>
    <t>Flange=NC,S, Web=C</t>
    <phoneticPr fontId="4" type="noConversion"/>
  </si>
  <si>
    <t>FLANGE 그래프 2,3 구간</t>
    <phoneticPr fontId="4" type="noConversion"/>
  </si>
  <si>
    <t>F4</t>
  </si>
  <si>
    <t>Flange=C,NC,S, Web=C,NC</t>
    <phoneticPr fontId="4" type="noConversion"/>
  </si>
  <si>
    <t>FLANGE 그래프 1,2,3 구간</t>
    <phoneticPr fontId="4" type="noConversion"/>
  </si>
  <si>
    <t>F5</t>
  </si>
  <si>
    <t>Flange=C,NC,S, Web=S</t>
    <phoneticPr fontId="4" type="noConversion"/>
  </si>
  <si>
    <t xml:space="preserve"> 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</si>
</sst>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1" formatCode="_-* #,##0_-;\-* #,##0_-;_-* &quot;-&quot;_-;_-@_-"/>
    <numFmt numFmtId="176" formatCode="&quot;Fy=&quot;0&quot;Mpa&quot;"/>
    <numFmt numFmtId="177" formatCode="0.0"/>
    <numFmt numFmtId="178" formatCode="0&quot;Ag&quot;"/>
    <numFmt numFmtId="179" formatCode="0_ "/>
    <numFmt numFmtId="180" formatCode="0.000_ "/>
    <numFmt numFmtId="181" formatCode="0.0_ "/>
    <numFmt numFmtId="182" formatCode="0.00_ "/>
    <numFmt numFmtId="183" formatCode="_-* #,##0_-;\-* #,##0_-;_-* &quot;-&quot;??_-;_-@_-"/>
    <numFmt numFmtId="184" formatCode="0.000"/>
    <numFmt numFmtId="185" formatCode="0.0&quot; kN&quot;"/>
    <numFmt numFmtId="186" formatCode="mm&quot;월&quot;\ dd&quot;일&quot;"/>
  </numFmts>
  <fonts count="55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</font>
    <font>
      <sz val="11"/>
      <color theme="1"/>
      <name val="맑은 고딕"/>
      <family val="3"/>
      <charset val="129"/>
    </font>
    <font>
      <sz val="11"/>
      <color theme="1"/>
      <name val="맑은 고딕"/>
      <family val="2"/>
      <charset val="129"/>
    </font>
    <font>
      <sz val="9"/>
      <color theme="1"/>
      <name val="맑은 고딕"/>
      <family val="3"/>
      <charset val="129"/>
      <scheme val="minor"/>
    </font>
    <font>
      <sz val="9"/>
      <color theme="1"/>
      <name val="HY신명조"/>
      <family val="1"/>
      <charset val="129"/>
    </font>
    <font>
      <sz val="8"/>
      <color theme="1"/>
      <name val="맑은 고딕"/>
      <family val="3"/>
      <charset val="129"/>
      <scheme val="minor"/>
    </font>
    <font>
      <vertAlign val="superscript"/>
      <sz val="9"/>
      <color theme="1"/>
      <name val="맑은 고딕"/>
      <family val="3"/>
      <charset val="129"/>
    </font>
    <font>
      <sz val="6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9"/>
      <color theme="1"/>
      <name val="궁서"/>
      <family val="1"/>
      <charset val="129"/>
    </font>
    <font>
      <sz val="8"/>
      <color rgb="FF0000FF"/>
      <name val="맑은 고딕"/>
      <family val="2"/>
      <charset val="129"/>
      <scheme val="minor"/>
    </font>
    <font>
      <sz val="8"/>
      <color theme="1"/>
      <name val="맑은 고딕"/>
      <family val="2"/>
      <charset val="129"/>
      <scheme val="minor"/>
    </font>
    <font>
      <sz val="6"/>
      <color theme="1"/>
      <name val="맑은 고딕"/>
      <family val="2"/>
      <charset val="129"/>
      <scheme val="minor"/>
    </font>
    <font>
      <sz val="7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</font>
    <font>
      <sz val="8"/>
      <color rgb="FF000000"/>
      <name val="맑은 고딕"/>
      <family val="3"/>
      <charset val="129"/>
      <scheme val="minor"/>
    </font>
    <font>
      <sz val="11"/>
      <color theme="0" tint="-0.499984740745262"/>
      <name val="맑은 고딕"/>
      <family val="2"/>
      <charset val="129"/>
      <scheme val="minor"/>
    </font>
    <font>
      <sz val="8"/>
      <color theme="0" tint="-0.499984740745262"/>
      <name val="맑은 고딕"/>
      <family val="2"/>
      <charset val="129"/>
      <scheme val="minor"/>
    </font>
    <font>
      <sz val="9"/>
      <color theme="0" tint="-0.499984740745262"/>
      <name val="맑은 고딕"/>
      <family val="2"/>
      <charset val="129"/>
      <scheme val="minor"/>
    </font>
    <font>
      <sz val="10"/>
      <color theme="0" tint="-0.499984740745262"/>
      <name val="맑은 고딕"/>
      <family val="2"/>
      <charset val="129"/>
      <scheme val="minor"/>
    </font>
    <font>
      <sz val="6"/>
      <color theme="0" tint="-0.499984740745262"/>
      <name val="맑은 고딕"/>
      <family val="3"/>
      <charset val="129"/>
      <scheme val="minor"/>
    </font>
    <font>
      <sz val="8"/>
      <color theme="0" tint="-0.499984740745262"/>
      <name val="맑은 고딕"/>
      <family val="3"/>
      <charset val="129"/>
      <scheme val="minor"/>
    </font>
    <font>
      <b/>
      <sz val="8"/>
      <color rgb="FF000000"/>
      <name val="Dotum"/>
      <family val="3"/>
    </font>
    <font>
      <sz val="8"/>
      <color rgb="FF000000"/>
      <name val="Dotum"/>
      <family val="3"/>
    </font>
    <font>
      <sz val="11"/>
      <color theme="0" tint="-0.499984740745262"/>
      <name val="맑은 고딕"/>
      <family val="3"/>
      <charset val="129"/>
      <scheme val="minor"/>
    </font>
    <font>
      <sz val="9"/>
      <color theme="0" tint="-0.499984740745262"/>
      <name val="맑은 고딕"/>
      <family val="3"/>
      <charset val="129"/>
      <scheme val="minor"/>
    </font>
    <font>
      <b/>
      <sz val="24"/>
      <color rgb="FF000000"/>
      <name val="돋움"/>
      <family val="3"/>
      <charset val="129"/>
    </font>
    <font>
      <sz val="9"/>
      <color rgb="FF000000"/>
      <name val="돋움"/>
      <family val="3"/>
      <charset val="129"/>
    </font>
    <font>
      <b/>
      <sz val="20"/>
      <color rgb="FF000000"/>
      <name val="돋움"/>
      <family val="3"/>
      <charset val="129"/>
    </font>
    <font>
      <sz val="20"/>
      <color rgb="FF000000"/>
      <name val="돋움"/>
      <family val="3"/>
      <charset val="129"/>
    </font>
    <font>
      <sz val="8"/>
      <name val="돋움"/>
      <family val="3"/>
      <charset val="129"/>
    </font>
    <font>
      <sz val="16"/>
      <color rgb="FF000000"/>
      <name val="돋움"/>
      <family val="3"/>
      <charset val="129"/>
    </font>
    <font>
      <sz val="14"/>
      <color rgb="FF000000"/>
      <name val="돋움"/>
      <family val="3"/>
      <charset val="129"/>
    </font>
    <font>
      <sz val="20"/>
      <color rgb="FF000000"/>
      <name val="맑은 고딕"/>
      <family val="3"/>
      <charset val="129"/>
    </font>
    <font>
      <sz val="20"/>
      <color rgb="FF0000FF"/>
      <name val="돋움"/>
      <family val="3"/>
      <charset val="129"/>
    </font>
    <font>
      <sz val="18"/>
      <color rgb="FF000000"/>
      <name val="돋움"/>
      <family val="3"/>
      <charset val="129"/>
    </font>
    <font>
      <sz val="20"/>
      <name val="돋움"/>
      <family val="3"/>
      <charset val="129"/>
    </font>
    <font>
      <i/>
      <sz val="20"/>
      <color rgb="FF0000FF"/>
      <name val="돋움"/>
      <family val="3"/>
      <charset val="129"/>
    </font>
    <font>
      <b/>
      <sz val="14"/>
      <color rgb="FF000000"/>
      <name val="돋움"/>
      <family val="3"/>
      <charset val="129"/>
    </font>
    <font>
      <sz val="11"/>
      <color rgb="FF0000FF"/>
      <name val="맑은 고딕"/>
      <family val="2"/>
      <charset val="129"/>
      <scheme val="minor"/>
    </font>
    <font>
      <sz val="22"/>
      <color theme="1"/>
      <name val="맑은 고딕"/>
      <family val="2"/>
      <charset val="129"/>
      <scheme val="minor"/>
    </font>
    <font>
      <sz val="26"/>
      <color theme="1"/>
      <name val="맑은 고딕"/>
      <family val="2"/>
      <charset val="129"/>
      <scheme val="minor"/>
    </font>
    <font>
      <sz val="26"/>
      <color theme="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FF"/>
      </patternFill>
    </fill>
    <fill>
      <patternFill patternType="solid">
        <fgColor rgb="FFFFE7D8"/>
      </patternFill>
    </fill>
    <fill>
      <patternFill patternType="solid">
        <fgColor rgb="FF9BE5C8"/>
      </patternFill>
    </fill>
    <fill>
      <patternFill patternType="solid">
        <fgColor rgb="FFFFCCFF"/>
        <bgColor indexed="64"/>
      </patternFill>
    </fill>
    <fill>
      <patternFill patternType="solid">
        <fgColor rgb="FFFFF7CC"/>
      </patternFill>
    </fill>
    <fill>
      <patternFill patternType="solid">
        <fgColor theme="0" tint="-0.249977111117893"/>
        <bgColor indexed="64"/>
      </patternFill>
    </fill>
  </fills>
  <borders count="87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 diagonalUp="1" diagonalDown="1">
      <left style="medium">
        <color indexed="64"/>
      </left>
      <right/>
      <top style="medium">
        <color indexed="64"/>
      </top>
      <bottom style="medium">
        <color indexed="64"/>
      </bottom>
      <diagonal/>
    </border>
    <border diagonalUp="1" diagonalDown="1">
      <left/>
      <right/>
      <top style="medium">
        <color indexed="64"/>
      </top>
      <bottom style="medium">
        <color indexed="64"/>
      </bottom>
      <diagonal/>
    </border>
    <border diagonalUp="1" diagonalDown="1">
      <left/>
      <right style="medium">
        <color indexed="64"/>
      </right>
      <top style="medium">
        <color indexed="64"/>
      </top>
      <bottom style="medium">
        <color indexed="64"/>
      </bottom>
      <diagonal/>
    </border>
    <border diagonalUp="1" diagonalDown="1"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 diagonalUp="1" diagonalDown="1">
      <left style="medium">
        <color indexed="64"/>
      </left>
      <right style="thin">
        <color indexed="64"/>
      </right>
      <top style="medium">
        <color indexed="64"/>
      </top>
      <bottom/>
      <diagonal/>
    </border>
    <border diagonalUp="1" diagonalDown="1">
      <left style="thin">
        <color indexed="64"/>
      </left>
      <right style="thin">
        <color indexed="64"/>
      </right>
      <top style="medium">
        <color indexed="64"/>
      </top>
      <bottom/>
      <diagonal/>
    </border>
    <border diagonalUp="1" diagonalDown="1">
      <left style="thin">
        <color indexed="64"/>
      </left>
      <right style="medium">
        <color indexed="64"/>
      </right>
      <top style="medium">
        <color indexed="64"/>
      </top>
      <bottom/>
      <diagonal/>
    </border>
    <border diagonalUp="1" diagonalDown="1">
      <left/>
      <right style="thin">
        <color indexed="64"/>
      </right>
      <top style="medium">
        <color indexed="64"/>
      </top>
      <bottom style="medium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 diagonalUp="1" diagonalDown="1">
      <left style="thin">
        <color indexed="64"/>
      </left>
      <right/>
      <top style="medium">
        <color indexed="64"/>
      </top>
      <bottom style="medium">
        <color indexed="64"/>
      </bottom>
      <diagonal/>
    </border>
    <border diagonalUp="1" diagonalDown="1"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 diagonalUp="1" diagonalDown="1"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 diagonalUp="1" diagonalDown="1"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medium">
        <color indexed="64"/>
      </left>
      <right/>
      <top/>
      <bottom style="thin">
        <color indexed="64"/>
      </bottom>
      <diagonal/>
    </border>
    <border diagonalUp="1" diagonalDown="1"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 diagonalUp="1" diagonalDown="1">
      <left/>
      <right style="thin">
        <color indexed="64"/>
      </right>
      <top/>
      <bottom style="thin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 diagonalUp="1" diagonalDown="1"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Up="1" diagonalDown="1">
      <left style="thin">
        <color indexed="64"/>
      </left>
      <right/>
      <top/>
      <bottom style="thin">
        <color indexed="64"/>
      </bottom>
      <diagonal/>
    </border>
    <border diagonalUp="1" diagonalDown="1"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 diagonalUp="1" diagonalDown="1">
      <left style="thin">
        <color indexed="64"/>
      </left>
      <right/>
      <top style="medium">
        <color indexed="64"/>
      </top>
      <bottom style="thin">
        <color indexed="64"/>
      </bottom>
      <diagonal/>
    </border>
    <border diagonalUp="1" diagonalDown="1"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 diagonalUp="1" diagonalDown="1">
      <left style="thin">
        <color indexed="64"/>
      </left>
      <right style="medium">
        <color indexed="64"/>
      </right>
      <top/>
      <bottom style="thin">
        <color indexed="64"/>
      </bottom>
      <diagonal/>
    </border>
    <border diagonalUp="1" diagonalDown="1">
      <left style="thin">
        <color indexed="64"/>
      </left>
      <right/>
      <top style="medium">
        <color indexed="64"/>
      </top>
      <bottom/>
      <diagonal/>
    </border>
    <border diagonalUp="1" diagonalDown="1">
      <left/>
      <right style="medium">
        <color indexed="64"/>
      </right>
      <top style="medium">
        <color indexed="64"/>
      </top>
      <bottom style="thin">
        <color indexed="64"/>
      </bottom>
      <diagonal/>
    </border>
    <border diagonalUp="1" diagonalDown="1"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 diagonalUp="1" diagonalDown="1">
      <left style="medium">
        <color indexed="64"/>
      </left>
      <right/>
      <top style="thin">
        <color indexed="64"/>
      </top>
      <bottom style="thin">
        <color indexed="64"/>
      </bottom>
      <diagonal/>
    </border>
    <border diagonalUp="1" diagonalDown="1">
      <left/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thin">
        <color indexed="64"/>
      </left>
      <right/>
      <top style="thin">
        <color indexed="64"/>
      </top>
      <bottom style="thin">
        <color indexed="64"/>
      </bottom>
      <diagonal/>
    </border>
    <border diagonalUp="1" diagonalDown="1"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/>
      <diagonal/>
    </border>
    <border diagonalUp="1" diagonalDown="1">
      <left style="thin">
        <color indexed="64"/>
      </left>
      <right/>
      <top style="thin">
        <color indexed="64"/>
      </top>
      <bottom/>
      <diagonal/>
    </border>
    <border diagonalUp="1" diagonalDown="1">
      <left style="medium">
        <color indexed="64"/>
      </left>
      <right style="thin">
        <color indexed="64"/>
      </right>
      <top style="thin">
        <color indexed="64"/>
      </top>
      <bottom/>
      <diagonal/>
    </border>
    <border diagonalUp="1" diagonalDown="1">
      <left style="thin">
        <color indexed="64"/>
      </left>
      <right style="medium">
        <color indexed="64"/>
      </right>
      <top style="thin">
        <color indexed="64"/>
      </top>
      <bottom/>
      <diagonal/>
    </border>
    <border diagonalUp="1" diagonalDown="1">
      <left/>
      <right style="thin">
        <color indexed="64"/>
      </right>
      <top style="thin">
        <color indexed="64"/>
      </top>
      <bottom/>
      <diagonal/>
    </border>
    <border diagonalUp="1" diagonalDown="1">
      <left/>
      <right style="medium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medium">
        <color indexed="64"/>
      </left>
      <right/>
      <top style="thin">
        <color indexed="64"/>
      </top>
      <bottom style="medium">
        <color indexed="64"/>
      </bottom>
      <diagonal/>
    </border>
    <border diagonalUp="1" diagonalDown="1"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 diagonalUp="1" diagonalDown="1">
      <left/>
      <right style="thin">
        <color indexed="64"/>
      </right>
      <top style="thin">
        <color indexed="64"/>
      </top>
      <bottom style="medium">
        <color indexed="64"/>
      </bottom>
      <diagonal/>
    </border>
    <border diagonalUp="1" diagonalDown="1"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 diagonalUp="1" diagonalDown="1"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 diagonalUp="1" diagonalDown="1">
      <left/>
      <right style="medium">
        <color indexed="64"/>
      </right>
      <top style="thin">
        <color indexed="64"/>
      </top>
      <bottom style="medium">
        <color indexed="64"/>
      </bottom>
      <diagonal/>
    </border>
    <border diagonalUp="1" diagonalDown="1"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 diagonalUp="1" diagonalDown="1">
      <left style="medium">
        <color indexed="64"/>
      </left>
      <right/>
      <top style="medium">
        <color indexed="64"/>
      </top>
      <bottom/>
      <diagonal/>
    </border>
    <border diagonalUp="1" diagonalDown="1">
      <left/>
      <right/>
      <top style="medium">
        <color indexed="64"/>
      </top>
      <bottom/>
      <diagonal/>
    </border>
    <border diagonalUp="1" diagonalDown="1">
      <left/>
      <right style="medium">
        <color indexed="64"/>
      </right>
      <top style="medium">
        <color indexed="64"/>
      </top>
      <bottom/>
      <diagonal/>
    </border>
    <border diagonalUp="1" diagonalDown="1">
      <left style="medium">
        <color indexed="64"/>
      </left>
      <right/>
      <top/>
      <bottom/>
      <diagonal/>
    </border>
    <border diagonalUp="1" diagonalDown="1">
      <left/>
      <right style="medium">
        <color indexed="64"/>
      </right>
      <top/>
      <bottom/>
      <diagonal/>
    </border>
    <border diagonalUp="1" diagonalDown="1">
      <left style="medium">
        <color indexed="64"/>
      </left>
      <right/>
      <top/>
      <bottom style="medium">
        <color indexed="64"/>
      </bottom>
      <diagonal/>
    </border>
    <border diagonalUp="1" diagonalDown="1">
      <left/>
      <right/>
      <top/>
      <bottom style="medium">
        <color indexed="64"/>
      </bottom>
      <diagonal/>
    </border>
    <border diagonalUp="1" diagonalDown="1"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 diagonalUp="1" diagonalDown="1"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 diagonalUp="1" diagonalDown="1">
      <left/>
      <right style="medium">
        <color indexed="64"/>
      </right>
      <top/>
      <bottom style="thin">
        <color indexed="64"/>
      </bottom>
      <diagonal/>
    </border>
    <border diagonalUp="1" diagonalDown="1"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2" borderId="1" applyNumberFormat="0" applyAlignment="0" applyProtection="0">
      <alignment vertical="center"/>
    </xf>
  </cellStyleXfs>
  <cellXfs count="412">
    <xf numFmtId="0" fontId="0" fillId="0" borderId="0" xfId="0">
      <alignment vertical="center"/>
    </xf>
    <xf numFmtId="0" fontId="3" fillId="3" borderId="0" xfId="0" applyFont="1" applyFill="1" applyAlignment="1">
      <alignment horizontal="left" vertical="center"/>
    </xf>
    <xf numFmtId="3" fontId="3" fillId="3" borderId="0" xfId="0" applyNumberFormat="1" applyFont="1" applyFill="1" applyAlignment="1">
      <alignment horizontal="center" vertical="center"/>
    </xf>
    <xf numFmtId="0" fontId="3" fillId="3" borderId="0" xfId="0" applyFont="1" applyFill="1">
      <alignment vertical="center"/>
    </xf>
    <xf numFmtId="0" fontId="0" fillId="3" borderId="0" xfId="0" applyFill="1">
      <alignment vertical="center"/>
    </xf>
    <xf numFmtId="0" fontId="5" fillId="3" borderId="0" xfId="0" applyFont="1" applyFill="1">
      <alignment vertical="center"/>
    </xf>
    <xf numFmtId="0" fontId="6" fillId="3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12" fillId="3" borderId="4" xfId="0" applyFont="1" applyFill="1" applyBorder="1" applyAlignment="1">
      <alignment horizontal="center" vertical="center"/>
    </xf>
    <xf numFmtId="176" fontId="0" fillId="3" borderId="2" xfId="0" applyNumberFormat="1" applyFill="1" applyBorder="1" applyAlignment="1">
      <alignment horizontal="center" vertical="center"/>
    </xf>
    <xf numFmtId="0" fontId="0" fillId="3" borderId="2" xfId="0" applyFill="1" applyBorder="1" applyAlignment="1">
      <alignment horizontal="left" vertical="center" wrapText="1"/>
    </xf>
    <xf numFmtId="0" fontId="0" fillId="3" borderId="2" xfId="0" applyFill="1" applyBorder="1" applyAlignment="1">
      <alignment horizontal="left" vertical="center"/>
    </xf>
    <xf numFmtId="0" fontId="0" fillId="3" borderId="2" xfId="0" applyFill="1" applyBorder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177" fontId="0" fillId="3" borderId="2" xfId="0" applyNumberFormat="1" applyFill="1" applyBorder="1" applyAlignment="1">
      <alignment horizontal="center" vertical="center"/>
    </xf>
    <xf numFmtId="177" fontId="0" fillId="3" borderId="5" xfId="0" applyNumberFormat="1" applyFill="1" applyBorder="1" applyAlignment="1">
      <alignment horizontal="center" vertical="center"/>
    </xf>
    <xf numFmtId="177" fontId="0" fillId="3" borderId="6" xfId="0" applyNumberFormat="1" applyFill="1" applyBorder="1" applyAlignment="1">
      <alignment horizontal="center" vertical="center"/>
    </xf>
    <xf numFmtId="2" fontId="0" fillId="3" borderId="2" xfId="0" applyNumberFormat="1" applyFill="1" applyBorder="1" applyAlignment="1">
      <alignment horizontal="center" vertical="center"/>
    </xf>
    <xf numFmtId="0" fontId="13" fillId="3" borderId="0" xfId="0" applyFont="1" applyFill="1">
      <alignment vertical="center"/>
    </xf>
    <xf numFmtId="0" fontId="0" fillId="4" borderId="0" xfId="0" applyFill="1">
      <alignment vertical="center"/>
    </xf>
    <xf numFmtId="0" fontId="5" fillId="3" borderId="0" xfId="0" applyFont="1" applyFill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0" fontId="0" fillId="3" borderId="0" xfId="0" applyFill="1" applyAlignment="1">
      <alignment horizontal="right" vertical="center"/>
    </xf>
    <xf numFmtId="0" fontId="0" fillId="3" borderId="0" xfId="0" applyFill="1" applyAlignment="1">
      <alignment horizontal="left" vertical="center"/>
    </xf>
    <xf numFmtId="0" fontId="6" fillId="3" borderId="0" xfId="0" applyFont="1" applyFill="1" applyAlignment="1">
      <alignment horizontal="left" vertical="center"/>
    </xf>
    <xf numFmtId="3" fontId="12" fillId="5" borderId="2" xfId="0" applyNumberFormat="1" applyFont="1" applyFill="1" applyBorder="1">
      <alignment vertical="center"/>
    </xf>
    <xf numFmtId="0" fontId="12" fillId="3" borderId="0" xfId="0" applyFont="1" applyFill="1">
      <alignment vertical="center"/>
    </xf>
    <xf numFmtId="0" fontId="14" fillId="3" borderId="0" xfId="0" applyFont="1" applyFill="1">
      <alignment vertical="center"/>
    </xf>
    <xf numFmtId="0" fontId="12" fillId="3" borderId="0" xfId="0" applyFont="1" applyFill="1" applyAlignment="1">
      <alignment horizontal="left" vertical="center"/>
    </xf>
    <xf numFmtId="1" fontId="12" fillId="5" borderId="2" xfId="0" applyNumberFormat="1" applyFont="1" applyFill="1" applyBorder="1">
      <alignment vertical="center"/>
    </xf>
    <xf numFmtId="0" fontId="12" fillId="3" borderId="0" xfId="0" applyFont="1" applyFill="1" applyAlignment="1">
      <alignment horizontal="center" vertical="center"/>
    </xf>
    <xf numFmtId="0" fontId="12" fillId="3" borderId="0" xfId="0" applyFont="1" applyFill="1" applyAlignment="1">
      <alignment horizontal="right" vertical="center"/>
    </xf>
    <xf numFmtId="0" fontId="12" fillId="5" borderId="2" xfId="0" applyFont="1" applyFill="1" applyBorder="1" applyAlignment="1">
      <alignment horizontal="right" vertical="center"/>
    </xf>
    <xf numFmtId="0" fontId="9" fillId="5" borderId="2" xfId="0" applyFont="1" applyFill="1" applyBorder="1" applyAlignment="1">
      <alignment horizontal="center" vertical="center"/>
    </xf>
    <xf numFmtId="0" fontId="12" fillId="5" borderId="2" xfId="0" applyFont="1" applyFill="1" applyBorder="1" applyAlignment="1">
      <alignment horizontal="center" vertical="center"/>
    </xf>
    <xf numFmtId="0" fontId="12" fillId="3" borderId="2" xfId="0" applyFont="1" applyFill="1" applyBorder="1" applyAlignment="1">
      <alignment horizontal="center" vertical="center"/>
    </xf>
    <xf numFmtId="1" fontId="12" fillId="3" borderId="2" xfId="0" applyNumberFormat="1" applyFont="1" applyFill="1" applyBorder="1" applyAlignment="1">
      <alignment horizontal="center" vertical="center"/>
    </xf>
    <xf numFmtId="2" fontId="16" fillId="3" borderId="2" xfId="0" applyNumberFormat="1" applyFont="1" applyFill="1" applyBorder="1" applyAlignment="1">
      <alignment horizontal="center" vertical="center"/>
    </xf>
    <xf numFmtId="1" fontId="16" fillId="3" borderId="2" xfId="0" applyNumberFormat="1" applyFont="1" applyFill="1" applyBorder="1" applyAlignment="1">
      <alignment horizontal="center" vertical="center"/>
    </xf>
    <xf numFmtId="178" fontId="12" fillId="3" borderId="2" xfId="0" applyNumberFormat="1" applyFont="1" applyFill="1" applyBorder="1" applyAlignment="1">
      <alignment horizontal="center" vertical="center"/>
    </xf>
    <xf numFmtId="1" fontId="17" fillId="3" borderId="2" xfId="0" applyNumberFormat="1" applyFont="1" applyFill="1" applyBorder="1" applyAlignment="1">
      <alignment horizontal="center" vertical="center"/>
    </xf>
    <xf numFmtId="0" fontId="12" fillId="6" borderId="2" xfId="0" applyFont="1" applyFill="1" applyBorder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18" fillId="3" borderId="0" xfId="0" applyFont="1" applyFill="1">
      <alignment vertical="center"/>
    </xf>
    <xf numFmtId="0" fontId="19" fillId="7" borderId="2" xfId="0" applyFont="1" applyFill="1" applyBorder="1" applyAlignment="1">
      <alignment vertical="center"/>
    </xf>
    <xf numFmtId="0" fontId="6" fillId="3" borderId="0" xfId="0" applyFont="1" applyFill="1">
      <alignment vertical="center"/>
    </xf>
    <xf numFmtId="0" fontId="14" fillId="3" borderId="2" xfId="0" applyFont="1" applyFill="1" applyBorder="1" applyAlignment="1">
      <alignment horizontal="center" vertical="center"/>
    </xf>
    <xf numFmtId="0" fontId="14" fillId="3" borderId="0" xfId="0" applyFont="1" applyFill="1" applyAlignment="1">
      <alignment horizontal="left" vertical="center"/>
    </xf>
    <xf numFmtId="0" fontId="3" fillId="3" borderId="0" xfId="0" applyFont="1" applyFill="1" applyAlignment="1">
      <alignment horizontal="center" vertical="center"/>
    </xf>
    <xf numFmtId="41" fontId="5" fillId="3" borderId="0" xfId="1" applyFont="1" applyFill="1" applyAlignment="1">
      <alignment horizontal="center" vertical="center"/>
    </xf>
    <xf numFmtId="179" fontId="20" fillId="0" borderId="2" xfId="0" applyNumberFormat="1" applyFont="1" applyFill="1" applyBorder="1" applyAlignment="1">
      <alignment vertical="center"/>
    </xf>
    <xf numFmtId="41" fontId="21" fillId="0" borderId="2" xfId="1" applyFont="1" applyFill="1" applyBorder="1" applyAlignment="1">
      <alignment vertical="center"/>
    </xf>
    <xf numFmtId="41" fontId="22" fillId="0" borderId="2" xfId="1" applyFont="1" applyFill="1" applyBorder="1" applyAlignment="1">
      <alignment vertical="center"/>
    </xf>
    <xf numFmtId="41" fontId="21" fillId="3" borderId="0" xfId="0" applyNumberFormat="1" applyFont="1" applyFill="1" applyAlignment="1">
      <alignment vertical="center"/>
    </xf>
    <xf numFmtId="180" fontId="20" fillId="3" borderId="0" xfId="0" applyNumberFormat="1" applyFont="1" applyFill="1" applyBorder="1" applyAlignment="1">
      <alignment vertical="center"/>
    </xf>
    <xf numFmtId="0" fontId="6" fillId="3" borderId="0" xfId="0" quotePrefix="1" applyFont="1" applyFill="1">
      <alignment vertical="center"/>
    </xf>
    <xf numFmtId="0" fontId="20" fillId="3" borderId="0" xfId="0" applyFont="1" applyFill="1">
      <alignment vertical="center"/>
    </xf>
    <xf numFmtId="0" fontId="0" fillId="3" borderId="0" xfId="0" applyFill="1" applyBorder="1">
      <alignment vertical="center"/>
    </xf>
    <xf numFmtId="179" fontId="20" fillId="5" borderId="2" xfId="0" applyNumberFormat="1" applyFont="1" applyFill="1" applyBorder="1" applyAlignment="1">
      <alignment vertical="center"/>
    </xf>
    <xf numFmtId="0" fontId="23" fillId="3" borderId="0" xfId="0" applyFont="1" applyFill="1" applyAlignment="1">
      <alignment horizontal="center" vertical="center"/>
    </xf>
    <xf numFmtId="177" fontId="20" fillId="3" borderId="2" xfId="0" applyNumberFormat="1" applyFont="1" applyFill="1" applyBorder="1">
      <alignment vertical="center"/>
    </xf>
    <xf numFmtId="0" fontId="7" fillId="3" borderId="0" xfId="0" applyFont="1" applyFill="1">
      <alignment vertical="center"/>
    </xf>
    <xf numFmtId="2" fontId="20" fillId="3" borderId="2" xfId="0" applyNumberFormat="1" applyFont="1" applyFill="1" applyBorder="1">
      <alignment vertical="center"/>
    </xf>
    <xf numFmtId="0" fontId="7" fillId="3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23" fillId="3" borderId="0" xfId="0" applyFont="1" applyFill="1">
      <alignment vertical="center"/>
    </xf>
    <xf numFmtId="181" fontId="8" fillId="3" borderId="0" xfId="0" applyNumberFormat="1" applyFont="1" applyFill="1" applyBorder="1" applyAlignment="1">
      <alignment vertical="center"/>
    </xf>
    <xf numFmtId="177" fontId="8" fillId="3" borderId="0" xfId="0" applyNumberFormat="1" applyFont="1" applyFill="1" applyBorder="1">
      <alignment vertical="center"/>
    </xf>
    <xf numFmtId="182" fontId="8" fillId="3" borderId="0" xfId="0" applyNumberFormat="1" applyFont="1" applyFill="1" applyBorder="1" applyAlignment="1">
      <alignment vertical="center"/>
    </xf>
    <xf numFmtId="41" fontId="8" fillId="5" borderId="0" xfId="1" applyFont="1" applyFill="1" applyBorder="1" applyAlignment="1">
      <alignment vertical="center"/>
    </xf>
    <xf numFmtId="0" fontId="8" fillId="3" borderId="0" xfId="0" quotePrefix="1" applyFont="1" applyFill="1">
      <alignment vertical="center"/>
    </xf>
    <xf numFmtId="177" fontId="12" fillId="3" borderId="0" xfId="0" applyNumberFormat="1" applyFont="1" applyFill="1" applyBorder="1">
      <alignment vertical="center"/>
    </xf>
    <xf numFmtId="0" fontId="24" fillId="4" borderId="7" xfId="0" applyFont="1" applyFill="1" applyBorder="1" applyAlignment="1">
      <alignment horizontal="left" vertical="center"/>
    </xf>
    <xf numFmtId="0" fontId="20" fillId="4" borderId="8" xfId="0" applyFont="1" applyFill="1" applyBorder="1">
      <alignment vertical="center"/>
    </xf>
    <xf numFmtId="0" fontId="0" fillId="4" borderId="8" xfId="0" applyFill="1" applyBorder="1">
      <alignment vertical="center"/>
    </xf>
    <xf numFmtId="0" fontId="0" fillId="4" borderId="9" xfId="0" applyFill="1" applyBorder="1">
      <alignment vertical="center"/>
    </xf>
    <xf numFmtId="0" fontId="12" fillId="3" borderId="0" xfId="0" quotePrefix="1" applyFont="1" applyFill="1">
      <alignment vertical="center"/>
    </xf>
    <xf numFmtId="0" fontId="24" fillId="4" borderId="10" xfId="0" applyFont="1" applyFill="1" applyBorder="1" applyAlignment="1">
      <alignment horizontal="left" vertical="center"/>
    </xf>
    <xf numFmtId="0" fontId="20" fillId="4" borderId="0" xfId="0" applyFont="1" applyFill="1" applyBorder="1">
      <alignment vertical="center"/>
    </xf>
    <xf numFmtId="0" fontId="0" fillId="4" borderId="0" xfId="0" applyFill="1" applyBorder="1">
      <alignment vertical="center"/>
    </xf>
    <xf numFmtId="0" fontId="0" fillId="4" borderId="11" xfId="0" applyFill="1" applyBorder="1">
      <alignment vertical="center"/>
    </xf>
    <xf numFmtId="0" fontId="25" fillId="3" borderId="0" xfId="0" applyFont="1" applyFill="1">
      <alignment vertical="center"/>
    </xf>
    <xf numFmtId="179" fontId="26" fillId="0" borderId="0" xfId="0" applyNumberFormat="1" applyFont="1" applyFill="1" applyBorder="1" applyAlignment="1">
      <alignment horizontal="center" vertical="center"/>
    </xf>
    <xf numFmtId="0" fontId="27" fillId="3" borderId="0" xfId="0" applyFont="1" applyFill="1">
      <alignment vertical="center"/>
    </xf>
    <xf numFmtId="0" fontId="28" fillId="3" borderId="0" xfId="0" applyFont="1" applyFill="1">
      <alignment vertical="center"/>
    </xf>
    <xf numFmtId="183" fontId="29" fillId="3" borderId="0" xfId="0" applyNumberFormat="1" applyFont="1" applyFill="1">
      <alignment vertical="center"/>
    </xf>
    <xf numFmtId="0" fontId="30" fillId="3" borderId="12" xfId="0" applyFont="1" applyFill="1" applyBorder="1" applyAlignment="1">
      <alignment horizontal="center" vertical="center"/>
    </xf>
    <xf numFmtId="179" fontId="30" fillId="0" borderId="13" xfId="0" applyNumberFormat="1" applyFont="1" applyFill="1" applyBorder="1" applyAlignment="1">
      <alignment horizontal="center" vertical="center"/>
    </xf>
    <xf numFmtId="0" fontId="30" fillId="3" borderId="13" xfId="0" applyFont="1" applyFill="1" applyBorder="1" applyAlignment="1">
      <alignment horizontal="center" vertical="center"/>
    </xf>
    <xf numFmtId="179" fontId="30" fillId="0" borderId="14" xfId="0" applyNumberFormat="1" applyFont="1" applyFill="1" applyBorder="1" applyAlignment="1">
      <alignment horizontal="center" vertical="center"/>
    </xf>
    <xf numFmtId="0" fontId="30" fillId="3" borderId="15" xfId="0" applyFont="1" applyFill="1" applyBorder="1" applyAlignment="1">
      <alignment horizontal="center" vertical="center"/>
    </xf>
    <xf numFmtId="179" fontId="30" fillId="5" borderId="2" xfId="0" applyNumberFormat="1" applyFont="1" applyFill="1" applyBorder="1" applyAlignment="1">
      <alignment horizontal="center" vertical="center"/>
    </xf>
    <xf numFmtId="179" fontId="30" fillId="5" borderId="16" xfId="0" applyNumberFormat="1" applyFont="1" applyFill="1" applyBorder="1" applyAlignment="1">
      <alignment horizontal="center" vertical="center"/>
    </xf>
    <xf numFmtId="0" fontId="31" fillId="4" borderId="17" xfId="0" applyFont="1" applyFill="1" applyBorder="1" applyAlignment="1">
      <alignment horizontal="left" vertical="center"/>
    </xf>
    <xf numFmtId="0" fontId="20" fillId="4" borderId="18" xfId="0" applyFont="1" applyFill="1" applyBorder="1">
      <alignment vertical="center"/>
    </xf>
    <xf numFmtId="0" fontId="0" fillId="4" borderId="18" xfId="0" applyFill="1" applyBorder="1">
      <alignment vertical="center"/>
    </xf>
    <xf numFmtId="0" fontId="0" fillId="4" borderId="19" xfId="0" applyFill="1" applyBorder="1">
      <alignment vertical="center"/>
    </xf>
    <xf numFmtId="0" fontId="33" fillId="3" borderId="10" xfId="0" applyFont="1" applyFill="1" applyBorder="1">
      <alignment vertical="center"/>
    </xf>
    <xf numFmtId="0" fontId="33" fillId="3" borderId="0" xfId="0" applyFont="1" applyFill="1" applyBorder="1">
      <alignment vertical="center"/>
    </xf>
    <xf numFmtId="179" fontId="30" fillId="0" borderId="0" xfId="0" applyNumberFormat="1" applyFont="1" applyFill="1" applyBorder="1" applyAlignment="1">
      <alignment vertical="center"/>
    </xf>
    <xf numFmtId="0" fontId="34" fillId="3" borderId="0" xfId="0" applyFont="1" applyFill="1" applyBorder="1">
      <alignment vertical="center"/>
    </xf>
    <xf numFmtId="183" fontId="29" fillId="3" borderId="0" xfId="0" applyNumberFormat="1" applyFont="1" applyFill="1" applyBorder="1">
      <alignment vertical="center"/>
    </xf>
    <xf numFmtId="0" fontId="33" fillId="3" borderId="11" xfId="0" applyFont="1" applyFill="1" applyBorder="1">
      <alignment vertical="center"/>
    </xf>
    <xf numFmtId="0" fontId="33" fillId="3" borderId="17" xfId="0" applyFont="1" applyFill="1" applyBorder="1">
      <alignment vertical="center"/>
    </xf>
    <xf numFmtId="0" fontId="33" fillId="3" borderId="18" xfId="0" applyFont="1" applyFill="1" applyBorder="1">
      <alignment vertical="center"/>
    </xf>
    <xf numFmtId="179" fontId="30" fillId="0" borderId="18" xfId="0" applyNumberFormat="1" applyFont="1" applyFill="1" applyBorder="1" applyAlignment="1">
      <alignment vertical="center"/>
    </xf>
    <xf numFmtId="0" fontId="34" fillId="3" borderId="18" xfId="0" applyFont="1" applyFill="1" applyBorder="1">
      <alignment vertical="center"/>
    </xf>
    <xf numFmtId="183" fontId="29" fillId="3" borderId="18" xfId="0" applyNumberFormat="1" applyFont="1" applyFill="1" applyBorder="1">
      <alignment vertical="center"/>
    </xf>
    <xf numFmtId="0" fontId="33" fillId="3" borderId="19" xfId="0" applyFont="1" applyFill="1" applyBorder="1">
      <alignment vertical="center"/>
    </xf>
    <xf numFmtId="179" fontId="20" fillId="0" borderId="0" xfId="0" applyNumberFormat="1" applyFont="1" applyFill="1" applyBorder="1" applyAlignment="1">
      <alignment vertical="center"/>
    </xf>
    <xf numFmtId="183" fontId="21" fillId="3" borderId="0" xfId="0" applyNumberFormat="1" applyFont="1" applyFill="1">
      <alignment vertical="center"/>
    </xf>
    <xf numFmtId="0" fontId="35" fillId="8" borderId="0" xfId="0" applyNumberFormat="1" applyFont="1" applyFill="1" applyBorder="1" applyAlignment="1" applyProtection="1">
      <alignment horizontal="center" vertical="center" wrapText="1"/>
    </xf>
    <xf numFmtId="0" fontId="0" fillId="8" borderId="0" xfId="0" applyNumberFormat="1" applyFill="1" applyAlignment="1">
      <alignment horizontal="center" vertical="center"/>
    </xf>
    <xf numFmtId="0" fontId="36" fillId="8" borderId="0" xfId="0" applyNumberFormat="1" applyFont="1" applyFill="1" applyAlignment="1">
      <alignment horizontal="center" vertical="center"/>
    </xf>
    <xf numFmtId="0" fontId="37" fillId="8" borderId="0" xfId="0" applyNumberFormat="1" applyFont="1" applyFill="1" applyAlignment="1">
      <alignment horizontal="right" vertical="center"/>
    </xf>
    <xf numFmtId="0" fontId="38" fillId="9" borderId="20" xfId="0" applyNumberFormat="1" applyFont="1" applyFill="1" applyBorder="1" applyAlignment="1" applyProtection="1">
      <alignment horizontal="center" vertical="center"/>
    </xf>
    <xf numFmtId="0" fontId="38" fillId="9" borderId="21" xfId="0" applyNumberFormat="1" applyFont="1" applyFill="1" applyBorder="1" applyAlignment="1" applyProtection="1">
      <alignment horizontal="center" vertical="center"/>
    </xf>
    <xf numFmtId="0" fontId="38" fillId="9" borderId="22" xfId="0" applyNumberFormat="1" applyFont="1" applyFill="1" applyBorder="1" applyAlignment="1" applyProtection="1">
      <alignment horizontal="center" vertical="center"/>
    </xf>
    <xf numFmtId="0" fontId="38" fillId="10" borderId="20" xfId="0" applyNumberFormat="1" applyFont="1" applyFill="1" applyBorder="1" applyAlignment="1" applyProtection="1">
      <alignment horizontal="center" vertical="center"/>
    </xf>
    <xf numFmtId="0" fontId="38" fillId="10" borderId="21" xfId="0" applyNumberFormat="1" applyFont="1" applyFill="1" applyBorder="1" applyAlignment="1" applyProtection="1">
      <alignment horizontal="center" vertical="center"/>
    </xf>
    <xf numFmtId="0" fontId="38" fillId="10" borderId="22" xfId="0" applyNumberFormat="1" applyFont="1" applyFill="1" applyBorder="1" applyAlignment="1" applyProtection="1">
      <alignment horizontal="center" vertical="center"/>
    </xf>
    <xf numFmtId="0" fontId="38" fillId="10" borderId="20" xfId="0" applyNumberFormat="1" applyFont="1" applyFill="1" applyBorder="1" applyAlignment="1" applyProtection="1">
      <alignment horizontal="center" vertical="center" wrapText="1"/>
    </xf>
    <xf numFmtId="0" fontId="38" fillId="10" borderId="23" xfId="0" applyNumberFormat="1" applyFont="1" applyFill="1" applyBorder="1" applyAlignment="1" applyProtection="1">
      <alignment horizontal="center" vertical="center" wrapText="1"/>
    </xf>
    <xf numFmtId="0" fontId="38" fillId="11" borderId="12" xfId="0" applyNumberFormat="1" applyFont="1" applyFill="1" applyBorder="1" applyAlignment="1">
      <alignment horizontal="center" vertical="center"/>
    </xf>
    <xf numFmtId="0" fontId="38" fillId="11" borderId="13" xfId="0" applyNumberFormat="1" applyFont="1" applyFill="1" applyBorder="1" applyAlignment="1">
      <alignment horizontal="center" vertical="center"/>
    </xf>
    <xf numFmtId="0" fontId="38" fillId="11" borderId="14" xfId="0" applyNumberFormat="1" applyFont="1" applyFill="1" applyBorder="1" applyAlignment="1">
      <alignment horizontal="center" vertical="center"/>
    </xf>
    <xf numFmtId="0" fontId="38" fillId="10" borderId="7" xfId="0" applyNumberFormat="1" applyFont="1" applyFill="1" applyBorder="1" applyAlignment="1" applyProtection="1">
      <alignment horizontal="center" vertical="center" wrapText="1"/>
    </xf>
    <xf numFmtId="0" fontId="38" fillId="10" borderId="9" xfId="0" applyNumberFormat="1" applyFont="1" applyFill="1" applyBorder="1" applyAlignment="1" applyProtection="1">
      <alignment horizontal="center" vertical="center" wrapText="1"/>
    </xf>
    <xf numFmtId="0" fontId="38" fillId="12" borderId="20" xfId="0" applyNumberFormat="1" applyFont="1" applyFill="1" applyBorder="1" applyAlignment="1">
      <alignment horizontal="center" vertical="center"/>
    </xf>
    <xf numFmtId="0" fontId="38" fillId="12" borderId="24" xfId="0" applyNumberFormat="1" applyFont="1" applyFill="1" applyBorder="1" applyAlignment="1">
      <alignment horizontal="center" vertical="center"/>
    </xf>
    <xf numFmtId="0" fontId="38" fillId="12" borderId="25" xfId="0" applyNumberFormat="1" applyFont="1" applyFill="1" applyBorder="1" applyAlignment="1">
      <alignment horizontal="center" vertical="center"/>
    </xf>
    <xf numFmtId="0" fontId="38" fillId="12" borderId="26" xfId="0" applyNumberFormat="1" applyFont="1" applyFill="1" applyBorder="1" applyAlignment="1">
      <alignment horizontal="center" vertical="center"/>
    </xf>
    <xf numFmtId="0" fontId="38" fillId="12" borderId="27" xfId="0" applyNumberFormat="1" applyFont="1" applyFill="1" applyBorder="1" applyAlignment="1">
      <alignment horizontal="center" vertical="center"/>
    </xf>
    <xf numFmtId="0" fontId="38" fillId="12" borderId="27" xfId="0" applyNumberFormat="1" applyFont="1" applyFill="1" applyBorder="1" applyAlignment="1">
      <alignment horizontal="center" vertical="center" wrapText="1"/>
    </xf>
    <xf numFmtId="0" fontId="38" fillId="12" borderId="28" xfId="0" applyNumberFormat="1" applyFont="1" applyFill="1" applyBorder="1" applyAlignment="1">
      <alignment horizontal="center" vertical="center"/>
    </xf>
    <xf numFmtId="0" fontId="38" fillId="12" borderId="29" xfId="0" applyNumberFormat="1" applyFont="1" applyFill="1" applyBorder="1" applyAlignment="1">
      <alignment horizontal="center" vertical="center"/>
    </xf>
    <xf numFmtId="0" fontId="38" fillId="12" borderId="30" xfId="0" applyNumberFormat="1" applyFont="1" applyFill="1" applyBorder="1" applyAlignment="1">
      <alignment horizontal="center" vertical="center"/>
    </xf>
    <xf numFmtId="0" fontId="38" fillId="12" borderId="31" xfId="0" applyNumberFormat="1" applyFont="1" applyFill="1" applyBorder="1" applyAlignment="1">
      <alignment horizontal="center" vertical="center"/>
    </xf>
    <xf numFmtId="0" fontId="40" fillId="12" borderId="27" xfId="0" applyNumberFormat="1" applyFont="1" applyFill="1" applyBorder="1" applyAlignment="1">
      <alignment horizontal="center" vertical="center"/>
    </xf>
    <xf numFmtId="0" fontId="40" fillId="12" borderId="28" xfId="0" applyNumberFormat="1" applyFont="1" applyFill="1" applyBorder="1" applyAlignment="1">
      <alignment horizontal="center" vertical="center"/>
    </xf>
    <xf numFmtId="0" fontId="40" fillId="12" borderId="31" xfId="0" applyNumberFormat="1" applyFont="1" applyFill="1" applyBorder="1" applyAlignment="1">
      <alignment horizontal="center" vertical="center"/>
    </xf>
    <xf numFmtId="0" fontId="40" fillId="12" borderId="29" xfId="0" applyNumberFormat="1" applyFont="1" applyFill="1" applyBorder="1" applyAlignment="1">
      <alignment horizontal="center" vertical="center"/>
    </xf>
    <xf numFmtId="0" fontId="40" fillId="12" borderId="32" xfId="0" applyNumberFormat="1" applyFont="1" applyFill="1" applyBorder="1" applyAlignment="1">
      <alignment horizontal="center" vertical="center" wrapText="1"/>
    </xf>
    <xf numFmtId="0" fontId="40" fillId="12" borderId="33" xfId="0" applyNumberFormat="1" applyFont="1" applyFill="1" applyBorder="1" applyAlignment="1">
      <alignment horizontal="center" vertical="center" wrapText="1"/>
    </xf>
    <xf numFmtId="0" fontId="40" fillId="12" borderId="34" xfId="0" applyNumberFormat="1" applyFont="1" applyFill="1" applyBorder="1" applyAlignment="1">
      <alignment horizontal="center" vertical="center" wrapText="1"/>
    </xf>
    <xf numFmtId="0" fontId="40" fillId="12" borderId="27" xfId="0" applyNumberFormat="1" applyFont="1" applyFill="1" applyBorder="1" applyAlignment="1">
      <alignment horizontal="center" vertical="center" wrapText="1"/>
    </xf>
    <xf numFmtId="0" fontId="40" fillId="12" borderId="28" xfId="0" applyNumberFormat="1" applyFont="1" applyFill="1" applyBorder="1" applyAlignment="1">
      <alignment horizontal="center" vertical="center" wrapText="1"/>
    </xf>
    <xf numFmtId="0" fontId="40" fillId="12" borderId="31" xfId="0" applyNumberFormat="1" applyFont="1" applyFill="1" applyBorder="1" applyAlignment="1">
      <alignment horizontal="center" vertical="center" wrapText="1"/>
    </xf>
    <xf numFmtId="0" fontId="40" fillId="12" borderId="23" xfId="0" applyNumberFormat="1" applyFont="1" applyFill="1" applyBorder="1" applyAlignment="1">
      <alignment horizontal="center" vertical="center" wrapText="1"/>
    </xf>
    <xf numFmtId="0" fontId="41" fillId="8" borderId="0" xfId="0" applyNumberFormat="1" applyFont="1" applyFill="1" applyAlignment="1">
      <alignment horizontal="center" vertical="center"/>
    </xf>
    <xf numFmtId="0" fontId="42" fillId="12" borderId="35" xfId="0" applyNumberFormat="1" applyFont="1" applyFill="1" applyBorder="1" applyAlignment="1">
      <alignment horizontal="center" vertical="center"/>
    </xf>
    <xf numFmtId="0" fontId="38" fillId="12" borderId="36" xfId="0" applyNumberFormat="1" applyFont="1" applyFill="1" applyBorder="1" applyAlignment="1">
      <alignment horizontal="center" vertical="center"/>
    </xf>
    <xf numFmtId="0" fontId="38" fillId="12" borderId="2" xfId="0" applyNumberFormat="1" applyFont="1" applyFill="1" applyBorder="1" applyAlignment="1">
      <alignment horizontal="center" vertical="center"/>
    </xf>
    <xf numFmtId="0" fontId="38" fillId="8" borderId="2" xfId="0" applyNumberFormat="1" applyFont="1" applyFill="1" applyBorder="1" applyAlignment="1">
      <alignment horizontal="center" vertical="center"/>
    </xf>
    <xf numFmtId="0" fontId="38" fillId="8" borderId="16" xfId="0" applyNumberFormat="1" applyFont="1" applyFill="1" applyBorder="1" applyAlignment="1">
      <alignment horizontal="center" vertical="center" wrapText="1"/>
    </xf>
    <xf numFmtId="0" fontId="38" fillId="12" borderId="35" xfId="0" applyNumberFormat="1" applyFont="1" applyFill="1" applyBorder="1" applyAlignment="1">
      <alignment horizontal="center" vertical="center"/>
    </xf>
    <xf numFmtId="0" fontId="38" fillId="8" borderId="15" xfId="0" applyNumberFormat="1" applyFont="1" applyFill="1" applyBorder="1" applyAlignment="1">
      <alignment horizontal="center" vertical="center" wrapText="1"/>
    </xf>
    <xf numFmtId="0" fontId="40" fillId="12" borderId="16" xfId="0" applyNumberFormat="1" applyFont="1" applyFill="1" applyBorder="1" applyAlignment="1">
      <alignment horizontal="center" vertical="center" wrapText="1"/>
    </xf>
    <xf numFmtId="0" fontId="38" fillId="12" borderId="37" xfId="0" applyNumberFormat="1" applyFont="1" applyFill="1" applyBorder="1" applyAlignment="1">
      <alignment horizontal="center" vertical="center"/>
    </xf>
    <xf numFmtId="0" fontId="43" fillId="8" borderId="35" xfId="0" applyNumberFormat="1" applyFont="1" applyFill="1" applyBorder="1" applyAlignment="1">
      <alignment horizontal="center" vertical="center"/>
    </xf>
    <xf numFmtId="0" fontId="43" fillId="8" borderId="36" xfId="0" applyNumberFormat="1" applyFont="1" applyFill="1" applyBorder="1" applyAlignment="1">
      <alignment horizontal="center" vertical="center"/>
    </xf>
    <xf numFmtId="0" fontId="43" fillId="8" borderId="38" xfId="0" applyNumberFormat="1" applyFont="1" applyFill="1" applyBorder="1" applyAlignment="1">
      <alignment horizontal="center" vertical="center"/>
    </xf>
    <xf numFmtId="0" fontId="43" fillId="8" borderId="39" xfId="0" applyNumberFormat="1" applyFont="1" applyFill="1" applyBorder="1" applyAlignment="1">
      <alignment horizontal="center" vertical="center"/>
    </xf>
    <xf numFmtId="0" fontId="44" fillId="8" borderId="39" xfId="0" applyNumberFormat="1" applyFont="1" applyFill="1" applyBorder="1" applyAlignment="1">
      <alignment horizontal="center" vertical="center"/>
    </xf>
    <xf numFmtId="1" fontId="44" fillId="8" borderId="39" xfId="0" applyNumberFormat="1" applyFont="1" applyFill="1" applyBorder="1" applyAlignment="1">
      <alignment horizontal="center" vertical="center"/>
    </xf>
    <xf numFmtId="11" fontId="40" fillId="8" borderId="40" xfId="0" applyNumberFormat="1" applyFont="1" applyFill="1" applyBorder="1" applyAlignment="1" applyProtection="1">
      <alignment horizontal="center" vertical="center"/>
    </xf>
    <xf numFmtId="177" fontId="40" fillId="8" borderId="41" xfId="0" applyNumberFormat="1" applyFont="1" applyFill="1" applyBorder="1" applyAlignment="1">
      <alignment horizontal="center" vertical="center"/>
    </xf>
    <xf numFmtId="177" fontId="40" fillId="8" borderId="42" xfId="0" applyNumberFormat="1" applyFont="1" applyFill="1" applyBorder="1" applyAlignment="1">
      <alignment horizontal="center" vertical="center"/>
    </xf>
    <xf numFmtId="0" fontId="40" fillId="8" borderId="43" xfId="0" applyNumberFormat="1" applyFont="1" applyFill="1" applyBorder="1" applyAlignment="1">
      <alignment horizontal="center" vertical="center"/>
    </xf>
    <xf numFmtId="0" fontId="40" fillId="8" borderId="40" xfId="0" applyNumberFormat="1" applyFont="1" applyFill="1" applyBorder="1" applyAlignment="1">
      <alignment horizontal="center" vertical="center"/>
    </xf>
    <xf numFmtId="1" fontId="40" fillId="8" borderId="44" xfId="0" applyNumberFormat="1" applyFont="1" applyFill="1" applyBorder="1" applyAlignment="1">
      <alignment horizontal="center" vertical="center"/>
    </xf>
    <xf numFmtId="11" fontId="40" fillId="8" borderId="43" xfId="0" applyNumberFormat="1" applyFont="1" applyFill="1" applyBorder="1" applyAlignment="1" applyProtection="1">
      <alignment horizontal="center" vertical="center"/>
    </xf>
    <xf numFmtId="184" fontId="40" fillId="8" borderId="45" xfId="0" applyNumberFormat="1" applyFont="1" applyFill="1" applyBorder="1" applyAlignment="1">
      <alignment horizontal="center" vertical="center"/>
    </xf>
    <xf numFmtId="41" fontId="43" fillId="8" borderId="39" xfId="0" applyNumberFormat="1" applyFont="1" applyFill="1" applyBorder="1" applyAlignment="1">
      <alignment horizontal="center" vertical="center"/>
    </xf>
    <xf numFmtId="41" fontId="43" fillId="8" borderId="41" xfId="0" applyNumberFormat="1" applyFont="1" applyFill="1" applyBorder="1" applyAlignment="1">
      <alignment horizontal="center" vertical="center"/>
    </xf>
    <xf numFmtId="41" fontId="43" fillId="8" borderId="46" xfId="0" applyNumberFormat="1" applyFont="1" applyFill="1" applyBorder="1" applyAlignment="1">
      <alignment horizontal="center" vertical="center"/>
    </xf>
    <xf numFmtId="1" fontId="44" fillId="8" borderId="41" xfId="0" applyNumberFormat="1" applyFont="1" applyFill="1" applyBorder="1" applyAlignment="1">
      <alignment horizontal="center" vertical="center"/>
    </xf>
    <xf numFmtId="1" fontId="44" fillId="8" borderId="42" xfId="0" applyNumberFormat="1" applyFont="1" applyFill="1" applyBorder="1" applyAlignment="1">
      <alignment horizontal="center" vertical="center"/>
    </xf>
    <xf numFmtId="1" fontId="44" fillId="8" borderId="43" xfId="0" applyNumberFormat="1" applyFont="1" applyFill="1" applyBorder="1" applyAlignment="1">
      <alignment horizontal="center" vertical="center"/>
    </xf>
    <xf numFmtId="1" fontId="44" fillId="8" borderId="40" xfId="0" applyNumberFormat="1" applyFont="1" applyFill="1" applyBorder="1" applyAlignment="1">
      <alignment horizontal="center" vertical="center"/>
    </xf>
    <xf numFmtId="2" fontId="38" fillId="13" borderId="40" xfId="0" applyNumberFormat="1" applyFont="1" applyFill="1" applyBorder="1" applyAlignment="1">
      <alignment horizontal="center" vertical="center"/>
    </xf>
    <xf numFmtId="1" fontId="44" fillId="8" borderId="47" xfId="0" applyNumberFormat="1" applyFont="1" applyFill="1" applyBorder="1" applyAlignment="1">
      <alignment horizontal="center" vertical="center"/>
    </xf>
    <xf numFmtId="1" fontId="2" fillId="13" borderId="13" xfId="2" applyNumberFormat="1" applyFill="1" applyBorder="1" applyAlignment="1" applyProtection="1">
      <alignment horizontal="center" vertical="center"/>
    </xf>
    <xf numFmtId="1" fontId="44" fillId="8" borderId="48" xfId="0" applyNumberFormat="1" applyFont="1" applyFill="1" applyBorder="1" applyAlignment="1">
      <alignment horizontal="center" vertical="center"/>
    </xf>
    <xf numFmtId="2" fontId="44" fillId="8" borderId="39" xfId="0" applyNumberFormat="1" applyFont="1" applyFill="1" applyBorder="1" applyAlignment="1">
      <alignment horizontal="center" vertical="center"/>
    </xf>
    <xf numFmtId="185" fontId="38" fillId="8" borderId="49" xfId="0" applyNumberFormat="1" applyFont="1" applyFill="1" applyBorder="1" applyAlignment="1" applyProtection="1">
      <alignment horizontal="right" vertical="center"/>
    </xf>
    <xf numFmtId="177" fontId="45" fillId="8" borderId="35" xfId="0" applyNumberFormat="1" applyFont="1" applyFill="1" applyBorder="1" applyAlignment="1">
      <alignment horizontal="center" vertical="center"/>
    </xf>
    <xf numFmtId="2" fontId="38" fillId="8" borderId="36" xfId="0" applyNumberFormat="1" applyFont="1" applyFill="1" applyBorder="1" applyAlignment="1">
      <alignment horizontal="center" vertical="center"/>
    </xf>
    <xf numFmtId="177" fontId="38" fillId="8" borderId="36" xfId="0" applyNumberFormat="1" applyFont="1" applyFill="1" applyBorder="1" applyAlignment="1">
      <alignment horizontal="center" vertical="center"/>
    </xf>
    <xf numFmtId="2" fontId="38" fillId="8" borderId="2" xfId="0" applyNumberFormat="1" applyFont="1" applyFill="1" applyBorder="1" applyAlignment="1">
      <alignment horizontal="center" vertical="center"/>
    </xf>
    <xf numFmtId="1" fontId="38" fillId="8" borderId="2" xfId="0" applyNumberFormat="1" applyFont="1" applyFill="1" applyBorder="1" applyAlignment="1">
      <alignment horizontal="center" vertical="center"/>
    </xf>
    <xf numFmtId="184" fontId="38" fillId="8" borderId="16" xfId="0" applyNumberFormat="1" applyFont="1" applyFill="1" applyBorder="1" applyAlignment="1">
      <alignment horizontal="center" vertical="center"/>
    </xf>
    <xf numFmtId="177" fontId="38" fillId="8" borderId="35" xfId="0" applyNumberFormat="1" applyFont="1" applyFill="1" applyBorder="1" applyAlignment="1">
      <alignment horizontal="center" vertical="center"/>
    </xf>
    <xf numFmtId="1" fontId="38" fillId="8" borderId="15" xfId="0" applyNumberFormat="1" applyFont="1" applyFill="1" applyBorder="1" applyAlignment="1">
      <alignment horizontal="center" vertical="center"/>
    </xf>
    <xf numFmtId="185" fontId="38" fillId="8" borderId="16" xfId="0" applyNumberFormat="1" applyFont="1" applyFill="1" applyBorder="1" applyAlignment="1" applyProtection="1">
      <alignment horizontal="right" vertical="center"/>
    </xf>
    <xf numFmtId="0" fontId="38" fillId="12" borderId="50" xfId="0" applyNumberFormat="1" applyFont="1" applyFill="1" applyBorder="1" applyAlignment="1">
      <alignment horizontal="center" vertical="center"/>
    </xf>
    <xf numFmtId="0" fontId="44" fillId="8" borderId="51" xfId="0" applyNumberFormat="1" applyFont="1" applyFill="1" applyBorder="1" applyAlignment="1">
      <alignment horizontal="center" vertical="center"/>
    </xf>
    <xf numFmtId="11" fontId="40" fillId="8" borderId="36" xfId="0" applyNumberFormat="1" applyFont="1" applyFill="1" applyBorder="1" applyAlignment="1" applyProtection="1">
      <alignment horizontal="center" vertical="center"/>
    </xf>
    <xf numFmtId="177" fontId="40" fillId="8" borderId="36" xfId="0" applyNumberFormat="1" applyFont="1" applyFill="1" applyBorder="1" applyAlignment="1">
      <alignment horizontal="center" vertical="center"/>
    </xf>
    <xf numFmtId="177" fontId="40" fillId="8" borderId="52" xfId="0" applyNumberFormat="1" applyFont="1" applyFill="1" applyBorder="1" applyAlignment="1">
      <alignment horizontal="center" vertical="center"/>
    </xf>
    <xf numFmtId="0" fontId="40" fillId="8" borderId="35" xfId="0" applyNumberFormat="1" applyFont="1" applyFill="1" applyBorder="1" applyAlignment="1">
      <alignment horizontal="center" vertical="center"/>
    </xf>
    <xf numFmtId="2" fontId="40" fillId="8" borderId="36" xfId="0" applyNumberFormat="1" applyFont="1" applyFill="1" applyBorder="1" applyAlignment="1">
      <alignment horizontal="center" vertical="center"/>
    </xf>
    <xf numFmtId="1" fontId="40" fillId="8" borderId="52" xfId="0" applyNumberFormat="1" applyFont="1" applyFill="1" applyBorder="1" applyAlignment="1">
      <alignment horizontal="center" vertical="center"/>
    </xf>
    <xf numFmtId="11" fontId="40" fillId="8" borderId="35" xfId="0" applyNumberFormat="1" applyFont="1" applyFill="1" applyBorder="1" applyAlignment="1" applyProtection="1">
      <alignment horizontal="center" vertical="center"/>
    </xf>
    <xf numFmtId="184" fontId="40" fillId="8" borderId="38" xfId="0" applyNumberFormat="1" applyFont="1" applyFill="1" applyBorder="1" applyAlignment="1">
      <alignment horizontal="center" vertical="center"/>
    </xf>
    <xf numFmtId="41" fontId="43" fillId="8" borderId="51" xfId="0" applyNumberFormat="1" applyFont="1" applyFill="1" applyBorder="1" applyAlignment="1">
      <alignment horizontal="center" vertical="center"/>
    </xf>
    <xf numFmtId="41" fontId="43" fillId="8" borderId="36" xfId="0" applyNumberFormat="1" applyFont="1" applyFill="1" applyBorder="1" applyAlignment="1">
      <alignment horizontal="center" vertical="center"/>
    </xf>
    <xf numFmtId="41" fontId="43" fillId="8" borderId="38" xfId="0" applyNumberFormat="1" applyFont="1" applyFill="1" applyBorder="1" applyAlignment="1">
      <alignment horizontal="center" vertical="center"/>
    </xf>
    <xf numFmtId="1" fontId="44" fillId="8" borderId="36" xfId="0" applyNumberFormat="1" applyFont="1" applyFill="1" applyBorder="1" applyAlignment="1">
      <alignment horizontal="center" vertical="center"/>
    </xf>
    <xf numFmtId="1" fontId="44" fillId="8" borderId="52" xfId="0" applyNumberFormat="1" applyFont="1" applyFill="1" applyBorder="1" applyAlignment="1">
      <alignment horizontal="center" vertical="center"/>
    </xf>
    <xf numFmtId="1" fontId="44" fillId="8" borderId="35" xfId="0" applyNumberFormat="1" applyFont="1" applyFill="1" applyBorder="1" applyAlignment="1">
      <alignment horizontal="center" vertical="center"/>
    </xf>
    <xf numFmtId="1" fontId="2" fillId="13" borderId="2" xfId="2" applyNumberFormat="1" applyFill="1" applyBorder="1" applyAlignment="1" applyProtection="1">
      <alignment horizontal="center" vertical="center"/>
    </xf>
    <xf numFmtId="1" fontId="44" fillId="8" borderId="38" xfId="0" applyNumberFormat="1" applyFont="1" applyFill="1" applyBorder="1" applyAlignment="1">
      <alignment horizontal="center" vertical="center"/>
    </xf>
    <xf numFmtId="2" fontId="44" fillId="8" borderId="51" xfId="0" applyNumberFormat="1" applyFont="1" applyFill="1" applyBorder="1" applyAlignment="1">
      <alignment horizontal="center" vertical="center"/>
    </xf>
    <xf numFmtId="185" fontId="38" fillId="8" borderId="53" xfId="0" applyNumberFormat="1" applyFont="1" applyFill="1" applyBorder="1" applyAlignment="1" applyProtection="1">
      <alignment horizontal="right" vertical="center"/>
    </xf>
    <xf numFmtId="177" fontId="40" fillId="8" borderId="35" xfId="0" applyNumberFormat="1" applyFont="1" applyFill="1" applyBorder="1" applyAlignment="1">
      <alignment horizontal="center" vertical="center"/>
    </xf>
    <xf numFmtId="0" fontId="40" fillId="8" borderId="36" xfId="0" applyNumberFormat="1" applyFont="1" applyFill="1" applyBorder="1" applyAlignment="1">
      <alignment horizontal="center" vertical="center"/>
    </xf>
    <xf numFmtId="1" fontId="44" fillId="8" borderId="51" xfId="0" applyNumberFormat="1" applyFont="1" applyFill="1" applyBorder="1" applyAlignment="1">
      <alignment horizontal="center" vertical="center"/>
    </xf>
    <xf numFmtId="2" fontId="38" fillId="13" borderId="36" xfId="0" applyNumberFormat="1" applyFont="1" applyFill="1" applyBorder="1" applyAlignment="1">
      <alignment horizontal="center" vertical="center"/>
    </xf>
    <xf numFmtId="1" fontId="38" fillId="13" borderId="2" xfId="0" applyNumberFormat="1" applyFont="1" applyFill="1" applyBorder="1" applyAlignment="1">
      <alignment horizontal="center" vertical="center"/>
    </xf>
    <xf numFmtId="2" fontId="38" fillId="13" borderId="2" xfId="0" applyNumberFormat="1" applyFont="1" applyFill="1" applyBorder="1" applyAlignment="1">
      <alignment horizontal="center" vertical="center"/>
    </xf>
    <xf numFmtId="184" fontId="38" fillId="13" borderId="16" xfId="0" applyNumberFormat="1" applyFont="1" applyFill="1" applyBorder="1" applyAlignment="1">
      <alignment horizontal="center" vertical="center"/>
    </xf>
    <xf numFmtId="1" fontId="38" fillId="13" borderId="15" xfId="0" applyNumberFormat="1" applyFont="1" applyFill="1" applyBorder="1" applyAlignment="1">
      <alignment horizontal="center" vertical="center"/>
    </xf>
    <xf numFmtId="185" fontId="38" fillId="13" borderId="16" xfId="0" applyNumberFormat="1" applyFont="1" applyFill="1" applyBorder="1" applyAlignment="1" applyProtection="1">
      <alignment horizontal="right" vertical="center"/>
    </xf>
    <xf numFmtId="41" fontId="2" fillId="13" borderId="16" xfId="2" applyNumberFormat="1" applyFill="1" applyBorder="1" applyAlignment="1" applyProtection="1">
      <alignment horizontal="center" vertical="center"/>
    </xf>
    <xf numFmtId="177" fontId="38" fillId="13" borderId="35" xfId="0" applyNumberFormat="1" applyFont="1" applyFill="1" applyBorder="1" applyAlignment="1">
      <alignment horizontal="center" vertical="center"/>
    </xf>
    <xf numFmtId="0" fontId="38" fillId="13" borderId="2" xfId="0" applyNumberFormat="1" applyFont="1" applyFill="1" applyBorder="1" applyAlignment="1">
      <alignment horizontal="center" vertical="center"/>
    </xf>
    <xf numFmtId="41" fontId="2" fillId="13" borderId="15" xfId="2" applyNumberFormat="1" applyFill="1" applyBorder="1" applyAlignment="1" applyProtection="1">
      <alignment horizontal="center" vertical="center"/>
    </xf>
    <xf numFmtId="177" fontId="40" fillId="8" borderId="54" xfId="0" applyNumberFormat="1" applyFont="1" applyFill="1" applyBorder="1" applyAlignment="1">
      <alignment horizontal="center" vertical="center"/>
    </xf>
    <xf numFmtId="1" fontId="40" fillId="8" borderId="55" xfId="0" applyNumberFormat="1" applyFont="1" applyFill="1" applyBorder="1" applyAlignment="1">
      <alignment horizontal="center" vertical="center"/>
    </xf>
    <xf numFmtId="11" fontId="40" fillId="8" borderId="56" xfId="0" applyNumberFormat="1" applyFont="1" applyFill="1" applyBorder="1" applyAlignment="1" applyProtection="1">
      <alignment horizontal="center" vertical="center"/>
    </xf>
    <xf numFmtId="184" fontId="40" fillId="8" borderId="57" xfId="0" applyNumberFormat="1" applyFont="1" applyFill="1" applyBorder="1" applyAlignment="1">
      <alignment horizontal="center" vertical="center"/>
    </xf>
    <xf numFmtId="1" fontId="44" fillId="8" borderId="55" xfId="0" applyNumberFormat="1" applyFont="1" applyFill="1" applyBorder="1" applyAlignment="1">
      <alignment horizontal="center" vertical="center"/>
    </xf>
    <xf numFmtId="1" fontId="44" fillId="8" borderId="58" xfId="0" applyNumberFormat="1" applyFont="1" applyFill="1" applyBorder="1" applyAlignment="1">
      <alignment horizontal="center" vertical="center"/>
    </xf>
    <xf numFmtId="41" fontId="2" fillId="13" borderId="2" xfId="2" applyNumberFormat="1" applyFill="1" applyBorder="1" applyAlignment="1" applyProtection="1">
      <alignment horizontal="center" vertical="center"/>
    </xf>
    <xf numFmtId="0" fontId="43" fillId="8" borderId="51" xfId="0" applyNumberFormat="1" applyFont="1" applyFill="1" applyBorder="1" applyAlignment="1">
      <alignment horizontal="center" vertical="center"/>
    </xf>
    <xf numFmtId="1" fontId="2" fillId="13" borderId="16" xfId="2" applyNumberFormat="1" applyFill="1" applyBorder="1" applyAlignment="1" applyProtection="1">
      <alignment horizontal="center" vertical="center"/>
    </xf>
    <xf numFmtId="0" fontId="2" fillId="13" borderId="2" xfId="2" applyNumberFormat="1" applyFill="1" applyBorder="1" applyAlignment="1" applyProtection="1">
      <alignment horizontal="center" vertical="center"/>
    </xf>
    <xf numFmtId="1" fontId="44" fillId="8" borderId="59" xfId="0" applyNumberFormat="1" applyFont="1" applyFill="1" applyBorder="1" applyAlignment="1">
      <alignment horizontal="center" vertical="center"/>
    </xf>
    <xf numFmtId="0" fontId="38" fillId="12" borderId="60" xfId="0" applyNumberFormat="1" applyFont="1" applyFill="1" applyBorder="1" applyAlignment="1">
      <alignment horizontal="center" vertical="center"/>
    </xf>
    <xf numFmtId="0" fontId="43" fillId="8" borderId="61" xfId="0" applyNumberFormat="1" applyFont="1" applyFill="1" applyBorder="1" applyAlignment="1">
      <alignment horizontal="center" vertical="center"/>
    </xf>
    <xf numFmtId="0" fontId="43" fillId="8" borderId="62" xfId="0" applyNumberFormat="1" applyFont="1" applyFill="1" applyBorder="1" applyAlignment="1">
      <alignment horizontal="center" vertical="center"/>
    </xf>
    <xf numFmtId="41" fontId="2" fillId="13" borderId="63" xfId="2" applyNumberFormat="1" applyFill="1" applyBorder="1" applyAlignment="1" applyProtection="1">
      <alignment horizontal="center" vertical="center"/>
    </xf>
    <xf numFmtId="0" fontId="43" fillId="8" borderId="64" xfId="0" applyNumberFormat="1" applyFont="1" applyFill="1" applyBorder="1" applyAlignment="1">
      <alignment horizontal="center" vertical="center"/>
    </xf>
    <xf numFmtId="1" fontId="44" fillId="8" borderId="62" xfId="0" applyNumberFormat="1" applyFont="1" applyFill="1" applyBorder="1" applyAlignment="1">
      <alignment horizontal="center" vertical="center"/>
    </xf>
    <xf numFmtId="11" fontId="40" fillId="8" borderId="62" xfId="0" applyNumberFormat="1" applyFont="1" applyFill="1" applyBorder="1" applyAlignment="1" applyProtection="1">
      <alignment horizontal="center" vertical="center"/>
    </xf>
    <xf numFmtId="177" fontId="40" fillId="8" borderId="62" xfId="0" applyNumberFormat="1" applyFont="1" applyFill="1" applyBorder="1" applyAlignment="1">
      <alignment horizontal="center" vertical="center"/>
    </xf>
    <xf numFmtId="177" fontId="40" fillId="8" borderId="65" xfId="0" applyNumberFormat="1" applyFont="1" applyFill="1" applyBorder="1" applyAlignment="1">
      <alignment horizontal="center" vertical="center"/>
    </xf>
    <xf numFmtId="41" fontId="2" fillId="13" borderId="66" xfId="2" applyNumberFormat="1" applyFill="1" applyBorder="1" applyAlignment="1" applyProtection="1">
      <alignment horizontal="center" vertical="center"/>
    </xf>
    <xf numFmtId="41" fontId="2" fillId="13" borderId="67" xfId="2" applyNumberFormat="1" applyFill="1" applyBorder="1" applyAlignment="1" applyProtection="1">
      <alignment horizontal="center" vertical="center"/>
    </xf>
    <xf numFmtId="1" fontId="2" fillId="13" borderId="67" xfId="2" applyNumberFormat="1" applyFill="1" applyBorder="1" applyAlignment="1" applyProtection="1">
      <alignment horizontal="center" vertical="center"/>
    </xf>
    <xf numFmtId="1" fontId="2" fillId="13" borderId="63" xfId="2" applyNumberFormat="1" applyFill="1" applyBorder="1" applyAlignment="1" applyProtection="1">
      <alignment horizontal="center" vertical="center"/>
    </xf>
    <xf numFmtId="41" fontId="43" fillId="8" borderId="64" xfId="0" applyNumberFormat="1" applyFont="1" applyFill="1" applyBorder="1" applyAlignment="1">
      <alignment horizontal="center" vertical="center"/>
    </xf>
    <xf numFmtId="41" fontId="43" fillId="8" borderId="62" xfId="0" applyNumberFormat="1" applyFont="1" applyFill="1" applyBorder="1" applyAlignment="1">
      <alignment horizontal="center" vertical="center"/>
    </xf>
    <xf numFmtId="41" fontId="43" fillId="8" borderId="68" xfId="0" applyNumberFormat="1" applyFont="1" applyFill="1" applyBorder="1" applyAlignment="1">
      <alignment horizontal="center" vertical="center"/>
    </xf>
    <xf numFmtId="1" fontId="44" fillId="8" borderId="65" xfId="0" applyNumberFormat="1" applyFont="1" applyFill="1" applyBorder="1" applyAlignment="1">
      <alignment horizontal="center" vertical="center"/>
    </xf>
    <xf numFmtId="1" fontId="44" fillId="8" borderId="61" xfId="0" applyNumberFormat="1" applyFont="1" applyFill="1" applyBorder="1" applyAlignment="1">
      <alignment horizontal="center" vertical="center"/>
    </xf>
    <xf numFmtId="0" fontId="2" fillId="13" borderId="67" xfId="2" applyNumberFormat="1" applyFill="1" applyBorder="1" applyAlignment="1" applyProtection="1">
      <alignment horizontal="center" vertical="center"/>
    </xf>
    <xf numFmtId="1" fontId="44" fillId="8" borderId="69" xfId="0" applyNumberFormat="1" applyFont="1" applyFill="1" applyBorder="1" applyAlignment="1">
      <alignment horizontal="center" vertical="center"/>
    </xf>
    <xf numFmtId="2" fontId="44" fillId="8" borderId="64" xfId="0" applyNumberFormat="1" applyFont="1" applyFill="1" applyBorder="1" applyAlignment="1">
      <alignment horizontal="center" vertical="center"/>
    </xf>
    <xf numFmtId="185" fontId="38" fillId="8" borderId="70" xfId="0" applyNumberFormat="1" applyFont="1" applyFill="1" applyBorder="1" applyAlignment="1" applyProtection="1">
      <alignment horizontal="right" vertical="center"/>
    </xf>
    <xf numFmtId="177" fontId="45" fillId="8" borderId="61" xfId="0" applyNumberFormat="1" applyFont="1" applyFill="1" applyBorder="1" applyAlignment="1">
      <alignment horizontal="center" vertical="center"/>
    </xf>
    <xf numFmtId="2" fontId="38" fillId="13" borderId="62" xfId="0" applyNumberFormat="1" applyFont="1" applyFill="1" applyBorder="1" applyAlignment="1">
      <alignment horizontal="center" vertical="center"/>
    </xf>
    <xf numFmtId="177" fontId="38" fillId="8" borderId="62" xfId="0" applyNumberFormat="1" applyFont="1" applyFill="1" applyBorder="1" applyAlignment="1">
      <alignment horizontal="center" vertical="center"/>
    </xf>
    <xf numFmtId="2" fontId="38" fillId="8" borderId="67" xfId="0" applyNumberFormat="1" applyFont="1" applyFill="1" applyBorder="1" applyAlignment="1">
      <alignment horizontal="center" vertical="center"/>
    </xf>
    <xf numFmtId="0" fontId="38" fillId="8" borderId="67" xfId="0" applyNumberFormat="1" applyFont="1" applyFill="1" applyBorder="1" applyAlignment="1">
      <alignment horizontal="center" vertical="center"/>
    </xf>
    <xf numFmtId="1" fontId="38" fillId="13" borderId="67" xfId="0" applyNumberFormat="1" applyFont="1" applyFill="1" applyBorder="1" applyAlignment="1">
      <alignment horizontal="center" vertical="center"/>
    </xf>
    <xf numFmtId="2" fontId="38" fillId="13" borderId="67" xfId="0" applyNumberFormat="1" applyFont="1" applyFill="1" applyBorder="1" applyAlignment="1">
      <alignment horizontal="center" vertical="center"/>
    </xf>
    <xf numFmtId="184" fontId="38" fillId="13" borderId="63" xfId="0" applyNumberFormat="1" applyFont="1" applyFill="1" applyBorder="1" applyAlignment="1">
      <alignment horizontal="center" vertical="center"/>
    </xf>
    <xf numFmtId="177" fontId="38" fillId="13" borderId="61" xfId="0" applyNumberFormat="1" applyFont="1" applyFill="1" applyBorder="1" applyAlignment="1">
      <alignment horizontal="center" vertical="center"/>
    </xf>
    <xf numFmtId="0" fontId="38" fillId="13" borderId="67" xfId="0" applyNumberFormat="1" applyFont="1" applyFill="1" applyBorder="1" applyAlignment="1">
      <alignment horizontal="center" vertical="center"/>
    </xf>
    <xf numFmtId="1" fontId="38" fillId="13" borderId="66" xfId="0" applyNumberFormat="1" applyFont="1" applyFill="1" applyBorder="1" applyAlignment="1">
      <alignment horizontal="center" vertical="center"/>
    </xf>
    <xf numFmtId="185" fontId="38" fillId="13" borderId="63" xfId="0" applyNumberFormat="1" applyFont="1" applyFill="1" applyBorder="1" applyAlignment="1" applyProtection="1">
      <alignment horizontal="right" vertical="center"/>
    </xf>
    <xf numFmtId="0" fontId="0" fillId="3" borderId="0" xfId="0" applyNumberFormat="1" applyFill="1" applyAlignment="1">
      <alignment horizontal="center" vertical="center"/>
    </xf>
    <xf numFmtId="0" fontId="36" fillId="3" borderId="0" xfId="0" applyNumberFormat="1" applyFont="1" applyFill="1" applyAlignment="1">
      <alignment horizontal="center" vertical="center"/>
    </xf>
    <xf numFmtId="2" fontId="40" fillId="3" borderId="0" xfId="0" applyNumberFormat="1" applyFont="1" applyFill="1" applyAlignment="1">
      <alignment horizontal="center" vertical="center"/>
    </xf>
    <xf numFmtId="0" fontId="41" fillId="3" borderId="0" xfId="0" applyNumberFormat="1" applyFont="1" applyFill="1" applyBorder="1" applyAlignment="1">
      <alignment horizontal="center" vertical="center"/>
    </xf>
    <xf numFmtId="1" fontId="41" fillId="3" borderId="0" xfId="0" applyNumberFormat="1" applyFont="1" applyFill="1" applyBorder="1" applyAlignment="1">
      <alignment horizontal="center" vertical="center"/>
    </xf>
    <xf numFmtId="0" fontId="37" fillId="13" borderId="0" xfId="0" applyNumberFormat="1" applyFont="1" applyFill="1" applyAlignment="1">
      <alignment horizontal="left" vertical="center"/>
    </xf>
    <xf numFmtId="0" fontId="36" fillId="13" borderId="0" xfId="0" applyNumberFormat="1" applyFont="1" applyFill="1" applyAlignment="1">
      <alignment horizontal="center" vertical="center"/>
    </xf>
    <xf numFmtId="0" fontId="0" fillId="13" borderId="0" xfId="0" applyNumberFormat="1" applyFill="1" applyAlignment="1">
      <alignment horizontal="center" vertical="center"/>
    </xf>
    <xf numFmtId="0" fontId="36" fillId="13" borderId="0" xfId="0" applyNumberFormat="1" applyFont="1" applyFill="1" applyBorder="1" applyAlignment="1">
      <alignment horizontal="center" vertical="center"/>
    </xf>
    <xf numFmtId="0" fontId="37" fillId="13" borderId="0" xfId="0" applyNumberFormat="1" applyFont="1" applyFill="1" applyBorder="1" applyAlignment="1">
      <alignment horizontal="left" vertical="center"/>
    </xf>
    <xf numFmtId="0" fontId="0" fillId="13" borderId="0" xfId="0" applyNumberFormat="1" applyFill="1" applyBorder="1" applyAlignment="1">
      <alignment horizontal="center" vertical="center"/>
    </xf>
    <xf numFmtId="0" fontId="41" fillId="13" borderId="0" xfId="0" applyNumberFormat="1" applyFont="1" applyFill="1" applyBorder="1" applyAlignment="1">
      <alignment horizontal="center" vertical="center"/>
    </xf>
    <xf numFmtId="1" fontId="41" fillId="13" borderId="0" xfId="0" applyNumberFormat="1" applyFont="1" applyFill="1" applyBorder="1" applyAlignment="1">
      <alignment horizontal="center" vertical="center"/>
    </xf>
    <xf numFmtId="0" fontId="38" fillId="13" borderId="71" xfId="0" applyNumberFormat="1" applyFont="1" applyFill="1" applyBorder="1" applyAlignment="1">
      <alignment horizontal="center" vertical="center"/>
    </xf>
    <xf numFmtId="0" fontId="38" fillId="13" borderId="72" xfId="0" applyNumberFormat="1" applyFont="1" applyFill="1" applyBorder="1" applyAlignment="1">
      <alignment horizontal="center" vertical="center"/>
    </xf>
    <xf numFmtId="177" fontId="38" fillId="13" borderId="72" xfId="0" applyNumberFormat="1" applyFont="1" applyFill="1" applyBorder="1" applyAlignment="1">
      <alignment horizontal="center" vertical="center"/>
    </xf>
    <xf numFmtId="0" fontId="38" fillId="13" borderId="72" xfId="0" applyNumberFormat="1" applyFont="1" applyFill="1" applyBorder="1" applyAlignment="1">
      <alignment horizontal="left" vertical="center"/>
    </xf>
    <xf numFmtId="0" fontId="0" fillId="13" borderId="73" xfId="0" applyNumberFormat="1" applyFill="1" applyBorder="1" applyAlignment="1">
      <alignment horizontal="center" vertical="center"/>
    </xf>
    <xf numFmtId="0" fontId="38" fillId="13" borderId="0" xfId="0" applyNumberFormat="1" applyFont="1" applyFill="1" applyBorder="1" applyAlignment="1">
      <alignment horizontal="center" vertical="center"/>
    </xf>
    <xf numFmtId="0" fontId="38" fillId="13" borderId="74" xfId="0" applyNumberFormat="1" applyFont="1" applyFill="1" applyBorder="1" applyAlignment="1">
      <alignment horizontal="center" vertical="center"/>
    </xf>
    <xf numFmtId="0" fontId="38" fillId="13" borderId="0" xfId="0" applyNumberFormat="1" applyFont="1" applyFill="1" applyBorder="1" applyAlignment="1">
      <alignment horizontal="left" vertical="center"/>
    </xf>
    <xf numFmtId="0" fontId="0" fillId="13" borderId="75" xfId="0" applyNumberFormat="1" applyFill="1" applyBorder="1" applyAlignment="1">
      <alignment horizontal="center" vertical="center"/>
    </xf>
    <xf numFmtId="0" fontId="38" fillId="13" borderId="0" xfId="0" applyNumberFormat="1" applyFont="1" applyFill="1" applyBorder="1" applyAlignment="1" applyProtection="1">
      <alignment horizontal="center" vertical="center"/>
    </xf>
    <xf numFmtId="2" fontId="0" fillId="13" borderId="0" xfId="0" applyNumberFormat="1" applyFill="1" applyAlignment="1">
      <alignment horizontal="center" vertical="center"/>
    </xf>
    <xf numFmtId="177" fontId="38" fillId="13" borderId="0" xfId="0" applyNumberFormat="1" applyFont="1" applyFill="1" applyBorder="1" applyAlignment="1">
      <alignment horizontal="center" vertical="center"/>
    </xf>
    <xf numFmtId="1" fontId="38" fillId="13" borderId="0" xfId="0" applyNumberFormat="1" applyFont="1" applyFill="1" applyBorder="1" applyAlignment="1">
      <alignment horizontal="center" vertical="center"/>
    </xf>
    <xf numFmtId="0" fontId="38" fillId="13" borderId="76" xfId="0" applyNumberFormat="1" applyFont="1" applyFill="1" applyBorder="1" applyAlignment="1">
      <alignment horizontal="center" vertical="center"/>
    </xf>
    <xf numFmtId="0" fontId="38" fillId="13" borderId="77" xfId="0" applyNumberFormat="1" applyFont="1" applyFill="1" applyBorder="1" applyAlignment="1">
      <alignment horizontal="center" vertical="center"/>
    </xf>
    <xf numFmtId="177" fontId="38" fillId="13" borderId="77" xfId="0" applyNumberFormat="1" applyFont="1" applyFill="1" applyBorder="1" applyAlignment="1">
      <alignment horizontal="center" vertical="center"/>
    </xf>
    <xf numFmtId="0" fontId="38" fillId="13" borderId="77" xfId="0" applyNumberFormat="1" applyFont="1" applyFill="1" applyBorder="1" applyAlignment="1">
      <alignment horizontal="left" vertical="center"/>
    </xf>
    <xf numFmtId="0" fontId="0" fillId="13" borderId="78" xfId="0" applyNumberFormat="1" applyFill="1" applyBorder="1" applyAlignment="1">
      <alignment horizontal="center" vertical="center"/>
    </xf>
    <xf numFmtId="0" fontId="0" fillId="13" borderId="77" xfId="0" applyNumberFormat="1" applyFill="1" applyBorder="1" applyAlignment="1">
      <alignment horizontal="center" vertical="center"/>
    </xf>
    <xf numFmtId="0" fontId="38" fillId="13" borderId="78" xfId="0" applyNumberFormat="1" applyFont="1" applyFill="1" applyBorder="1" applyAlignment="1">
      <alignment horizontal="center" vertical="center"/>
    </xf>
    <xf numFmtId="0" fontId="38" fillId="13" borderId="0" xfId="0" applyNumberFormat="1" applyFont="1" applyFill="1" applyBorder="1" applyAlignment="1">
      <alignment horizontal="center" vertical="center"/>
    </xf>
    <xf numFmtId="0" fontId="38" fillId="13" borderId="0" xfId="0" applyNumberFormat="1" applyFont="1" applyFill="1" applyAlignment="1">
      <alignment horizontal="center" vertical="center"/>
    </xf>
    <xf numFmtId="177" fontId="38" fillId="13" borderId="0" xfId="0" applyNumberFormat="1" applyFont="1" applyFill="1" applyAlignment="1">
      <alignment horizontal="center" vertical="center"/>
    </xf>
    <xf numFmtId="0" fontId="38" fillId="13" borderId="0" xfId="0" applyNumberFormat="1" applyFont="1" applyFill="1" applyAlignment="1">
      <alignment horizontal="left" vertical="center"/>
    </xf>
    <xf numFmtId="2" fontId="40" fillId="13" borderId="0" xfId="0" applyNumberFormat="1" applyFont="1" applyFill="1" applyBorder="1" applyAlignment="1">
      <alignment horizontal="center" vertical="center"/>
    </xf>
    <xf numFmtId="0" fontId="46" fillId="13" borderId="0" xfId="0" applyNumberFormat="1" applyFont="1" applyFill="1" applyBorder="1" applyAlignment="1">
      <alignment horizontal="center" vertical="center"/>
    </xf>
    <xf numFmtId="0" fontId="44" fillId="13" borderId="0" xfId="0" applyNumberFormat="1" applyFont="1" applyFill="1" applyBorder="1" applyAlignment="1">
      <alignment horizontal="center" vertical="center"/>
    </xf>
    <xf numFmtId="1" fontId="44" fillId="13" borderId="0" xfId="0" applyNumberFormat="1" applyFont="1" applyFill="1" applyBorder="1" applyAlignment="1">
      <alignment horizontal="center" vertical="center"/>
    </xf>
    <xf numFmtId="0" fontId="0" fillId="13" borderId="71" xfId="0" applyNumberFormat="1" applyFill="1" applyBorder="1" applyAlignment="1">
      <alignment horizontal="center" vertical="center"/>
    </xf>
    <xf numFmtId="0" fontId="36" fillId="13" borderId="72" xfId="0" applyNumberFormat="1" applyFont="1" applyFill="1" applyBorder="1" applyAlignment="1">
      <alignment horizontal="center" vertical="center"/>
    </xf>
    <xf numFmtId="0" fontId="0" fillId="13" borderId="72" xfId="0" applyNumberFormat="1" applyFill="1" applyBorder="1" applyAlignment="1">
      <alignment horizontal="center" vertical="center"/>
    </xf>
    <xf numFmtId="0" fontId="36" fillId="13" borderId="73" xfId="0" applyNumberFormat="1" applyFont="1" applyFill="1" applyBorder="1" applyAlignment="1">
      <alignment horizontal="center" vertical="center"/>
    </xf>
    <xf numFmtId="0" fontId="0" fillId="13" borderId="74" xfId="0" applyNumberFormat="1" applyFill="1" applyBorder="1" applyAlignment="1">
      <alignment horizontal="center" vertical="center"/>
    </xf>
    <xf numFmtId="0" fontId="47" fillId="13" borderId="0" xfId="0" applyNumberFormat="1" applyFont="1" applyFill="1" applyBorder="1" applyAlignment="1">
      <alignment horizontal="left" vertical="center"/>
    </xf>
    <xf numFmtId="0" fontId="36" fillId="13" borderId="0" xfId="0" applyNumberFormat="1" applyFont="1" applyFill="1" applyBorder="1" applyAlignment="1" applyProtection="1">
      <alignment horizontal="center" vertical="center"/>
    </xf>
    <xf numFmtId="0" fontId="0" fillId="13" borderId="0" xfId="0" applyNumberFormat="1" applyFont="1" applyFill="1" applyBorder="1" applyAlignment="1" applyProtection="1">
      <alignment horizontal="center" vertical="center"/>
    </xf>
    <xf numFmtId="0" fontId="0" fillId="13" borderId="0" xfId="0" applyNumberFormat="1" applyFont="1" applyFill="1" applyBorder="1" applyAlignment="1" applyProtection="1">
      <alignment horizontal="center" vertical="center" wrapText="1"/>
    </xf>
    <xf numFmtId="0" fontId="36" fillId="13" borderId="75" xfId="0" applyNumberFormat="1" applyFont="1" applyFill="1" applyBorder="1" applyAlignment="1" applyProtection="1">
      <alignment horizontal="center" vertical="center" wrapText="1"/>
    </xf>
    <xf numFmtId="0" fontId="36" fillId="13" borderId="75" xfId="0" applyNumberFormat="1" applyFont="1" applyFill="1" applyBorder="1" applyAlignment="1">
      <alignment horizontal="center" vertical="center"/>
    </xf>
    <xf numFmtId="0" fontId="36" fillId="13" borderId="0" xfId="0" applyNumberFormat="1" applyFont="1" applyFill="1" applyBorder="1" applyAlignment="1" applyProtection="1">
      <alignment vertical="center" wrapText="1"/>
    </xf>
    <xf numFmtId="0" fontId="36" fillId="13" borderId="75" xfId="0" applyNumberFormat="1" applyFont="1" applyFill="1" applyBorder="1" applyAlignment="1" applyProtection="1">
      <alignment vertical="center" wrapText="1"/>
    </xf>
    <xf numFmtId="0" fontId="36" fillId="13" borderId="74" xfId="0" applyNumberFormat="1" applyFont="1" applyFill="1" applyBorder="1" applyAlignment="1">
      <alignment horizontal="center" vertical="center"/>
    </xf>
    <xf numFmtId="0" fontId="36" fillId="13" borderId="0" xfId="0" applyNumberFormat="1" applyFont="1" applyFill="1" applyBorder="1" applyAlignment="1">
      <alignment horizontal="center" vertical="center" wrapText="1"/>
    </xf>
    <xf numFmtId="0" fontId="36" fillId="13" borderId="75" xfId="0" applyNumberFormat="1" applyFont="1" applyFill="1" applyBorder="1" applyAlignment="1">
      <alignment horizontal="center" vertical="center" wrapText="1"/>
    </xf>
    <xf numFmtId="0" fontId="36" fillId="13" borderId="0" xfId="0" applyNumberFormat="1" applyFont="1" applyFill="1" applyBorder="1" applyAlignment="1" applyProtection="1">
      <alignment horizontal="center" vertical="center" wrapText="1"/>
    </xf>
    <xf numFmtId="0" fontId="36" fillId="13" borderId="0" xfId="0" applyNumberFormat="1" applyFont="1" applyFill="1" applyBorder="1" applyAlignment="1" applyProtection="1">
      <alignment horizontal="center" vertical="center"/>
    </xf>
    <xf numFmtId="0" fontId="36" fillId="13" borderId="75" xfId="0" applyNumberFormat="1" applyFont="1" applyFill="1" applyBorder="1" applyAlignment="1" applyProtection="1">
      <alignment vertical="center"/>
    </xf>
    <xf numFmtId="0" fontId="36" fillId="13" borderId="0" xfId="0" applyNumberFormat="1" applyFont="1" applyFill="1" applyBorder="1" applyAlignment="1" applyProtection="1">
      <alignment vertical="center"/>
    </xf>
    <xf numFmtId="1" fontId="36" fillId="13" borderId="0" xfId="0" applyNumberFormat="1" applyFont="1" applyFill="1" applyBorder="1" applyAlignment="1">
      <alignment horizontal="center" vertical="center"/>
    </xf>
    <xf numFmtId="1" fontId="36" fillId="13" borderId="0" xfId="0" applyNumberFormat="1" applyFont="1" applyFill="1" applyBorder="1" applyAlignment="1" applyProtection="1">
      <alignment horizontal="center" vertical="center"/>
    </xf>
    <xf numFmtId="11" fontId="36" fillId="13" borderId="0" xfId="0" applyNumberFormat="1" applyFont="1" applyFill="1" applyBorder="1" applyAlignment="1">
      <alignment horizontal="center" vertical="center"/>
    </xf>
    <xf numFmtId="1" fontId="0" fillId="13" borderId="0" xfId="0" applyNumberFormat="1" applyFill="1" applyBorder="1" applyAlignment="1">
      <alignment horizontal="center" vertical="center"/>
    </xf>
    <xf numFmtId="0" fontId="36" fillId="13" borderId="76" xfId="0" applyNumberFormat="1" applyFont="1" applyFill="1" applyBorder="1" applyAlignment="1">
      <alignment horizontal="center" vertical="center"/>
    </xf>
    <xf numFmtId="1" fontId="36" fillId="13" borderId="77" xfId="0" applyNumberFormat="1" applyFont="1" applyFill="1" applyBorder="1" applyAlignment="1">
      <alignment horizontal="center" vertical="center"/>
    </xf>
    <xf numFmtId="0" fontId="36" fillId="13" borderId="77" xfId="0" applyNumberFormat="1" applyFont="1" applyFill="1" applyBorder="1" applyAlignment="1">
      <alignment horizontal="center" vertical="center"/>
    </xf>
    <xf numFmtId="1" fontId="36" fillId="13" borderId="77" xfId="0" applyNumberFormat="1" applyFont="1" applyFill="1" applyBorder="1" applyAlignment="1" applyProtection="1">
      <alignment horizontal="center" vertical="center"/>
    </xf>
    <xf numFmtId="0" fontId="0" fillId="13" borderId="76" xfId="0" applyNumberFormat="1" applyFill="1" applyBorder="1" applyAlignment="1">
      <alignment horizontal="center" vertical="center"/>
    </xf>
    <xf numFmtId="186" fontId="0" fillId="3" borderId="0" xfId="0" applyNumberFormat="1" applyFill="1">
      <alignment vertical="center"/>
    </xf>
    <xf numFmtId="0" fontId="48" fillId="3" borderId="0" xfId="0" applyFont="1" applyFill="1">
      <alignment vertical="center"/>
    </xf>
    <xf numFmtId="0" fontId="0" fillId="3" borderId="5" xfId="0" applyFill="1" applyBorder="1" applyAlignment="1">
      <alignment horizontal="center" vertical="center"/>
    </xf>
    <xf numFmtId="0" fontId="0" fillId="3" borderId="79" xfId="0" applyFill="1" applyBorder="1" applyAlignment="1">
      <alignment horizontal="center" vertical="center"/>
    </xf>
    <xf numFmtId="0" fontId="0" fillId="3" borderId="6" xfId="0" applyFill="1" applyBorder="1">
      <alignment vertical="center"/>
    </xf>
    <xf numFmtId="0" fontId="10" fillId="5" borderId="2" xfId="0" applyFont="1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3" borderId="2" xfId="0" applyFill="1" applyBorder="1">
      <alignment vertical="center"/>
    </xf>
    <xf numFmtId="0" fontId="0" fillId="3" borderId="5" xfId="0" applyFill="1" applyBorder="1">
      <alignment vertical="center"/>
    </xf>
    <xf numFmtId="0" fontId="0" fillId="3" borderId="79" xfId="0" applyFill="1" applyBorder="1">
      <alignment vertical="center"/>
    </xf>
    <xf numFmtId="0" fontId="0" fillId="5" borderId="2" xfId="0" applyFill="1" applyBorder="1">
      <alignment vertical="center"/>
    </xf>
    <xf numFmtId="186" fontId="49" fillId="3" borderId="0" xfId="0" applyNumberFormat="1" applyFont="1" applyFill="1">
      <alignment vertical="center"/>
    </xf>
    <xf numFmtId="0" fontId="50" fillId="3" borderId="0" xfId="0" applyFont="1" applyFill="1">
      <alignment vertical="center"/>
    </xf>
    <xf numFmtId="0" fontId="51" fillId="3" borderId="0" xfId="0" applyFont="1" applyFill="1">
      <alignment vertical="center"/>
    </xf>
    <xf numFmtId="1" fontId="44" fillId="8" borderId="13" xfId="0" applyNumberFormat="1" applyFont="1" applyFill="1" applyBorder="1" applyAlignment="1">
      <alignment horizontal="center" vertical="center"/>
    </xf>
    <xf numFmtId="11" fontId="40" fillId="8" borderId="13" xfId="0" applyNumberFormat="1" applyFont="1" applyFill="1" applyBorder="1" applyAlignment="1" applyProtection="1">
      <alignment horizontal="center" vertical="center"/>
    </xf>
    <xf numFmtId="177" fontId="40" fillId="8" borderId="13" xfId="0" applyNumberFormat="1" applyFont="1" applyFill="1" applyBorder="1" applyAlignment="1">
      <alignment horizontal="center" vertical="center"/>
    </xf>
    <xf numFmtId="177" fontId="40" fillId="8" borderId="80" xfId="0" applyNumberFormat="1" applyFont="1" applyFill="1" applyBorder="1" applyAlignment="1">
      <alignment horizontal="center" vertical="center"/>
    </xf>
    <xf numFmtId="0" fontId="40" fillId="8" borderId="12" xfId="0" applyNumberFormat="1" applyFont="1" applyFill="1" applyBorder="1" applyAlignment="1">
      <alignment horizontal="center" vertical="center"/>
    </xf>
    <xf numFmtId="0" fontId="40" fillId="8" borderId="13" xfId="0" applyNumberFormat="1" applyFont="1" applyFill="1" applyBorder="1" applyAlignment="1">
      <alignment horizontal="center" vertical="center"/>
    </xf>
    <xf numFmtId="1" fontId="40" fillId="8" borderId="80" xfId="0" applyNumberFormat="1" applyFont="1" applyFill="1" applyBorder="1" applyAlignment="1">
      <alignment horizontal="center" vertical="center"/>
    </xf>
    <xf numFmtId="11" fontId="40" fillId="8" borderId="12" xfId="0" applyNumberFormat="1" applyFont="1" applyFill="1" applyBorder="1" applyAlignment="1" applyProtection="1">
      <alignment horizontal="center" vertical="center"/>
    </xf>
    <xf numFmtId="184" fontId="40" fillId="8" borderId="14" xfId="0" applyNumberFormat="1" applyFont="1" applyFill="1" applyBorder="1" applyAlignment="1">
      <alignment horizontal="center" vertical="center"/>
    </xf>
    <xf numFmtId="41" fontId="43" fillId="8" borderId="81" xfId="0" applyNumberFormat="1" applyFont="1" applyFill="1" applyBorder="1" applyAlignment="1">
      <alignment horizontal="center" vertical="center"/>
    </xf>
    <xf numFmtId="1" fontId="44" fillId="8" borderId="2" xfId="0" applyNumberFormat="1" applyFont="1" applyFill="1" applyBorder="1" applyAlignment="1">
      <alignment horizontal="center" vertical="center"/>
    </xf>
    <xf numFmtId="11" fontId="40" fillId="8" borderId="2" xfId="0" applyNumberFormat="1" applyFont="1" applyFill="1" applyBorder="1" applyAlignment="1" applyProtection="1">
      <alignment horizontal="center" vertical="center"/>
    </xf>
    <xf numFmtId="177" fontId="40" fillId="8" borderId="2" xfId="0" applyNumberFormat="1" applyFont="1" applyFill="1" applyBorder="1" applyAlignment="1">
      <alignment horizontal="center" vertical="center"/>
    </xf>
    <xf numFmtId="177" fontId="40" fillId="8" borderId="5" xfId="0" applyNumberFormat="1" applyFont="1" applyFill="1" applyBorder="1" applyAlignment="1">
      <alignment horizontal="center" vertical="center"/>
    </xf>
    <xf numFmtId="0" fontId="40" fillId="8" borderId="15" xfId="0" applyNumberFormat="1" applyFont="1" applyFill="1" applyBorder="1" applyAlignment="1">
      <alignment horizontal="center" vertical="center"/>
    </xf>
    <xf numFmtId="0" fontId="40" fillId="8" borderId="2" xfId="0" applyNumberFormat="1" applyFont="1" applyFill="1" applyBorder="1" applyAlignment="1">
      <alignment horizontal="center" vertical="center"/>
    </xf>
    <xf numFmtId="1" fontId="40" fillId="8" borderId="5" xfId="0" applyNumberFormat="1" applyFont="1" applyFill="1" applyBorder="1" applyAlignment="1">
      <alignment horizontal="center" vertical="center"/>
    </xf>
    <xf numFmtId="11" fontId="40" fillId="8" borderId="15" xfId="0" applyNumberFormat="1" applyFont="1" applyFill="1" applyBorder="1" applyAlignment="1" applyProtection="1">
      <alignment horizontal="center" vertical="center"/>
    </xf>
    <xf numFmtId="184" fontId="40" fillId="8" borderId="16" xfId="0" applyNumberFormat="1" applyFont="1" applyFill="1" applyBorder="1" applyAlignment="1">
      <alignment horizontal="center" vertical="center"/>
    </xf>
    <xf numFmtId="41" fontId="43" fillId="8" borderId="6" xfId="0" applyNumberFormat="1" applyFont="1" applyFill="1" applyBorder="1" applyAlignment="1">
      <alignment horizontal="center" vertical="center"/>
    </xf>
    <xf numFmtId="1" fontId="44" fillId="8" borderId="82" xfId="0" applyNumberFormat="1" applyFont="1" applyFill="1" applyBorder="1" applyAlignment="1">
      <alignment horizontal="center" vertical="center"/>
    </xf>
    <xf numFmtId="2" fontId="38" fillId="13" borderId="42" xfId="0" applyNumberFormat="1" applyFont="1" applyFill="1" applyBorder="1" applyAlignment="1">
      <alignment horizontal="center" vertical="center"/>
    </xf>
    <xf numFmtId="1" fontId="44" fillId="8" borderId="83" xfId="0" applyNumberFormat="1" applyFont="1" applyFill="1" applyBorder="1" applyAlignment="1">
      <alignment horizontal="center" vertical="center"/>
    </xf>
    <xf numFmtId="1" fontId="2" fillId="13" borderId="84" xfId="2" applyNumberFormat="1" applyFill="1" applyBorder="1" applyAlignment="1" applyProtection="1">
      <alignment horizontal="center" vertical="center"/>
    </xf>
    <xf numFmtId="1" fontId="44" fillId="8" borderId="85" xfId="0" applyNumberFormat="1" applyFont="1" applyFill="1" applyBorder="1" applyAlignment="1">
      <alignment horizontal="center" vertical="center"/>
    </xf>
    <xf numFmtId="185" fontId="38" fillId="8" borderId="86" xfId="0" applyNumberFormat="1" applyFont="1" applyFill="1" applyBorder="1" applyAlignment="1" applyProtection="1">
      <alignment horizontal="right" vertical="center"/>
    </xf>
    <xf numFmtId="0" fontId="52" fillId="3" borderId="0" xfId="0" applyFont="1" applyFill="1" applyAlignment="1">
      <alignment horizontal="center" vertical="center"/>
    </xf>
    <xf numFmtId="0" fontId="53" fillId="3" borderId="0" xfId="0" applyFont="1" applyFill="1">
      <alignment vertical="center"/>
    </xf>
    <xf numFmtId="0" fontId="53" fillId="13" borderId="0" xfId="0" applyFont="1" applyFill="1">
      <alignment vertical="center"/>
    </xf>
    <xf numFmtId="0" fontId="53" fillId="3" borderId="2" xfId="0" applyFont="1" applyFill="1" applyBorder="1">
      <alignment vertical="center"/>
    </xf>
    <xf numFmtId="0" fontId="54" fillId="13" borderId="5" xfId="0" applyFont="1" applyFill="1" applyBorder="1" applyAlignment="1">
      <alignment horizontal="center" vertical="center"/>
    </xf>
    <xf numFmtId="0" fontId="54" fillId="13" borderId="6" xfId="0" applyFont="1" applyFill="1" applyBorder="1" applyAlignment="1">
      <alignment horizontal="center" vertical="center"/>
    </xf>
    <xf numFmtId="0" fontId="54" fillId="13" borderId="2" xfId="0" applyFont="1" applyFill="1" applyBorder="1" applyAlignment="1">
      <alignment horizontal="center" vertical="center"/>
    </xf>
    <xf numFmtId="0" fontId="53" fillId="5" borderId="0" xfId="0" applyFont="1" applyFill="1">
      <alignment vertical="center"/>
    </xf>
    <xf numFmtId="0" fontId="54" fillId="13" borderId="2" xfId="0" applyFont="1" applyFill="1" applyBorder="1">
      <alignment vertical="center"/>
    </xf>
    <xf numFmtId="0" fontId="54" fillId="13" borderId="3" xfId="0" applyFont="1" applyFill="1" applyBorder="1">
      <alignment vertical="center"/>
    </xf>
    <xf numFmtId="0" fontId="53" fillId="3" borderId="3" xfId="0" applyFont="1" applyFill="1" applyBorder="1">
      <alignment vertical="center"/>
    </xf>
    <xf numFmtId="0" fontId="54" fillId="13" borderId="4" xfId="0" applyFont="1" applyFill="1" applyBorder="1">
      <alignment vertical="center"/>
    </xf>
    <xf numFmtId="0" fontId="53" fillId="3" borderId="7" xfId="0" applyFont="1" applyFill="1" applyBorder="1">
      <alignment vertical="center"/>
    </xf>
    <xf numFmtId="0" fontId="53" fillId="3" borderId="8" xfId="0" applyFont="1" applyFill="1" applyBorder="1">
      <alignment vertical="center"/>
    </xf>
    <xf numFmtId="0" fontId="53" fillId="3" borderId="9" xfId="0" applyFont="1" applyFill="1" applyBorder="1">
      <alignment vertical="center"/>
    </xf>
    <xf numFmtId="0" fontId="53" fillId="3" borderId="10" xfId="0" applyFont="1" applyFill="1" applyBorder="1">
      <alignment vertical="center"/>
    </xf>
    <xf numFmtId="0" fontId="53" fillId="3" borderId="0" xfId="0" applyFont="1" applyFill="1" applyBorder="1">
      <alignment vertical="center"/>
    </xf>
    <xf numFmtId="0" fontId="53" fillId="3" borderId="11" xfId="0" applyFont="1" applyFill="1" applyBorder="1">
      <alignment vertical="center"/>
    </xf>
    <xf numFmtId="0" fontId="53" fillId="3" borderId="17" xfId="0" applyFont="1" applyFill="1" applyBorder="1">
      <alignment vertical="center"/>
    </xf>
    <xf numFmtId="0" fontId="53" fillId="3" borderId="18" xfId="0" applyFont="1" applyFill="1" applyBorder="1">
      <alignment vertical="center"/>
    </xf>
    <xf numFmtId="0" fontId="53" fillId="3" borderId="19" xfId="0" applyFont="1" applyFill="1" applyBorder="1">
      <alignment vertical="center"/>
    </xf>
    <xf numFmtId="0" fontId="53" fillId="3" borderId="0" xfId="0" applyFont="1" applyFill="1" applyAlignment="1">
      <alignment horizontal="center" vertical="center"/>
    </xf>
    <xf numFmtId="0" fontId="52" fillId="3" borderId="0" xfId="0" applyFont="1" applyFill="1">
      <alignment vertical="center"/>
    </xf>
    <xf numFmtId="0" fontId="53" fillId="3" borderId="2" xfId="0" applyFont="1" applyFill="1" applyBorder="1" applyAlignment="1">
      <alignment horizontal="center" vertical="center"/>
    </xf>
    <xf numFmtId="0" fontId="53" fillId="3" borderId="2" xfId="0" applyFont="1" applyFill="1" applyBorder="1" applyAlignment="1">
      <alignment horizontal="center" vertical="center"/>
    </xf>
    <xf numFmtId="0" fontId="54" fillId="3" borderId="2" xfId="0" applyFont="1" applyFill="1" applyBorder="1" applyAlignment="1">
      <alignment horizontal="center" vertical="center"/>
    </xf>
  </cellXfs>
  <cellStyles count="3">
    <cellStyle name="셀 확인" xfId="2" builtinId="23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8741068510538238E-2"/>
          <c:y val="2.8209719912994688E-2"/>
          <c:w val="0.84328242118177477"/>
          <c:h val="0.75332510491236726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'Chapter E1'!$B$24:$B$34</c:f>
              <c:numCache>
                <c:formatCode>General</c:formatCode>
                <c:ptCount val="11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113</c:v>
                </c:pt>
                <c:pt idx="7">
                  <c:v>133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</c:numCache>
            </c:numRef>
          </c:xVal>
          <c:yVal>
            <c:numRef>
              <c:f>'Chapter E1'!$H$24:$H$34</c:f>
              <c:numCache>
                <c:formatCode>0"Ag"</c:formatCode>
                <c:ptCount val="11"/>
                <c:pt idx="0">
                  <c:v>249.98673439962971</c:v>
                </c:pt>
                <c:pt idx="1">
                  <c:v>244.74953808756206</c:v>
                </c:pt>
                <c:pt idx="2">
                  <c:v>229.65055395001099</c:v>
                </c:pt>
                <c:pt idx="3">
                  <c:v>206.52701028051894</c:v>
                </c:pt>
                <c:pt idx="4">
                  <c:v>178.01228025067678</c:v>
                </c:pt>
                <c:pt idx="5">
                  <c:v>147.05737613356055</c:v>
                </c:pt>
                <c:pt idx="6">
                  <c:v>126.96216597874788</c:v>
                </c:pt>
                <c:pt idx="7">
                  <c:v>97.789302966958886</c:v>
                </c:pt>
                <c:pt idx="8">
                  <c:v>67.553665625000008</c:v>
                </c:pt>
                <c:pt idx="9">
                  <c:v>53.37573580246913</c:v>
                </c:pt>
                <c:pt idx="10">
                  <c:v>43.234346000000002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EAF-45E5-A2C7-9E7330CB520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'Chapter E1'!$B$38:$B$48</c:f>
              <c:numCache>
                <c:formatCode>General</c:formatCode>
                <c:ptCount val="11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113</c:v>
                </c:pt>
                <c:pt idx="7">
                  <c:v>133</c:v>
                </c:pt>
                <c:pt idx="8">
                  <c:v>160</c:v>
                </c:pt>
                <c:pt idx="9">
                  <c:v>178</c:v>
                </c:pt>
                <c:pt idx="10">
                  <c:v>200</c:v>
                </c:pt>
              </c:numCache>
            </c:numRef>
          </c:xVal>
          <c:yVal>
            <c:numRef>
              <c:f>'Chapter E1'!$H$38:$H$48</c:f>
              <c:numCache>
                <c:formatCode>0"Ag"</c:formatCode>
                <c:ptCount val="11"/>
                <c:pt idx="0">
                  <c:v>344.97473724535564</c:v>
                </c:pt>
                <c:pt idx="1">
                  <c:v>335.04109444123208</c:v>
                </c:pt>
                <c:pt idx="2">
                  <c:v>306.85628962199615</c:v>
                </c:pt>
                <c:pt idx="3">
                  <c:v>265.05130532019132</c:v>
                </c:pt>
                <c:pt idx="4">
                  <c:v>215.91500890032952</c:v>
                </c:pt>
                <c:pt idx="5">
                  <c:v>165.87986941232771</c:v>
                </c:pt>
                <c:pt idx="6">
                  <c:v>135.43533871094056</c:v>
                </c:pt>
                <c:pt idx="7">
                  <c:v>97.765494940358423</c:v>
                </c:pt>
                <c:pt idx="8">
                  <c:v>67.553665625000008</c:v>
                </c:pt>
                <c:pt idx="9">
                  <c:v>54.581929049362451</c:v>
                </c:pt>
                <c:pt idx="10">
                  <c:v>43.234346000000002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EAF-45E5-A2C7-9E7330CB52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5301119"/>
        <c:axId val="1805302367"/>
      </c:scatterChart>
      <c:valAx>
        <c:axId val="1805301119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Slenderness(Lc/r)</a:t>
                </a:r>
                <a:endParaRPr lang="ko-KR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05302367"/>
        <c:crosses val="autoZero"/>
        <c:crossBetween val="midCat"/>
      </c:valAx>
      <c:valAx>
        <c:axId val="1805302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Critical Stress, Fcr(MPa)</a:t>
                </a:r>
                <a:endParaRPr lang="ko-KR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05301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chart" Target="../charts/chart1.xml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png"/><Relationship Id="rId1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20.png"/><Relationship Id="rId13" Type="http://schemas.openxmlformats.org/officeDocument/2006/relationships/image" Target="../media/image25.png"/><Relationship Id="rId18" Type="http://schemas.openxmlformats.org/officeDocument/2006/relationships/image" Target="../media/image30.png"/><Relationship Id="rId26" Type="http://schemas.openxmlformats.org/officeDocument/2006/relationships/image" Target="../media/image38.png"/><Relationship Id="rId3" Type="http://schemas.openxmlformats.org/officeDocument/2006/relationships/image" Target="../media/image15.png"/><Relationship Id="rId21" Type="http://schemas.openxmlformats.org/officeDocument/2006/relationships/image" Target="../media/image33.png"/><Relationship Id="rId7" Type="http://schemas.openxmlformats.org/officeDocument/2006/relationships/image" Target="../media/image19.png"/><Relationship Id="rId12" Type="http://schemas.openxmlformats.org/officeDocument/2006/relationships/image" Target="../media/image24.png"/><Relationship Id="rId17" Type="http://schemas.openxmlformats.org/officeDocument/2006/relationships/image" Target="../media/image29.png"/><Relationship Id="rId25" Type="http://schemas.openxmlformats.org/officeDocument/2006/relationships/image" Target="../media/image37.png"/><Relationship Id="rId2" Type="http://schemas.openxmlformats.org/officeDocument/2006/relationships/image" Target="../media/image14.png"/><Relationship Id="rId16" Type="http://schemas.openxmlformats.org/officeDocument/2006/relationships/image" Target="../media/image28.png"/><Relationship Id="rId20" Type="http://schemas.openxmlformats.org/officeDocument/2006/relationships/image" Target="../media/image32.png"/><Relationship Id="rId29" Type="http://schemas.openxmlformats.org/officeDocument/2006/relationships/image" Target="../media/image41.png"/><Relationship Id="rId1" Type="http://schemas.openxmlformats.org/officeDocument/2006/relationships/image" Target="../media/image13.png"/><Relationship Id="rId6" Type="http://schemas.openxmlformats.org/officeDocument/2006/relationships/image" Target="../media/image18.png"/><Relationship Id="rId11" Type="http://schemas.openxmlformats.org/officeDocument/2006/relationships/image" Target="../media/image23.png"/><Relationship Id="rId24" Type="http://schemas.openxmlformats.org/officeDocument/2006/relationships/image" Target="../media/image36.png"/><Relationship Id="rId5" Type="http://schemas.openxmlformats.org/officeDocument/2006/relationships/image" Target="../media/image17.png"/><Relationship Id="rId15" Type="http://schemas.openxmlformats.org/officeDocument/2006/relationships/image" Target="../media/image27.png"/><Relationship Id="rId23" Type="http://schemas.openxmlformats.org/officeDocument/2006/relationships/image" Target="../media/image35.png"/><Relationship Id="rId28" Type="http://schemas.openxmlformats.org/officeDocument/2006/relationships/image" Target="../media/image40.png"/><Relationship Id="rId10" Type="http://schemas.openxmlformats.org/officeDocument/2006/relationships/image" Target="../media/image22.png"/><Relationship Id="rId19" Type="http://schemas.openxmlformats.org/officeDocument/2006/relationships/image" Target="../media/image31.png"/><Relationship Id="rId4" Type="http://schemas.openxmlformats.org/officeDocument/2006/relationships/image" Target="../media/image16.png"/><Relationship Id="rId9" Type="http://schemas.openxmlformats.org/officeDocument/2006/relationships/image" Target="../media/image21.png"/><Relationship Id="rId14" Type="http://schemas.openxmlformats.org/officeDocument/2006/relationships/image" Target="../media/image26.png"/><Relationship Id="rId22" Type="http://schemas.openxmlformats.org/officeDocument/2006/relationships/image" Target="../media/image34.png"/><Relationship Id="rId27" Type="http://schemas.openxmlformats.org/officeDocument/2006/relationships/image" Target="../media/image39.png"/><Relationship Id="rId30" Type="http://schemas.openxmlformats.org/officeDocument/2006/relationships/image" Target="../media/image4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2</xdr:row>
      <xdr:rowOff>0</xdr:rowOff>
    </xdr:from>
    <xdr:to>
      <xdr:col>18</xdr:col>
      <xdr:colOff>573738</xdr:colOff>
      <xdr:row>28</xdr:row>
      <xdr:rowOff>106559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24950" y="419100"/>
          <a:ext cx="4002738" cy="623113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70206</xdr:colOff>
      <xdr:row>16</xdr:row>
      <xdr:rowOff>11905</xdr:rowOff>
    </xdr:from>
    <xdr:ext cx="535781" cy="19645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/>
            <xdr:cNvSpPr txBox="1"/>
          </xdr:nvSpPr>
          <xdr:spPr>
            <a:xfrm>
              <a:off x="1441806" y="3326605"/>
              <a:ext cx="535781" cy="196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sSup>
                    <m:sSupPr>
                      <m:ctrlPr>
                        <a:rPr lang="en-US" altLang="ko-KR" sz="110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m:rPr>
                          <m:sty m:val="p"/>
                        </m:rPr>
                        <a:rPr lang="el-GR" altLang="ko-KR" sz="1100" i="1">
                          <a:latin typeface="Cambria Math" panose="02040503050406030204" pitchFamily="18" charset="0"/>
                        </a:rPr>
                        <m:t>π</m:t>
                      </m:r>
                    </m:e>
                    <m:sup>
                      <m:r>
                        <a:rPr lang="en-US" altLang="ko-KR" sz="1100" b="0" i="1">
                          <a:latin typeface="Cambria Math" panose="02040503050406030204" pitchFamily="18" charset="0"/>
                        </a:rPr>
                        <m:t>2</m:t>
                      </m:r>
                    </m:sup>
                  </m:sSup>
                </m:oMath>
              </a14:m>
              <a:r>
                <a:rPr lang="ko-KR" altLang="en-US" sz="1100"/>
                <a:t> </a:t>
              </a:r>
              <a:r>
                <a:rPr lang="en-US" altLang="ko-KR" sz="1100"/>
                <a:t>E</a:t>
              </a:r>
              <a:r>
                <a:rPr lang="en-US" altLang="ko-KR" sz="1100" baseline="0"/>
                <a:t> / </a:t>
              </a:r>
              <a14:m>
                <m:oMath xmlns:m="http://schemas.openxmlformats.org/officeDocument/2006/math">
                  <m:sSup>
                    <m:sSupPr>
                      <m:ctrlPr>
                        <a:rPr lang="en-US" altLang="ko-KR" sz="1100" i="1" baseline="0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m:rPr>
                          <m:sty m:val="p"/>
                        </m:rPr>
                        <a:rPr lang="el-GR" altLang="ko-KR" sz="1100" i="1" baseline="0">
                          <a:latin typeface="Cambria Math" panose="02040503050406030204" pitchFamily="18" charset="0"/>
                        </a:rPr>
                        <m:t>λ</m:t>
                      </m:r>
                    </m:e>
                    <m:sup>
                      <m:r>
                        <a:rPr lang="en-US" altLang="ko-KR" sz="1100" b="0" i="1" baseline="0">
                          <a:latin typeface="Cambria Math" panose="02040503050406030204" pitchFamily="18" charset="0"/>
                        </a:rPr>
                        <m:t>2</m:t>
                      </m:r>
                    </m:sup>
                  </m:sSup>
                </m:oMath>
              </a14:m>
              <a:r>
                <a:rPr lang="ko-KR" altLang="en-US" sz="1100"/>
                <a:t> </a:t>
              </a:r>
            </a:p>
          </xdr:txBody>
        </xdr:sp>
      </mc:Choice>
      <mc:Fallback>
        <xdr:sp macro="" textlink="">
          <xdr:nvSpPr>
            <xdr:cNvPr id="2" name="TextBox 1"/>
            <xdr:cNvSpPr txBox="1"/>
          </xdr:nvSpPr>
          <xdr:spPr>
            <a:xfrm>
              <a:off x="1441806" y="3326605"/>
              <a:ext cx="535781" cy="196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l-GR" altLang="ko-KR" sz="1100" i="0">
                  <a:latin typeface="Cambria Math" panose="02040503050406030204" pitchFamily="18" charset="0"/>
                </a:rPr>
                <a:t>π</a:t>
              </a:r>
              <a:r>
                <a:rPr lang="en-US" altLang="ko-KR" sz="1100" i="0">
                  <a:latin typeface="Cambria Math" panose="02040503050406030204" pitchFamily="18" charset="0"/>
                </a:rPr>
                <a:t>^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2</a:t>
              </a:r>
              <a:r>
                <a:rPr lang="ko-KR" altLang="en-US" sz="1100"/>
                <a:t> </a:t>
              </a:r>
              <a:r>
                <a:rPr lang="en-US" altLang="ko-KR" sz="1100"/>
                <a:t>E</a:t>
              </a:r>
              <a:r>
                <a:rPr lang="en-US" altLang="ko-KR" sz="1100" baseline="0"/>
                <a:t> / </a:t>
              </a:r>
              <a:r>
                <a:rPr lang="el-GR" altLang="ko-KR" sz="1100" i="0" baseline="0">
                  <a:latin typeface="Cambria Math" panose="02040503050406030204" pitchFamily="18" charset="0"/>
                </a:rPr>
                <a:t>λ</a:t>
              </a:r>
              <a:r>
                <a:rPr lang="en-US" altLang="ko-KR" sz="1100" i="0" baseline="0">
                  <a:latin typeface="Cambria Math" panose="02040503050406030204" pitchFamily="18" charset="0"/>
                </a:rPr>
                <a:t>^</a:t>
              </a:r>
              <a:r>
                <a:rPr lang="en-US" altLang="ko-KR" sz="1100" b="0" i="0" baseline="0">
                  <a:latin typeface="Cambria Math" panose="02040503050406030204" pitchFamily="18" charset="0"/>
                </a:rPr>
                <a:t>2</a:t>
              </a:r>
              <a:r>
                <a:rPr lang="ko-KR" altLang="en-US" sz="1100"/>
                <a:t> </a:t>
              </a:r>
            </a:p>
          </xdr:txBody>
        </xdr:sp>
      </mc:Fallback>
    </mc:AlternateContent>
    <xdr:clientData/>
  </xdr:oneCellAnchor>
  <xdr:oneCellAnchor>
    <xdr:from>
      <xdr:col>12</xdr:col>
      <xdr:colOff>238125</xdr:colOff>
      <xdr:row>25</xdr:row>
      <xdr:rowOff>157162</xdr:rowOff>
    </xdr:from>
    <xdr:ext cx="65" cy="344453"/>
    <xdr:sp macro="" textlink="">
      <xdr:nvSpPr>
        <xdr:cNvPr id="3" name="TextBox 2"/>
        <xdr:cNvSpPr txBox="1"/>
      </xdr:nvSpPr>
      <xdr:spPr>
        <a:xfrm>
          <a:off x="8505825" y="5091112"/>
          <a:ext cx="65" cy="34445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altLang="ko-KR" sz="1100"/>
        </a:p>
        <a:p>
          <a:endParaRPr lang="ko-KR" altLang="en-US" sz="1100"/>
        </a:p>
      </xdr:txBody>
    </xdr:sp>
    <xdr:clientData/>
  </xdr:oneCellAnchor>
  <xdr:oneCellAnchor>
    <xdr:from>
      <xdr:col>0</xdr:col>
      <xdr:colOff>657225</xdr:colOff>
      <xdr:row>17</xdr:row>
      <xdr:rowOff>61912</xdr:rowOff>
    </xdr:from>
    <xdr:ext cx="682228" cy="45467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Box 3"/>
            <xdr:cNvSpPr txBox="1"/>
          </xdr:nvSpPr>
          <xdr:spPr>
            <a:xfrm>
              <a:off x="657225" y="3548062"/>
              <a:ext cx="682228" cy="45467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000" b="0" i="1">
                        <a:latin typeface="Cambria Math" panose="02040503050406030204" pitchFamily="18" charset="0"/>
                      </a:rPr>
                      <m:t>4.71</m:t>
                    </m:r>
                    <m:rad>
                      <m:radPr>
                        <m:degHide m:val="on"/>
                        <m:ctrlPr>
                          <a:rPr lang="ko-KR" altLang="en-US" sz="10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n-US" altLang="ko-KR" sz="100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altLang="ko-KR" sz="1000" b="0" i="1">
                                <a:latin typeface="Cambria Math" panose="02040503050406030204" pitchFamily="18" charset="0"/>
                              </a:rPr>
                              <m:t>𝐸</m:t>
                            </m:r>
                          </m:num>
                          <m:den>
                            <m:r>
                              <a:rPr lang="en-US" altLang="ko-KR" sz="1000" b="0" i="1">
                                <a:latin typeface="Cambria Math" panose="02040503050406030204" pitchFamily="18" charset="0"/>
                              </a:rPr>
                              <m:t>𝐹𝑦</m:t>
                            </m:r>
                          </m:den>
                        </m:f>
                        <m:r>
                          <a:rPr lang="en-US" altLang="ko-KR" sz="1000" b="0" i="1">
                            <a:latin typeface="Cambria Math" panose="02040503050406030204" pitchFamily="18" charset="0"/>
                          </a:rPr>
                          <m:t>=</m:t>
                        </m:r>
                      </m:e>
                    </m:rad>
                  </m:oMath>
                </m:oMathPara>
              </a14:m>
              <a:endParaRPr lang="ko-KR" altLang="en-US" sz="1000"/>
            </a:p>
          </xdr:txBody>
        </xdr:sp>
      </mc:Choice>
      <mc:Fallback>
        <xdr:sp macro="" textlink="">
          <xdr:nvSpPr>
            <xdr:cNvPr id="4" name="TextBox 3"/>
            <xdr:cNvSpPr txBox="1"/>
          </xdr:nvSpPr>
          <xdr:spPr>
            <a:xfrm>
              <a:off x="657225" y="3548062"/>
              <a:ext cx="682228" cy="45467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altLang="ko-KR" sz="1000" b="0" i="0">
                  <a:latin typeface="Cambria Math" panose="02040503050406030204" pitchFamily="18" charset="0"/>
                </a:rPr>
                <a:t>4.71</a:t>
              </a:r>
              <a:r>
                <a:rPr lang="ko-KR" altLang="en-US" sz="1000" i="0">
                  <a:latin typeface="Cambria Math" panose="02040503050406030204" pitchFamily="18" charset="0"/>
                </a:rPr>
                <a:t>√(</a:t>
              </a:r>
              <a:r>
                <a:rPr lang="en-US" altLang="ko-KR" sz="1000" b="0" i="0">
                  <a:latin typeface="Cambria Math" panose="02040503050406030204" pitchFamily="18" charset="0"/>
                </a:rPr>
                <a:t>𝐸/𝐹𝑦=</a:t>
              </a:r>
              <a:r>
                <a:rPr lang="ko-KR" altLang="en-US" sz="1000" b="0" i="0">
                  <a:latin typeface="Cambria Math" panose="02040503050406030204" pitchFamily="18" charset="0"/>
                </a:rPr>
                <a:t>)</a:t>
              </a:r>
              <a:endParaRPr lang="ko-KR" altLang="en-US" sz="1000"/>
            </a:p>
          </xdr:txBody>
        </xdr:sp>
      </mc:Fallback>
    </mc:AlternateContent>
    <xdr:clientData/>
  </xdr:oneCellAnchor>
  <xdr:twoCellAnchor>
    <xdr:from>
      <xdr:col>9</xdr:col>
      <xdr:colOff>238415</xdr:colOff>
      <xdr:row>17</xdr:row>
      <xdr:rowOff>83382</xdr:rowOff>
    </xdr:from>
    <xdr:to>
      <xdr:col>16</xdr:col>
      <xdr:colOff>560294</xdr:colOff>
      <xdr:row>33</xdr:row>
      <xdr:rowOff>20479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284459</xdr:colOff>
      <xdr:row>0</xdr:row>
      <xdr:rowOff>0</xdr:rowOff>
    </xdr:from>
    <xdr:to>
      <xdr:col>13</xdr:col>
      <xdr:colOff>256310</xdr:colOff>
      <xdr:row>15</xdr:row>
      <xdr:rowOff>156882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494759" y="0"/>
          <a:ext cx="2715051" cy="3300132"/>
        </a:xfrm>
        <a:prstGeom prst="rect">
          <a:avLst/>
        </a:prstGeom>
      </xdr:spPr>
    </xdr:pic>
    <xdr:clientData/>
  </xdr:twoCellAnchor>
  <xdr:twoCellAnchor editAs="oneCell">
    <xdr:from>
      <xdr:col>0</xdr:col>
      <xdr:colOff>71604</xdr:colOff>
      <xdr:row>88</xdr:row>
      <xdr:rowOff>13322</xdr:rowOff>
    </xdr:from>
    <xdr:to>
      <xdr:col>1</xdr:col>
      <xdr:colOff>670085</xdr:colOff>
      <xdr:row>89</xdr:row>
      <xdr:rowOff>186839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1604" y="17377397"/>
          <a:ext cx="1284281" cy="383067"/>
        </a:xfrm>
        <a:prstGeom prst="rect">
          <a:avLst/>
        </a:prstGeom>
      </xdr:spPr>
    </xdr:pic>
    <xdr:clientData/>
  </xdr:twoCellAnchor>
  <xdr:twoCellAnchor editAs="oneCell">
    <xdr:from>
      <xdr:col>5</xdr:col>
      <xdr:colOff>618252</xdr:colOff>
      <xdr:row>57</xdr:row>
      <xdr:rowOff>82697</xdr:rowOff>
    </xdr:from>
    <xdr:to>
      <xdr:col>8</xdr:col>
      <xdr:colOff>250371</xdr:colOff>
      <xdr:row>63</xdr:row>
      <xdr:rowOff>15110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085352" y="10922147"/>
          <a:ext cx="1689519" cy="1189713"/>
        </a:xfrm>
        <a:prstGeom prst="rect">
          <a:avLst/>
        </a:prstGeom>
      </xdr:spPr>
    </xdr:pic>
    <xdr:clientData/>
  </xdr:twoCellAnchor>
  <xdr:twoCellAnchor editAs="oneCell">
    <xdr:from>
      <xdr:col>9</xdr:col>
      <xdr:colOff>271103</xdr:colOff>
      <xdr:row>34</xdr:row>
      <xdr:rowOff>167848</xdr:rowOff>
    </xdr:from>
    <xdr:to>
      <xdr:col>14</xdr:col>
      <xdr:colOff>136633</xdr:colOff>
      <xdr:row>63</xdr:row>
      <xdr:rowOff>15562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481403" y="6644848"/>
          <a:ext cx="3294530" cy="5467464"/>
        </a:xfrm>
        <a:prstGeom prst="rect">
          <a:avLst/>
        </a:prstGeom>
      </xdr:spPr>
    </xdr:pic>
    <xdr:clientData/>
  </xdr:twoCellAnchor>
  <xdr:twoCellAnchor editAs="oneCell">
    <xdr:from>
      <xdr:col>14</xdr:col>
      <xdr:colOff>276145</xdr:colOff>
      <xdr:row>35</xdr:row>
      <xdr:rowOff>38821</xdr:rowOff>
    </xdr:from>
    <xdr:to>
      <xdr:col>18</xdr:col>
      <xdr:colOff>580809</xdr:colOff>
      <xdr:row>71</xdr:row>
      <xdr:rowOff>154291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915445" y="6725371"/>
          <a:ext cx="3047864" cy="7202070"/>
        </a:xfrm>
        <a:prstGeom prst="rect">
          <a:avLst/>
        </a:prstGeom>
      </xdr:spPr>
    </xdr:pic>
    <xdr:clientData/>
  </xdr:twoCellAnchor>
  <xdr:twoCellAnchor editAs="oneCell">
    <xdr:from>
      <xdr:col>26</xdr:col>
      <xdr:colOff>536863</xdr:colOff>
      <xdr:row>8</xdr:row>
      <xdr:rowOff>190500</xdr:rowOff>
    </xdr:from>
    <xdr:to>
      <xdr:col>47</xdr:col>
      <xdr:colOff>98084</xdr:colOff>
      <xdr:row>56</xdr:row>
      <xdr:rowOff>136325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8405763" y="1866900"/>
          <a:ext cx="13963021" cy="8899325"/>
        </a:xfrm>
        <a:prstGeom prst="rect">
          <a:avLst/>
        </a:prstGeom>
      </xdr:spPr>
    </xdr:pic>
    <xdr:clientData/>
  </xdr:twoCellAnchor>
  <xdr:twoCellAnchor editAs="oneCell">
    <xdr:from>
      <xdr:col>26</xdr:col>
      <xdr:colOff>415637</xdr:colOff>
      <xdr:row>59</xdr:row>
      <xdr:rowOff>121227</xdr:rowOff>
    </xdr:from>
    <xdr:to>
      <xdr:col>46</xdr:col>
      <xdr:colOff>526690</xdr:colOff>
      <xdr:row>94</xdr:row>
      <xdr:rowOff>106763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8284537" y="11379777"/>
          <a:ext cx="13827053" cy="735788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357187</xdr:colOff>
      <xdr:row>27</xdr:row>
      <xdr:rowOff>95249</xdr:rowOff>
    </xdr:from>
    <xdr:to>
      <xdr:col>9</xdr:col>
      <xdr:colOff>1068841</xdr:colOff>
      <xdr:row>66</xdr:row>
      <xdr:rowOff>138545</xdr:rowOff>
    </xdr:to>
    <xdr:pic>
      <xdr:nvPicPr>
        <xdr:cNvPr id="2" name="그림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862137" y="14592299"/>
          <a:ext cx="8379279" cy="6920346"/>
        </a:xfrm>
        <a:prstGeom prst="rect">
          <a:avLst/>
        </a:prstGeom>
      </xdr:spPr>
    </xdr:pic>
    <xdr:clientData/>
  </xdr:twoCellAnchor>
  <xdr:twoCellAnchor editAs="oneCell">
    <xdr:from>
      <xdr:col>14</xdr:col>
      <xdr:colOff>247650</xdr:colOff>
      <xdr:row>29</xdr:row>
      <xdr:rowOff>71437</xdr:rowOff>
    </xdr:from>
    <xdr:to>
      <xdr:col>18</xdr:col>
      <xdr:colOff>930728</xdr:colOff>
      <xdr:row>60</xdr:row>
      <xdr:rowOff>119062</xdr:rowOff>
    </xdr:to>
    <xdr:pic>
      <xdr:nvPicPr>
        <xdr:cNvPr id="3" name="그림 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4897100" y="14930437"/>
          <a:ext cx="5064578" cy="5476875"/>
        </a:xfrm>
        <a:prstGeom prst="rect">
          <a:avLst/>
        </a:prstGeom>
      </xdr:spPr>
    </xdr:pic>
    <xdr:clientData/>
  </xdr:twoCellAnchor>
  <xdr:twoCellAnchor editAs="oneCell">
    <xdr:from>
      <xdr:col>1</xdr:col>
      <xdr:colOff>1014413</xdr:colOff>
      <xdr:row>73</xdr:row>
      <xdr:rowOff>14287</xdr:rowOff>
    </xdr:from>
    <xdr:to>
      <xdr:col>13</xdr:col>
      <xdr:colOff>553131</xdr:colOff>
      <xdr:row>117</xdr:row>
      <xdr:rowOff>166688</xdr:rowOff>
    </xdr:to>
    <xdr:pic>
      <xdr:nvPicPr>
        <xdr:cNvPr id="4" name="그림 5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tretch>
          <a:fillRect/>
        </a:stretch>
      </xdr:blipFill>
      <xdr:spPr>
        <a:xfrm>
          <a:off x="1423988" y="22655212"/>
          <a:ext cx="12683218" cy="9315451"/>
        </a:xfrm>
        <a:prstGeom prst="rect">
          <a:avLst/>
        </a:prstGeom>
      </xdr:spPr>
    </xdr:pic>
    <xdr:clientData/>
  </xdr:twoCellAnchor>
  <xdr:oneCellAnchor>
    <xdr:from>
      <xdr:col>25</xdr:col>
      <xdr:colOff>886548</xdr:colOff>
      <xdr:row>8</xdr:row>
      <xdr:rowOff>277234</xdr:rowOff>
    </xdr:from>
    <xdr:ext cx="172227" cy="26199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453CFCF2-302C-403C-8963-8BFEA2DC863C}"/>
                </a:ext>
              </a:extLst>
            </xdr:cNvPr>
            <xdr:cNvSpPr txBox="1"/>
          </xdr:nvSpPr>
          <xdr:spPr>
            <a:xfrm rot="5869432">
              <a:off x="28311764" y="6199043"/>
              <a:ext cx="261995" cy="172227"/>
            </a:xfrm>
            <a:prstGeom prst="rect">
              <a:avLst/>
            </a:prstGeom>
          </xdr:spPr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bPr>
                      <m:e/>
                      <m:sub/>
                    </m:sSub>
                  </m:oMath>
                </m:oMathPara>
              </a14:m>
              <a:endParaRPr lang="ko-KR" altLang="en-US" sz="1100"/>
            </a:p>
          </xdr:txBody>
        </xdr:sp>
      </mc:Choice>
      <mc:Fallback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453CFCF2-302C-403C-8963-8BFEA2DC863C}"/>
                </a:ext>
              </a:extLst>
            </xdr:cNvPr>
            <xdr:cNvSpPr txBox="1"/>
          </xdr:nvSpPr>
          <xdr:spPr>
            <a:xfrm rot="5869432">
              <a:off x="28311764" y="6199043"/>
              <a:ext cx="261995" cy="172227"/>
            </a:xfrm>
            <a:prstGeom prst="rect">
              <a:avLst/>
            </a:prstGeom>
          </xdr:spPr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1100" i="0">
                  <a:latin typeface="Cambria Math" panose="02040503050406030204" pitchFamily="18" charset="0"/>
                </a:rPr>
                <a:t>〖_</a:t>
              </a:r>
              <a:r>
                <a:rPr lang="ko-KR" altLang="en-US" sz="1100" i="0">
                  <a:latin typeface="Cambria Math" panose="02040503050406030204" pitchFamily="18" charset="0"/>
                </a:rPr>
                <a:t>〗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25</xdr:col>
      <xdr:colOff>841664</xdr:colOff>
      <xdr:row>8</xdr:row>
      <xdr:rowOff>322118</xdr:rowOff>
    </xdr:from>
    <xdr:ext cx="1565564" cy="147897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71BE7AC7-96DE-4437-ABC5-52E965215267}"/>
                </a:ext>
              </a:extLst>
            </xdr:cNvPr>
            <xdr:cNvSpPr txBox="1"/>
          </xdr:nvSpPr>
          <xdr:spPr>
            <a:xfrm>
              <a:off x="28311764" y="6199043"/>
              <a:ext cx="1565564" cy="1478973"/>
            </a:xfrm>
            <a:prstGeom prst="rect">
              <a:avLst/>
            </a:prstGeom>
          </xdr:spPr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bPr>
                      <m:e/>
                      <m:sub/>
                    </m:sSub>
                  </m:oMath>
                </m:oMathPara>
              </a14:m>
              <a:endParaRPr lang="ko-KR" altLang="en-US" sz="1100"/>
            </a:p>
          </xdr:txBody>
        </xdr:sp>
      </mc:Choice>
      <mc:Fallback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71BE7AC7-96DE-4437-ABC5-52E965215267}"/>
                </a:ext>
              </a:extLst>
            </xdr:cNvPr>
            <xdr:cNvSpPr txBox="1"/>
          </xdr:nvSpPr>
          <xdr:spPr>
            <a:xfrm>
              <a:off x="28311764" y="6199043"/>
              <a:ext cx="1565564" cy="1478973"/>
            </a:xfrm>
            <a:prstGeom prst="rect">
              <a:avLst/>
            </a:prstGeom>
          </xdr:spPr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altLang="ko-KR" sz="1100" i="0">
                  <a:latin typeface="Cambria Math" panose="02040503050406030204" pitchFamily="18" charset="0"/>
                </a:rPr>
                <a:t>〖_</a:t>
              </a:r>
              <a:r>
                <a:rPr lang="ko-KR" altLang="en-US" sz="1100" i="0">
                  <a:latin typeface="Cambria Math" panose="02040503050406030204" pitchFamily="18" charset="0"/>
                </a:rPr>
                <a:t>〗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36</xdr:col>
      <xdr:colOff>23812</xdr:colOff>
      <xdr:row>3</xdr:row>
      <xdr:rowOff>54769</xdr:rowOff>
    </xdr:from>
    <xdr:ext cx="1347788" cy="89773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" name="TextBox 6"/>
            <xdr:cNvSpPr txBox="1"/>
          </xdr:nvSpPr>
          <xdr:spPr>
            <a:xfrm>
              <a:off x="40628887" y="2864644"/>
              <a:ext cx="1347788" cy="897731"/>
            </a:xfrm>
            <a:prstGeom prst="rect">
              <a:avLst/>
            </a:prstGeom>
          </xdr:spPr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20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l-GR" altLang="ko-KR" sz="2000" i="1">
                            <a:latin typeface="Cambria Math" panose="02040503050406030204" pitchFamily="18" charset="0"/>
                          </a:rPr>
                          <m:t>𝜆</m:t>
                        </m:r>
                      </m:e>
                      <m:sub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𝑟</m:t>
                        </m:r>
                      </m:sub>
                    </m:sSub>
                    <m:rad>
                      <m:radPr>
                        <m:degHide m:val="on"/>
                        <m:ctrlPr>
                          <a:rPr lang="en-US" altLang="ko-KR" sz="20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n-US" altLang="ko-KR" sz="200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en-US" altLang="ko-KR" sz="200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altLang="ko-KR" sz="2000" b="0" i="1">
                                    <a:latin typeface="Cambria Math" panose="02040503050406030204" pitchFamily="18" charset="0"/>
                                  </a:rPr>
                                  <m:t>𝐹</m:t>
                                </m:r>
                              </m:e>
                              <m:sub>
                                <m:r>
                                  <a:rPr lang="en-US" altLang="ko-KR" sz="2000" b="0" i="1">
                                    <a:latin typeface="Cambria Math" panose="02040503050406030204" pitchFamily="18" charset="0"/>
                                  </a:rPr>
                                  <m:t>𝑦</m:t>
                                </m:r>
                              </m:sub>
                            </m:sSub>
                          </m:num>
                          <m:den>
                            <m:sSub>
                              <m:sSubPr>
                                <m:ctrlPr>
                                  <a:rPr lang="en-US" altLang="ko-KR" sz="200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altLang="ko-KR" sz="2000" b="0" i="1">
                                    <a:latin typeface="Cambria Math" panose="02040503050406030204" pitchFamily="18" charset="0"/>
                                  </a:rPr>
                                  <m:t>𝐹</m:t>
                                </m:r>
                              </m:e>
                              <m:sub>
                                <m:r>
                                  <a:rPr lang="en-US" altLang="ko-KR" sz="2000" b="0" i="1">
                                    <a:latin typeface="Cambria Math" panose="02040503050406030204" pitchFamily="18" charset="0"/>
                                  </a:rPr>
                                  <m:t>𝑐𝑟</m:t>
                                </m:r>
                              </m:sub>
                            </m:sSub>
                          </m:den>
                        </m:f>
                      </m:e>
                    </m:rad>
                  </m:oMath>
                </m:oMathPara>
              </a14:m>
              <a:endParaRPr lang="ko-KR" altLang="en-US" sz="2000"/>
            </a:p>
          </xdr:txBody>
        </xdr:sp>
      </mc:Choice>
      <mc:Fallback>
        <xdr:sp macro="" textlink="">
          <xdr:nvSpPr>
            <xdr:cNvPr id="7" name="TextBox 6"/>
            <xdr:cNvSpPr txBox="1"/>
          </xdr:nvSpPr>
          <xdr:spPr>
            <a:xfrm>
              <a:off x="40628887" y="2864644"/>
              <a:ext cx="1347788" cy="897731"/>
            </a:xfrm>
            <a:prstGeom prst="rect">
              <a:avLst/>
            </a:prstGeom>
          </xdr:spPr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l-GR" altLang="ko-KR" sz="2000" i="0">
                  <a:latin typeface="Cambria Math" panose="02040503050406030204" pitchFamily="18" charset="0"/>
                </a:rPr>
                <a:t>𝜆</a:t>
              </a:r>
              <a:r>
                <a:rPr lang="en-US" altLang="ko-KR" sz="2000" i="0">
                  <a:latin typeface="Cambria Math" panose="02040503050406030204" pitchFamily="18" charset="0"/>
                </a:rPr>
                <a:t>_</a:t>
              </a:r>
              <a:r>
                <a:rPr lang="en-US" altLang="ko-KR" sz="2000" b="0" i="0">
                  <a:latin typeface="Cambria Math" panose="02040503050406030204" pitchFamily="18" charset="0"/>
                </a:rPr>
                <a:t>𝑟 </a:t>
              </a:r>
              <a:r>
                <a:rPr lang="en-US" altLang="ko-KR" sz="2000" i="0">
                  <a:latin typeface="Cambria Math" panose="02040503050406030204" pitchFamily="18" charset="0"/>
                </a:rPr>
                <a:t>√(</a:t>
              </a:r>
              <a:r>
                <a:rPr lang="en-US" altLang="ko-KR" sz="2000" b="0" i="0">
                  <a:latin typeface="Cambria Math" panose="02040503050406030204" pitchFamily="18" charset="0"/>
                </a:rPr>
                <a:t>𝐹_𝑦/𝐹_𝑐𝑟 )</a:t>
              </a:r>
              <a:endParaRPr lang="ko-KR" altLang="en-US" sz="2000"/>
            </a:p>
          </xdr:txBody>
        </xdr:sp>
      </mc:Fallback>
    </mc:AlternateContent>
    <xdr:clientData/>
  </xdr:oneCellAnchor>
  <xdr:oneCellAnchor>
    <xdr:from>
      <xdr:col>36</xdr:col>
      <xdr:colOff>549088</xdr:colOff>
      <xdr:row>4</xdr:row>
      <xdr:rowOff>338108</xdr:rowOff>
    </xdr:from>
    <xdr:ext cx="218895" cy="162032"/>
    <xdr:sp macro="" textlink="">
      <xdr:nvSpPr>
        <xdr:cNvPr id="8" name="TextBox 7"/>
        <xdr:cNvSpPr txBox="1"/>
      </xdr:nvSpPr>
      <xdr:spPr>
        <a:xfrm flipV="1">
          <a:off x="41154163" y="4195733"/>
          <a:ext cx="218895" cy="162032"/>
        </a:xfrm>
        <a:prstGeom prst="rect">
          <a:avLst/>
        </a:prstGeom>
      </xdr:spPr>
      <xdr:txBody>
        <a:bodyPr vertOverflow="clip" horzOverflow="clip" wrap="square" lIns="0" tIns="0" rIns="0" bIns="0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35</xdr:col>
      <xdr:colOff>506506</xdr:colOff>
      <xdr:row>3</xdr:row>
      <xdr:rowOff>344021</xdr:rowOff>
    </xdr:from>
    <xdr:ext cx="838201" cy="31527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9" name="TextBox 8"/>
            <xdr:cNvSpPr txBox="1"/>
          </xdr:nvSpPr>
          <xdr:spPr>
            <a:xfrm>
              <a:off x="39501856" y="3153896"/>
              <a:ext cx="838201" cy="315279"/>
            </a:xfrm>
            <a:prstGeom prst="rect">
              <a:avLst/>
            </a:prstGeom>
          </xdr:spPr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20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l-GR" altLang="ko-KR" sz="2000" i="1">
                            <a:latin typeface="Cambria Math" panose="02040503050406030204" pitchFamily="18" charset="0"/>
                          </a:rPr>
                          <m:t>𝜆</m:t>
                        </m:r>
                      </m:e>
                      <m:sub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𝑟</m:t>
                        </m:r>
                      </m:sub>
                    </m:sSub>
                  </m:oMath>
                </m:oMathPara>
              </a14:m>
              <a:endParaRPr lang="ko-KR" altLang="en-US" sz="2000"/>
            </a:p>
          </xdr:txBody>
        </xdr:sp>
      </mc:Choice>
      <mc:Fallback>
        <xdr:sp macro="" textlink="">
          <xdr:nvSpPr>
            <xdr:cNvPr id="9" name="TextBox 8"/>
            <xdr:cNvSpPr txBox="1"/>
          </xdr:nvSpPr>
          <xdr:spPr>
            <a:xfrm>
              <a:off x="39501856" y="3153896"/>
              <a:ext cx="838201" cy="315279"/>
            </a:xfrm>
            <a:prstGeom prst="rect">
              <a:avLst/>
            </a:prstGeom>
          </xdr:spPr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l-GR" altLang="ko-KR" sz="2000" i="0">
                  <a:latin typeface="Cambria Math" panose="02040503050406030204" pitchFamily="18" charset="0"/>
                </a:rPr>
                <a:t>𝜆</a:t>
              </a:r>
              <a:r>
                <a:rPr lang="en-US" altLang="ko-KR" sz="2000" i="0">
                  <a:latin typeface="Cambria Math" panose="02040503050406030204" pitchFamily="18" charset="0"/>
                </a:rPr>
                <a:t>_</a:t>
              </a:r>
              <a:r>
                <a:rPr lang="en-US" altLang="ko-KR" sz="2000" b="0" i="0">
                  <a:latin typeface="Cambria Math" panose="02040503050406030204" pitchFamily="18" charset="0"/>
                </a:rPr>
                <a:t>𝑟</a:t>
              </a:r>
              <a:endParaRPr lang="ko-KR" altLang="en-US" sz="2000"/>
            </a:p>
          </xdr:txBody>
        </xdr:sp>
      </mc:Fallback>
    </mc:AlternateContent>
    <xdr:clientData/>
  </xdr:oneCellAnchor>
  <xdr:oneCellAnchor>
    <xdr:from>
      <xdr:col>37</xdr:col>
      <xdr:colOff>381000</xdr:colOff>
      <xdr:row>3</xdr:row>
      <xdr:rowOff>358588</xdr:rowOff>
    </xdr:from>
    <xdr:ext cx="838201" cy="34701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0" name="TextBox 9"/>
            <xdr:cNvSpPr txBox="1"/>
          </xdr:nvSpPr>
          <xdr:spPr>
            <a:xfrm>
              <a:off x="42595800" y="3168463"/>
              <a:ext cx="838201" cy="347018"/>
            </a:xfrm>
            <a:prstGeom prst="rect">
              <a:avLst/>
            </a:prstGeom>
          </xdr:spPr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20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l-GR" altLang="ko-KR" sz="2000" i="1">
                            <a:latin typeface="Cambria Math" panose="02040503050406030204" pitchFamily="18" charset="0"/>
                          </a:rPr>
                          <m:t>𝜆</m:t>
                        </m:r>
                      </m:e>
                      <m:sub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𝑓</m:t>
                        </m:r>
                      </m:sub>
                    </m:sSub>
                  </m:oMath>
                </m:oMathPara>
              </a14:m>
              <a:endParaRPr lang="ko-KR" altLang="en-US" sz="2000"/>
            </a:p>
          </xdr:txBody>
        </xdr:sp>
      </mc:Choice>
      <mc:Fallback>
        <xdr:sp macro="" textlink="">
          <xdr:nvSpPr>
            <xdr:cNvPr id="10" name="TextBox 9"/>
            <xdr:cNvSpPr txBox="1"/>
          </xdr:nvSpPr>
          <xdr:spPr>
            <a:xfrm>
              <a:off x="42595800" y="3168463"/>
              <a:ext cx="838201" cy="347018"/>
            </a:xfrm>
            <a:prstGeom prst="rect">
              <a:avLst/>
            </a:prstGeom>
          </xdr:spPr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l-GR" altLang="ko-KR" sz="2000" i="0">
                  <a:latin typeface="Cambria Math" panose="02040503050406030204" pitchFamily="18" charset="0"/>
                </a:rPr>
                <a:t>𝜆</a:t>
              </a:r>
              <a:r>
                <a:rPr lang="en-US" altLang="ko-KR" sz="2000" i="0">
                  <a:latin typeface="Cambria Math" panose="02040503050406030204" pitchFamily="18" charset="0"/>
                </a:rPr>
                <a:t>_</a:t>
              </a:r>
              <a:r>
                <a:rPr lang="en-US" altLang="ko-KR" sz="2000" b="0" i="0">
                  <a:latin typeface="Cambria Math" panose="02040503050406030204" pitchFamily="18" charset="0"/>
                </a:rPr>
                <a:t>𝑓</a:t>
              </a:r>
              <a:endParaRPr lang="ko-KR" altLang="en-US" sz="2000"/>
            </a:p>
          </xdr:txBody>
        </xdr:sp>
      </mc:Fallback>
    </mc:AlternateContent>
    <xdr:clientData/>
  </xdr:oneCellAnchor>
  <xdr:oneCellAnchor>
    <xdr:from>
      <xdr:col>40</xdr:col>
      <xdr:colOff>403412</xdr:colOff>
      <xdr:row>3</xdr:row>
      <xdr:rowOff>358588</xdr:rowOff>
    </xdr:from>
    <xdr:ext cx="838201" cy="31527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1" name="TextBox 10"/>
            <xdr:cNvSpPr txBox="1"/>
          </xdr:nvSpPr>
          <xdr:spPr>
            <a:xfrm>
              <a:off x="47447387" y="3168463"/>
              <a:ext cx="838201" cy="315279"/>
            </a:xfrm>
            <a:prstGeom prst="rect">
              <a:avLst/>
            </a:prstGeom>
          </xdr:spPr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20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𝑒𝑙</m:t>
                        </m:r>
                      </m:sub>
                    </m:sSub>
                  </m:oMath>
                </m:oMathPara>
              </a14:m>
              <a:endParaRPr lang="ko-KR" altLang="en-US" sz="2000"/>
            </a:p>
          </xdr:txBody>
        </xdr:sp>
      </mc:Choice>
      <mc:Fallback>
        <xdr:sp macro="" textlink="">
          <xdr:nvSpPr>
            <xdr:cNvPr id="11" name="TextBox 10"/>
            <xdr:cNvSpPr txBox="1"/>
          </xdr:nvSpPr>
          <xdr:spPr>
            <a:xfrm>
              <a:off x="47447387" y="3168463"/>
              <a:ext cx="838201" cy="315279"/>
            </a:xfrm>
            <a:prstGeom prst="rect">
              <a:avLst/>
            </a:prstGeom>
          </xdr:spPr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altLang="ko-KR" sz="2000" b="0" i="0">
                  <a:latin typeface="Cambria Math" panose="02040503050406030204" pitchFamily="18" charset="0"/>
                </a:rPr>
                <a:t>𝐹_𝑒𝑙</a:t>
              </a:r>
              <a:endParaRPr lang="ko-KR" altLang="en-US" sz="2000"/>
            </a:p>
          </xdr:txBody>
        </xdr:sp>
      </mc:Fallback>
    </mc:AlternateContent>
    <xdr:clientData/>
  </xdr:oneCellAnchor>
  <xdr:oneCellAnchor>
    <xdr:from>
      <xdr:col>41</xdr:col>
      <xdr:colOff>0</xdr:colOff>
      <xdr:row>3</xdr:row>
      <xdr:rowOff>0</xdr:rowOff>
    </xdr:from>
    <xdr:ext cx="1347788" cy="89773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2" name="TextBox 11"/>
            <xdr:cNvSpPr txBox="1"/>
          </xdr:nvSpPr>
          <xdr:spPr>
            <a:xfrm>
              <a:off x="48653700" y="2809875"/>
              <a:ext cx="1347788" cy="897731"/>
            </a:xfrm>
            <a:prstGeom prst="rect">
              <a:avLst/>
            </a:prstGeom>
          </xdr:spPr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20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n-US" altLang="ko-KR" sz="200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en-US" altLang="ko-KR" sz="200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altLang="ko-KR" sz="2000" b="0" i="1">
                                    <a:latin typeface="Cambria Math" panose="02040503050406030204" pitchFamily="18" charset="0"/>
                                  </a:rPr>
                                  <m:t>𝐹</m:t>
                                </m:r>
                              </m:e>
                              <m:sub>
                                <m:r>
                                  <a:rPr lang="en-US" altLang="ko-KR" sz="2000" b="0" i="1">
                                    <a:latin typeface="Cambria Math" panose="02040503050406030204" pitchFamily="18" charset="0"/>
                                  </a:rPr>
                                  <m:t>𝑒𝑙</m:t>
                                </m:r>
                              </m:sub>
                            </m:sSub>
                          </m:num>
                          <m:den>
                            <m:sSub>
                              <m:sSubPr>
                                <m:ctrlPr>
                                  <a:rPr lang="en-US" altLang="ko-KR" sz="200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altLang="ko-KR" sz="2000" b="0" i="1">
                                    <a:latin typeface="Cambria Math" panose="02040503050406030204" pitchFamily="18" charset="0"/>
                                  </a:rPr>
                                  <m:t>𝐹</m:t>
                                </m:r>
                              </m:e>
                              <m:sub>
                                <m:r>
                                  <a:rPr lang="en-US" altLang="ko-KR" sz="2000" b="0" i="1">
                                    <a:latin typeface="Cambria Math" panose="02040503050406030204" pitchFamily="18" charset="0"/>
                                  </a:rPr>
                                  <m:t>𝑐𝑟</m:t>
                                </m:r>
                              </m:sub>
                            </m:sSub>
                          </m:den>
                        </m:f>
                      </m:e>
                    </m:rad>
                  </m:oMath>
                </m:oMathPara>
              </a14:m>
              <a:endParaRPr lang="ko-KR" altLang="en-US" sz="2000"/>
            </a:p>
          </xdr:txBody>
        </xdr:sp>
      </mc:Choice>
      <mc:Fallback>
        <xdr:sp macro="" textlink="">
          <xdr:nvSpPr>
            <xdr:cNvPr id="12" name="TextBox 11"/>
            <xdr:cNvSpPr txBox="1"/>
          </xdr:nvSpPr>
          <xdr:spPr>
            <a:xfrm>
              <a:off x="48653700" y="2809875"/>
              <a:ext cx="1347788" cy="897731"/>
            </a:xfrm>
            <a:prstGeom prst="rect">
              <a:avLst/>
            </a:prstGeom>
          </xdr:spPr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altLang="ko-KR" sz="2000" i="0">
                  <a:latin typeface="Cambria Math" panose="02040503050406030204" pitchFamily="18" charset="0"/>
                </a:rPr>
                <a:t>√(</a:t>
              </a:r>
              <a:r>
                <a:rPr lang="en-US" altLang="ko-KR" sz="2000" b="0" i="0">
                  <a:latin typeface="Cambria Math" panose="02040503050406030204" pitchFamily="18" charset="0"/>
                </a:rPr>
                <a:t>𝐹_𝑒𝑙/𝐹_𝑐𝑟 )</a:t>
              </a:r>
              <a:endParaRPr lang="ko-KR" altLang="en-US" sz="2000"/>
            </a:p>
          </xdr:txBody>
        </xdr:sp>
      </mc:Fallback>
    </mc:AlternateContent>
    <xdr:clientData/>
  </xdr:oneCellAnchor>
  <xdr:oneCellAnchor>
    <xdr:from>
      <xdr:col>44</xdr:col>
      <xdr:colOff>23812</xdr:colOff>
      <xdr:row>3</xdr:row>
      <xdr:rowOff>54769</xdr:rowOff>
    </xdr:from>
    <xdr:ext cx="1347788" cy="89773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3" name="TextBox 12"/>
            <xdr:cNvSpPr txBox="1"/>
          </xdr:nvSpPr>
          <xdr:spPr>
            <a:xfrm>
              <a:off x="53506687" y="2864644"/>
              <a:ext cx="1347788" cy="897731"/>
            </a:xfrm>
            <a:prstGeom prst="rect">
              <a:avLst/>
            </a:prstGeom>
          </xdr:spPr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20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l-GR" altLang="ko-KR" sz="2000" i="1">
                            <a:latin typeface="Cambria Math" panose="02040503050406030204" pitchFamily="18" charset="0"/>
                          </a:rPr>
                          <m:t>𝜆</m:t>
                        </m:r>
                      </m:e>
                      <m:sub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𝑟</m:t>
                        </m:r>
                      </m:sub>
                    </m:sSub>
                    <m:rad>
                      <m:radPr>
                        <m:degHide m:val="on"/>
                        <m:ctrlPr>
                          <a:rPr lang="en-US" altLang="ko-KR" sz="20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n-US" altLang="ko-KR" sz="200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en-US" altLang="ko-KR" sz="200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altLang="ko-KR" sz="2000" b="0" i="1">
                                    <a:latin typeface="Cambria Math" panose="02040503050406030204" pitchFamily="18" charset="0"/>
                                  </a:rPr>
                                  <m:t>𝐹</m:t>
                                </m:r>
                              </m:e>
                              <m:sub>
                                <m:r>
                                  <a:rPr lang="en-US" altLang="ko-KR" sz="2000" b="0" i="1">
                                    <a:latin typeface="Cambria Math" panose="02040503050406030204" pitchFamily="18" charset="0"/>
                                  </a:rPr>
                                  <m:t>𝑦</m:t>
                                </m:r>
                              </m:sub>
                            </m:sSub>
                          </m:num>
                          <m:den>
                            <m:sSub>
                              <m:sSubPr>
                                <m:ctrlPr>
                                  <a:rPr lang="en-US" altLang="ko-KR" sz="200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altLang="ko-KR" sz="2000" b="0" i="1">
                                    <a:latin typeface="Cambria Math" panose="02040503050406030204" pitchFamily="18" charset="0"/>
                                  </a:rPr>
                                  <m:t>𝐹</m:t>
                                </m:r>
                              </m:e>
                              <m:sub>
                                <m:r>
                                  <a:rPr lang="en-US" altLang="ko-KR" sz="2000" b="0" i="1">
                                    <a:latin typeface="Cambria Math" panose="02040503050406030204" pitchFamily="18" charset="0"/>
                                  </a:rPr>
                                  <m:t>𝑐𝑟</m:t>
                                </m:r>
                              </m:sub>
                            </m:sSub>
                          </m:den>
                        </m:f>
                      </m:e>
                    </m:rad>
                  </m:oMath>
                </m:oMathPara>
              </a14:m>
              <a:endParaRPr lang="ko-KR" altLang="en-US" sz="2000"/>
            </a:p>
          </xdr:txBody>
        </xdr:sp>
      </mc:Choice>
      <mc:Fallback>
        <xdr:sp macro="" textlink="">
          <xdr:nvSpPr>
            <xdr:cNvPr id="13" name="TextBox 12"/>
            <xdr:cNvSpPr txBox="1"/>
          </xdr:nvSpPr>
          <xdr:spPr>
            <a:xfrm>
              <a:off x="53506687" y="2864644"/>
              <a:ext cx="1347788" cy="897731"/>
            </a:xfrm>
            <a:prstGeom prst="rect">
              <a:avLst/>
            </a:prstGeom>
          </xdr:spPr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l-GR" altLang="ko-KR" sz="2000" i="0">
                  <a:latin typeface="Cambria Math" panose="02040503050406030204" pitchFamily="18" charset="0"/>
                </a:rPr>
                <a:t>𝜆</a:t>
              </a:r>
              <a:r>
                <a:rPr lang="en-US" altLang="ko-KR" sz="2000" i="0">
                  <a:latin typeface="Cambria Math" panose="02040503050406030204" pitchFamily="18" charset="0"/>
                </a:rPr>
                <a:t>_</a:t>
              </a:r>
              <a:r>
                <a:rPr lang="en-US" altLang="ko-KR" sz="2000" b="0" i="0">
                  <a:latin typeface="Cambria Math" panose="02040503050406030204" pitchFamily="18" charset="0"/>
                </a:rPr>
                <a:t>𝑟 </a:t>
              </a:r>
              <a:r>
                <a:rPr lang="en-US" altLang="ko-KR" sz="2000" i="0">
                  <a:latin typeface="Cambria Math" panose="02040503050406030204" pitchFamily="18" charset="0"/>
                </a:rPr>
                <a:t>√(</a:t>
              </a:r>
              <a:r>
                <a:rPr lang="en-US" altLang="ko-KR" sz="2000" b="0" i="0">
                  <a:latin typeface="Cambria Math" panose="02040503050406030204" pitchFamily="18" charset="0"/>
                </a:rPr>
                <a:t>𝐹_𝑦/𝐹_𝑐𝑟 )</a:t>
              </a:r>
              <a:endParaRPr lang="ko-KR" altLang="en-US" sz="2000"/>
            </a:p>
          </xdr:txBody>
        </xdr:sp>
      </mc:Fallback>
    </mc:AlternateContent>
    <xdr:clientData/>
  </xdr:oneCellAnchor>
  <xdr:oneCellAnchor>
    <xdr:from>
      <xdr:col>43</xdr:col>
      <xdr:colOff>357187</xdr:colOff>
      <xdr:row>3</xdr:row>
      <xdr:rowOff>309562</xdr:rowOff>
    </xdr:from>
    <xdr:ext cx="838201" cy="31527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4" name="TextBox 13"/>
            <xdr:cNvSpPr txBox="1"/>
          </xdr:nvSpPr>
          <xdr:spPr>
            <a:xfrm>
              <a:off x="52230337" y="3119437"/>
              <a:ext cx="838201" cy="315279"/>
            </a:xfrm>
            <a:prstGeom prst="rect">
              <a:avLst/>
            </a:prstGeom>
          </xdr:spPr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20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l-GR" altLang="ko-KR" sz="2000" i="1">
                            <a:latin typeface="Cambria Math" panose="02040503050406030204" pitchFamily="18" charset="0"/>
                          </a:rPr>
                          <m:t>𝜆</m:t>
                        </m:r>
                      </m:e>
                      <m:sub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𝑟</m:t>
                        </m:r>
                      </m:sub>
                    </m:sSub>
                  </m:oMath>
                </m:oMathPara>
              </a14:m>
              <a:endParaRPr lang="ko-KR" altLang="en-US" sz="2000"/>
            </a:p>
          </xdr:txBody>
        </xdr:sp>
      </mc:Choice>
      <mc:Fallback>
        <xdr:sp macro="" textlink="">
          <xdr:nvSpPr>
            <xdr:cNvPr id="14" name="TextBox 13"/>
            <xdr:cNvSpPr txBox="1"/>
          </xdr:nvSpPr>
          <xdr:spPr>
            <a:xfrm>
              <a:off x="52230337" y="3119437"/>
              <a:ext cx="838201" cy="315279"/>
            </a:xfrm>
            <a:prstGeom prst="rect">
              <a:avLst/>
            </a:prstGeom>
          </xdr:spPr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l-GR" altLang="ko-KR" sz="2000" i="0">
                  <a:latin typeface="Cambria Math" panose="02040503050406030204" pitchFamily="18" charset="0"/>
                </a:rPr>
                <a:t>𝜆</a:t>
              </a:r>
              <a:r>
                <a:rPr lang="en-US" altLang="ko-KR" sz="2000" i="0">
                  <a:latin typeface="Cambria Math" panose="02040503050406030204" pitchFamily="18" charset="0"/>
                </a:rPr>
                <a:t>_</a:t>
              </a:r>
              <a:r>
                <a:rPr lang="en-US" altLang="ko-KR" sz="2000" b="0" i="0">
                  <a:latin typeface="Cambria Math" panose="02040503050406030204" pitchFamily="18" charset="0"/>
                </a:rPr>
                <a:t>𝑟</a:t>
              </a:r>
              <a:endParaRPr lang="ko-KR" altLang="en-US" sz="2000"/>
            </a:p>
          </xdr:txBody>
        </xdr:sp>
      </mc:Fallback>
    </mc:AlternateContent>
    <xdr:clientData/>
  </xdr:oneCellAnchor>
  <xdr:oneCellAnchor>
    <xdr:from>
      <xdr:col>45</xdr:col>
      <xdr:colOff>404812</xdr:colOff>
      <xdr:row>3</xdr:row>
      <xdr:rowOff>285750</xdr:rowOff>
    </xdr:from>
    <xdr:ext cx="838201" cy="31527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5" name="TextBox 14"/>
            <xdr:cNvSpPr txBox="1"/>
          </xdr:nvSpPr>
          <xdr:spPr>
            <a:xfrm>
              <a:off x="55497412" y="3095625"/>
              <a:ext cx="838201" cy="315279"/>
            </a:xfrm>
            <a:prstGeom prst="rect">
              <a:avLst/>
            </a:prstGeom>
          </xdr:spPr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20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l-GR" altLang="ko-KR" sz="2000" i="1">
                            <a:latin typeface="Cambria Math" panose="02040503050406030204" pitchFamily="18" charset="0"/>
                          </a:rPr>
                          <m:t>𝜆</m:t>
                        </m:r>
                      </m:e>
                      <m:sub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𝑤</m:t>
                        </m:r>
                      </m:sub>
                    </m:sSub>
                  </m:oMath>
                </m:oMathPara>
              </a14:m>
              <a:endParaRPr lang="ko-KR" altLang="en-US" sz="2000"/>
            </a:p>
          </xdr:txBody>
        </xdr:sp>
      </mc:Choice>
      <mc:Fallback>
        <xdr:sp macro="" textlink="">
          <xdr:nvSpPr>
            <xdr:cNvPr id="15" name="TextBox 14"/>
            <xdr:cNvSpPr txBox="1"/>
          </xdr:nvSpPr>
          <xdr:spPr>
            <a:xfrm>
              <a:off x="55497412" y="3095625"/>
              <a:ext cx="838201" cy="315279"/>
            </a:xfrm>
            <a:prstGeom prst="rect">
              <a:avLst/>
            </a:prstGeom>
          </xdr:spPr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l-GR" altLang="ko-KR" sz="2000" i="0">
                  <a:latin typeface="Cambria Math" panose="02040503050406030204" pitchFamily="18" charset="0"/>
                </a:rPr>
                <a:t>𝜆</a:t>
              </a:r>
              <a:r>
                <a:rPr lang="en-US" altLang="ko-KR" sz="2000" i="0">
                  <a:latin typeface="Cambria Math" panose="02040503050406030204" pitchFamily="18" charset="0"/>
                </a:rPr>
                <a:t>_</a:t>
              </a:r>
              <a:r>
                <a:rPr lang="en-US" altLang="ko-KR" sz="2000" b="0" i="0">
                  <a:latin typeface="Cambria Math" panose="02040503050406030204" pitchFamily="18" charset="0"/>
                </a:rPr>
                <a:t>𝑤</a:t>
              </a:r>
              <a:endParaRPr lang="ko-KR" altLang="en-US" sz="2000"/>
            </a:p>
          </xdr:txBody>
        </xdr:sp>
      </mc:Fallback>
    </mc:AlternateContent>
    <xdr:clientData/>
  </xdr:oneCellAnchor>
  <xdr:oneCellAnchor>
    <xdr:from>
      <xdr:col>48</xdr:col>
      <xdr:colOff>357188</xdr:colOff>
      <xdr:row>3</xdr:row>
      <xdr:rowOff>309562</xdr:rowOff>
    </xdr:from>
    <xdr:ext cx="838201" cy="31527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6" name="TextBox 15"/>
            <xdr:cNvSpPr txBox="1"/>
          </xdr:nvSpPr>
          <xdr:spPr>
            <a:xfrm>
              <a:off x="60278963" y="3119437"/>
              <a:ext cx="838201" cy="315279"/>
            </a:xfrm>
            <a:prstGeom prst="rect">
              <a:avLst/>
            </a:prstGeom>
          </xdr:spPr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20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𝑒𝑙</m:t>
                        </m:r>
                      </m:sub>
                    </m:sSub>
                  </m:oMath>
                </m:oMathPara>
              </a14:m>
              <a:endParaRPr lang="ko-KR" altLang="en-US" sz="2000"/>
            </a:p>
          </xdr:txBody>
        </xdr:sp>
      </mc:Choice>
      <mc:Fallback>
        <xdr:sp macro="" textlink="">
          <xdr:nvSpPr>
            <xdr:cNvPr id="16" name="TextBox 15"/>
            <xdr:cNvSpPr txBox="1"/>
          </xdr:nvSpPr>
          <xdr:spPr>
            <a:xfrm>
              <a:off x="60278963" y="3119437"/>
              <a:ext cx="838201" cy="315279"/>
            </a:xfrm>
            <a:prstGeom prst="rect">
              <a:avLst/>
            </a:prstGeom>
          </xdr:spPr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altLang="ko-KR" sz="2000" b="0" i="0">
                  <a:latin typeface="Cambria Math" panose="02040503050406030204" pitchFamily="18" charset="0"/>
                </a:rPr>
                <a:t>𝐹_𝑒𝑙</a:t>
              </a:r>
              <a:endParaRPr lang="ko-KR" altLang="en-US" sz="2000"/>
            </a:p>
          </xdr:txBody>
        </xdr:sp>
      </mc:Fallback>
    </mc:AlternateContent>
    <xdr:clientData/>
  </xdr:oneCellAnchor>
  <xdr:oneCellAnchor>
    <xdr:from>
      <xdr:col>49</xdr:col>
      <xdr:colOff>0</xdr:colOff>
      <xdr:row>3</xdr:row>
      <xdr:rowOff>0</xdr:rowOff>
    </xdr:from>
    <xdr:ext cx="1347788" cy="89773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7" name="TextBox 16"/>
            <xdr:cNvSpPr txBox="1"/>
          </xdr:nvSpPr>
          <xdr:spPr>
            <a:xfrm>
              <a:off x="61531500" y="2809875"/>
              <a:ext cx="1347788" cy="897731"/>
            </a:xfrm>
            <a:prstGeom prst="rect">
              <a:avLst/>
            </a:prstGeom>
          </xdr:spPr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20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n-US" altLang="ko-KR" sz="200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en-US" altLang="ko-KR" sz="200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altLang="ko-KR" sz="2000" b="0" i="1">
                                    <a:latin typeface="Cambria Math" panose="02040503050406030204" pitchFamily="18" charset="0"/>
                                  </a:rPr>
                                  <m:t>𝐹</m:t>
                                </m:r>
                              </m:e>
                              <m:sub>
                                <m:r>
                                  <a:rPr lang="en-US" altLang="ko-KR" sz="2000" b="0" i="1">
                                    <a:latin typeface="Cambria Math" panose="02040503050406030204" pitchFamily="18" charset="0"/>
                                  </a:rPr>
                                  <m:t>𝑒𝑙</m:t>
                                </m:r>
                              </m:sub>
                            </m:sSub>
                          </m:num>
                          <m:den>
                            <m:sSub>
                              <m:sSubPr>
                                <m:ctrlPr>
                                  <a:rPr lang="en-US" altLang="ko-KR" sz="200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altLang="ko-KR" sz="2000" b="0" i="1">
                                    <a:latin typeface="Cambria Math" panose="02040503050406030204" pitchFamily="18" charset="0"/>
                                  </a:rPr>
                                  <m:t>𝐹</m:t>
                                </m:r>
                              </m:e>
                              <m:sub>
                                <m:r>
                                  <a:rPr lang="en-US" altLang="ko-KR" sz="2000" b="0" i="1">
                                    <a:latin typeface="Cambria Math" panose="02040503050406030204" pitchFamily="18" charset="0"/>
                                  </a:rPr>
                                  <m:t>𝑐𝑟</m:t>
                                </m:r>
                              </m:sub>
                            </m:sSub>
                          </m:den>
                        </m:f>
                      </m:e>
                    </m:rad>
                  </m:oMath>
                </m:oMathPara>
              </a14:m>
              <a:endParaRPr lang="ko-KR" altLang="en-US" sz="2000"/>
            </a:p>
          </xdr:txBody>
        </xdr:sp>
      </mc:Choice>
      <mc:Fallback>
        <xdr:sp macro="" textlink="">
          <xdr:nvSpPr>
            <xdr:cNvPr id="17" name="TextBox 16"/>
            <xdr:cNvSpPr txBox="1"/>
          </xdr:nvSpPr>
          <xdr:spPr>
            <a:xfrm>
              <a:off x="61531500" y="2809875"/>
              <a:ext cx="1347788" cy="897731"/>
            </a:xfrm>
            <a:prstGeom prst="rect">
              <a:avLst/>
            </a:prstGeom>
          </xdr:spPr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altLang="ko-KR" sz="2000" i="0">
                  <a:latin typeface="Cambria Math" panose="02040503050406030204" pitchFamily="18" charset="0"/>
                </a:rPr>
                <a:t>√(</a:t>
              </a:r>
              <a:r>
                <a:rPr lang="en-US" altLang="ko-KR" sz="2000" b="0" i="0">
                  <a:latin typeface="Cambria Math" panose="02040503050406030204" pitchFamily="18" charset="0"/>
                </a:rPr>
                <a:t>𝐹_𝑒𝑙/𝐹_𝑐𝑟 )</a:t>
              </a:r>
              <a:endParaRPr lang="ko-KR" altLang="en-US" sz="2000"/>
            </a:p>
          </xdr:txBody>
        </xdr:sp>
      </mc:Fallback>
    </mc:AlternateContent>
    <xdr:clientData/>
  </xdr:oneCellAnchor>
  <xdr:oneCellAnchor>
    <xdr:from>
      <xdr:col>36</xdr:col>
      <xdr:colOff>549088</xdr:colOff>
      <xdr:row>5</xdr:row>
      <xdr:rowOff>338108</xdr:rowOff>
    </xdr:from>
    <xdr:ext cx="218895" cy="162032"/>
    <xdr:sp macro="" textlink="">
      <xdr:nvSpPr>
        <xdr:cNvPr id="18" name="TextBox 17"/>
        <xdr:cNvSpPr txBox="1"/>
      </xdr:nvSpPr>
      <xdr:spPr>
        <a:xfrm flipV="1">
          <a:off x="41154163" y="4700558"/>
          <a:ext cx="218895" cy="162032"/>
        </a:xfrm>
        <a:prstGeom prst="rect">
          <a:avLst/>
        </a:prstGeom>
      </xdr:spPr>
      <xdr:txBody>
        <a:bodyPr vertOverflow="clip" horzOverflow="clip" wrap="square" lIns="0" tIns="0" rIns="0" bIns="0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36</xdr:col>
      <xdr:colOff>549088</xdr:colOff>
      <xdr:row>6</xdr:row>
      <xdr:rowOff>338108</xdr:rowOff>
    </xdr:from>
    <xdr:ext cx="218895" cy="162032"/>
    <xdr:sp macro="" textlink="">
      <xdr:nvSpPr>
        <xdr:cNvPr id="19" name="TextBox 18"/>
        <xdr:cNvSpPr txBox="1"/>
      </xdr:nvSpPr>
      <xdr:spPr>
        <a:xfrm flipV="1">
          <a:off x="41154163" y="5205383"/>
          <a:ext cx="218895" cy="162032"/>
        </a:xfrm>
        <a:prstGeom prst="rect">
          <a:avLst/>
        </a:prstGeom>
      </xdr:spPr>
      <xdr:txBody>
        <a:bodyPr vertOverflow="clip" horzOverflow="clip" wrap="square" lIns="0" tIns="0" rIns="0" bIns="0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36</xdr:col>
      <xdr:colOff>549088</xdr:colOff>
      <xdr:row>7</xdr:row>
      <xdr:rowOff>338108</xdr:rowOff>
    </xdr:from>
    <xdr:ext cx="218895" cy="162032"/>
    <xdr:sp macro="" textlink="">
      <xdr:nvSpPr>
        <xdr:cNvPr id="20" name="TextBox 19"/>
        <xdr:cNvSpPr txBox="1"/>
      </xdr:nvSpPr>
      <xdr:spPr>
        <a:xfrm flipV="1">
          <a:off x="41154163" y="5710208"/>
          <a:ext cx="218895" cy="162032"/>
        </a:xfrm>
        <a:prstGeom prst="rect">
          <a:avLst/>
        </a:prstGeom>
      </xdr:spPr>
      <xdr:txBody>
        <a:bodyPr vertOverflow="clip" horzOverflow="clip" wrap="square" lIns="0" tIns="0" rIns="0" bIns="0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36</xdr:col>
      <xdr:colOff>549088</xdr:colOff>
      <xdr:row>8</xdr:row>
      <xdr:rowOff>338108</xdr:rowOff>
    </xdr:from>
    <xdr:ext cx="218895" cy="162032"/>
    <xdr:sp macro="" textlink="">
      <xdr:nvSpPr>
        <xdr:cNvPr id="21" name="TextBox 20"/>
        <xdr:cNvSpPr txBox="1"/>
      </xdr:nvSpPr>
      <xdr:spPr>
        <a:xfrm flipV="1">
          <a:off x="41154163" y="6215033"/>
          <a:ext cx="218895" cy="162032"/>
        </a:xfrm>
        <a:prstGeom prst="rect">
          <a:avLst/>
        </a:prstGeom>
      </xdr:spPr>
      <xdr:txBody>
        <a:bodyPr vertOverflow="clip" horzOverflow="clip" wrap="square" lIns="0" tIns="0" rIns="0" bIns="0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36</xdr:col>
      <xdr:colOff>549088</xdr:colOff>
      <xdr:row>9</xdr:row>
      <xdr:rowOff>338108</xdr:rowOff>
    </xdr:from>
    <xdr:ext cx="218895" cy="162032"/>
    <xdr:sp macro="" textlink="">
      <xdr:nvSpPr>
        <xdr:cNvPr id="22" name="TextBox 21"/>
        <xdr:cNvSpPr txBox="1"/>
      </xdr:nvSpPr>
      <xdr:spPr>
        <a:xfrm flipV="1">
          <a:off x="41154163" y="6719858"/>
          <a:ext cx="218895" cy="162032"/>
        </a:xfrm>
        <a:prstGeom prst="rect">
          <a:avLst/>
        </a:prstGeom>
      </xdr:spPr>
      <xdr:txBody>
        <a:bodyPr vertOverflow="clip" horzOverflow="clip" wrap="square" lIns="0" tIns="0" rIns="0" bIns="0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36</xdr:col>
      <xdr:colOff>549088</xdr:colOff>
      <xdr:row>10</xdr:row>
      <xdr:rowOff>338108</xdr:rowOff>
    </xdr:from>
    <xdr:ext cx="218895" cy="162032"/>
    <xdr:sp macro="" textlink="">
      <xdr:nvSpPr>
        <xdr:cNvPr id="23" name="TextBox 22"/>
        <xdr:cNvSpPr txBox="1"/>
      </xdr:nvSpPr>
      <xdr:spPr>
        <a:xfrm flipV="1">
          <a:off x="41154163" y="7224683"/>
          <a:ext cx="218895" cy="162032"/>
        </a:xfrm>
        <a:prstGeom prst="rect">
          <a:avLst/>
        </a:prstGeom>
      </xdr:spPr>
      <xdr:txBody>
        <a:bodyPr vertOverflow="clip" horzOverflow="clip" wrap="square" lIns="0" tIns="0" rIns="0" bIns="0" rtlCol="0" anchor="t">
          <a:spAutoFit/>
        </a:bodyPr>
        <a:lstStyle/>
        <a:p>
          <a:endParaRPr lang="ko-KR" altLang="en-US" sz="1100"/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3</xdr:row>
      <xdr:rowOff>142874</xdr:rowOff>
    </xdr:from>
    <xdr:to>
      <xdr:col>6</xdr:col>
      <xdr:colOff>333375</xdr:colOff>
      <xdr:row>21</xdr:row>
      <xdr:rowOff>198893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00225" y="771524"/>
          <a:ext cx="7334250" cy="3827919"/>
        </a:xfrm>
        <a:prstGeom prst="rect">
          <a:avLst/>
        </a:prstGeom>
      </xdr:spPr>
    </xdr:pic>
    <xdr:clientData/>
  </xdr:twoCellAnchor>
  <xdr:oneCellAnchor>
    <xdr:from>
      <xdr:col>36</xdr:col>
      <xdr:colOff>23812</xdr:colOff>
      <xdr:row>43</xdr:row>
      <xdr:rowOff>54769</xdr:rowOff>
    </xdr:from>
    <xdr:ext cx="1347788" cy="89773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/>
            <xdr:cNvSpPr txBox="1"/>
          </xdr:nvSpPr>
          <xdr:spPr>
            <a:xfrm>
              <a:off x="51401662" y="10446544"/>
              <a:ext cx="1347788" cy="897731"/>
            </a:xfrm>
            <a:prstGeom prst="rect">
              <a:avLst/>
            </a:prstGeom>
          </xdr:spPr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20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l-GR" altLang="ko-KR" sz="2000" i="1">
                            <a:latin typeface="Cambria Math" panose="02040503050406030204" pitchFamily="18" charset="0"/>
                          </a:rPr>
                          <m:t>𝜆</m:t>
                        </m:r>
                      </m:e>
                      <m:sub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𝑟</m:t>
                        </m:r>
                      </m:sub>
                    </m:sSub>
                    <m:rad>
                      <m:radPr>
                        <m:degHide m:val="on"/>
                        <m:ctrlPr>
                          <a:rPr lang="en-US" altLang="ko-KR" sz="20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n-US" altLang="ko-KR" sz="200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en-US" altLang="ko-KR" sz="200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altLang="ko-KR" sz="2000" b="0" i="1">
                                    <a:latin typeface="Cambria Math" panose="02040503050406030204" pitchFamily="18" charset="0"/>
                                  </a:rPr>
                                  <m:t>𝐹</m:t>
                                </m:r>
                              </m:e>
                              <m:sub>
                                <m:r>
                                  <a:rPr lang="en-US" altLang="ko-KR" sz="2000" b="0" i="1">
                                    <a:latin typeface="Cambria Math" panose="02040503050406030204" pitchFamily="18" charset="0"/>
                                  </a:rPr>
                                  <m:t>𝑦</m:t>
                                </m:r>
                              </m:sub>
                            </m:sSub>
                          </m:num>
                          <m:den>
                            <m:sSub>
                              <m:sSubPr>
                                <m:ctrlPr>
                                  <a:rPr lang="en-US" altLang="ko-KR" sz="200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altLang="ko-KR" sz="2000" b="0" i="1">
                                    <a:latin typeface="Cambria Math" panose="02040503050406030204" pitchFamily="18" charset="0"/>
                                  </a:rPr>
                                  <m:t>𝐹</m:t>
                                </m:r>
                              </m:e>
                              <m:sub>
                                <m:r>
                                  <a:rPr lang="en-US" altLang="ko-KR" sz="2000" b="0" i="1">
                                    <a:latin typeface="Cambria Math" panose="02040503050406030204" pitchFamily="18" charset="0"/>
                                  </a:rPr>
                                  <m:t>𝑐𝑟</m:t>
                                </m:r>
                              </m:sub>
                            </m:sSub>
                          </m:den>
                        </m:f>
                      </m:e>
                    </m:rad>
                  </m:oMath>
                </m:oMathPara>
              </a14:m>
              <a:endParaRPr lang="ko-KR" altLang="en-US" sz="2000"/>
            </a:p>
          </xdr:txBody>
        </xdr:sp>
      </mc:Choice>
      <mc:Fallback>
        <xdr:sp macro="" textlink="">
          <xdr:nvSpPr>
            <xdr:cNvPr id="3" name="TextBox 2"/>
            <xdr:cNvSpPr txBox="1"/>
          </xdr:nvSpPr>
          <xdr:spPr>
            <a:xfrm>
              <a:off x="51401662" y="10446544"/>
              <a:ext cx="1347788" cy="897731"/>
            </a:xfrm>
            <a:prstGeom prst="rect">
              <a:avLst/>
            </a:prstGeom>
          </xdr:spPr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l-GR" altLang="ko-KR" sz="2000" i="0">
                  <a:latin typeface="Cambria Math" panose="02040503050406030204" pitchFamily="18" charset="0"/>
                </a:rPr>
                <a:t>𝜆</a:t>
              </a:r>
              <a:r>
                <a:rPr lang="en-US" altLang="ko-KR" sz="2000" i="0">
                  <a:latin typeface="Cambria Math" panose="02040503050406030204" pitchFamily="18" charset="0"/>
                </a:rPr>
                <a:t>_</a:t>
              </a:r>
              <a:r>
                <a:rPr lang="en-US" altLang="ko-KR" sz="2000" b="0" i="0">
                  <a:latin typeface="Cambria Math" panose="02040503050406030204" pitchFamily="18" charset="0"/>
                </a:rPr>
                <a:t>𝑟 </a:t>
              </a:r>
              <a:r>
                <a:rPr lang="en-US" altLang="ko-KR" sz="2000" i="0">
                  <a:latin typeface="Cambria Math" panose="02040503050406030204" pitchFamily="18" charset="0"/>
                </a:rPr>
                <a:t>√(</a:t>
              </a:r>
              <a:r>
                <a:rPr lang="en-US" altLang="ko-KR" sz="2000" b="0" i="0">
                  <a:latin typeface="Cambria Math" panose="02040503050406030204" pitchFamily="18" charset="0"/>
                </a:rPr>
                <a:t>𝐹_𝑦/𝐹_𝑐𝑟 )</a:t>
              </a:r>
              <a:endParaRPr lang="ko-KR" altLang="en-US" sz="2000"/>
            </a:p>
          </xdr:txBody>
        </xdr:sp>
      </mc:Fallback>
    </mc:AlternateContent>
    <xdr:clientData/>
  </xdr:oneCellAnchor>
  <xdr:oneCellAnchor>
    <xdr:from>
      <xdr:col>36</xdr:col>
      <xdr:colOff>549088</xdr:colOff>
      <xdr:row>44</xdr:row>
      <xdr:rowOff>338108</xdr:rowOff>
    </xdr:from>
    <xdr:ext cx="218895" cy="162032"/>
    <xdr:sp macro="" textlink="">
      <xdr:nvSpPr>
        <xdr:cNvPr id="4" name="TextBox 3"/>
        <xdr:cNvSpPr txBox="1"/>
      </xdr:nvSpPr>
      <xdr:spPr>
        <a:xfrm flipV="1">
          <a:off x="51926938" y="11949083"/>
          <a:ext cx="218895" cy="162032"/>
        </a:xfrm>
        <a:prstGeom prst="rect">
          <a:avLst/>
        </a:prstGeom>
      </xdr:spPr>
      <xdr:txBody>
        <a:bodyPr vertOverflow="clip" horzOverflow="clip" wrap="square" lIns="0" tIns="0" rIns="0" bIns="0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35</xdr:col>
      <xdr:colOff>506506</xdr:colOff>
      <xdr:row>43</xdr:row>
      <xdr:rowOff>344021</xdr:rowOff>
    </xdr:from>
    <xdr:ext cx="838201" cy="31527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TextBox 4"/>
            <xdr:cNvSpPr txBox="1"/>
          </xdr:nvSpPr>
          <xdr:spPr>
            <a:xfrm>
              <a:off x="50465131" y="10735796"/>
              <a:ext cx="838201" cy="315279"/>
            </a:xfrm>
            <a:prstGeom prst="rect">
              <a:avLst/>
            </a:prstGeom>
          </xdr:spPr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20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l-GR" altLang="ko-KR" sz="2000" i="1">
                            <a:latin typeface="Cambria Math" panose="02040503050406030204" pitchFamily="18" charset="0"/>
                          </a:rPr>
                          <m:t>𝜆</m:t>
                        </m:r>
                      </m:e>
                      <m:sub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𝑟</m:t>
                        </m:r>
                      </m:sub>
                    </m:sSub>
                  </m:oMath>
                </m:oMathPara>
              </a14:m>
              <a:endParaRPr lang="ko-KR" altLang="en-US" sz="2000"/>
            </a:p>
          </xdr:txBody>
        </xdr:sp>
      </mc:Choice>
      <mc:Fallback>
        <xdr:sp macro="" textlink="">
          <xdr:nvSpPr>
            <xdr:cNvPr id="5" name="TextBox 4"/>
            <xdr:cNvSpPr txBox="1"/>
          </xdr:nvSpPr>
          <xdr:spPr>
            <a:xfrm>
              <a:off x="50465131" y="10735796"/>
              <a:ext cx="838201" cy="315279"/>
            </a:xfrm>
            <a:prstGeom prst="rect">
              <a:avLst/>
            </a:prstGeom>
          </xdr:spPr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l-GR" altLang="ko-KR" sz="2000" i="0">
                  <a:latin typeface="Cambria Math" panose="02040503050406030204" pitchFamily="18" charset="0"/>
                </a:rPr>
                <a:t>𝜆</a:t>
              </a:r>
              <a:r>
                <a:rPr lang="en-US" altLang="ko-KR" sz="2000" i="0">
                  <a:latin typeface="Cambria Math" panose="02040503050406030204" pitchFamily="18" charset="0"/>
                </a:rPr>
                <a:t>_</a:t>
              </a:r>
              <a:r>
                <a:rPr lang="en-US" altLang="ko-KR" sz="2000" b="0" i="0">
                  <a:latin typeface="Cambria Math" panose="02040503050406030204" pitchFamily="18" charset="0"/>
                </a:rPr>
                <a:t>𝑟</a:t>
              </a:r>
              <a:endParaRPr lang="ko-KR" altLang="en-US" sz="2000"/>
            </a:p>
          </xdr:txBody>
        </xdr:sp>
      </mc:Fallback>
    </mc:AlternateContent>
    <xdr:clientData/>
  </xdr:oneCellAnchor>
  <xdr:oneCellAnchor>
    <xdr:from>
      <xdr:col>37</xdr:col>
      <xdr:colOff>381000</xdr:colOff>
      <xdr:row>43</xdr:row>
      <xdr:rowOff>358588</xdr:rowOff>
    </xdr:from>
    <xdr:ext cx="838201" cy="34701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TextBox 5"/>
            <xdr:cNvSpPr txBox="1"/>
          </xdr:nvSpPr>
          <xdr:spPr>
            <a:xfrm>
              <a:off x="53178075" y="10750363"/>
              <a:ext cx="838201" cy="347018"/>
            </a:xfrm>
            <a:prstGeom prst="rect">
              <a:avLst/>
            </a:prstGeom>
          </xdr:spPr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20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l-GR" altLang="ko-KR" sz="2000" i="1">
                            <a:latin typeface="Cambria Math" panose="02040503050406030204" pitchFamily="18" charset="0"/>
                          </a:rPr>
                          <m:t>𝜆</m:t>
                        </m:r>
                      </m:e>
                      <m:sub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𝑓</m:t>
                        </m:r>
                      </m:sub>
                    </m:sSub>
                  </m:oMath>
                </m:oMathPara>
              </a14:m>
              <a:endParaRPr lang="ko-KR" altLang="en-US" sz="2000"/>
            </a:p>
          </xdr:txBody>
        </xdr:sp>
      </mc:Choice>
      <mc:Fallback>
        <xdr:sp macro="" textlink="">
          <xdr:nvSpPr>
            <xdr:cNvPr id="6" name="TextBox 5"/>
            <xdr:cNvSpPr txBox="1"/>
          </xdr:nvSpPr>
          <xdr:spPr>
            <a:xfrm>
              <a:off x="53178075" y="10750363"/>
              <a:ext cx="838201" cy="347018"/>
            </a:xfrm>
            <a:prstGeom prst="rect">
              <a:avLst/>
            </a:prstGeom>
          </xdr:spPr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l-GR" altLang="ko-KR" sz="2000" i="0">
                  <a:latin typeface="Cambria Math" panose="02040503050406030204" pitchFamily="18" charset="0"/>
                </a:rPr>
                <a:t>𝜆</a:t>
              </a:r>
              <a:r>
                <a:rPr lang="en-US" altLang="ko-KR" sz="2000" i="0">
                  <a:latin typeface="Cambria Math" panose="02040503050406030204" pitchFamily="18" charset="0"/>
                </a:rPr>
                <a:t>_</a:t>
              </a:r>
              <a:r>
                <a:rPr lang="en-US" altLang="ko-KR" sz="2000" b="0" i="0">
                  <a:latin typeface="Cambria Math" panose="02040503050406030204" pitchFamily="18" charset="0"/>
                </a:rPr>
                <a:t>𝑓</a:t>
              </a:r>
              <a:endParaRPr lang="ko-KR" altLang="en-US" sz="2000"/>
            </a:p>
          </xdr:txBody>
        </xdr:sp>
      </mc:Fallback>
    </mc:AlternateContent>
    <xdr:clientData/>
  </xdr:oneCellAnchor>
  <xdr:oneCellAnchor>
    <xdr:from>
      <xdr:col>40</xdr:col>
      <xdr:colOff>403412</xdr:colOff>
      <xdr:row>43</xdr:row>
      <xdr:rowOff>358588</xdr:rowOff>
    </xdr:from>
    <xdr:ext cx="838201" cy="31527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" name="TextBox 6"/>
            <xdr:cNvSpPr txBox="1"/>
          </xdr:nvSpPr>
          <xdr:spPr>
            <a:xfrm>
              <a:off x="57458162" y="10750363"/>
              <a:ext cx="838201" cy="315279"/>
            </a:xfrm>
            <a:prstGeom prst="rect">
              <a:avLst/>
            </a:prstGeom>
          </xdr:spPr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20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𝑒𝑙</m:t>
                        </m:r>
                      </m:sub>
                    </m:sSub>
                  </m:oMath>
                </m:oMathPara>
              </a14:m>
              <a:endParaRPr lang="ko-KR" altLang="en-US" sz="2000"/>
            </a:p>
          </xdr:txBody>
        </xdr:sp>
      </mc:Choice>
      <mc:Fallback>
        <xdr:sp macro="" textlink="">
          <xdr:nvSpPr>
            <xdr:cNvPr id="7" name="TextBox 6"/>
            <xdr:cNvSpPr txBox="1"/>
          </xdr:nvSpPr>
          <xdr:spPr>
            <a:xfrm>
              <a:off x="57458162" y="10750363"/>
              <a:ext cx="838201" cy="315279"/>
            </a:xfrm>
            <a:prstGeom prst="rect">
              <a:avLst/>
            </a:prstGeom>
          </xdr:spPr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altLang="ko-KR" sz="2000" b="0" i="0">
                  <a:latin typeface="Cambria Math" panose="02040503050406030204" pitchFamily="18" charset="0"/>
                </a:rPr>
                <a:t>𝐹_𝑒𝑙</a:t>
              </a:r>
              <a:endParaRPr lang="ko-KR" altLang="en-US" sz="2000"/>
            </a:p>
          </xdr:txBody>
        </xdr:sp>
      </mc:Fallback>
    </mc:AlternateContent>
    <xdr:clientData/>
  </xdr:oneCellAnchor>
  <xdr:oneCellAnchor>
    <xdr:from>
      <xdr:col>41</xdr:col>
      <xdr:colOff>0</xdr:colOff>
      <xdr:row>43</xdr:row>
      <xdr:rowOff>0</xdr:rowOff>
    </xdr:from>
    <xdr:ext cx="1347788" cy="89773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" name="TextBox 7"/>
            <xdr:cNvSpPr txBox="1"/>
          </xdr:nvSpPr>
          <xdr:spPr>
            <a:xfrm>
              <a:off x="58473975" y="10391775"/>
              <a:ext cx="1347788" cy="897731"/>
            </a:xfrm>
            <a:prstGeom prst="rect">
              <a:avLst/>
            </a:prstGeom>
          </xdr:spPr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20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n-US" altLang="ko-KR" sz="200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en-US" altLang="ko-KR" sz="200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altLang="ko-KR" sz="2000" b="0" i="1">
                                    <a:latin typeface="Cambria Math" panose="02040503050406030204" pitchFamily="18" charset="0"/>
                                  </a:rPr>
                                  <m:t>𝐹</m:t>
                                </m:r>
                              </m:e>
                              <m:sub>
                                <m:r>
                                  <a:rPr lang="en-US" altLang="ko-KR" sz="2000" b="0" i="1">
                                    <a:latin typeface="Cambria Math" panose="02040503050406030204" pitchFamily="18" charset="0"/>
                                  </a:rPr>
                                  <m:t>𝑒𝑙</m:t>
                                </m:r>
                              </m:sub>
                            </m:sSub>
                          </m:num>
                          <m:den>
                            <m:sSub>
                              <m:sSubPr>
                                <m:ctrlPr>
                                  <a:rPr lang="en-US" altLang="ko-KR" sz="200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altLang="ko-KR" sz="2000" b="0" i="1">
                                    <a:latin typeface="Cambria Math" panose="02040503050406030204" pitchFamily="18" charset="0"/>
                                  </a:rPr>
                                  <m:t>𝐹</m:t>
                                </m:r>
                              </m:e>
                              <m:sub>
                                <m:r>
                                  <a:rPr lang="en-US" altLang="ko-KR" sz="2000" b="0" i="1">
                                    <a:latin typeface="Cambria Math" panose="02040503050406030204" pitchFamily="18" charset="0"/>
                                  </a:rPr>
                                  <m:t>𝑐𝑟</m:t>
                                </m:r>
                              </m:sub>
                            </m:sSub>
                          </m:den>
                        </m:f>
                      </m:e>
                    </m:rad>
                  </m:oMath>
                </m:oMathPara>
              </a14:m>
              <a:endParaRPr lang="ko-KR" altLang="en-US" sz="2000"/>
            </a:p>
          </xdr:txBody>
        </xdr:sp>
      </mc:Choice>
      <mc:Fallback>
        <xdr:sp macro="" textlink="">
          <xdr:nvSpPr>
            <xdr:cNvPr id="8" name="TextBox 7"/>
            <xdr:cNvSpPr txBox="1"/>
          </xdr:nvSpPr>
          <xdr:spPr>
            <a:xfrm>
              <a:off x="58473975" y="10391775"/>
              <a:ext cx="1347788" cy="897731"/>
            </a:xfrm>
            <a:prstGeom prst="rect">
              <a:avLst/>
            </a:prstGeom>
          </xdr:spPr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altLang="ko-KR" sz="2000" i="0">
                  <a:latin typeface="Cambria Math" panose="02040503050406030204" pitchFamily="18" charset="0"/>
                </a:rPr>
                <a:t>√(</a:t>
              </a:r>
              <a:r>
                <a:rPr lang="en-US" altLang="ko-KR" sz="2000" b="0" i="0">
                  <a:latin typeface="Cambria Math" panose="02040503050406030204" pitchFamily="18" charset="0"/>
                </a:rPr>
                <a:t>𝐹_𝑒𝑙/𝐹_𝑐𝑟 )</a:t>
              </a:r>
              <a:endParaRPr lang="ko-KR" altLang="en-US" sz="2000"/>
            </a:p>
          </xdr:txBody>
        </xdr:sp>
      </mc:Fallback>
    </mc:AlternateContent>
    <xdr:clientData/>
  </xdr:oneCellAnchor>
  <xdr:oneCellAnchor>
    <xdr:from>
      <xdr:col>44</xdr:col>
      <xdr:colOff>23812</xdr:colOff>
      <xdr:row>43</xdr:row>
      <xdr:rowOff>54769</xdr:rowOff>
    </xdr:from>
    <xdr:ext cx="1347788" cy="89773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9" name="TextBox 8"/>
            <xdr:cNvSpPr txBox="1"/>
          </xdr:nvSpPr>
          <xdr:spPr>
            <a:xfrm>
              <a:off x="62755462" y="10446544"/>
              <a:ext cx="1347788" cy="897731"/>
            </a:xfrm>
            <a:prstGeom prst="rect">
              <a:avLst/>
            </a:prstGeom>
          </xdr:spPr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20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l-GR" altLang="ko-KR" sz="2000" i="1">
                            <a:latin typeface="Cambria Math" panose="02040503050406030204" pitchFamily="18" charset="0"/>
                          </a:rPr>
                          <m:t>𝜆</m:t>
                        </m:r>
                      </m:e>
                      <m:sub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𝑟</m:t>
                        </m:r>
                      </m:sub>
                    </m:sSub>
                    <m:rad>
                      <m:radPr>
                        <m:degHide m:val="on"/>
                        <m:ctrlPr>
                          <a:rPr lang="en-US" altLang="ko-KR" sz="20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n-US" altLang="ko-KR" sz="200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en-US" altLang="ko-KR" sz="200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altLang="ko-KR" sz="2000" b="0" i="1">
                                    <a:latin typeface="Cambria Math" panose="02040503050406030204" pitchFamily="18" charset="0"/>
                                  </a:rPr>
                                  <m:t>𝐹</m:t>
                                </m:r>
                              </m:e>
                              <m:sub>
                                <m:r>
                                  <a:rPr lang="en-US" altLang="ko-KR" sz="2000" b="0" i="1">
                                    <a:latin typeface="Cambria Math" panose="02040503050406030204" pitchFamily="18" charset="0"/>
                                  </a:rPr>
                                  <m:t>𝑦</m:t>
                                </m:r>
                              </m:sub>
                            </m:sSub>
                          </m:num>
                          <m:den>
                            <m:sSub>
                              <m:sSubPr>
                                <m:ctrlPr>
                                  <a:rPr lang="en-US" altLang="ko-KR" sz="200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altLang="ko-KR" sz="2000" b="0" i="1">
                                    <a:latin typeface="Cambria Math" panose="02040503050406030204" pitchFamily="18" charset="0"/>
                                  </a:rPr>
                                  <m:t>𝐹</m:t>
                                </m:r>
                              </m:e>
                              <m:sub>
                                <m:r>
                                  <a:rPr lang="en-US" altLang="ko-KR" sz="2000" b="0" i="1">
                                    <a:latin typeface="Cambria Math" panose="02040503050406030204" pitchFamily="18" charset="0"/>
                                  </a:rPr>
                                  <m:t>𝑐𝑟</m:t>
                                </m:r>
                              </m:sub>
                            </m:sSub>
                          </m:den>
                        </m:f>
                      </m:e>
                    </m:rad>
                  </m:oMath>
                </m:oMathPara>
              </a14:m>
              <a:endParaRPr lang="ko-KR" altLang="en-US" sz="2000"/>
            </a:p>
          </xdr:txBody>
        </xdr:sp>
      </mc:Choice>
      <mc:Fallback>
        <xdr:sp macro="" textlink="">
          <xdr:nvSpPr>
            <xdr:cNvPr id="9" name="TextBox 8"/>
            <xdr:cNvSpPr txBox="1"/>
          </xdr:nvSpPr>
          <xdr:spPr>
            <a:xfrm>
              <a:off x="62755462" y="10446544"/>
              <a:ext cx="1347788" cy="897731"/>
            </a:xfrm>
            <a:prstGeom prst="rect">
              <a:avLst/>
            </a:prstGeom>
          </xdr:spPr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l-GR" altLang="ko-KR" sz="2000" i="0">
                  <a:latin typeface="Cambria Math" panose="02040503050406030204" pitchFamily="18" charset="0"/>
                </a:rPr>
                <a:t>𝜆</a:t>
              </a:r>
              <a:r>
                <a:rPr lang="en-US" altLang="ko-KR" sz="2000" i="0">
                  <a:latin typeface="Cambria Math" panose="02040503050406030204" pitchFamily="18" charset="0"/>
                </a:rPr>
                <a:t>_</a:t>
              </a:r>
              <a:r>
                <a:rPr lang="en-US" altLang="ko-KR" sz="2000" b="0" i="0">
                  <a:latin typeface="Cambria Math" panose="02040503050406030204" pitchFamily="18" charset="0"/>
                </a:rPr>
                <a:t>𝑟 </a:t>
              </a:r>
              <a:r>
                <a:rPr lang="en-US" altLang="ko-KR" sz="2000" i="0">
                  <a:latin typeface="Cambria Math" panose="02040503050406030204" pitchFamily="18" charset="0"/>
                </a:rPr>
                <a:t>√(</a:t>
              </a:r>
              <a:r>
                <a:rPr lang="en-US" altLang="ko-KR" sz="2000" b="0" i="0">
                  <a:latin typeface="Cambria Math" panose="02040503050406030204" pitchFamily="18" charset="0"/>
                </a:rPr>
                <a:t>𝐹_𝑦/𝐹_𝑐𝑟 )</a:t>
              </a:r>
              <a:endParaRPr lang="ko-KR" altLang="en-US" sz="2000"/>
            </a:p>
          </xdr:txBody>
        </xdr:sp>
      </mc:Fallback>
    </mc:AlternateContent>
    <xdr:clientData/>
  </xdr:oneCellAnchor>
  <xdr:oneCellAnchor>
    <xdr:from>
      <xdr:col>43</xdr:col>
      <xdr:colOff>357187</xdr:colOff>
      <xdr:row>43</xdr:row>
      <xdr:rowOff>309562</xdr:rowOff>
    </xdr:from>
    <xdr:ext cx="838201" cy="31527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0" name="TextBox 9"/>
            <xdr:cNvSpPr txBox="1"/>
          </xdr:nvSpPr>
          <xdr:spPr>
            <a:xfrm>
              <a:off x="61669612" y="10701337"/>
              <a:ext cx="838201" cy="315279"/>
            </a:xfrm>
            <a:prstGeom prst="rect">
              <a:avLst/>
            </a:prstGeom>
          </xdr:spPr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20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l-GR" altLang="ko-KR" sz="2000" i="1">
                            <a:latin typeface="Cambria Math" panose="02040503050406030204" pitchFamily="18" charset="0"/>
                          </a:rPr>
                          <m:t>𝜆</m:t>
                        </m:r>
                      </m:e>
                      <m:sub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𝑟</m:t>
                        </m:r>
                      </m:sub>
                    </m:sSub>
                  </m:oMath>
                </m:oMathPara>
              </a14:m>
              <a:endParaRPr lang="ko-KR" altLang="en-US" sz="2000"/>
            </a:p>
          </xdr:txBody>
        </xdr:sp>
      </mc:Choice>
      <mc:Fallback>
        <xdr:sp macro="" textlink="">
          <xdr:nvSpPr>
            <xdr:cNvPr id="10" name="TextBox 9"/>
            <xdr:cNvSpPr txBox="1"/>
          </xdr:nvSpPr>
          <xdr:spPr>
            <a:xfrm>
              <a:off x="61669612" y="10701337"/>
              <a:ext cx="838201" cy="315279"/>
            </a:xfrm>
            <a:prstGeom prst="rect">
              <a:avLst/>
            </a:prstGeom>
          </xdr:spPr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l-GR" altLang="ko-KR" sz="2000" i="0">
                  <a:latin typeface="Cambria Math" panose="02040503050406030204" pitchFamily="18" charset="0"/>
                </a:rPr>
                <a:t>𝜆</a:t>
              </a:r>
              <a:r>
                <a:rPr lang="en-US" altLang="ko-KR" sz="2000" i="0">
                  <a:latin typeface="Cambria Math" panose="02040503050406030204" pitchFamily="18" charset="0"/>
                </a:rPr>
                <a:t>_</a:t>
              </a:r>
              <a:r>
                <a:rPr lang="en-US" altLang="ko-KR" sz="2000" b="0" i="0">
                  <a:latin typeface="Cambria Math" panose="02040503050406030204" pitchFamily="18" charset="0"/>
                </a:rPr>
                <a:t>𝑟</a:t>
              </a:r>
              <a:endParaRPr lang="ko-KR" altLang="en-US" sz="2000"/>
            </a:p>
          </xdr:txBody>
        </xdr:sp>
      </mc:Fallback>
    </mc:AlternateContent>
    <xdr:clientData/>
  </xdr:oneCellAnchor>
  <xdr:oneCellAnchor>
    <xdr:from>
      <xdr:col>45</xdr:col>
      <xdr:colOff>404812</xdr:colOff>
      <xdr:row>43</xdr:row>
      <xdr:rowOff>285750</xdr:rowOff>
    </xdr:from>
    <xdr:ext cx="838201" cy="31527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1" name="TextBox 10"/>
            <xdr:cNvSpPr txBox="1"/>
          </xdr:nvSpPr>
          <xdr:spPr>
            <a:xfrm>
              <a:off x="64555687" y="10677525"/>
              <a:ext cx="838201" cy="315279"/>
            </a:xfrm>
            <a:prstGeom prst="rect">
              <a:avLst/>
            </a:prstGeom>
          </xdr:spPr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20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l-GR" altLang="ko-KR" sz="2000" i="1">
                            <a:latin typeface="Cambria Math" panose="02040503050406030204" pitchFamily="18" charset="0"/>
                          </a:rPr>
                          <m:t>𝜆</m:t>
                        </m:r>
                      </m:e>
                      <m:sub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𝑤</m:t>
                        </m:r>
                      </m:sub>
                    </m:sSub>
                  </m:oMath>
                </m:oMathPara>
              </a14:m>
              <a:endParaRPr lang="ko-KR" altLang="en-US" sz="2000"/>
            </a:p>
          </xdr:txBody>
        </xdr:sp>
      </mc:Choice>
      <mc:Fallback>
        <xdr:sp macro="" textlink="">
          <xdr:nvSpPr>
            <xdr:cNvPr id="11" name="TextBox 10"/>
            <xdr:cNvSpPr txBox="1"/>
          </xdr:nvSpPr>
          <xdr:spPr>
            <a:xfrm>
              <a:off x="64555687" y="10677525"/>
              <a:ext cx="838201" cy="315279"/>
            </a:xfrm>
            <a:prstGeom prst="rect">
              <a:avLst/>
            </a:prstGeom>
          </xdr:spPr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l-GR" altLang="ko-KR" sz="2000" i="0">
                  <a:latin typeface="Cambria Math" panose="02040503050406030204" pitchFamily="18" charset="0"/>
                </a:rPr>
                <a:t>𝜆</a:t>
              </a:r>
              <a:r>
                <a:rPr lang="en-US" altLang="ko-KR" sz="2000" i="0">
                  <a:latin typeface="Cambria Math" panose="02040503050406030204" pitchFamily="18" charset="0"/>
                </a:rPr>
                <a:t>_</a:t>
              </a:r>
              <a:r>
                <a:rPr lang="en-US" altLang="ko-KR" sz="2000" b="0" i="0">
                  <a:latin typeface="Cambria Math" panose="02040503050406030204" pitchFamily="18" charset="0"/>
                </a:rPr>
                <a:t>𝑤</a:t>
              </a:r>
              <a:endParaRPr lang="ko-KR" altLang="en-US" sz="2000"/>
            </a:p>
          </xdr:txBody>
        </xdr:sp>
      </mc:Fallback>
    </mc:AlternateContent>
    <xdr:clientData/>
  </xdr:oneCellAnchor>
  <xdr:oneCellAnchor>
    <xdr:from>
      <xdr:col>48</xdr:col>
      <xdr:colOff>357188</xdr:colOff>
      <xdr:row>43</xdr:row>
      <xdr:rowOff>309562</xdr:rowOff>
    </xdr:from>
    <xdr:ext cx="838201" cy="31527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2" name="TextBox 11"/>
            <xdr:cNvSpPr txBox="1"/>
          </xdr:nvSpPr>
          <xdr:spPr>
            <a:xfrm>
              <a:off x="68765738" y="10701337"/>
              <a:ext cx="838201" cy="315279"/>
            </a:xfrm>
            <a:prstGeom prst="rect">
              <a:avLst/>
            </a:prstGeom>
          </xdr:spPr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20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𝑒𝑙</m:t>
                        </m:r>
                      </m:sub>
                    </m:sSub>
                  </m:oMath>
                </m:oMathPara>
              </a14:m>
              <a:endParaRPr lang="ko-KR" altLang="en-US" sz="2000"/>
            </a:p>
          </xdr:txBody>
        </xdr:sp>
      </mc:Choice>
      <mc:Fallback>
        <xdr:sp macro="" textlink="">
          <xdr:nvSpPr>
            <xdr:cNvPr id="12" name="TextBox 11"/>
            <xdr:cNvSpPr txBox="1"/>
          </xdr:nvSpPr>
          <xdr:spPr>
            <a:xfrm>
              <a:off x="68765738" y="10701337"/>
              <a:ext cx="838201" cy="315279"/>
            </a:xfrm>
            <a:prstGeom prst="rect">
              <a:avLst/>
            </a:prstGeom>
          </xdr:spPr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altLang="ko-KR" sz="2000" b="0" i="0">
                  <a:latin typeface="Cambria Math" panose="02040503050406030204" pitchFamily="18" charset="0"/>
                </a:rPr>
                <a:t>𝐹_𝑒𝑙</a:t>
              </a:r>
              <a:endParaRPr lang="ko-KR" altLang="en-US" sz="2000"/>
            </a:p>
          </xdr:txBody>
        </xdr:sp>
      </mc:Fallback>
    </mc:AlternateContent>
    <xdr:clientData/>
  </xdr:oneCellAnchor>
  <xdr:oneCellAnchor>
    <xdr:from>
      <xdr:col>49</xdr:col>
      <xdr:colOff>0</xdr:colOff>
      <xdr:row>43</xdr:row>
      <xdr:rowOff>0</xdr:rowOff>
    </xdr:from>
    <xdr:ext cx="1347788" cy="89773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3" name="TextBox 12"/>
            <xdr:cNvSpPr txBox="1"/>
          </xdr:nvSpPr>
          <xdr:spPr>
            <a:xfrm>
              <a:off x="69827775" y="10391775"/>
              <a:ext cx="1347788" cy="897731"/>
            </a:xfrm>
            <a:prstGeom prst="rect">
              <a:avLst/>
            </a:prstGeom>
          </xdr:spPr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20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n-US" altLang="ko-KR" sz="200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en-US" altLang="ko-KR" sz="200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altLang="ko-KR" sz="2000" b="0" i="1">
                                    <a:latin typeface="Cambria Math" panose="02040503050406030204" pitchFamily="18" charset="0"/>
                                  </a:rPr>
                                  <m:t>𝐹</m:t>
                                </m:r>
                              </m:e>
                              <m:sub>
                                <m:r>
                                  <a:rPr lang="en-US" altLang="ko-KR" sz="2000" b="0" i="1">
                                    <a:latin typeface="Cambria Math" panose="02040503050406030204" pitchFamily="18" charset="0"/>
                                  </a:rPr>
                                  <m:t>𝑒𝑙</m:t>
                                </m:r>
                              </m:sub>
                            </m:sSub>
                          </m:num>
                          <m:den>
                            <m:sSub>
                              <m:sSubPr>
                                <m:ctrlPr>
                                  <a:rPr lang="en-US" altLang="ko-KR" sz="200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altLang="ko-KR" sz="2000" b="0" i="1">
                                    <a:latin typeface="Cambria Math" panose="02040503050406030204" pitchFamily="18" charset="0"/>
                                  </a:rPr>
                                  <m:t>𝐹</m:t>
                                </m:r>
                              </m:e>
                              <m:sub>
                                <m:r>
                                  <a:rPr lang="en-US" altLang="ko-KR" sz="2000" b="0" i="1">
                                    <a:latin typeface="Cambria Math" panose="02040503050406030204" pitchFamily="18" charset="0"/>
                                  </a:rPr>
                                  <m:t>𝑐𝑟</m:t>
                                </m:r>
                              </m:sub>
                            </m:sSub>
                          </m:den>
                        </m:f>
                      </m:e>
                    </m:rad>
                  </m:oMath>
                </m:oMathPara>
              </a14:m>
              <a:endParaRPr lang="ko-KR" altLang="en-US" sz="2000"/>
            </a:p>
          </xdr:txBody>
        </xdr:sp>
      </mc:Choice>
      <mc:Fallback>
        <xdr:sp macro="" textlink="">
          <xdr:nvSpPr>
            <xdr:cNvPr id="13" name="TextBox 12"/>
            <xdr:cNvSpPr txBox="1"/>
          </xdr:nvSpPr>
          <xdr:spPr>
            <a:xfrm>
              <a:off x="69827775" y="10391775"/>
              <a:ext cx="1347788" cy="897731"/>
            </a:xfrm>
            <a:prstGeom prst="rect">
              <a:avLst/>
            </a:prstGeom>
          </xdr:spPr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altLang="ko-KR" sz="2000" i="0">
                  <a:latin typeface="Cambria Math" panose="02040503050406030204" pitchFamily="18" charset="0"/>
                </a:rPr>
                <a:t>√(</a:t>
              </a:r>
              <a:r>
                <a:rPr lang="en-US" altLang="ko-KR" sz="2000" b="0" i="0">
                  <a:latin typeface="Cambria Math" panose="02040503050406030204" pitchFamily="18" charset="0"/>
                </a:rPr>
                <a:t>𝐹_𝑒𝑙/𝐹_𝑐𝑟 )</a:t>
              </a:r>
              <a:endParaRPr lang="ko-KR" altLang="en-US" sz="2000"/>
            </a:p>
          </xdr:txBody>
        </xdr:sp>
      </mc:Fallback>
    </mc:AlternateContent>
    <xdr:clientData/>
  </xdr:oneCellAnchor>
  <xdr:oneCellAnchor>
    <xdr:from>
      <xdr:col>36</xdr:col>
      <xdr:colOff>549088</xdr:colOff>
      <xdr:row>47</xdr:row>
      <xdr:rowOff>338108</xdr:rowOff>
    </xdr:from>
    <xdr:ext cx="218895" cy="162032"/>
    <xdr:sp macro="" textlink="">
      <xdr:nvSpPr>
        <xdr:cNvPr id="14" name="TextBox 13"/>
        <xdr:cNvSpPr txBox="1"/>
      </xdr:nvSpPr>
      <xdr:spPr>
        <a:xfrm flipV="1">
          <a:off x="51926938" y="13463558"/>
          <a:ext cx="218895" cy="162032"/>
        </a:xfrm>
        <a:prstGeom prst="rect">
          <a:avLst/>
        </a:prstGeom>
      </xdr:spPr>
      <xdr:txBody>
        <a:bodyPr vertOverflow="clip" horzOverflow="clip" wrap="square" lIns="0" tIns="0" rIns="0" bIns="0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36</xdr:col>
      <xdr:colOff>549088</xdr:colOff>
      <xdr:row>48</xdr:row>
      <xdr:rowOff>338108</xdr:rowOff>
    </xdr:from>
    <xdr:ext cx="218895" cy="162032"/>
    <xdr:sp macro="" textlink="">
      <xdr:nvSpPr>
        <xdr:cNvPr id="15" name="TextBox 14"/>
        <xdr:cNvSpPr txBox="1"/>
      </xdr:nvSpPr>
      <xdr:spPr>
        <a:xfrm flipV="1">
          <a:off x="51926938" y="13968383"/>
          <a:ext cx="218895" cy="162032"/>
        </a:xfrm>
        <a:prstGeom prst="rect">
          <a:avLst/>
        </a:prstGeom>
      </xdr:spPr>
      <xdr:txBody>
        <a:bodyPr vertOverflow="clip" horzOverflow="clip" wrap="square" lIns="0" tIns="0" rIns="0" bIns="0" rtlCol="0" anchor="t">
          <a:spAutoFit/>
        </a:bodyPr>
        <a:lstStyle/>
        <a:p>
          <a:endParaRPr lang="ko-KR" altLang="en-US" sz="1100"/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337039</xdr:colOff>
      <xdr:row>4</xdr:row>
      <xdr:rowOff>51289</xdr:rowOff>
    </xdr:from>
    <xdr:to>
      <xdr:col>7</xdr:col>
      <xdr:colOff>527539</xdr:colOff>
      <xdr:row>34</xdr:row>
      <xdr:rowOff>14654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2839" y="889489"/>
          <a:ext cx="4572000" cy="624986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51</xdr:row>
      <xdr:rowOff>66675</xdr:rowOff>
    </xdr:from>
    <xdr:to>
      <xdr:col>6</xdr:col>
      <xdr:colOff>512884</xdr:colOff>
      <xdr:row>53</xdr:row>
      <xdr:rowOff>175533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5800" y="10772775"/>
          <a:ext cx="4208584" cy="527958"/>
        </a:xfrm>
        <a:prstGeom prst="rect">
          <a:avLst/>
        </a:prstGeom>
      </xdr:spPr>
    </xdr:pic>
    <xdr:clientData/>
  </xdr:twoCellAnchor>
  <xdr:twoCellAnchor editAs="oneCell">
    <xdr:from>
      <xdr:col>0</xdr:col>
      <xdr:colOff>600376</xdr:colOff>
      <xdr:row>58</xdr:row>
      <xdr:rowOff>2155</xdr:rowOff>
    </xdr:from>
    <xdr:to>
      <xdr:col>7</xdr:col>
      <xdr:colOff>302880</xdr:colOff>
      <xdr:row>74</xdr:row>
      <xdr:rowOff>98625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0376" y="12175105"/>
          <a:ext cx="4769804" cy="3449270"/>
        </a:xfrm>
        <a:prstGeom prst="rect">
          <a:avLst/>
        </a:prstGeom>
      </xdr:spPr>
    </xdr:pic>
    <xdr:clientData/>
  </xdr:twoCellAnchor>
  <xdr:twoCellAnchor editAs="oneCell">
    <xdr:from>
      <xdr:col>8</xdr:col>
      <xdr:colOff>361951</xdr:colOff>
      <xdr:row>4</xdr:row>
      <xdr:rowOff>95250</xdr:rowOff>
    </xdr:from>
    <xdr:to>
      <xdr:col>13</xdr:col>
      <xdr:colOff>216643</xdr:colOff>
      <xdr:row>16</xdr:row>
      <xdr:rowOff>0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115051" y="933450"/>
          <a:ext cx="3283692" cy="2419350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4</xdr:row>
      <xdr:rowOff>1</xdr:rowOff>
    </xdr:from>
    <xdr:to>
      <xdr:col>18</xdr:col>
      <xdr:colOff>676275</xdr:colOff>
      <xdr:row>16</xdr:row>
      <xdr:rowOff>60185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867900" y="838201"/>
          <a:ext cx="3419475" cy="257478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42</xdr:row>
      <xdr:rowOff>209549</xdr:rowOff>
    </xdr:from>
    <xdr:to>
      <xdr:col>7</xdr:col>
      <xdr:colOff>14653</xdr:colOff>
      <xdr:row>46</xdr:row>
      <xdr:rowOff>84024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85800" y="9020174"/>
          <a:ext cx="4396153" cy="712675"/>
        </a:xfrm>
        <a:prstGeom prst="rect">
          <a:avLst/>
        </a:prstGeom>
      </xdr:spPr>
    </xdr:pic>
    <xdr:clientData/>
  </xdr:twoCellAnchor>
  <xdr:twoCellAnchor editAs="oneCell">
    <xdr:from>
      <xdr:col>12</xdr:col>
      <xdr:colOff>628090</xdr:colOff>
      <xdr:row>45</xdr:row>
      <xdr:rowOff>44264</xdr:rowOff>
    </xdr:from>
    <xdr:to>
      <xdr:col>18</xdr:col>
      <xdr:colOff>203802</xdr:colOff>
      <xdr:row>56</xdr:row>
      <xdr:rowOff>76200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124390" y="9483539"/>
          <a:ext cx="3690512" cy="2346511"/>
        </a:xfrm>
        <a:prstGeom prst="rect">
          <a:avLst/>
        </a:prstGeom>
      </xdr:spPr>
    </xdr:pic>
    <xdr:clientData/>
  </xdr:twoCellAnchor>
  <xdr:twoCellAnchor editAs="oneCell">
    <xdr:from>
      <xdr:col>18</xdr:col>
      <xdr:colOff>619125</xdr:colOff>
      <xdr:row>45</xdr:row>
      <xdr:rowOff>152400</xdr:rowOff>
    </xdr:from>
    <xdr:to>
      <xdr:col>24</xdr:col>
      <xdr:colOff>437590</xdr:colOff>
      <xdr:row>56</xdr:row>
      <xdr:rowOff>34911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3230225" y="9591675"/>
          <a:ext cx="3933265" cy="2197086"/>
        </a:xfrm>
        <a:prstGeom prst="rect">
          <a:avLst/>
        </a:prstGeom>
      </xdr:spPr>
    </xdr:pic>
    <xdr:clientData/>
  </xdr:twoCellAnchor>
  <xdr:twoCellAnchor editAs="oneCell">
    <xdr:from>
      <xdr:col>13</xdr:col>
      <xdr:colOff>1</xdr:colOff>
      <xdr:row>60</xdr:row>
      <xdr:rowOff>212910</xdr:rowOff>
    </xdr:from>
    <xdr:to>
      <xdr:col>19</xdr:col>
      <xdr:colOff>461118</xdr:colOff>
      <xdr:row>74</xdr:row>
      <xdr:rowOff>190499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9182101" y="12804960"/>
          <a:ext cx="4575917" cy="2911289"/>
        </a:xfrm>
        <a:prstGeom prst="rect">
          <a:avLst/>
        </a:prstGeom>
      </xdr:spPr>
    </xdr:pic>
    <xdr:clientData/>
  </xdr:twoCellAnchor>
  <xdr:twoCellAnchor editAs="oneCell">
    <xdr:from>
      <xdr:col>20</xdr:col>
      <xdr:colOff>33618</xdr:colOff>
      <xdr:row>61</xdr:row>
      <xdr:rowOff>0</xdr:rowOff>
    </xdr:from>
    <xdr:to>
      <xdr:col>25</xdr:col>
      <xdr:colOff>470647</xdr:colOff>
      <xdr:row>75</xdr:row>
      <xdr:rowOff>29578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4016318" y="12801600"/>
          <a:ext cx="3866029" cy="2963278"/>
        </a:xfrm>
        <a:prstGeom prst="rect">
          <a:avLst/>
        </a:prstGeom>
      </xdr:spPr>
    </xdr:pic>
    <xdr:clientData/>
  </xdr:twoCellAnchor>
  <xdr:twoCellAnchor editAs="oneCell">
    <xdr:from>
      <xdr:col>0</xdr:col>
      <xdr:colOff>619125</xdr:colOff>
      <xdr:row>74</xdr:row>
      <xdr:rowOff>133350</xdr:rowOff>
    </xdr:from>
    <xdr:to>
      <xdr:col>8</xdr:col>
      <xdr:colOff>19769</xdr:colOff>
      <xdr:row>99</xdr:row>
      <xdr:rowOff>86450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619125" y="15659100"/>
          <a:ext cx="5153744" cy="5191850"/>
        </a:xfrm>
        <a:prstGeom prst="rect">
          <a:avLst/>
        </a:prstGeom>
      </xdr:spPr>
    </xdr:pic>
    <xdr:clientData/>
  </xdr:twoCellAnchor>
  <xdr:twoCellAnchor editAs="oneCell">
    <xdr:from>
      <xdr:col>12</xdr:col>
      <xdr:colOff>258535</xdr:colOff>
      <xdr:row>112</xdr:row>
      <xdr:rowOff>381000</xdr:rowOff>
    </xdr:from>
    <xdr:to>
      <xdr:col>22</xdr:col>
      <xdr:colOff>9079</xdr:colOff>
      <xdr:row>112</xdr:row>
      <xdr:rowOff>1019264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8754835" y="28098750"/>
          <a:ext cx="6608544" cy="638264"/>
        </a:xfrm>
        <a:prstGeom prst="rect">
          <a:avLst/>
        </a:prstGeom>
      </xdr:spPr>
    </xdr:pic>
    <xdr:clientData/>
  </xdr:twoCellAnchor>
  <xdr:twoCellAnchor editAs="oneCell">
    <xdr:from>
      <xdr:col>22</xdr:col>
      <xdr:colOff>231322</xdr:colOff>
      <xdr:row>112</xdr:row>
      <xdr:rowOff>340179</xdr:rowOff>
    </xdr:from>
    <xdr:to>
      <xdr:col>31</xdr:col>
      <xdr:colOff>357380</xdr:colOff>
      <xdr:row>112</xdr:row>
      <xdr:rowOff>1197549</xdr:rowOff>
    </xdr:to>
    <xdr:pic>
      <xdr:nvPicPr>
        <xdr:cNvPr id="14" name="그림 13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5585622" y="28057929"/>
          <a:ext cx="6298258" cy="857370"/>
        </a:xfrm>
        <a:prstGeom prst="rect">
          <a:avLst/>
        </a:prstGeom>
      </xdr:spPr>
    </xdr:pic>
    <xdr:clientData/>
  </xdr:twoCellAnchor>
  <xdr:twoCellAnchor editAs="oneCell">
    <xdr:from>
      <xdr:col>31</xdr:col>
      <xdr:colOff>571500</xdr:colOff>
      <xdr:row>112</xdr:row>
      <xdr:rowOff>285750</xdr:rowOff>
    </xdr:from>
    <xdr:to>
      <xdr:col>40</xdr:col>
      <xdr:colOff>545136</xdr:colOff>
      <xdr:row>114</xdr:row>
      <xdr:rowOff>35549</xdr:rowOff>
    </xdr:to>
    <xdr:pic>
      <xdr:nvPicPr>
        <xdr:cNvPr id="15" name="그림 14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22098000" y="28003500"/>
          <a:ext cx="6145836" cy="1226174"/>
        </a:xfrm>
        <a:prstGeom prst="rect">
          <a:avLst/>
        </a:prstGeom>
      </xdr:spPr>
    </xdr:pic>
    <xdr:clientData/>
  </xdr:twoCellAnchor>
  <xdr:twoCellAnchor editAs="oneCell">
    <xdr:from>
      <xdr:col>12</xdr:col>
      <xdr:colOff>217714</xdr:colOff>
      <xdr:row>112</xdr:row>
      <xdr:rowOff>1102178</xdr:rowOff>
    </xdr:from>
    <xdr:to>
      <xdr:col>21</xdr:col>
      <xdr:colOff>277088</xdr:colOff>
      <xdr:row>113</xdr:row>
      <xdr:rowOff>179662</xdr:rowOff>
    </xdr:to>
    <xdr:pic>
      <xdr:nvPicPr>
        <xdr:cNvPr id="16" name="그림 15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8714014" y="28819928"/>
          <a:ext cx="6231574" cy="344309"/>
        </a:xfrm>
        <a:prstGeom prst="rect">
          <a:avLst/>
        </a:prstGeom>
      </xdr:spPr>
    </xdr:pic>
    <xdr:clientData/>
  </xdr:twoCellAnchor>
  <xdr:twoCellAnchor editAs="oneCell">
    <xdr:from>
      <xdr:col>43</xdr:col>
      <xdr:colOff>149679</xdr:colOff>
      <xdr:row>112</xdr:row>
      <xdr:rowOff>585107</xdr:rowOff>
    </xdr:from>
    <xdr:to>
      <xdr:col>52</xdr:col>
      <xdr:colOff>371000</xdr:colOff>
      <xdr:row>113</xdr:row>
      <xdr:rowOff>91276</xdr:rowOff>
    </xdr:to>
    <xdr:pic>
      <xdr:nvPicPr>
        <xdr:cNvPr id="17" name="그림 16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29905779" y="28302857"/>
          <a:ext cx="6393521" cy="772994"/>
        </a:xfrm>
        <a:prstGeom prst="rect">
          <a:avLst/>
        </a:prstGeom>
      </xdr:spPr>
    </xdr:pic>
    <xdr:clientData/>
  </xdr:twoCellAnchor>
  <xdr:twoCellAnchor editAs="oneCell">
    <xdr:from>
      <xdr:col>53</xdr:col>
      <xdr:colOff>0</xdr:colOff>
      <xdr:row>112</xdr:row>
      <xdr:rowOff>435428</xdr:rowOff>
    </xdr:from>
    <xdr:to>
      <xdr:col>62</xdr:col>
      <xdr:colOff>116531</xdr:colOff>
      <xdr:row>114</xdr:row>
      <xdr:rowOff>175701</xdr:rowOff>
    </xdr:to>
    <xdr:pic>
      <xdr:nvPicPr>
        <xdr:cNvPr id="18" name="그림 17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36614100" y="28153178"/>
          <a:ext cx="6288731" cy="1216648"/>
        </a:xfrm>
        <a:prstGeom prst="rect">
          <a:avLst/>
        </a:prstGeom>
      </xdr:spPr>
    </xdr:pic>
    <xdr:clientData/>
  </xdr:twoCellAnchor>
  <xdr:twoCellAnchor editAs="oneCell">
    <xdr:from>
      <xdr:col>14</xdr:col>
      <xdr:colOff>103910</xdr:colOff>
      <xdr:row>115</xdr:row>
      <xdr:rowOff>34636</xdr:rowOff>
    </xdr:from>
    <xdr:to>
      <xdr:col>22</xdr:col>
      <xdr:colOff>620837</xdr:colOff>
      <xdr:row>122</xdr:row>
      <xdr:rowOff>170806</xdr:rowOff>
    </xdr:to>
    <xdr:pic>
      <xdr:nvPicPr>
        <xdr:cNvPr id="19" name="그림 18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9971810" y="29438311"/>
          <a:ext cx="6003327" cy="1603020"/>
        </a:xfrm>
        <a:prstGeom prst="rect">
          <a:avLst/>
        </a:prstGeom>
      </xdr:spPr>
    </xdr:pic>
    <xdr:clientData/>
  </xdr:twoCellAnchor>
  <xdr:twoCellAnchor editAs="oneCell">
    <xdr:from>
      <xdr:col>14</xdr:col>
      <xdr:colOff>201706</xdr:colOff>
      <xdr:row>123</xdr:row>
      <xdr:rowOff>123264</xdr:rowOff>
    </xdr:from>
    <xdr:to>
      <xdr:col>22</xdr:col>
      <xdr:colOff>496665</xdr:colOff>
      <xdr:row>129</xdr:row>
      <xdr:rowOff>93743</xdr:rowOff>
    </xdr:to>
    <xdr:pic>
      <xdr:nvPicPr>
        <xdr:cNvPr id="20" name="그림 19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10069606" y="31203339"/>
          <a:ext cx="5781359" cy="1227779"/>
        </a:xfrm>
        <a:prstGeom prst="rect">
          <a:avLst/>
        </a:prstGeom>
      </xdr:spPr>
    </xdr:pic>
    <xdr:clientData/>
  </xdr:twoCellAnchor>
  <xdr:twoCellAnchor editAs="oneCell">
    <xdr:from>
      <xdr:col>12</xdr:col>
      <xdr:colOff>280147</xdr:colOff>
      <xdr:row>111</xdr:row>
      <xdr:rowOff>313764</xdr:rowOff>
    </xdr:from>
    <xdr:to>
      <xdr:col>18</xdr:col>
      <xdr:colOff>313221</xdr:colOff>
      <xdr:row>111</xdr:row>
      <xdr:rowOff>818659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8776447" y="26764689"/>
          <a:ext cx="4147874" cy="504895"/>
        </a:xfrm>
        <a:prstGeom prst="rect">
          <a:avLst/>
        </a:prstGeom>
      </xdr:spPr>
    </xdr:pic>
    <xdr:clientData/>
  </xdr:twoCellAnchor>
  <xdr:twoCellAnchor editAs="oneCell">
    <xdr:from>
      <xdr:col>18</xdr:col>
      <xdr:colOff>537883</xdr:colOff>
      <xdr:row>111</xdr:row>
      <xdr:rowOff>201706</xdr:rowOff>
    </xdr:from>
    <xdr:to>
      <xdr:col>27</xdr:col>
      <xdr:colOff>425547</xdr:colOff>
      <xdr:row>111</xdr:row>
      <xdr:rowOff>963812</xdr:rowOff>
    </xdr:to>
    <xdr:pic>
      <xdr:nvPicPr>
        <xdr:cNvPr id="22" name="그림 21"/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13148983" y="26652631"/>
          <a:ext cx="6059864" cy="762106"/>
        </a:xfrm>
        <a:prstGeom prst="rect">
          <a:avLst/>
        </a:prstGeom>
      </xdr:spPr>
    </xdr:pic>
    <xdr:clientData/>
  </xdr:twoCellAnchor>
  <xdr:twoCellAnchor editAs="oneCell">
    <xdr:from>
      <xdr:col>28</xdr:col>
      <xdr:colOff>121227</xdr:colOff>
      <xdr:row>111</xdr:row>
      <xdr:rowOff>103909</xdr:rowOff>
    </xdr:from>
    <xdr:to>
      <xdr:col>37</xdr:col>
      <xdr:colOff>202637</xdr:colOff>
      <xdr:row>111</xdr:row>
      <xdr:rowOff>1037489</xdr:rowOff>
    </xdr:to>
    <xdr:pic>
      <xdr:nvPicPr>
        <xdr:cNvPr id="23" name="그림 22"/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19590327" y="26554834"/>
          <a:ext cx="6253610" cy="933580"/>
        </a:xfrm>
        <a:prstGeom prst="rect">
          <a:avLst/>
        </a:prstGeom>
      </xdr:spPr>
    </xdr:pic>
    <xdr:clientData/>
  </xdr:twoCellAnchor>
  <xdr:twoCellAnchor editAs="oneCell">
    <xdr:from>
      <xdr:col>43</xdr:col>
      <xdr:colOff>0</xdr:colOff>
      <xdr:row>111</xdr:row>
      <xdr:rowOff>0</xdr:rowOff>
    </xdr:from>
    <xdr:to>
      <xdr:col>51</xdr:col>
      <xdr:colOff>526454</xdr:colOff>
      <xdr:row>111</xdr:row>
      <xdr:rowOff>857370</xdr:rowOff>
    </xdr:to>
    <xdr:pic>
      <xdr:nvPicPr>
        <xdr:cNvPr id="24" name="그림 23"/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29756100" y="26450925"/>
          <a:ext cx="6012854" cy="857370"/>
        </a:xfrm>
        <a:prstGeom prst="rect">
          <a:avLst/>
        </a:prstGeom>
      </xdr:spPr>
    </xdr:pic>
    <xdr:clientData/>
  </xdr:twoCellAnchor>
  <xdr:twoCellAnchor editAs="oneCell">
    <xdr:from>
      <xdr:col>53</xdr:col>
      <xdr:colOff>554181</xdr:colOff>
      <xdr:row>110</xdr:row>
      <xdr:rowOff>710045</xdr:rowOff>
    </xdr:from>
    <xdr:to>
      <xdr:col>62</xdr:col>
      <xdr:colOff>387908</xdr:colOff>
      <xdr:row>111</xdr:row>
      <xdr:rowOff>207924</xdr:rowOff>
    </xdr:to>
    <xdr:pic>
      <xdr:nvPicPr>
        <xdr:cNvPr id="25" name="그림 24"/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37168281" y="25894145"/>
          <a:ext cx="6005927" cy="764704"/>
        </a:xfrm>
        <a:prstGeom prst="rect">
          <a:avLst/>
        </a:prstGeom>
      </xdr:spPr>
    </xdr:pic>
    <xdr:clientData/>
  </xdr:twoCellAnchor>
  <xdr:twoCellAnchor editAs="oneCell">
    <xdr:from>
      <xdr:col>62</xdr:col>
      <xdr:colOff>294409</xdr:colOff>
      <xdr:row>111</xdr:row>
      <xdr:rowOff>363682</xdr:rowOff>
    </xdr:from>
    <xdr:to>
      <xdr:col>69</xdr:col>
      <xdr:colOff>618115</xdr:colOff>
      <xdr:row>112</xdr:row>
      <xdr:rowOff>194983</xdr:rowOff>
    </xdr:to>
    <xdr:pic>
      <xdr:nvPicPr>
        <xdr:cNvPr id="26" name="그림 25"/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43080709" y="26814607"/>
          <a:ext cx="5124306" cy="1098126"/>
        </a:xfrm>
        <a:prstGeom prst="rect">
          <a:avLst/>
        </a:prstGeom>
      </xdr:spPr>
    </xdr:pic>
    <xdr:clientData/>
  </xdr:twoCellAnchor>
  <xdr:twoCellAnchor editAs="oneCell">
    <xdr:from>
      <xdr:col>22</xdr:col>
      <xdr:colOff>27215</xdr:colOff>
      <xdr:row>109</xdr:row>
      <xdr:rowOff>0</xdr:rowOff>
    </xdr:from>
    <xdr:to>
      <xdr:col>30</xdr:col>
      <xdr:colOff>629879</xdr:colOff>
      <xdr:row>109</xdr:row>
      <xdr:rowOff>771633</xdr:rowOff>
    </xdr:to>
    <xdr:pic>
      <xdr:nvPicPr>
        <xdr:cNvPr id="27" name="그림 26"/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15381515" y="23917275"/>
          <a:ext cx="6089064" cy="771633"/>
        </a:xfrm>
        <a:prstGeom prst="rect">
          <a:avLst/>
        </a:prstGeom>
      </xdr:spPr>
    </xdr:pic>
    <xdr:clientData/>
  </xdr:twoCellAnchor>
  <xdr:twoCellAnchor editAs="oneCell">
    <xdr:from>
      <xdr:col>31</xdr:col>
      <xdr:colOff>163286</xdr:colOff>
      <xdr:row>108</xdr:row>
      <xdr:rowOff>1211035</xdr:rowOff>
    </xdr:from>
    <xdr:to>
      <xdr:col>39</xdr:col>
      <xdr:colOff>623055</xdr:colOff>
      <xdr:row>109</xdr:row>
      <xdr:rowOff>869625</xdr:rowOff>
    </xdr:to>
    <xdr:pic>
      <xdr:nvPicPr>
        <xdr:cNvPr id="28" name="그림 27"/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21689786" y="23861485"/>
          <a:ext cx="5946169" cy="925415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109</xdr:row>
      <xdr:rowOff>0</xdr:rowOff>
    </xdr:from>
    <xdr:to>
      <xdr:col>22</xdr:col>
      <xdr:colOff>24252</xdr:colOff>
      <xdr:row>109</xdr:row>
      <xdr:rowOff>781159</xdr:rowOff>
    </xdr:to>
    <xdr:pic>
      <xdr:nvPicPr>
        <xdr:cNvPr id="29" name="그림 28"/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9182100" y="23917275"/>
          <a:ext cx="6196452" cy="781159"/>
        </a:xfrm>
        <a:prstGeom prst="rect">
          <a:avLst/>
        </a:prstGeom>
      </xdr:spPr>
    </xdr:pic>
    <xdr:clientData/>
  </xdr:twoCellAnchor>
  <xdr:twoCellAnchor editAs="oneCell">
    <xdr:from>
      <xdr:col>42</xdr:col>
      <xdr:colOff>0</xdr:colOff>
      <xdr:row>109</xdr:row>
      <xdr:rowOff>0</xdr:rowOff>
    </xdr:from>
    <xdr:to>
      <xdr:col>50</xdr:col>
      <xdr:colOff>659822</xdr:colOff>
      <xdr:row>109</xdr:row>
      <xdr:rowOff>924054</xdr:rowOff>
    </xdr:to>
    <xdr:pic>
      <xdr:nvPicPr>
        <xdr:cNvPr id="30" name="그림 29"/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29070300" y="23917275"/>
          <a:ext cx="6146222" cy="924054"/>
        </a:xfrm>
        <a:prstGeom prst="rect">
          <a:avLst/>
        </a:prstGeom>
      </xdr:spPr>
    </xdr:pic>
    <xdr:clientData/>
  </xdr:twoCellAnchor>
  <xdr:twoCellAnchor editAs="oneCell">
    <xdr:from>
      <xdr:col>52</xdr:col>
      <xdr:colOff>675409</xdr:colOff>
      <xdr:row>108</xdr:row>
      <xdr:rowOff>813954</xdr:rowOff>
    </xdr:from>
    <xdr:to>
      <xdr:col>62</xdr:col>
      <xdr:colOff>206988</xdr:colOff>
      <xdr:row>110</xdr:row>
      <xdr:rowOff>533713</xdr:rowOff>
    </xdr:to>
    <xdr:pic>
      <xdr:nvPicPr>
        <xdr:cNvPr id="31" name="그림 30"/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36603709" y="23464404"/>
          <a:ext cx="6389579" cy="225340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k\mQ\Laboratory\&#44396;&#51312;&#44277;&#48512;\20220225_&#44608;&#52397;&#49328;\MUTI%20ENGINEER%20&#44368;&#50977;(AISC%20360)&#44288;&#47144;%20%20&#44284;&#51228;\AISC%20360-Summary(220225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pter B"/>
      <sheetName val="Chapter E1"/>
      <sheetName val="Chapter E2"/>
      <sheetName val="H.W"/>
      <sheetName val="Chapter F"/>
    </sheetNames>
    <sheetDataSet>
      <sheetData sheetId="0"/>
      <sheetData sheetId="1">
        <row r="24">
          <cell r="B24">
            <v>1</v>
          </cell>
          <cell r="H24">
            <v>249.98673439962971</v>
          </cell>
        </row>
        <row r="25">
          <cell r="B25">
            <v>20</v>
          </cell>
          <cell r="H25">
            <v>244.74953808756206</v>
          </cell>
        </row>
        <row r="26">
          <cell r="B26">
            <v>40</v>
          </cell>
          <cell r="H26">
            <v>229.65055395001099</v>
          </cell>
        </row>
        <row r="27">
          <cell r="B27">
            <v>60</v>
          </cell>
          <cell r="H27">
            <v>206.52701028051894</v>
          </cell>
        </row>
        <row r="28">
          <cell r="B28">
            <v>80</v>
          </cell>
          <cell r="H28">
            <v>178.01228025067678</v>
          </cell>
        </row>
        <row r="29">
          <cell r="B29">
            <v>100</v>
          </cell>
          <cell r="H29">
            <v>147.05737613356055</v>
          </cell>
        </row>
        <row r="30">
          <cell r="B30">
            <v>113</v>
          </cell>
          <cell r="H30">
            <v>126.96216597874788</v>
          </cell>
        </row>
        <row r="31">
          <cell r="B31">
            <v>133</v>
          </cell>
          <cell r="H31">
            <v>97.789302966958886</v>
          </cell>
        </row>
        <row r="32">
          <cell r="B32">
            <v>160</v>
          </cell>
          <cell r="H32">
            <v>67.553665625000008</v>
          </cell>
        </row>
        <row r="33">
          <cell r="B33">
            <v>180</v>
          </cell>
          <cell r="H33">
            <v>53.37573580246913</v>
          </cell>
        </row>
        <row r="34">
          <cell r="B34">
            <v>200</v>
          </cell>
          <cell r="H34">
            <v>43.234346000000002</v>
          </cell>
        </row>
        <row r="38">
          <cell r="B38">
            <v>1</v>
          </cell>
          <cell r="H38">
            <v>344.97473724535564</v>
          </cell>
        </row>
        <row r="39">
          <cell r="B39">
            <v>20</v>
          </cell>
          <cell r="H39">
            <v>335.04109444123208</v>
          </cell>
        </row>
        <row r="40">
          <cell r="B40">
            <v>40</v>
          </cell>
          <cell r="H40">
            <v>306.85628962199615</v>
          </cell>
        </row>
        <row r="41">
          <cell r="B41">
            <v>60</v>
          </cell>
          <cell r="H41">
            <v>265.05130532019132</v>
          </cell>
        </row>
        <row r="42">
          <cell r="B42">
            <v>80</v>
          </cell>
          <cell r="H42">
            <v>215.91500890032952</v>
          </cell>
        </row>
        <row r="43">
          <cell r="B43">
            <v>100</v>
          </cell>
          <cell r="H43">
            <v>165.87986941232771</v>
          </cell>
        </row>
        <row r="44">
          <cell r="B44">
            <v>113</v>
          </cell>
          <cell r="H44">
            <v>135.43533871094056</v>
          </cell>
        </row>
        <row r="45">
          <cell r="B45">
            <v>133</v>
          </cell>
          <cell r="H45">
            <v>97.765494940358423</v>
          </cell>
        </row>
        <row r="46">
          <cell r="B46">
            <v>160</v>
          </cell>
          <cell r="H46">
            <v>67.553665625000008</v>
          </cell>
        </row>
        <row r="47">
          <cell r="B47">
            <v>178</v>
          </cell>
          <cell r="H47">
            <v>54.581929049362451</v>
          </cell>
        </row>
        <row r="48">
          <cell r="B48">
            <v>200</v>
          </cell>
          <cell r="H48">
            <v>43.234346000000002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tabSelected="1" topLeftCell="A37" zoomScaleNormal="100" workbookViewId="0">
      <selection activeCell="R54" sqref="R54"/>
    </sheetView>
  </sheetViews>
  <sheetFormatPr defaultRowHeight="16.5"/>
  <cols>
    <col min="1" max="3" width="9" style="4"/>
    <col min="4" max="4" width="11.75" style="4" customWidth="1"/>
    <col min="5" max="12" width="9" style="4"/>
    <col min="13" max="16384" width="9" style="22"/>
  </cols>
  <sheetData>
    <row r="1" spans="2:11">
      <c r="B1" s="1" t="s">
        <v>0</v>
      </c>
      <c r="C1" s="2">
        <v>200000</v>
      </c>
      <c r="D1" s="3" t="s">
        <v>1</v>
      </c>
    </row>
    <row r="2" spans="2:11">
      <c r="B2" s="5" t="s">
        <v>2</v>
      </c>
    </row>
    <row r="3" spans="2:11" ht="36" customHeight="1">
      <c r="B3" s="6" t="s">
        <v>3</v>
      </c>
      <c r="C3" s="7"/>
      <c r="D3" s="8" t="s">
        <v>4</v>
      </c>
      <c r="E3" s="8" t="s">
        <v>5</v>
      </c>
      <c r="F3" s="8"/>
      <c r="G3" s="9" t="s">
        <v>6</v>
      </c>
      <c r="H3" s="10" t="s">
        <v>7</v>
      </c>
      <c r="I3" s="8"/>
      <c r="J3" s="8"/>
      <c r="K3" s="8"/>
    </row>
    <row r="4" spans="2:11" ht="20.100000000000001" customHeight="1">
      <c r="B4" s="7"/>
      <c r="C4" s="7"/>
      <c r="D4" s="8"/>
      <c r="E4" s="8"/>
      <c r="F4" s="8"/>
      <c r="G4" s="11"/>
      <c r="H4" s="12">
        <v>250</v>
      </c>
      <c r="I4" s="12"/>
      <c r="J4" s="12">
        <v>345</v>
      </c>
      <c r="K4" s="12"/>
    </row>
    <row r="5" spans="2:11" ht="20.100000000000001" customHeight="1">
      <c r="B5" s="13" t="s">
        <v>8</v>
      </c>
      <c r="C5" s="14"/>
      <c r="D5" s="15" t="s">
        <v>9</v>
      </c>
      <c r="E5" s="8" t="s">
        <v>10</v>
      </c>
      <c r="F5" s="8"/>
      <c r="G5" s="16" t="s">
        <v>11</v>
      </c>
      <c r="H5" s="17">
        <f>0.56*(C1/H4)^0.5</f>
        <v>15.839191898578667</v>
      </c>
      <c r="I5" s="17"/>
      <c r="J5" s="17">
        <f>0.56*(C1/J4)^0.5</f>
        <v>13.483215545606152</v>
      </c>
      <c r="K5" s="17"/>
    </row>
    <row r="6" spans="2:11" ht="20.100000000000001" customHeight="1">
      <c r="B6" s="13"/>
      <c r="C6" s="14"/>
      <c r="D6" s="15" t="s">
        <v>12</v>
      </c>
      <c r="E6" s="8" t="s">
        <v>13</v>
      </c>
      <c r="F6" s="8"/>
      <c r="G6" s="16"/>
      <c r="H6" s="18">
        <v>12.8</v>
      </c>
      <c r="I6" s="19"/>
      <c r="J6" s="18">
        <v>10.5</v>
      </c>
      <c r="K6" s="19"/>
    </row>
    <row r="7" spans="2:11" ht="20.100000000000001" customHeight="1">
      <c r="B7" s="14"/>
      <c r="C7" s="14"/>
      <c r="D7" s="8" t="s">
        <v>14</v>
      </c>
      <c r="E7" s="8" t="s">
        <v>15</v>
      </c>
      <c r="F7" s="8"/>
      <c r="G7" s="20">
        <v>0.35</v>
      </c>
      <c r="H7" s="17">
        <f>0.64*(G7*$C$1/$H$4)^0.5</f>
        <v>10.709248339636167</v>
      </c>
      <c r="I7" s="17"/>
      <c r="J7" s="17">
        <f>0.64*(G7*$C$1/$J$4)^0.5</f>
        <v>9.1163175886325725</v>
      </c>
      <c r="K7" s="17"/>
    </row>
    <row r="8" spans="2:11" ht="20.100000000000001" customHeight="1">
      <c r="B8" s="14"/>
      <c r="C8" s="14"/>
      <c r="D8" s="8"/>
      <c r="E8" s="8"/>
      <c r="F8" s="8"/>
      <c r="G8" s="20">
        <v>0.5</v>
      </c>
      <c r="H8" s="17">
        <f>0.64*(G8*$C$1/$H$4)^0.5</f>
        <v>12.8</v>
      </c>
      <c r="I8" s="17"/>
      <c r="J8" s="17">
        <f>0.64*(G8*$C$1/$J$4)^0.5</f>
        <v>10.896083593711984</v>
      </c>
      <c r="K8" s="17"/>
    </row>
    <row r="9" spans="2:11" ht="20.100000000000001" customHeight="1">
      <c r="B9" s="14"/>
      <c r="C9" s="14"/>
      <c r="D9" s="8"/>
      <c r="E9" s="8"/>
      <c r="F9" s="8"/>
      <c r="G9" s="20">
        <v>0.76</v>
      </c>
      <c r="H9" s="17">
        <f>0.64*(G9*$C$1/$H$4)^0.5</f>
        <v>15.78089984760058</v>
      </c>
      <c r="I9" s="17"/>
      <c r="J9" s="17">
        <f>0.64*(G9*$C$1/$J$4)^0.5</f>
        <v>13.433594056519736</v>
      </c>
      <c r="K9" s="17"/>
    </row>
    <row r="10" spans="2:11" ht="20.100000000000001" customHeight="1">
      <c r="B10" s="14" t="s">
        <v>16</v>
      </c>
      <c r="C10" s="14"/>
      <c r="D10" s="15" t="s">
        <v>17</v>
      </c>
      <c r="E10" s="8" t="s">
        <v>18</v>
      </c>
      <c r="F10" s="8"/>
      <c r="G10" s="15" t="s">
        <v>19</v>
      </c>
      <c r="H10" s="17">
        <f>1.4*(C1/H4)^0.5</f>
        <v>39.597979746446661</v>
      </c>
      <c r="I10" s="17"/>
      <c r="J10" s="17">
        <f>1.4*(C1/J4)^0.5</f>
        <v>33.708038864015371</v>
      </c>
      <c r="K10" s="17"/>
    </row>
    <row r="11" spans="2:11" ht="29.25" customHeight="1">
      <c r="B11" s="14" t="s">
        <v>20</v>
      </c>
      <c r="C11" s="14"/>
      <c r="D11" s="15" t="s">
        <v>21</v>
      </c>
      <c r="E11" s="8" t="s">
        <v>22</v>
      </c>
      <c r="F11" s="8"/>
      <c r="G11" s="15" t="s">
        <v>23</v>
      </c>
      <c r="H11" s="17">
        <f>0.75*(C1/H4)^0.5</f>
        <v>21.213203435596427</v>
      </c>
      <c r="I11" s="17"/>
      <c r="J11" s="17">
        <f>0.75*(C1/J4)^0.5</f>
        <v>18.05787796286538</v>
      </c>
      <c r="K11" s="17"/>
    </row>
    <row r="12" spans="2:11">
      <c r="B12" s="21" t="s">
        <v>24</v>
      </c>
    </row>
  </sheetData>
  <mergeCells count="30">
    <mergeCell ref="B11:C11"/>
    <mergeCell ref="E11:F11"/>
    <mergeCell ref="H11:I11"/>
    <mergeCell ref="J11:K11"/>
    <mergeCell ref="J7:K7"/>
    <mergeCell ref="H8:I8"/>
    <mergeCell ref="J8:K8"/>
    <mergeCell ref="H9:I9"/>
    <mergeCell ref="J9:K9"/>
    <mergeCell ref="B10:C10"/>
    <mergeCell ref="E10:F10"/>
    <mergeCell ref="H10:I10"/>
    <mergeCell ref="J10:K10"/>
    <mergeCell ref="B5:C9"/>
    <mergeCell ref="E5:F5"/>
    <mergeCell ref="H5:I5"/>
    <mergeCell ref="J5:K5"/>
    <mergeCell ref="E6:F6"/>
    <mergeCell ref="H6:I6"/>
    <mergeCell ref="J6:K6"/>
    <mergeCell ref="D7:D9"/>
    <mergeCell ref="E7:F9"/>
    <mergeCell ref="H7:I7"/>
    <mergeCell ref="B3:C4"/>
    <mergeCell ref="D3:D4"/>
    <mergeCell ref="E3:F4"/>
    <mergeCell ref="G3:G4"/>
    <mergeCell ref="H3:K3"/>
    <mergeCell ref="H4:I4"/>
    <mergeCell ref="J4:K4"/>
  </mergeCells>
  <phoneticPr fontId="4" type="noConversion"/>
  <pageMargins left="0.7" right="0.7" top="0.75" bottom="0.75" header="0.3" footer="0.3"/>
  <pageSetup paperSize="9" orientation="portrait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7"/>
  <sheetViews>
    <sheetView topLeftCell="A12" zoomScale="70" zoomScaleNormal="70" workbookViewId="0">
      <selection activeCell="R54" sqref="R54"/>
    </sheetView>
  </sheetViews>
  <sheetFormatPr defaultRowHeight="16.5" customHeight="1" zeroHeight="1"/>
  <cols>
    <col min="1" max="2" width="9" style="4" customWidth="1"/>
    <col min="3" max="3" width="8.875" style="4" customWidth="1"/>
    <col min="4" max="4" width="9.625" style="4" customWidth="1"/>
    <col min="5" max="9" width="9" style="4" customWidth="1"/>
    <col min="10" max="16384" width="9" style="22"/>
  </cols>
  <sheetData>
    <row r="1" spans="1:9">
      <c r="A1" s="23" t="s">
        <v>25</v>
      </c>
      <c r="B1" s="23"/>
      <c r="C1" s="23"/>
      <c r="D1" s="23"/>
      <c r="E1" s="23"/>
      <c r="F1" s="23"/>
      <c r="G1" s="23"/>
      <c r="H1" s="23"/>
      <c r="I1" s="23"/>
    </row>
    <row r="2" spans="1:9"/>
    <row r="3" spans="1:9">
      <c r="A3" s="4" t="s">
        <v>26</v>
      </c>
    </row>
    <row r="4" spans="1:9"/>
    <row r="5" spans="1:9">
      <c r="A5" s="4" t="s">
        <v>27</v>
      </c>
    </row>
    <row r="6" spans="1:9">
      <c r="A6" s="4" t="s">
        <v>28</v>
      </c>
    </row>
    <row r="7" spans="1:9"/>
    <row r="8" spans="1:9">
      <c r="B8" s="24" t="s">
        <v>29</v>
      </c>
      <c r="C8" s="24"/>
      <c r="D8" s="24"/>
      <c r="E8" s="24"/>
      <c r="F8" s="24"/>
      <c r="G8" s="24"/>
    </row>
    <row r="9" spans="1:9"/>
    <row r="10" spans="1:9"/>
    <row r="11" spans="1:9"/>
    <row r="12" spans="1:9">
      <c r="A12" s="23" t="s">
        <v>30</v>
      </c>
      <c r="B12" s="23"/>
      <c r="C12" s="23"/>
      <c r="D12" s="23"/>
      <c r="E12" s="23"/>
      <c r="F12" s="23"/>
      <c r="G12" s="23"/>
      <c r="H12" s="23"/>
      <c r="I12" s="23"/>
    </row>
    <row r="13" spans="1:9">
      <c r="A13" s="25"/>
      <c r="B13" s="23" t="s">
        <v>31</v>
      </c>
      <c r="C13" s="23"/>
      <c r="D13" s="23"/>
      <c r="E13" s="23"/>
      <c r="F13" s="23"/>
      <c r="G13" s="23"/>
      <c r="H13" s="23"/>
    </row>
    <row r="14" spans="1:9">
      <c r="A14" s="26"/>
      <c r="B14" s="26"/>
      <c r="C14" s="26"/>
      <c r="D14" s="26"/>
      <c r="E14" s="26"/>
      <c r="F14" s="26"/>
      <c r="G14" s="26"/>
    </row>
    <row r="15" spans="1:9"/>
    <row r="16" spans="1:9" ht="14.1" customHeight="1">
      <c r="A16" s="16"/>
      <c r="B16" s="27" t="s">
        <v>32</v>
      </c>
      <c r="C16" s="28">
        <v>200000</v>
      </c>
      <c r="D16" s="29" t="s">
        <v>33</v>
      </c>
      <c r="E16" s="29"/>
      <c r="F16" s="29"/>
    </row>
    <row r="17" spans="1:8" ht="14.1" customHeight="1">
      <c r="A17" s="16"/>
      <c r="B17" s="27" t="s">
        <v>34</v>
      </c>
      <c r="C17" s="29"/>
      <c r="D17" s="29" t="s">
        <v>33</v>
      </c>
      <c r="E17" s="30" t="s">
        <v>35</v>
      </c>
      <c r="F17" s="29"/>
    </row>
    <row r="18" spans="1:8" ht="14.1" customHeight="1">
      <c r="A18" s="16"/>
      <c r="B18" s="31"/>
      <c r="C18" s="29"/>
      <c r="D18" s="29"/>
      <c r="E18" s="29"/>
      <c r="F18" s="29"/>
    </row>
    <row r="19" spans="1:8" ht="14.1" customHeight="1">
      <c r="A19" s="16"/>
      <c r="B19" s="31"/>
      <c r="C19" s="32">
        <f>4.71*(C16/F22)^0.5</f>
        <v>133.21891757554556</v>
      </c>
      <c r="D19" s="29"/>
      <c r="E19" s="30" t="s">
        <v>36</v>
      </c>
      <c r="F19" s="29"/>
    </row>
    <row r="20" spans="1:8" ht="14.1" customHeight="1">
      <c r="A20" s="29"/>
      <c r="B20" s="31"/>
      <c r="C20" s="32">
        <f>4.71*(C16/F36)^0.5</f>
        <v>113.40347360679459</v>
      </c>
      <c r="D20" s="29"/>
      <c r="E20" s="30" t="s">
        <v>37</v>
      </c>
      <c r="F20" s="29"/>
    </row>
    <row r="21" spans="1:8">
      <c r="A21" s="29"/>
      <c r="B21" s="31"/>
      <c r="C21" s="29"/>
      <c r="D21" s="29"/>
      <c r="E21" s="29"/>
      <c r="F21" s="29"/>
    </row>
    <row r="22" spans="1:8">
      <c r="A22" s="33"/>
      <c r="B22" s="29" t="s">
        <v>38</v>
      </c>
      <c r="C22" s="29"/>
      <c r="D22" s="29"/>
      <c r="E22" s="34" t="s">
        <v>39</v>
      </c>
      <c r="F22" s="35">
        <v>250</v>
      </c>
      <c r="G22" s="29" t="s">
        <v>33</v>
      </c>
    </row>
    <row r="23" spans="1:8" ht="14.1" customHeight="1">
      <c r="A23" s="29"/>
      <c r="B23" s="36" t="s">
        <v>40</v>
      </c>
      <c r="C23" s="37" t="s">
        <v>41</v>
      </c>
      <c r="D23" s="37" t="s">
        <v>42</v>
      </c>
      <c r="E23" s="37" t="s">
        <v>43</v>
      </c>
      <c r="F23" s="37" t="s">
        <v>44</v>
      </c>
      <c r="G23" s="37" t="s">
        <v>45</v>
      </c>
      <c r="H23" s="37" t="s">
        <v>46</v>
      </c>
    </row>
    <row r="24" spans="1:8" ht="14.1" customHeight="1">
      <c r="A24" s="29"/>
      <c r="B24" s="38">
        <v>1</v>
      </c>
      <c r="C24" s="39">
        <f>(3.14*3.14)*$C$16/(B24*B24)</f>
        <v>1971920</v>
      </c>
      <c r="D24" s="40">
        <f>$F$22/C24</f>
        <v>1.2677999107468864E-4</v>
      </c>
      <c r="E24" s="40">
        <f>0.658^D24</f>
        <v>0.99994693759851883</v>
      </c>
      <c r="F24" s="39">
        <f>0.658^D24*$F$22</f>
        <v>249.98673439962971</v>
      </c>
      <c r="G24" s="41">
        <f t="shared" ref="G24:G34" si="0">0.877*C24</f>
        <v>1729373.84</v>
      </c>
      <c r="H24" s="42">
        <f>MIN(F24,G24)</f>
        <v>249.98673439962971</v>
      </c>
    </row>
    <row r="25" spans="1:8" ht="14.1" customHeight="1">
      <c r="A25" s="29"/>
      <c r="B25" s="38">
        <v>20</v>
      </c>
      <c r="C25" s="39">
        <f t="shared" ref="C25:C34" si="1">(3.14*3.14)*$C$16/(B25*B25)</f>
        <v>4929.8</v>
      </c>
      <c r="D25" s="40">
        <f t="shared" ref="D25:D34" si="2">$F$22/C25</f>
        <v>5.071199642987545E-2</v>
      </c>
      <c r="E25" s="40">
        <f t="shared" ref="E25:E34" si="3">0.658^D25</f>
        <v>0.97899815235024823</v>
      </c>
      <c r="F25" s="39">
        <f t="shared" ref="F25:F34" si="4">0.658^($F$22/C25)*$F$22</f>
        <v>244.74953808756206</v>
      </c>
      <c r="G25" s="41">
        <f t="shared" si="0"/>
        <v>4323.4346000000005</v>
      </c>
      <c r="H25" s="42">
        <f t="shared" ref="H25:H30" si="5">MIN(F25,G25)</f>
        <v>244.74953808756206</v>
      </c>
    </row>
    <row r="26" spans="1:8" ht="14.1" customHeight="1">
      <c r="A26" s="29"/>
      <c r="B26" s="38">
        <v>40</v>
      </c>
      <c r="C26" s="39">
        <f t="shared" si="1"/>
        <v>1232.45</v>
      </c>
      <c r="D26" s="40">
        <f t="shared" si="2"/>
        <v>0.2028479857195018</v>
      </c>
      <c r="E26" s="40">
        <f t="shared" si="3"/>
        <v>0.91860221580004398</v>
      </c>
      <c r="F26" s="39">
        <f t="shared" si="4"/>
        <v>229.65055395001099</v>
      </c>
      <c r="G26" s="41">
        <f t="shared" si="0"/>
        <v>1080.8586500000001</v>
      </c>
      <c r="H26" s="42">
        <f t="shared" si="5"/>
        <v>229.65055395001099</v>
      </c>
    </row>
    <row r="27" spans="1:8" ht="14.1" customHeight="1">
      <c r="A27" s="29"/>
      <c r="B27" s="38">
        <v>60</v>
      </c>
      <c r="C27" s="39">
        <f t="shared" si="1"/>
        <v>547.75555555555559</v>
      </c>
      <c r="D27" s="40">
        <f t="shared" si="2"/>
        <v>0.45640796786887905</v>
      </c>
      <c r="E27" s="40">
        <f t="shared" si="3"/>
        <v>0.8261080411220757</v>
      </c>
      <c r="F27" s="39">
        <f t="shared" si="4"/>
        <v>206.52701028051894</v>
      </c>
      <c r="G27" s="41">
        <f t="shared" si="0"/>
        <v>480.38162222222223</v>
      </c>
      <c r="H27" s="42">
        <f t="shared" si="5"/>
        <v>206.52701028051894</v>
      </c>
    </row>
    <row r="28" spans="1:8" ht="14.1" customHeight="1">
      <c r="A28" s="29"/>
      <c r="B28" s="38">
        <v>80</v>
      </c>
      <c r="C28" s="39">
        <f t="shared" si="1"/>
        <v>308.11250000000001</v>
      </c>
      <c r="D28" s="40">
        <f t="shared" si="2"/>
        <v>0.8113919428780072</v>
      </c>
      <c r="E28" s="40">
        <f t="shared" si="3"/>
        <v>0.71204912100270712</v>
      </c>
      <c r="F28" s="39">
        <f t="shared" si="4"/>
        <v>178.01228025067678</v>
      </c>
      <c r="G28" s="41">
        <f t="shared" si="0"/>
        <v>270.21466250000003</v>
      </c>
      <c r="H28" s="42">
        <f t="shared" si="5"/>
        <v>178.01228025067678</v>
      </c>
    </row>
    <row r="29" spans="1:8" ht="14.1" customHeight="1">
      <c r="A29" s="29"/>
      <c r="B29" s="38">
        <v>100</v>
      </c>
      <c r="C29" s="39">
        <f t="shared" si="1"/>
        <v>197.19200000000001</v>
      </c>
      <c r="D29" s="40">
        <f t="shared" si="2"/>
        <v>1.2677999107468862</v>
      </c>
      <c r="E29" s="40">
        <f t="shared" si="3"/>
        <v>0.58822950453424216</v>
      </c>
      <c r="F29" s="39">
        <f t="shared" si="4"/>
        <v>147.05737613356055</v>
      </c>
      <c r="G29" s="41">
        <f t="shared" si="0"/>
        <v>172.93738400000001</v>
      </c>
      <c r="H29" s="42">
        <f t="shared" si="5"/>
        <v>147.05737613356055</v>
      </c>
    </row>
    <row r="30" spans="1:8" ht="14.1" customHeight="1">
      <c r="A30" s="29"/>
      <c r="B30" s="38">
        <v>113</v>
      </c>
      <c r="C30" s="39">
        <f t="shared" si="1"/>
        <v>154.43026078784555</v>
      </c>
      <c r="D30" s="40">
        <f t="shared" si="2"/>
        <v>1.6188537060326993</v>
      </c>
      <c r="E30" s="40">
        <f t="shared" si="3"/>
        <v>0.5078486639149915</v>
      </c>
      <c r="F30" s="39">
        <f t="shared" si="4"/>
        <v>126.96216597874788</v>
      </c>
      <c r="G30" s="41">
        <f t="shared" si="0"/>
        <v>135.43533871094056</v>
      </c>
      <c r="H30" s="42">
        <f t="shared" si="5"/>
        <v>126.96216597874788</v>
      </c>
    </row>
    <row r="31" spans="1:8" ht="14.1" customHeight="1">
      <c r="A31" s="29"/>
      <c r="B31" s="37">
        <v>133</v>
      </c>
      <c r="C31" s="43">
        <f t="shared" si="1"/>
        <v>111.4771892136356</v>
      </c>
      <c r="D31" s="40">
        <f t="shared" si="2"/>
        <v>2.242611262120167</v>
      </c>
      <c r="E31" s="40">
        <f t="shared" si="3"/>
        <v>0.39115721186783553</v>
      </c>
      <c r="F31" s="39">
        <f t="shared" si="4"/>
        <v>97.789302966958886</v>
      </c>
      <c r="G31" s="39">
        <f t="shared" si="0"/>
        <v>97.765494940358423</v>
      </c>
      <c r="H31" s="42">
        <f t="shared" ref="H31:H34" si="6">MAX(F31,G31)</f>
        <v>97.789302966958886</v>
      </c>
    </row>
    <row r="32" spans="1:8" ht="14.1" customHeight="1">
      <c r="A32" s="29"/>
      <c r="B32" s="38">
        <v>160</v>
      </c>
      <c r="C32" s="39">
        <f t="shared" si="1"/>
        <v>77.028125000000003</v>
      </c>
      <c r="D32" s="40">
        <f t="shared" si="2"/>
        <v>3.2455677715120288</v>
      </c>
      <c r="E32" s="40">
        <f t="shared" si="3"/>
        <v>0.25706314622544058</v>
      </c>
      <c r="F32" s="41">
        <f t="shared" si="4"/>
        <v>64.26578655636014</v>
      </c>
      <c r="G32" s="39">
        <f t="shared" si="0"/>
        <v>67.553665625000008</v>
      </c>
      <c r="H32" s="42">
        <f t="shared" si="6"/>
        <v>67.553665625000008</v>
      </c>
    </row>
    <row r="33" spans="1:8" ht="14.1" customHeight="1">
      <c r="A33" s="29"/>
      <c r="B33" s="38">
        <v>180</v>
      </c>
      <c r="C33" s="39">
        <f t="shared" si="1"/>
        <v>60.861728395061725</v>
      </c>
      <c r="D33" s="40">
        <f t="shared" si="2"/>
        <v>4.1076717108199121</v>
      </c>
      <c r="E33" s="40">
        <f t="shared" si="3"/>
        <v>0.17919737578171957</v>
      </c>
      <c r="F33" s="41">
        <f t="shared" si="4"/>
        <v>44.799343945429889</v>
      </c>
      <c r="G33" s="39">
        <f t="shared" si="0"/>
        <v>53.37573580246913</v>
      </c>
      <c r="H33" s="42">
        <f t="shared" si="6"/>
        <v>53.37573580246913</v>
      </c>
    </row>
    <row r="34" spans="1:8" ht="14.1" customHeight="1">
      <c r="A34" s="29"/>
      <c r="B34" s="38">
        <v>200</v>
      </c>
      <c r="C34" s="39">
        <f t="shared" si="1"/>
        <v>49.298000000000002</v>
      </c>
      <c r="D34" s="40">
        <f t="shared" si="2"/>
        <v>5.071199642987545</v>
      </c>
      <c r="E34" s="40">
        <f t="shared" si="3"/>
        <v>0.11972565359778588</v>
      </c>
      <c r="F34" s="41">
        <f t="shared" si="4"/>
        <v>29.93141339944647</v>
      </c>
      <c r="G34" s="39">
        <f t="shared" si="0"/>
        <v>43.234346000000002</v>
      </c>
      <c r="H34" s="42">
        <f t="shared" si="6"/>
        <v>43.234346000000002</v>
      </c>
    </row>
    <row r="35" spans="1:8">
      <c r="A35" s="29"/>
      <c r="B35" s="30" t="s">
        <v>47</v>
      </c>
      <c r="C35" s="29"/>
      <c r="D35" s="29"/>
      <c r="E35" s="29"/>
      <c r="F35" s="29"/>
    </row>
    <row r="36" spans="1:8">
      <c r="A36" s="29"/>
      <c r="B36" s="29" t="s">
        <v>48</v>
      </c>
      <c r="C36" s="29"/>
      <c r="D36" s="29"/>
      <c r="E36" s="34" t="s">
        <v>39</v>
      </c>
      <c r="F36" s="35">
        <v>345</v>
      </c>
      <c r="G36" s="29" t="s">
        <v>49</v>
      </c>
    </row>
    <row r="37" spans="1:8" ht="14.1" customHeight="1">
      <c r="A37" s="29"/>
      <c r="B37" s="36" t="s">
        <v>50</v>
      </c>
      <c r="C37" s="37" t="s">
        <v>41</v>
      </c>
      <c r="D37" s="37" t="s">
        <v>51</v>
      </c>
      <c r="E37" s="37" t="s">
        <v>52</v>
      </c>
      <c r="F37" s="37" t="s">
        <v>53</v>
      </c>
      <c r="G37" s="37" t="s">
        <v>54</v>
      </c>
      <c r="H37" s="37" t="s">
        <v>55</v>
      </c>
    </row>
    <row r="38" spans="1:8" ht="14.1" customHeight="1">
      <c r="A38" s="29"/>
      <c r="B38" s="38">
        <v>1</v>
      </c>
      <c r="C38" s="39">
        <f>(3.14*3.14)*$C$16/(B38*B38)</f>
        <v>1971920</v>
      </c>
      <c r="D38" s="40">
        <f>$F$36/C38</f>
        <v>1.7495638768307031E-4</v>
      </c>
      <c r="E38" s="40">
        <f>0.658^D38</f>
        <v>0.99992677462421919</v>
      </c>
      <c r="F38" s="39">
        <f t="shared" ref="F38:F48" si="7">0.658^D38*$F$36</f>
        <v>344.97473724535564</v>
      </c>
      <c r="G38" s="41">
        <f t="shared" ref="G38:G48" si="8">0.877*C38</f>
        <v>1729373.84</v>
      </c>
      <c r="H38" s="42">
        <f>MIN(F38,G38)</f>
        <v>344.97473724535564</v>
      </c>
    </row>
    <row r="39" spans="1:8" ht="14.1" customHeight="1">
      <c r="A39" s="29"/>
      <c r="B39" s="38">
        <v>20</v>
      </c>
      <c r="C39" s="39">
        <f t="shared" ref="C39:C48" si="9">(3.14*3.14)*$C$16/(B39*B39)</f>
        <v>4929.8</v>
      </c>
      <c r="D39" s="40">
        <f t="shared" ref="D39:D48" si="10">$F$36/C39</f>
        <v>6.998255507322812E-2</v>
      </c>
      <c r="E39" s="40">
        <f t="shared" ref="E39:E48" si="11">0.658^D39</f>
        <v>0.97113360707603502</v>
      </c>
      <c r="F39" s="39">
        <f t="shared" si="7"/>
        <v>335.04109444123208</v>
      </c>
      <c r="G39" s="41">
        <f t="shared" si="8"/>
        <v>4323.4346000000005</v>
      </c>
      <c r="H39" s="42">
        <f t="shared" ref="H39:H44" si="12">MIN(F39,G39)</f>
        <v>335.04109444123208</v>
      </c>
    </row>
    <row r="40" spans="1:8" ht="14.1" customHeight="1">
      <c r="A40" s="29"/>
      <c r="B40" s="38">
        <v>40</v>
      </c>
      <c r="C40" s="39">
        <f t="shared" si="9"/>
        <v>1232.45</v>
      </c>
      <c r="D40" s="40">
        <f t="shared" si="10"/>
        <v>0.27993022029291248</v>
      </c>
      <c r="E40" s="40">
        <f t="shared" si="11"/>
        <v>0.88943852064346707</v>
      </c>
      <c r="F40" s="39">
        <f t="shared" si="7"/>
        <v>306.85628962199615</v>
      </c>
      <c r="G40" s="41">
        <f t="shared" si="8"/>
        <v>1080.8586500000001</v>
      </c>
      <c r="H40" s="42">
        <f t="shared" si="12"/>
        <v>306.85628962199615</v>
      </c>
    </row>
    <row r="41" spans="1:8" ht="14.1" customHeight="1">
      <c r="A41" s="29"/>
      <c r="B41" s="38">
        <v>60</v>
      </c>
      <c r="C41" s="39">
        <f t="shared" si="9"/>
        <v>547.75555555555559</v>
      </c>
      <c r="D41" s="40">
        <f t="shared" si="10"/>
        <v>0.62984299565905311</v>
      </c>
      <c r="E41" s="40">
        <f t="shared" si="11"/>
        <v>0.76826465310200376</v>
      </c>
      <c r="F41" s="39">
        <f t="shared" si="7"/>
        <v>265.05130532019132</v>
      </c>
      <c r="G41" s="41">
        <f t="shared" si="8"/>
        <v>480.38162222222223</v>
      </c>
      <c r="H41" s="42">
        <f t="shared" si="12"/>
        <v>265.05130532019132</v>
      </c>
    </row>
    <row r="42" spans="1:8" ht="14.1" customHeight="1">
      <c r="A42" s="29"/>
      <c r="B42" s="38">
        <v>80</v>
      </c>
      <c r="C42" s="39">
        <f t="shared" si="9"/>
        <v>308.11250000000001</v>
      </c>
      <c r="D42" s="40">
        <f t="shared" si="10"/>
        <v>1.1197208811716499</v>
      </c>
      <c r="E42" s="40">
        <f t="shared" si="11"/>
        <v>0.62584060550820153</v>
      </c>
      <c r="F42" s="39">
        <f t="shared" si="7"/>
        <v>215.91500890032952</v>
      </c>
      <c r="G42" s="41">
        <f t="shared" si="8"/>
        <v>270.21466250000003</v>
      </c>
      <c r="H42" s="42">
        <f t="shared" si="12"/>
        <v>215.91500890032952</v>
      </c>
    </row>
    <row r="43" spans="1:8" ht="14.1" customHeight="1">
      <c r="A43" s="29"/>
      <c r="B43" s="38">
        <v>100</v>
      </c>
      <c r="C43" s="39">
        <f t="shared" si="9"/>
        <v>197.19200000000001</v>
      </c>
      <c r="D43" s="40">
        <f t="shared" si="10"/>
        <v>1.7495638768307029</v>
      </c>
      <c r="E43" s="40">
        <f t="shared" si="11"/>
        <v>0.48081121568790641</v>
      </c>
      <c r="F43" s="39">
        <f t="shared" si="7"/>
        <v>165.87986941232771</v>
      </c>
      <c r="G43" s="41">
        <f t="shared" si="8"/>
        <v>172.93738400000001</v>
      </c>
      <c r="H43" s="42">
        <f t="shared" si="12"/>
        <v>165.87986941232771</v>
      </c>
    </row>
    <row r="44" spans="1:8" ht="14.1" customHeight="1">
      <c r="A44" s="29"/>
      <c r="B44" s="44">
        <v>113</v>
      </c>
      <c r="C44" s="39">
        <f t="shared" si="9"/>
        <v>154.43026078784555</v>
      </c>
      <c r="D44" s="40">
        <f t="shared" si="10"/>
        <v>2.2340181143251248</v>
      </c>
      <c r="E44" s="40">
        <f t="shared" si="11"/>
        <v>0.3925666063607095</v>
      </c>
      <c r="F44" s="39">
        <f t="shared" si="7"/>
        <v>135.43547919444478</v>
      </c>
      <c r="G44" s="39">
        <f t="shared" si="8"/>
        <v>135.43533871094056</v>
      </c>
      <c r="H44" s="42">
        <f t="shared" si="12"/>
        <v>135.43533871094056</v>
      </c>
    </row>
    <row r="45" spans="1:8" ht="14.1" customHeight="1">
      <c r="A45" s="29"/>
      <c r="B45" s="38">
        <v>133</v>
      </c>
      <c r="C45" s="39">
        <f t="shared" si="9"/>
        <v>111.4771892136356</v>
      </c>
      <c r="D45" s="40">
        <f t="shared" si="10"/>
        <v>3.0948035417258306</v>
      </c>
      <c r="E45" s="40">
        <f t="shared" si="11"/>
        <v>0.27380719222053418</v>
      </c>
      <c r="F45" s="41">
        <f t="shared" si="7"/>
        <v>94.463481316084298</v>
      </c>
      <c r="G45" s="39">
        <f t="shared" si="8"/>
        <v>97.765494940358423</v>
      </c>
      <c r="H45" s="42">
        <f t="shared" ref="H45:H48" si="13">MAX(F45,G45)</f>
        <v>97.765494940358423</v>
      </c>
    </row>
    <row r="46" spans="1:8" ht="14.1" customHeight="1">
      <c r="B46" s="38">
        <v>160</v>
      </c>
      <c r="C46" s="39">
        <f t="shared" si="9"/>
        <v>77.028125000000003</v>
      </c>
      <c r="D46" s="40">
        <f t="shared" si="10"/>
        <v>4.4788835246865997</v>
      </c>
      <c r="E46" s="40">
        <f t="shared" si="11"/>
        <v>0.15341045206211684</v>
      </c>
      <c r="F46" s="41">
        <f t="shared" si="7"/>
        <v>52.926605961430312</v>
      </c>
      <c r="G46" s="39">
        <f t="shared" si="8"/>
        <v>67.553665625000008</v>
      </c>
      <c r="H46" s="42">
        <f t="shared" si="13"/>
        <v>67.553665625000008</v>
      </c>
    </row>
    <row r="47" spans="1:8" ht="14.1" customHeight="1">
      <c r="B47" s="38">
        <v>178</v>
      </c>
      <c r="C47" s="39">
        <f t="shared" si="9"/>
        <v>62.237091276353993</v>
      </c>
      <c r="D47" s="40">
        <f t="shared" si="10"/>
        <v>5.5433181873503994</v>
      </c>
      <c r="E47" s="40">
        <f t="shared" si="11"/>
        <v>9.8258083727969625E-2</v>
      </c>
      <c r="F47" s="41">
        <f t="shared" si="7"/>
        <v>33.899038886149519</v>
      </c>
      <c r="G47" s="39">
        <f t="shared" si="8"/>
        <v>54.581929049362451</v>
      </c>
      <c r="H47" s="42">
        <f t="shared" si="13"/>
        <v>54.581929049362451</v>
      </c>
    </row>
    <row r="48" spans="1:8" ht="14.1" customHeight="1">
      <c r="B48" s="38">
        <v>200</v>
      </c>
      <c r="C48" s="39">
        <f t="shared" si="9"/>
        <v>49.298000000000002</v>
      </c>
      <c r="D48" s="40">
        <f t="shared" si="10"/>
        <v>6.9982555073228117</v>
      </c>
      <c r="E48" s="40">
        <f t="shared" si="11"/>
        <v>5.3443926604030238E-2</v>
      </c>
      <c r="F48" s="41">
        <f t="shared" si="7"/>
        <v>18.438154678390433</v>
      </c>
      <c r="G48" s="39">
        <f t="shared" si="8"/>
        <v>43.234346000000002</v>
      </c>
      <c r="H48" s="42">
        <f t="shared" si="13"/>
        <v>43.234346000000002</v>
      </c>
    </row>
    <row r="49" spans="1:9">
      <c r="B49" s="30" t="s">
        <v>56</v>
      </c>
    </row>
    <row r="50" spans="1:9"/>
    <row r="51" spans="1:9"/>
    <row r="52" spans="1:9">
      <c r="A52" s="23" t="s">
        <v>57</v>
      </c>
      <c r="B52" s="23"/>
      <c r="C52" s="23"/>
      <c r="D52" s="23"/>
      <c r="E52" s="23"/>
      <c r="F52" s="23"/>
      <c r="G52" s="23"/>
      <c r="H52" s="23"/>
      <c r="I52" s="23"/>
    </row>
    <row r="53" spans="1:9">
      <c r="A53" s="23" t="s">
        <v>58</v>
      </c>
      <c r="B53" s="23"/>
      <c r="C53" s="23"/>
      <c r="D53" s="23"/>
      <c r="E53" s="23"/>
      <c r="F53" s="23"/>
      <c r="G53" s="23"/>
      <c r="H53" s="23"/>
      <c r="I53" s="23"/>
    </row>
    <row r="54" spans="1:9">
      <c r="B54" s="23" t="s">
        <v>59</v>
      </c>
      <c r="C54" s="23"/>
      <c r="D54" s="23"/>
      <c r="E54" s="23"/>
      <c r="F54" s="23"/>
      <c r="G54" s="23"/>
      <c r="H54" s="23"/>
    </row>
    <row r="55" spans="1:9">
      <c r="B55" s="45"/>
      <c r="C55" s="45"/>
      <c r="D55" s="45"/>
      <c r="E55" s="45"/>
      <c r="F55" s="45"/>
      <c r="G55" s="45"/>
      <c r="H55" s="45"/>
    </row>
    <row r="56" spans="1:9">
      <c r="B56" s="45"/>
      <c r="C56" s="45"/>
      <c r="D56" s="45"/>
      <c r="E56" s="45"/>
      <c r="F56" s="45"/>
      <c r="G56" s="45"/>
      <c r="H56" s="45"/>
    </row>
    <row r="57" spans="1:9">
      <c r="A57" s="4" t="s">
        <v>60</v>
      </c>
      <c r="B57" s="45"/>
      <c r="C57" s="45"/>
      <c r="D57" s="45"/>
      <c r="E57" s="45"/>
      <c r="F57" s="45"/>
      <c r="G57" s="45"/>
      <c r="H57" s="45"/>
    </row>
    <row r="58" spans="1:9">
      <c r="A58" s="46" t="s">
        <v>61</v>
      </c>
      <c r="B58" s="45"/>
      <c r="C58" s="45"/>
      <c r="D58" s="45"/>
      <c r="E58" s="45"/>
      <c r="F58" s="45"/>
      <c r="G58" s="45"/>
      <c r="H58" s="45"/>
    </row>
    <row r="59" spans="1:9">
      <c r="A59" s="46"/>
      <c r="B59" s="27" t="s">
        <v>39</v>
      </c>
      <c r="C59" s="47">
        <v>345</v>
      </c>
      <c r="D59" s="31" t="s">
        <v>62</v>
      </c>
      <c r="E59" s="45"/>
      <c r="F59" s="45"/>
      <c r="G59" s="45"/>
      <c r="H59" s="45"/>
    </row>
    <row r="60" spans="1:9">
      <c r="A60" s="46"/>
      <c r="B60" s="27" t="s">
        <v>63</v>
      </c>
      <c r="C60" s="47">
        <v>700</v>
      </c>
      <c r="D60" s="31" t="s">
        <v>64</v>
      </c>
      <c r="E60" s="45"/>
      <c r="F60" s="45"/>
      <c r="G60" s="45"/>
      <c r="H60" s="45"/>
    </row>
    <row r="61" spans="1:9">
      <c r="B61" s="27" t="s">
        <v>65</v>
      </c>
      <c r="C61" s="47">
        <v>300</v>
      </c>
      <c r="D61" s="31" t="s">
        <v>64</v>
      </c>
      <c r="E61" s="45"/>
      <c r="F61" s="45"/>
      <c r="G61" s="45"/>
      <c r="H61" s="45"/>
    </row>
    <row r="62" spans="1:9">
      <c r="B62" s="27" t="s">
        <v>66</v>
      </c>
      <c r="C62" s="47">
        <v>13</v>
      </c>
      <c r="D62" s="31" t="s">
        <v>67</v>
      </c>
      <c r="E62" s="45"/>
      <c r="F62" s="45"/>
      <c r="G62" s="45"/>
      <c r="H62" s="45"/>
    </row>
    <row r="63" spans="1:9">
      <c r="B63" s="27" t="s">
        <v>68</v>
      </c>
      <c r="C63" s="47">
        <v>24</v>
      </c>
      <c r="D63" s="31" t="s">
        <v>67</v>
      </c>
      <c r="E63" s="45"/>
      <c r="F63" s="45"/>
      <c r="G63" s="45"/>
      <c r="H63" s="45"/>
    </row>
    <row r="64" spans="1:9">
      <c r="B64" s="48" t="s">
        <v>69</v>
      </c>
      <c r="C64" s="49">
        <f>C63*C61^3*(C60-C63)^2/24</f>
        <v>12338352000000</v>
      </c>
      <c r="D64" s="31" t="s">
        <v>70</v>
      </c>
      <c r="E64" s="50" t="s">
        <v>71</v>
      </c>
      <c r="F64" s="51"/>
      <c r="G64" s="52"/>
      <c r="H64" s="45"/>
    </row>
    <row r="65" spans="2:9">
      <c r="B65" s="48" t="s">
        <v>72</v>
      </c>
      <c r="C65" s="53">
        <f>(2*C61*C63^3+(C60-2*C63)*C62^3)/3</f>
        <v>3242281.3333333335</v>
      </c>
      <c r="D65" s="31" t="s">
        <v>73</v>
      </c>
      <c r="E65" s="30" t="s">
        <v>74</v>
      </c>
      <c r="F65" s="3"/>
    </row>
    <row r="66" spans="2:9">
      <c r="B66" s="48" t="s">
        <v>75</v>
      </c>
      <c r="C66" s="54">
        <f>C61*C60^3/12-((C61-C62)*(C60-2*C63)^3/12)</f>
        <v>1946069925.333333</v>
      </c>
      <c r="D66" s="31" t="s">
        <v>76</v>
      </c>
    </row>
    <row r="67" spans="2:9">
      <c r="B67" s="48" t="s">
        <v>77</v>
      </c>
      <c r="C67" s="55">
        <f>2*C63*C61^3/12+(C60-2*C63)*C62^3/12</f>
        <v>108119370.33333333</v>
      </c>
      <c r="D67" s="31" t="s">
        <v>76</v>
      </c>
      <c r="G67" s="56"/>
      <c r="H67" s="56"/>
    </row>
    <row r="68" spans="2:9">
      <c r="B68" s="48" t="s">
        <v>78</v>
      </c>
      <c r="C68" s="53">
        <f>2*C61*C63+(C60-2*C63)*C62</f>
        <v>22876</v>
      </c>
      <c r="D68" s="29" t="s">
        <v>79</v>
      </c>
      <c r="G68" s="57"/>
    </row>
    <row r="69" spans="2:9">
      <c r="B69" s="58" t="s">
        <v>80</v>
      </c>
      <c r="C69" s="53">
        <v>0</v>
      </c>
      <c r="D69" s="29" t="s">
        <v>64</v>
      </c>
      <c r="E69" s="59" t="s">
        <v>81</v>
      </c>
      <c r="G69" s="57"/>
    </row>
    <row r="70" spans="2:9">
      <c r="B70" s="58" t="s">
        <v>82</v>
      </c>
      <c r="C70" s="53">
        <v>0</v>
      </c>
      <c r="D70" s="29" t="s">
        <v>64</v>
      </c>
      <c r="E70" s="59" t="s">
        <v>83</v>
      </c>
      <c r="G70" s="57"/>
    </row>
    <row r="71" spans="2:9">
      <c r="B71" s="48" t="s">
        <v>84</v>
      </c>
      <c r="C71" s="53">
        <f>(C66/C68)^0.5</f>
        <v>291.66826391122947</v>
      </c>
      <c r="D71" s="29" t="s">
        <v>85</v>
      </c>
      <c r="E71" s="59" t="s">
        <v>86</v>
      </c>
      <c r="G71" s="60"/>
    </row>
    <row r="72" spans="2:9">
      <c r="B72" s="48" t="s">
        <v>87</v>
      </c>
      <c r="C72" s="53">
        <f>(C67/C68)^0.5</f>
        <v>68.748259871898696</v>
      </c>
      <c r="D72" s="29" t="s">
        <v>67</v>
      </c>
      <c r="E72" s="59" t="s">
        <v>88</v>
      </c>
    </row>
    <row r="73" spans="2:9">
      <c r="B73" s="22" t="s">
        <v>89</v>
      </c>
      <c r="C73" s="53">
        <f>(C69^2+C70^2+(C66+C67)/C68)^0.5</f>
        <v>299.660974116425</v>
      </c>
      <c r="D73" s="22"/>
      <c r="E73" s="59" t="s">
        <v>90</v>
      </c>
    </row>
    <row r="74" spans="2:9">
      <c r="B74" s="22"/>
      <c r="C74" s="22"/>
      <c r="D74" s="22"/>
      <c r="E74" s="22"/>
    </row>
    <row r="75" spans="2:9">
      <c r="B75" s="48" t="s">
        <v>91</v>
      </c>
      <c r="C75" s="61">
        <v>3000</v>
      </c>
      <c r="D75" s="29" t="s">
        <v>67</v>
      </c>
      <c r="E75" s="59" t="s">
        <v>92</v>
      </c>
      <c r="G75" s="62" t="s">
        <v>93</v>
      </c>
      <c r="H75" s="63">
        <f>C75/C71</f>
        <v>10.285657958704288</v>
      </c>
    </row>
    <row r="76" spans="2:9">
      <c r="B76" s="48" t="s">
        <v>94</v>
      </c>
      <c r="C76" s="61">
        <v>3000</v>
      </c>
      <c r="D76" s="29" t="s">
        <v>64</v>
      </c>
      <c r="E76" s="59" t="s">
        <v>95</v>
      </c>
      <c r="G76" s="62" t="s">
        <v>96</v>
      </c>
      <c r="H76" s="63">
        <f>C76/C72</f>
        <v>43.637468142321225</v>
      </c>
    </row>
    <row r="77" spans="2:9">
      <c r="B77" s="48" t="s">
        <v>97</v>
      </c>
      <c r="C77" s="61">
        <v>6000</v>
      </c>
      <c r="D77" s="29" t="s">
        <v>67</v>
      </c>
      <c r="E77" s="30" t="s">
        <v>98</v>
      </c>
      <c r="H77" s="59"/>
    </row>
    <row r="78" spans="2:9">
      <c r="B78" s="48" t="s">
        <v>99</v>
      </c>
      <c r="C78" s="63">
        <f>3.14*3.14*C16/(H75)^2</f>
        <v>18639.108464782625</v>
      </c>
      <c r="D78" s="29" t="s">
        <v>49</v>
      </c>
      <c r="E78" s="64" t="s">
        <v>100</v>
      </c>
      <c r="F78" s="65">
        <f>$C$59/C78</f>
        <v>1.850946898301788E-2</v>
      </c>
      <c r="G78" s="66" t="s">
        <v>101</v>
      </c>
      <c r="H78" s="63">
        <f>IF(F78&gt;2.5,0.877*C78,0.658^F78*$C$59)</f>
        <v>342.33756155032495</v>
      </c>
      <c r="I78" s="29" t="s">
        <v>49</v>
      </c>
    </row>
    <row r="79" spans="2:9">
      <c r="B79" s="48" t="s">
        <v>102</v>
      </c>
      <c r="C79" s="63">
        <f>3.14*3.14*C16/(H76)^2</f>
        <v>1035.5479238197561</v>
      </c>
      <c r="D79" s="29" t="s">
        <v>49</v>
      </c>
      <c r="E79" s="48" t="s">
        <v>103</v>
      </c>
      <c r="F79" s="65">
        <f t="shared" ref="F79:F80" si="14">$C$59/C79</f>
        <v>0.33315696170527936</v>
      </c>
      <c r="G79" s="67" t="s">
        <v>104</v>
      </c>
      <c r="H79" s="63">
        <f t="shared" ref="H79:H80" si="15">IF(F79&gt;2.5,0.877*C79,0.658^F79*$C$59)</f>
        <v>300.09570933261813</v>
      </c>
      <c r="I79" s="29" t="s">
        <v>49</v>
      </c>
    </row>
    <row r="80" spans="2:9">
      <c r="B80" s="48" t="s">
        <v>105</v>
      </c>
      <c r="C80" s="63">
        <f>(3.14*3.14*$C$16*$C$64/C77^2+77200*$C$65)/(C68*C73*C73)</f>
        <v>450.85630926372954</v>
      </c>
      <c r="D80" s="29" t="s">
        <v>62</v>
      </c>
      <c r="E80" s="48" t="s">
        <v>106</v>
      </c>
      <c r="F80" s="65">
        <f t="shared" si="14"/>
        <v>0.76521054027923419</v>
      </c>
      <c r="G80" s="67" t="s">
        <v>107</v>
      </c>
      <c r="H80" s="63">
        <f t="shared" si="15"/>
        <v>250.45149758608031</v>
      </c>
      <c r="I80" s="29" t="s">
        <v>33</v>
      </c>
    </row>
    <row r="81" spans="1:25">
      <c r="B81" s="68" t="s">
        <v>108</v>
      </c>
      <c r="C81" s="69">
        <v>0.9</v>
      </c>
      <c r="D81" s="29"/>
      <c r="F81" s="70"/>
      <c r="H81" s="48"/>
    </row>
    <row r="82" spans="1:25" ht="17.25" thickBot="1">
      <c r="B82" s="68" t="s">
        <v>109</v>
      </c>
      <c r="C82" s="71">
        <v>1.67</v>
      </c>
      <c r="D82" s="29"/>
      <c r="F82" s="70"/>
      <c r="H82" s="48"/>
    </row>
    <row r="83" spans="1:25">
      <c r="B83" s="48" t="s">
        <v>110</v>
      </c>
      <c r="C83" s="72">
        <f>MIN(H78:H80)*C81*C68/1000</f>
        <v>5156.3956129012558</v>
      </c>
      <c r="D83" s="29" t="s">
        <v>111</v>
      </c>
      <c r="E83" s="73" t="s">
        <v>112</v>
      </c>
      <c r="F83" s="74"/>
      <c r="G83" s="29"/>
      <c r="H83" s="29"/>
      <c r="K83" s="75" t="s">
        <v>113</v>
      </c>
      <c r="L83" s="76"/>
      <c r="M83" s="76"/>
      <c r="N83" s="76"/>
      <c r="O83" s="76"/>
      <c r="P83" s="76"/>
      <c r="Q83" s="76"/>
      <c r="R83" s="76"/>
      <c r="S83" s="77"/>
      <c r="T83" s="77"/>
      <c r="U83" s="77"/>
      <c r="V83" s="77"/>
      <c r="W83" s="77"/>
      <c r="X83" s="77"/>
      <c r="Y83" s="78"/>
    </row>
    <row r="84" spans="1:25">
      <c r="B84" s="48" t="s">
        <v>114</v>
      </c>
      <c r="C84" s="72">
        <f>MIN(H78:H80)/C82/1000*C68</f>
        <v>3430.7356040593854</v>
      </c>
      <c r="D84" s="29" t="s">
        <v>111</v>
      </c>
      <c r="E84" s="79" t="s">
        <v>115</v>
      </c>
      <c r="F84" s="74"/>
      <c r="G84" s="29"/>
      <c r="H84" s="29"/>
      <c r="K84" s="80" t="s">
        <v>116</v>
      </c>
      <c r="L84" s="81"/>
      <c r="M84" s="81"/>
      <c r="N84" s="81"/>
      <c r="O84" s="81"/>
      <c r="P84" s="81"/>
      <c r="Q84" s="81"/>
      <c r="R84" s="81"/>
      <c r="S84" s="82"/>
      <c r="T84" s="82"/>
      <c r="U84" s="82"/>
      <c r="V84" s="82"/>
      <c r="W84" s="82"/>
      <c r="X84" s="82"/>
      <c r="Y84" s="83"/>
    </row>
    <row r="85" spans="1:25">
      <c r="A85" s="84"/>
      <c r="B85" s="84"/>
      <c r="C85" s="85"/>
      <c r="D85" s="86"/>
      <c r="E85" s="84"/>
      <c r="F85" s="84"/>
      <c r="G85" s="84"/>
      <c r="H85" s="84"/>
      <c r="I85" s="84"/>
      <c r="K85" s="80" t="s">
        <v>117</v>
      </c>
      <c r="L85" s="81"/>
      <c r="M85" s="81"/>
      <c r="N85" s="81"/>
      <c r="O85" s="81"/>
      <c r="P85" s="81"/>
      <c r="Q85" s="81"/>
      <c r="R85" s="81"/>
      <c r="S85" s="82"/>
      <c r="T85" s="82"/>
      <c r="U85" s="82"/>
      <c r="V85" s="82"/>
      <c r="W85" s="82"/>
      <c r="X85" s="82"/>
      <c r="Y85" s="83"/>
    </row>
    <row r="86" spans="1:25" ht="17.25" thickBot="1">
      <c r="A86" s="87" t="s">
        <v>118</v>
      </c>
      <c r="B86" s="84"/>
      <c r="C86" s="85"/>
      <c r="D86" s="86"/>
      <c r="E86" s="88"/>
      <c r="F86" s="84"/>
      <c r="G86" s="84"/>
      <c r="H86" s="84"/>
      <c r="I86" s="84"/>
      <c r="K86" s="80" t="s">
        <v>119</v>
      </c>
      <c r="L86" s="81"/>
      <c r="M86" s="81"/>
      <c r="N86" s="81"/>
      <c r="O86" s="81"/>
      <c r="P86" s="81"/>
      <c r="Q86" s="81"/>
      <c r="R86" s="81"/>
      <c r="S86" s="82"/>
      <c r="T86" s="82"/>
      <c r="U86" s="82"/>
      <c r="V86" s="82"/>
      <c r="W86" s="82"/>
      <c r="X86" s="82"/>
      <c r="Y86" s="83"/>
    </row>
    <row r="87" spans="1:25">
      <c r="A87" s="89" t="s">
        <v>120</v>
      </c>
      <c r="B87" s="90">
        <v>3000</v>
      </c>
      <c r="C87" s="90">
        <v>6000</v>
      </c>
      <c r="D87" s="91">
        <v>9000</v>
      </c>
      <c r="E87" s="90">
        <v>12000</v>
      </c>
      <c r="F87" s="91">
        <v>15000</v>
      </c>
      <c r="G87" s="90">
        <v>18000</v>
      </c>
      <c r="H87" s="91">
        <v>21000</v>
      </c>
      <c r="I87" s="92">
        <v>24000</v>
      </c>
      <c r="K87" s="80" t="s">
        <v>121</v>
      </c>
      <c r="L87" s="81"/>
      <c r="M87" s="81"/>
      <c r="N87" s="81"/>
      <c r="O87" s="81"/>
      <c r="P87" s="81"/>
      <c r="Q87" s="81"/>
      <c r="R87" s="81"/>
      <c r="S87" s="82"/>
      <c r="T87" s="82"/>
      <c r="U87" s="82"/>
      <c r="V87" s="82"/>
      <c r="W87" s="82"/>
      <c r="X87" s="82"/>
      <c r="Y87" s="83"/>
    </row>
    <row r="88" spans="1:25" ht="17.25" thickBot="1">
      <c r="A88" s="93" t="s">
        <v>122</v>
      </c>
      <c r="B88" s="94">
        <f t="shared" ref="B88:I88" si="16">(3.14*3.14*$C$16*$C$64/B87^2+77200*$C$65)/($C$66+$C$67)</f>
        <v>1437.8735528045636</v>
      </c>
      <c r="C88" s="94">
        <f>(3.14*3.14*$C$16*$C$64/C87^2+77200*$C$65)/($C$66+$C$67)</f>
        <v>450.8563092637296</v>
      </c>
      <c r="D88" s="94">
        <f t="shared" si="16"/>
        <v>268.07533823764925</v>
      </c>
      <c r="E88" s="94">
        <f t="shared" si="16"/>
        <v>204.10199837852113</v>
      </c>
      <c r="F88" s="94">
        <f t="shared" si="16"/>
        <v>174.4914810722961</v>
      </c>
      <c r="G88" s="94">
        <f t="shared" si="16"/>
        <v>158.40675562200101</v>
      </c>
      <c r="H88" s="94">
        <f t="shared" si="16"/>
        <v>148.70817348592328</v>
      </c>
      <c r="I88" s="95">
        <f t="shared" si="16"/>
        <v>142.41342065721901</v>
      </c>
      <c r="K88" s="96" t="s">
        <v>123</v>
      </c>
      <c r="L88" s="97"/>
      <c r="M88" s="97"/>
      <c r="N88" s="97"/>
      <c r="O88" s="97"/>
      <c r="P88" s="97"/>
      <c r="Q88" s="97"/>
      <c r="R88" s="97"/>
      <c r="S88" s="98"/>
      <c r="T88" s="98"/>
      <c r="U88" s="98"/>
      <c r="V88" s="98"/>
      <c r="W88" s="98"/>
      <c r="X88" s="98"/>
      <c r="Y88" s="99"/>
    </row>
    <row r="89" spans="1:25">
      <c r="A89" s="100"/>
      <c r="B89" s="101"/>
      <c r="C89" s="102"/>
      <c r="D89" s="103"/>
      <c r="E89" s="104"/>
      <c r="F89" s="101"/>
      <c r="G89" s="101"/>
      <c r="H89" s="101"/>
      <c r="I89" s="105"/>
    </row>
    <row r="90" spans="1:25" ht="17.25" thickBot="1">
      <c r="A90" s="106"/>
      <c r="B90" s="107"/>
      <c r="C90" s="108"/>
      <c r="D90" s="109"/>
      <c r="E90" s="110"/>
      <c r="F90" s="107"/>
      <c r="G90" s="107"/>
      <c r="H90" s="107"/>
      <c r="I90" s="111"/>
    </row>
    <row r="91" spans="1:25">
      <c r="C91" s="112"/>
      <c r="D91" s="29"/>
      <c r="E91" s="113"/>
    </row>
    <row r="92" spans="1:25"/>
    <row r="93" spans="1:25"/>
    <row r="94" spans="1:25"/>
    <row r="95" spans="1:25"/>
    <row r="96" spans="1:25"/>
    <row r="97"/>
  </sheetData>
  <mergeCells count="8">
    <mergeCell ref="B54:H54"/>
    <mergeCell ref="C85:C86"/>
    <mergeCell ref="A1:I1"/>
    <mergeCell ref="B8:G8"/>
    <mergeCell ref="A12:I12"/>
    <mergeCell ref="B13:H13"/>
    <mergeCell ref="A52:I52"/>
    <mergeCell ref="A53:I53"/>
  </mergeCells>
  <phoneticPr fontId="4" type="noConversion"/>
  <pageMargins left="0.7" right="0.7" top="0.75" bottom="0.75" header="0.3" footer="0.3"/>
  <pageSetup paperSize="9" orientation="portrait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89"/>
  <sheetViews>
    <sheetView topLeftCell="U1" zoomScale="40" zoomScaleNormal="40" workbookViewId="0">
      <selection activeCell="R54" sqref="R54"/>
    </sheetView>
  </sheetViews>
  <sheetFormatPr defaultColWidth="0" defaultRowHeight="16.5"/>
  <cols>
    <col min="1" max="1" width="5.375" style="283" customWidth="1"/>
    <col min="2" max="3" width="14.375" style="283" customWidth="1"/>
    <col min="4" max="4" width="14.375" style="282" customWidth="1"/>
    <col min="5" max="11" width="14.375" style="283" customWidth="1"/>
    <col min="12" max="12" width="14.375" style="282" customWidth="1"/>
    <col min="13" max="19" width="14.375" style="283" customWidth="1"/>
    <col min="20" max="22" width="17.75" style="283" customWidth="1"/>
    <col min="23" max="33" width="14.375" style="283" customWidth="1"/>
    <col min="34" max="34" width="26.25" style="283" customWidth="1"/>
    <col min="35" max="35" width="10" style="283" customWidth="1"/>
    <col min="36" max="52" width="21.125" style="283" customWidth="1"/>
    <col min="53" max="53" width="23" style="283" customWidth="1"/>
    <col min="54" max="54" width="21.125" style="283" customWidth="1"/>
    <col min="55" max="16384" width="10" style="283" hidden="1"/>
  </cols>
  <sheetData>
    <row r="1" spans="2:53" s="115" customFormat="1" ht="120" customHeight="1">
      <c r="B1" s="114" t="s">
        <v>124</v>
      </c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4"/>
      <c r="R1" s="114"/>
      <c r="S1" s="114"/>
      <c r="T1" s="114"/>
      <c r="U1" s="114"/>
      <c r="V1" s="114"/>
      <c r="W1" s="114"/>
      <c r="X1" s="114"/>
      <c r="Y1" s="114"/>
      <c r="Z1" s="114"/>
      <c r="AA1" s="114"/>
      <c r="AB1" s="114"/>
      <c r="AC1" s="114"/>
      <c r="AD1" s="114"/>
      <c r="AE1" s="114"/>
      <c r="AF1" s="114"/>
      <c r="AG1" s="114"/>
      <c r="AH1" s="114"/>
      <c r="AI1" s="114"/>
      <c r="AJ1" s="114"/>
      <c r="AK1" s="114"/>
      <c r="AL1" s="114"/>
      <c r="AM1" s="114"/>
      <c r="AN1" s="114"/>
      <c r="AO1" s="114"/>
      <c r="AP1" s="114"/>
      <c r="AQ1" s="114"/>
      <c r="AR1" s="114"/>
      <c r="AS1" s="114"/>
      <c r="AT1" s="114"/>
      <c r="AU1" s="114"/>
      <c r="AV1" s="114"/>
      <c r="AW1" s="114"/>
      <c r="AX1" s="114"/>
      <c r="AY1" s="114"/>
      <c r="AZ1" s="114"/>
      <c r="BA1" s="114"/>
    </row>
    <row r="2" spans="2:53" s="115" customFormat="1" ht="39.950000000000003" customHeight="1" thickBot="1">
      <c r="D2" s="116"/>
      <c r="L2" s="116"/>
      <c r="AH2" s="117" t="s">
        <v>125</v>
      </c>
      <c r="BA2" s="117" t="s">
        <v>125</v>
      </c>
    </row>
    <row r="3" spans="2:53" s="115" customFormat="1" ht="61.5" customHeight="1" thickBot="1">
      <c r="B3" s="118" t="s">
        <v>126</v>
      </c>
      <c r="C3" s="119"/>
      <c r="D3" s="119"/>
      <c r="E3" s="119"/>
      <c r="F3" s="120"/>
      <c r="G3" s="118" t="s">
        <v>127</v>
      </c>
      <c r="H3" s="119"/>
      <c r="I3" s="118"/>
      <c r="J3" s="119"/>
      <c r="K3" s="119"/>
      <c r="L3" s="119"/>
      <c r="M3" s="119"/>
      <c r="N3" s="119"/>
      <c r="O3" s="119"/>
      <c r="P3" s="120"/>
      <c r="Q3" s="118" t="s">
        <v>128</v>
      </c>
      <c r="R3" s="119"/>
      <c r="S3" s="120"/>
      <c r="T3" s="121" t="s">
        <v>129</v>
      </c>
      <c r="U3" s="122"/>
      <c r="V3" s="123"/>
      <c r="W3" s="124" t="s">
        <v>130</v>
      </c>
      <c r="X3" s="122"/>
      <c r="Y3" s="121" t="s">
        <v>131</v>
      </c>
      <c r="Z3" s="122"/>
      <c r="AA3" s="122"/>
      <c r="AB3" s="122"/>
      <c r="AC3" s="122"/>
      <c r="AD3" s="123"/>
      <c r="AE3" s="122" t="s">
        <v>132</v>
      </c>
      <c r="AF3" s="122"/>
      <c r="AG3" s="123"/>
      <c r="AH3" s="125" t="s">
        <v>133</v>
      </c>
      <c r="AJ3" s="126" t="s">
        <v>134</v>
      </c>
      <c r="AK3" s="127"/>
      <c r="AL3" s="127"/>
      <c r="AM3" s="127"/>
      <c r="AN3" s="127"/>
      <c r="AO3" s="127"/>
      <c r="AP3" s="127"/>
      <c r="AQ3" s="128"/>
      <c r="AR3" s="126" t="s">
        <v>135</v>
      </c>
      <c r="AS3" s="127"/>
      <c r="AT3" s="127"/>
      <c r="AU3" s="127"/>
      <c r="AV3" s="127"/>
      <c r="AW3" s="127"/>
      <c r="AX3" s="127"/>
      <c r="AY3" s="128"/>
      <c r="AZ3" s="129" t="s">
        <v>136</v>
      </c>
      <c r="BA3" s="130"/>
    </row>
    <row r="4" spans="2:53" s="152" customFormat="1" ht="82.5" customHeight="1" thickBot="1">
      <c r="B4" s="131" t="s">
        <v>137</v>
      </c>
      <c r="C4" s="132" t="s">
        <v>138</v>
      </c>
      <c r="D4" s="133" t="s">
        <v>139</v>
      </c>
      <c r="E4" s="133" t="s">
        <v>140</v>
      </c>
      <c r="F4" s="134" t="s">
        <v>141</v>
      </c>
      <c r="G4" s="135" t="s">
        <v>142</v>
      </c>
      <c r="H4" s="135" t="s">
        <v>143</v>
      </c>
      <c r="I4" s="136" t="s">
        <v>144</v>
      </c>
      <c r="J4" s="137" t="s">
        <v>145</v>
      </c>
      <c r="K4" s="137" t="s">
        <v>146</v>
      </c>
      <c r="L4" s="137" t="s">
        <v>147</v>
      </c>
      <c r="M4" s="138" t="s">
        <v>148</v>
      </c>
      <c r="N4" s="139" t="s">
        <v>149</v>
      </c>
      <c r="O4" s="137" t="s">
        <v>150</v>
      </c>
      <c r="P4" s="138" t="s">
        <v>151</v>
      </c>
      <c r="Q4" s="139" t="s">
        <v>152</v>
      </c>
      <c r="R4" s="137" t="s">
        <v>153</v>
      </c>
      <c r="S4" s="140" t="s">
        <v>154</v>
      </c>
      <c r="T4" s="141" t="s">
        <v>155</v>
      </c>
      <c r="U4" s="142" t="s">
        <v>156</v>
      </c>
      <c r="V4" s="143" t="s">
        <v>157</v>
      </c>
      <c r="W4" s="142" t="s">
        <v>158</v>
      </c>
      <c r="X4" s="144" t="s">
        <v>159</v>
      </c>
      <c r="Y4" s="145" t="s">
        <v>160</v>
      </c>
      <c r="Z4" s="146" t="s">
        <v>161</v>
      </c>
      <c r="AA4" s="146" t="s">
        <v>162</v>
      </c>
      <c r="AB4" s="146" t="s">
        <v>163</v>
      </c>
      <c r="AC4" s="146" t="s">
        <v>164</v>
      </c>
      <c r="AD4" s="147" t="s">
        <v>165</v>
      </c>
      <c r="AE4" s="148" t="s">
        <v>166</v>
      </c>
      <c r="AF4" s="149" t="s">
        <v>167</v>
      </c>
      <c r="AG4" s="150" t="s">
        <v>168</v>
      </c>
      <c r="AH4" s="151" t="s">
        <v>169</v>
      </c>
      <c r="AJ4" s="153"/>
      <c r="AK4" s="154"/>
      <c r="AL4" s="154"/>
      <c r="AM4" s="155" t="s">
        <v>170</v>
      </c>
      <c r="AN4" s="156" t="s">
        <v>171</v>
      </c>
      <c r="AO4" s="156"/>
      <c r="AP4" s="156"/>
      <c r="AQ4" s="157" t="s">
        <v>172</v>
      </c>
      <c r="AR4" s="158"/>
      <c r="AS4" s="154"/>
      <c r="AT4" s="154"/>
      <c r="AU4" s="155" t="s">
        <v>170</v>
      </c>
      <c r="AV4" s="156" t="s">
        <v>171</v>
      </c>
      <c r="AW4" s="156"/>
      <c r="AX4" s="156"/>
      <c r="AY4" s="157" t="s">
        <v>172</v>
      </c>
      <c r="AZ4" s="159" t="s">
        <v>173</v>
      </c>
      <c r="BA4" s="160" t="s">
        <v>174</v>
      </c>
    </row>
    <row r="5" spans="2:53" s="152" customFormat="1" ht="39.950000000000003" customHeight="1">
      <c r="B5" s="161" t="s">
        <v>154</v>
      </c>
      <c r="C5" s="162">
        <v>400</v>
      </c>
      <c r="D5" s="163">
        <v>200</v>
      </c>
      <c r="E5" s="163">
        <v>4</v>
      </c>
      <c r="F5" s="164">
        <v>6</v>
      </c>
      <c r="G5" s="165">
        <v>250</v>
      </c>
      <c r="H5" s="166">
        <f>C5*D5-(C5-2*F5)*(D5-E5)</f>
        <v>3952</v>
      </c>
      <c r="I5" s="167">
        <f>H5*7.85/1000000*1000</f>
        <v>31.023199999999996</v>
      </c>
      <c r="J5" s="168">
        <f>(C5^3*D5/12-(C5-2*F5)^3*(D5-E5)/12)</f>
        <v>112619157.33333325</v>
      </c>
      <c r="K5" s="168">
        <f>(D5^3*F5/12*2+(C5-2*F5)*E5^3/12)</f>
        <v>8002069.333333333</v>
      </c>
      <c r="L5" s="169">
        <f t="shared" ref="L5:L11" si="0">(J5/H5)^0.5</f>
        <v>168.80980521694198</v>
      </c>
      <c r="M5" s="170">
        <f t="shared" ref="M5:M11" si="1">(K5/H5)^0.5</f>
        <v>44.997945672106539</v>
      </c>
      <c r="N5" s="171">
        <v>0</v>
      </c>
      <c r="O5" s="172">
        <v>0</v>
      </c>
      <c r="P5" s="173">
        <f>(N5^2+O5^2+(J5+K5)/H5)^0.5</f>
        <v>174.70422276548368</v>
      </c>
      <c r="Q5" s="174">
        <f>F5*D5^3*(C5-F5)^2/24</f>
        <v>310472000000</v>
      </c>
      <c r="R5" s="174">
        <f>(2*D5*F5^3+(C5-F5)*E5^3)/3</f>
        <v>37205.333333333336</v>
      </c>
      <c r="S5" s="175">
        <f>1-(N5^2+O5^2)/P5^2</f>
        <v>1</v>
      </c>
      <c r="T5" s="176">
        <v>12000</v>
      </c>
      <c r="U5" s="177">
        <v>6000</v>
      </c>
      <c r="V5" s="178">
        <v>6000</v>
      </c>
      <c r="W5" s="179">
        <f t="shared" ref="W5:X11" si="2">T5/L5</f>
        <v>71.08591817032476</v>
      </c>
      <c r="X5" s="180">
        <f t="shared" si="2"/>
        <v>133.33942050868552</v>
      </c>
      <c r="Y5" s="181">
        <f t="shared" ref="Y5:Z11" si="3">PI()*PI()*200000/(T5/L5)^2</f>
        <v>390.62729520356805</v>
      </c>
      <c r="Z5" s="182">
        <f t="shared" si="3"/>
        <v>111.02291204184783</v>
      </c>
      <c r="AA5" s="183"/>
      <c r="AB5" s="184">
        <f>(PI()*PI()*200000*Q5/V5^2+77200*R5)/(J5+K5)</f>
        <v>164.94430212020805</v>
      </c>
      <c r="AC5" s="185" t="s">
        <v>175</v>
      </c>
      <c r="AD5" s="186">
        <f>MIN(Y5,Z5,AB5)</f>
        <v>111.02291204184783</v>
      </c>
      <c r="AE5" s="187">
        <f>G5/AD5</f>
        <v>2.2517874500154309</v>
      </c>
      <c r="AF5" s="179" t="str">
        <f t="shared" ref="AF5:AF11" si="4">IF(AE5&gt;2.25,"-",0.658^AE5*G5)</f>
        <v>-</v>
      </c>
      <c r="AG5" s="180">
        <f>IF(AE5&gt;2.25,0.877*MIN(Y5,Z5,AA5),"-")</f>
        <v>97.36709386070055</v>
      </c>
      <c r="AH5" s="188">
        <f t="shared" ref="AH5:AH10" si="5">IF(AE5&gt;2.25,0.9*AG5*H5/1000,0.9*AF5*H5)/1000</f>
        <v>0.34631527944373969</v>
      </c>
      <c r="AJ5" s="189">
        <f>0.56*(200000/G5)^0.5</f>
        <v>15.839191898578667</v>
      </c>
      <c r="AK5" s="190">
        <f>AJ5*(G5/(IF(AE5&gt;2.25,AG5,AF5)))^0.5</f>
        <v>25.380309920353952</v>
      </c>
      <c r="AL5" s="191">
        <f>D5/(2*F5)</f>
        <v>16.666666666666668</v>
      </c>
      <c r="AM5" s="192">
        <v>0.22</v>
      </c>
      <c r="AN5" s="156">
        <v>1.49</v>
      </c>
      <c r="AO5" s="193">
        <f>(AN5*AJ5/AL5)^2*G5</f>
        <v>501.28081920000011</v>
      </c>
      <c r="AP5" s="192">
        <f>(AO5/(AH5/0.9/H5*1000))^0.5</f>
        <v>71.75207083994097</v>
      </c>
      <c r="AQ5" s="194">
        <f>IF(AK5&gt;AL5,1,(1-AM5*AP5)*AP5)</f>
        <v>1</v>
      </c>
      <c r="AR5" s="195">
        <f>1.49*(200000/G5)^0.5</f>
        <v>42.143564158718235</v>
      </c>
      <c r="AS5" s="193">
        <f>AR5*(G5/(IF(AE5&gt;2.25,AG5,AF5)))^0.5</f>
        <v>67.529753180941753</v>
      </c>
      <c r="AT5" s="193">
        <f>(C5-2*F5)/E5</f>
        <v>97</v>
      </c>
      <c r="AU5" s="192">
        <v>0.18</v>
      </c>
      <c r="AV5" s="156">
        <v>1.31</v>
      </c>
      <c r="AW5" s="193">
        <f>(AV5*AR5/AT5)^2*G5</f>
        <v>80.98445339568498</v>
      </c>
      <c r="AX5" s="192">
        <f>(AW5/(AH5/0.9/H5*1000))^0.5</f>
        <v>28.839964654001793</v>
      </c>
      <c r="AY5" s="194">
        <f>IF(AS5&gt;AT5,1,(1-AU5*AX5)*AX5)</f>
        <v>-120.87387636993131</v>
      </c>
      <c r="AZ5" s="196">
        <f>(D5*F5*2)*AQ5+(C5-2*F5)*E5*AY5</f>
        <v>-185196.2561261334</v>
      </c>
      <c r="BA5" s="197">
        <f>AH5*AZ5/H5</f>
        <v>-16.228819127595212</v>
      </c>
    </row>
    <row r="6" spans="2:53" s="152" customFormat="1" ht="39.950000000000003" customHeight="1">
      <c r="B6" s="198" t="s">
        <v>176</v>
      </c>
      <c r="C6" s="162">
        <v>200</v>
      </c>
      <c r="D6" s="163">
        <v>200</v>
      </c>
      <c r="E6" s="163">
        <v>8</v>
      </c>
      <c r="F6" s="164">
        <v>12</v>
      </c>
      <c r="G6" s="165">
        <v>250</v>
      </c>
      <c r="H6" s="199">
        <f>C6*D6-(C6-F6)*(D6-E6)</f>
        <v>3904</v>
      </c>
      <c r="I6" s="167">
        <f t="shared" ref="I6:I10" si="6">H6*7.85/1000000*1000</f>
        <v>30.646399999999996</v>
      </c>
      <c r="J6" s="200">
        <f>D6*F6^3/12+D6*F6*(O6-F6/2)^2+E6*(C6-F6)^3/12+(C6-F6)*E6*((C6-F6)/2+F6-O6)</f>
        <v>8112986.0632446473</v>
      </c>
      <c r="K6" s="200">
        <f>F6*D6^3/12+(C6-F6)*E6^3/12</f>
        <v>8008021.333333333</v>
      </c>
      <c r="L6" s="201">
        <f t="shared" si="0"/>
        <v>45.586417167116643</v>
      </c>
      <c r="M6" s="202">
        <f t="shared" si="1"/>
        <v>45.290561629081125</v>
      </c>
      <c r="N6" s="203">
        <v>0</v>
      </c>
      <c r="O6" s="204">
        <f>((D6-E6)*F6*F6/2+(C6*E6*C6/2))/H6</f>
        <v>44.524590163934427</v>
      </c>
      <c r="P6" s="205">
        <f>(N6^2+O6^2+(J6+K6)/H6)^0.5</f>
        <v>78.177973445711103</v>
      </c>
      <c r="Q6" s="206">
        <f>D6^3*F6^3/144+C6^3*E6^3/36</f>
        <v>209777777.77777779</v>
      </c>
      <c r="R6" s="206">
        <f>(D6*F6^3+(C6-F6)*E6^3)/3</f>
        <v>147285.33333333334</v>
      </c>
      <c r="S6" s="207">
        <f>1-(N6^2+O6^2)/P6^2</f>
        <v>0.67563719714422454</v>
      </c>
      <c r="T6" s="208">
        <v>4000</v>
      </c>
      <c r="U6" s="209">
        <v>2000</v>
      </c>
      <c r="V6" s="210">
        <v>2000</v>
      </c>
      <c r="W6" s="211">
        <f t="shared" si="2"/>
        <v>87.745434903038714</v>
      </c>
      <c r="X6" s="212">
        <f t="shared" si="2"/>
        <v>44.159311080739556</v>
      </c>
      <c r="Y6" s="213">
        <f t="shared" si="3"/>
        <v>256.37795516065574</v>
      </c>
      <c r="Z6" s="211">
        <f t="shared" si="3"/>
        <v>1012.2438857003604</v>
      </c>
      <c r="AA6" s="212">
        <f>(PI()*PI()*200000*Q6/V6^2+77200*R6)/(H6*P6^2)</f>
        <v>480.87731094821947</v>
      </c>
      <c r="AB6" s="214"/>
      <c r="AC6" s="167">
        <f>((MIN(Y6,Z6)+AA6)/(2*S6)*(1-(1-(4*MIN(Y6,Z6)*AA6*S6)/(MIN(Y6,Z6)+AA6)^2)^0.5))</f>
        <v>206.18112971185721</v>
      </c>
      <c r="AD6" s="215">
        <f>MIN(Y6,Z6,AC6)</f>
        <v>206.18112971185721</v>
      </c>
      <c r="AE6" s="216">
        <f t="shared" ref="AE6:AE9" si="7">G6/AD6</f>
        <v>1.21252609464979</v>
      </c>
      <c r="AF6" s="211">
        <f t="shared" si="4"/>
        <v>150.49918959199135</v>
      </c>
      <c r="AG6" s="212" t="str">
        <f t="shared" ref="AG6:AG11" si="8">IF(AE6&gt;2.25,0.877*MIN(Y6,Z6,AC6),"-")</f>
        <v>-</v>
      </c>
      <c r="AH6" s="217">
        <f t="shared" si="5"/>
        <v>528.79395255042084</v>
      </c>
      <c r="AJ6" s="189">
        <f>0.56*(200000/G6)^0.5</f>
        <v>15.839191898578667</v>
      </c>
      <c r="AK6" s="190">
        <f t="shared" ref="AK6" si="9">AJ6*(G6/(IF(AE6&gt;2.25,AG6,AF6)))^0.5</f>
        <v>20.414368227562878</v>
      </c>
      <c r="AL6" s="191">
        <f t="shared" ref="AL6" si="10">D6/(2*F6)</f>
        <v>8.3333333333333339</v>
      </c>
      <c r="AM6" s="192">
        <v>0.22</v>
      </c>
      <c r="AN6" s="156">
        <v>1.49</v>
      </c>
      <c r="AO6" s="193">
        <f t="shared" ref="AO6" si="11">(AN6*AJ6/AL6)^2*G6</f>
        <v>2005.1232768000004</v>
      </c>
      <c r="AP6" s="192">
        <f>(AO6/(AH6/0.9/H6*1000))^0.5</f>
        <v>3.6500890390882423</v>
      </c>
      <c r="AQ6" s="194">
        <f t="shared" ref="AQ6" si="12">IF(AK6&gt;AL6,1,(1-AM6*AP6)*AP6)</f>
        <v>1</v>
      </c>
      <c r="AR6" s="195">
        <f>0.75*(200000/G6)^0.5</f>
        <v>21.213203435596427</v>
      </c>
      <c r="AS6" s="193">
        <f>AR6*(G6/(IF(AE6&gt;2.25,AG6,AF6)))^0.5</f>
        <v>27.340671733343136</v>
      </c>
      <c r="AT6" s="193">
        <f>(C6-F6)/E6</f>
        <v>23.5</v>
      </c>
      <c r="AU6" s="192">
        <v>0.18</v>
      </c>
      <c r="AV6" s="156">
        <v>1.31</v>
      </c>
      <c r="AW6" s="193">
        <f t="shared" ref="AW6" si="13">(AV6*AR6/AT6)^2*G6</f>
        <v>349.59031235853331</v>
      </c>
      <c r="AX6" s="192">
        <f t="shared" ref="AX6" si="14">(AW6/(AH6/0.9/H6*1000))^0.5</f>
        <v>1.5240970200289152</v>
      </c>
      <c r="AY6" s="194">
        <f t="shared" ref="AY6" si="15">IF(AS6&gt;AT6,1,(1-AU6*AX6)*AX6)</f>
        <v>1</v>
      </c>
      <c r="AZ6" s="196">
        <f>(D6*F6)*AQ6+(C6-F6)*E6*AY6</f>
        <v>3904</v>
      </c>
      <c r="BA6" s="197">
        <f t="shared" ref="BA6" si="16">AH6*AZ6/H6</f>
        <v>528.79395255042084</v>
      </c>
    </row>
    <row r="7" spans="2:53" s="152" customFormat="1" ht="39.950000000000003" customHeight="1">
      <c r="B7" s="198" t="s">
        <v>177</v>
      </c>
      <c r="C7" s="162">
        <v>300</v>
      </c>
      <c r="D7" s="163">
        <v>90</v>
      </c>
      <c r="E7" s="163">
        <v>8</v>
      </c>
      <c r="F7" s="164">
        <v>16</v>
      </c>
      <c r="G7" s="165">
        <v>250</v>
      </c>
      <c r="H7" s="199">
        <f>C7*D7-(C7-2*F7)*(D7-E7)</f>
        <v>5024</v>
      </c>
      <c r="I7" s="167">
        <f t="shared" si="6"/>
        <v>39.438400000000001</v>
      </c>
      <c r="J7" s="200">
        <f>(C7^3*D7/12-(C7-2*F7)^3*(D7-E7)/12)</f>
        <v>70966314.666666672</v>
      </c>
      <c r="K7" s="200">
        <f>(2*F7*D7^3+(C7-2*F7)*E7^3)/3-H7*N7^2</f>
        <v>4021458.6157112531</v>
      </c>
      <c r="L7" s="201">
        <f t="shared" si="0"/>
        <v>118.85058149570985</v>
      </c>
      <c r="M7" s="202">
        <f t="shared" si="1"/>
        <v>28.292217396824004</v>
      </c>
      <c r="N7" s="218">
        <f>((C7*E7)*E7/2+(D7-E7)*F7*2*((D7-E7)/2+E7))/H7</f>
        <v>27.503184713375795</v>
      </c>
      <c r="O7" s="219">
        <v>0</v>
      </c>
      <c r="P7" s="205">
        <f>(N7^2+O7^2+(J7+K7)/H7)^0.5</f>
        <v>125.22913182033798</v>
      </c>
      <c r="Q7" s="206">
        <f>C7^2/4*(K7+N7*N7*H7*(1-C7^2*H7/(4*J7)))</f>
        <v>39788835019.723183</v>
      </c>
      <c r="R7" s="206">
        <f>(2*D7*F7^3+(C7-F7)*E7^3)/3</f>
        <v>294229.33333333331</v>
      </c>
      <c r="S7" s="207">
        <f>1-(N7^2+O7^2)/P7^2</f>
        <v>0.9517657831336771</v>
      </c>
      <c r="T7" s="208">
        <v>6000</v>
      </c>
      <c r="U7" s="209">
        <v>3000</v>
      </c>
      <c r="V7" s="210">
        <v>6000</v>
      </c>
      <c r="W7" s="211">
        <f t="shared" si="2"/>
        <v>50.483556112988666</v>
      </c>
      <c r="X7" s="212">
        <f t="shared" si="2"/>
        <v>106.03622748695444</v>
      </c>
      <c r="Y7" s="213">
        <f t="shared" si="3"/>
        <v>774.5150517109272</v>
      </c>
      <c r="Z7" s="211">
        <f t="shared" si="3"/>
        <v>175.55823448523753</v>
      </c>
      <c r="AA7" s="212">
        <f>(PI()*PI()*200000*Q7/V7^2+77200*R7)/(H7*P7^2)</f>
        <v>315.98916951036324</v>
      </c>
      <c r="AB7" s="214"/>
      <c r="AC7" s="220">
        <f>((MIN(Y7,Z7)+AA7)/(2*S7)*(1-(1-(4*MIN(Y7,Z7)*AA7*S7)/(MIN(Y7,Z7)+AA7)^2)^0.5))</f>
        <v>166.5971076421435</v>
      </c>
      <c r="AD7" s="215">
        <f>MIN(Y7,Z7,AC7)</f>
        <v>166.5971076421435</v>
      </c>
      <c r="AE7" s="216">
        <f t="shared" si="7"/>
        <v>1.5006262926065252</v>
      </c>
      <c r="AF7" s="211">
        <f t="shared" si="4"/>
        <v>133.40281849260776</v>
      </c>
      <c r="AG7" s="212" t="str">
        <f t="shared" si="8"/>
        <v>-</v>
      </c>
      <c r="AH7" s="217">
        <f t="shared" si="5"/>
        <v>603.19418409617526</v>
      </c>
      <c r="AJ7" s="189">
        <f>0.56*(200000/G7)^0.5</f>
        <v>15.839191898578667</v>
      </c>
      <c r="AK7" s="221"/>
      <c r="AL7" s="191">
        <f>D7/(F7)</f>
        <v>5.625</v>
      </c>
      <c r="AM7" s="192">
        <v>0.22</v>
      </c>
      <c r="AN7" s="156">
        <v>1.49</v>
      </c>
      <c r="AO7" s="222"/>
      <c r="AP7" s="223"/>
      <c r="AQ7" s="224"/>
      <c r="AR7" s="195">
        <f>1.49*(200000/G7)^0.5</f>
        <v>42.143564158718235</v>
      </c>
      <c r="AS7" s="222"/>
      <c r="AT7" s="193">
        <f>(C7-2*F7)/E7</f>
        <v>33.5</v>
      </c>
      <c r="AU7" s="192">
        <v>0.18</v>
      </c>
      <c r="AV7" s="156">
        <v>1.31</v>
      </c>
      <c r="AW7" s="222"/>
      <c r="AX7" s="223"/>
      <c r="AY7" s="224"/>
      <c r="AZ7" s="225"/>
      <c r="BA7" s="226"/>
    </row>
    <row r="8" spans="2:53" s="152" customFormat="1" ht="39.950000000000003" customHeight="1">
      <c r="B8" s="198" t="s">
        <v>178</v>
      </c>
      <c r="C8" s="162">
        <v>100</v>
      </c>
      <c r="D8" s="163">
        <v>100</v>
      </c>
      <c r="E8" s="163">
        <v>12</v>
      </c>
      <c r="F8" s="227"/>
      <c r="G8" s="165">
        <v>250</v>
      </c>
      <c r="H8" s="199">
        <f>C8*E8+(D8-E8)*E8</f>
        <v>2256</v>
      </c>
      <c r="I8" s="167">
        <f t="shared" si="6"/>
        <v>17.709599999999998</v>
      </c>
      <c r="J8" s="200">
        <f>1/3*(E8*(C8-O8)^3+D8*O8^3-(D8-E8)*(O8-E8)^3)</f>
        <v>2100127.3191489354</v>
      </c>
      <c r="K8" s="200">
        <f>1/3*(E8*(D8-N8)^3+C8*N8^3-(C8-E8)*(N8-E8)^3)</f>
        <v>2100127.3191489354</v>
      </c>
      <c r="L8" s="201">
        <f t="shared" si="0"/>
        <v>30.510776778422983</v>
      </c>
      <c r="M8" s="202">
        <f t="shared" si="1"/>
        <v>30.510776778422983</v>
      </c>
      <c r="N8" s="218">
        <f>(E8*(2*(D8-E8)+C8)+(D8-E8)^2)/(2*(D8-E8+C8))</f>
        <v>29.404255319148938</v>
      </c>
      <c r="O8" s="201">
        <f>(E8*(2*(C8-E8)+D8)+(C8-E8)^2)/(2*(C8-E8+D8))</f>
        <v>29.404255319148938</v>
      </c>
      <c r="P8" s="205">
        <f>(N8^2+O8^2+(J8+K8)/H8)^0.5</f>
        <v>59.92524894393771</v>
      </c>
      <c r="Q8" s="206">
        <f>E8^3/36*(C8^3+D8^3)</f>
        <v>96000000</v>
      </c>
      <c r="R8" s="206">
        <f>((D8-E8)*E8^3+(C8-E8)*E8^3)/3</f>
        <v>101376</v>
      </c>
      <c r="S8" s="207">
        <f>1-(N8^2+O8^2)/P8^2</f>
        <v>0.51846188083331424</v>
      </c>
      <c r="T8" s="208">
        <v>3000</v>
      </c>
      <c r="U8" s="209">
        <v>3000</v>
      </c>
      <c r="V8" s="210">
        <v>3000</v>
      </c>
      <c r="W8" s="211">
        <f t="shared" si="2"/>
        <v>98.325913554635548</v>
      </c>
      <c r="X8" s="212">
        <f t="shared" si="2"/>
        <v>98.325913554635548</v>
      </c>
      <c r="Y8" s="213">
        <f t="shared" si="3"/>
        <v>204.17086122852967</v>
      </c>
      <c r="Z8" s="211">
        <f t="shared" si="3"/>
        <v>204.17086122852967</v>
      </c>
      <c r="AA8" s="212">
        <f>(PI()*PI()*200000*Q8/V8^2+77200*R8)/(H8*P8^2)</f>
        <v>968.63574237952389</v>
      </c>
      <c r="AB8" s="214"/>
      <c r="AC8" s="220">
        <f>((MIN(Y8,Z8)+AA8)/(2*S8)*(1-(1-(4*MIN(Y8,Z8)*AA8*S8)/(MIN(Y8,Z8)+AA8)^2)^0.5))</f>
        <v>183.51522614752298</v>
      </c>
      <c r="AD8" s="215">
        <f>MIN(Y8,Z8,AC8)</f>
        <v>183.51522614752298</v>
      </c>
      <c r="AE8" s="216">
        <f t="shared" si="7"/>
        <v>1.3622847828388458</v>
      </c>
      <c r="AF8" s="211">
        <f t="shared" si="4"/>
        <v>141.35523912993915</v>
      </c>
      <c r="AG8" s="212" t="str">
        <f t="shared" si="8"/>
        <v>-</v>
      </c>
      <c r="AH8" s="217">
        <f t="shared" si="5"/>
        <v>287.00767752942846</v>
      </c>
      <c r="AJ8" s="189">
        <f>0.45*(200000/G8)^0.5</f>
        <v>12.727922061357857</v>
      </c>
      <c r="AK8" s="221"/>
      <c r="AL8" s="191">
        <f>D8/(E8)</f>
        <v>8.3333333333333339</v>
      </c>
      <c r="AM8" s="192">
        <v>0.22</v>
      </c>
      <c r="AN8" s="156">
        <v>1.49</v>
      </c>
      <c r="AO8" s="222"/>
      <c r="AP8" s="223"/>
      <c r="AQ8" s="224"/>
      <c r="AR8" s="228"/>
      <c r="AS8" s="222"/>
      <c r="AT8" s="222"/>
      <c r="AU8" s="192">
        <v>0.18</v>
      </c>
      <c r="AV8" s="156">
        <v>1.31</v>
      </c>
      <c r="AW8" s="222"/>
      <c r="AX8" s="229"/>
      <c r="AY8" s="224"/>
      <c r="AZ8" s="225"/>
      <c r="BA8" s="226"/>
    </row>
    <row r="9" spans="2:53" s="152" customFormat="1" ht="39.950000000000003" customHeight="1">
      <c r="B9" s="198" t="s">
        <v>179</v>
      </c>
      <c r="C9" s="162">
        <v>100</v>
      </c>
      <c r="D9" s="163">
        <v>200</v>
      </c>
      <c r="E9" s="163">
        <v>12</v>
      </c>
      <c r="F9" s="227"/>
      <c r="G9" s="165">
        <v>250</v>
      </c>
      <c r="H9" s="199">
        <f>(C9*E9*2+(D9-2*E9)*E9)</f>
        <v>4512</v>
      </c>
      <c r="I9" s="167">
        <f t="shared" si="6"/>
        <v>35.419199999999996</v>
      </c>
      <c r="J9" s="200">
        <f>1/3*(E9*(C9-O9)^3+D9/2*O9^3-(D9/2-E9)*(O9-E9)^3)*2</f>
        <v>4200254.6382978708</v>
      </c>
      <c r="K9" s="200">
        <f>(1/3*(E9*(D9/2-N9)^3+C9*N9^3-(C9-E9)*(N9-E9)^3)+H9*N9^2)*2</f>
        <v>12002497.361702126</v>
      </c>
      <c r="L9" s="201">
        <f t="shared" si="0"/>
        <v>30.510776778422983</v>
      </c>
      <c r="M9" s="202">
        <f t="shared" si="1"/>
        <v>51.576428350266283</v>
      </c>
      <c r="N9" s="230">
        <f>(E9*(2*(D9/2-E9)+C9)+(D9/2-E9)^2)/(2*(D9/2-E9+C9))</f>
        <v>29.404255319148938</v>
      </c>
      <c r="O9" s="231">
        <f>(E9*(2*(C9-E9)+D9/2)+(C9-E9)^2)/(2*(C9-E9+D9/2))</f>
        <v>29.404255319148938</v>
      </c>
      <c r="P9" s="232">
        <f>(N9^2+O9^2+(J9+K9)/H9)^0.5</f>
        <v>72.940084471710776</v>
      </c>
      <c r="Q9" s="233">
        <f>D9^3*(2*E9)^3/144+C9^3*E9^3/36</f>
        <v>816000000</v>
      </c>
      <c r="R9" s="233">
        <f>((D9-E9)*E9^3+(C9-E9)*E9^3)/3</f>
        <v>158976</v>
      </c>
      <c r="S9" s="234">
        <f>1-(N9^2+O9^2)/P9^2</f>
        <v>0.6749741954411983</v>
      </c>
      <c r="T9" s="208">
        <v>6000</v>
      </c>
      <c r="U9" s="209">
        <v>3000</v>
      </c>
      <c r="V9" s="210">
        <v>6000</v>
      </c>
      <c r="W9" s="211">
        <f t="shared" si="2"/>
        <v>196.6518271092711</v>
      </c>
      <c r="X9" s="212">
        <f t="shared" si="2"/>
        <v>58.16610602863723</v>
      </c>
      <c r="Y9" s="213">
        <f t="shared" si="3"/>
        <v>51.042715307132418</v>
      </c>
      <c r="Z9" s="211">
        <f t="shared" si="3"/>
        <v>583.43134744443807</v>
      </c>
      <c r="AA9" s="235">
        <f>(PI()*PI()*200000*Q9/V9^2+77200*R9)/(H9*P9^2)</f>
        <v>513.13026928553506</v>
      </c>
      <c r="AB9" s="214"/>
      <c r="AC9" s="236">
        <f>((MIN(Y9,Z9)+AA9)/(2*S9)*(1-(1-(4*MIN(Y9,Z9)*AA9*S9)/(MIN(Y9,Z9)+AA9)^2)^0.5))</f>
        <v>49.336881638806375</v>
      </c>
      <c r="AD9" s="215">
        <f>MIN(Y9,Z9,AC9)</f>
        <v>49.336881638806375</v>
      </c>
      <c r="AE9" s="216">
        <f t="shared" si="7"/>
        <v>5.0672031084218387</v>
      </c>
      <c r="AF9" s="211" t="str">
        <f t="shared" si="4"/>
        <v>-</v>
      </c>
      <c r="AG9" s="212">
        <f t="shared" si="8"/>
        <v>43.268445197233191</v>
      </c>
      <c r="AH9" s="217">
        <f t="shared" si="5"/>
        <v>0.17570450225692455</v>
      </c>
      <c r="AJ9" s="189">
        <f>0.45*(200000/G9)^0.5</f>
        <v>12.727922061357857</v>
      </c>
      <c r="AK9" s="221"/>
      <c r="AL9" s="191">
        <f>C9/(E9)</f>
        <v>8.3333333333333339</v>
      </c>
      <c r="AM9" s="192">
        <v>0.22</v>
      </c>
      <c r="AN9" s="156">
        <v>1.49</v>
      </c>
      <c r="AO9" s="222"/>
      <c r="AP9" s="223"/>
      <c r="AQ9" s="224"/>
      <c r="AR9" s="228"/>
      <c r="AS9" s="222"/>
      <c r="AT9" s="222"/>
      <c r="AU9" s="192">
        <v>0.18</v>
      </c>
      <c r="AV9" s="156">
        <v>1.31</v>
      </c>
      <c r="AW9" s="222"/>
      <c r="AX9" s="229"/>
      <c r="AY9" s="224"/>
      <c r="AZ9" s="225"/>
      <c r="BA9" s="226"/>
    </row>
    <row r="10" spans="2:53" s="152" customFormat="1" ht="39.950000000000003" customHeight="1">
      <c r="B10" s="198" t="s">
        <v>180</v>
      </c>
      <c r="C10" s="162">
        <v>200</v>
      </c>
      <c r="D10" s="237"/>
      <c r="E10" s="163">
        <v>3</v>
      </c>
      <c r="F10" s="227"/>
      <c r="G10" s="238">
        <v>250</v>
      </c>
      <c r="H10" s="220">
        <f>PI()*(C10^2-(C10-2*E10)^2)/4</f>
        <v>1856.6812582715677</v>
      </c>
      <c r="I10" s="167">
        <f t="shared" si="6"/>
        <v>14.574947877431805</v>
      </c>
      <c r="J10" s="200">
        <f>PI()*(C10^4-(C10-2*E10)^4)/64</f>
        <v>9009081.6354482137</v>
      </c>
      <c r="K10" s="200">
        <f>PI()*(C10^4-(C10-2*E10)^4)/64</f>
        <v>9009081.6354482137</v>
      </c>
      <c r="L10" s="201">
        <f t="shared" si="0"/>
        <v>69.658093571386232</v>
      </c>
      <c r="M10" s="202">
        <f t="shared" si="1"/>
        <v>69.658093571386232</v>
      </c>
      <c r="N10" s="230" t="s">
        <v>175</v>
      </c>
      <c r="O10" s="237" t="s">
        <v>175</v>
      </c>
      <c r="P10" s="214" t="s">
        <v>175</v>
      </c>
      <c r="Q10" s="214" t="s">
        <v>175</v>
      </c>
      <c r="R10" s="214" t="s">
        <v>175</v>
      </c>
      <c r="S10" s="239" t="s">
        <v>175</v>
      </c>
      <c r="T10" s="208">
        <v>6000</v>
      </c>
      <c r="U10" s="209">
        <v>3000</v>
      </c>
      <c r="V10" s="210">
        <v>6000</v>
      </c>
      <c r="W10" s="211">
        <f t="shared" si="2"/>
        <v>86.13500158242411</v>
      </c>
      <c r="X10" s="212">
        <f t="shared" si="2"/>
        <v>43.067500791212055</v>
      </c>
      <c r="Y10" s="213">
        <f t="shared" si="3"/>
        <v>266.05437752881022</v>
      </c>
      <c r="Z10" s="212">
        <f t="shared" si="3"/>
        <v>1064.2175101152409</v>
      </c>
      <c r="AA10" s="240"/>
      <c r="AB10" s="214"/>
      <c r="AC10" s="240" t="s">
        <v>175</v>
      </c>
      <c r="AD10" s="241">
        <f>MIN(Y10,Z10)</f>
        <v>266.05437752881022</v>
      </c>
      <c r="AE10" s="216">
        <f>G10/AD10</f>
        <v>0.93965753287757225</v>
      </c>
      <c r="AF10" s="211">
        <f t="shared" si="4"/>
        <v>168.70758175857694</v>
      </c>
      <c r="AG10" s="212" t="str">
        <f t="shared" si="8"/>
        <v>-</v>
      </c>
      <c r="AH10" s="217">
        <f t="shared" si="5"/>
        <v>281.91258466152118</v>
      </c>
      <c r="AJ10" s="189">
        <f>0.11*(200000/G10)</f>
        <v>88</v>
      </c>
      <c r="AK10" s="221"/>
      <c r="AL10" s="191">
        <f>C10/(E10)</f>
        <v>66.666666666666671</v>
      </c>
      <c r="AM10" s="192">
        <v>0.22</v>
      </c>
      <c r="AN10" s="156">
        <v>1.49</v>
      </c>
      <c r="AO10" s="222"/>
      <c r="AP10" s="223"/>
      <c r="AQ10" s="224"/>
      <c r="AR10" s="228"/>
      <c r="AS10" s="222"/>
      <c r="AT10" s="222"/>
      <c r="AU10" s="192">
        <v>0.18</v>
      </c>
      <c r="AV10" s="156">
        <v>1.31</v>
      </c>
      <c r="AW10" s="222"/>
      <c r="AX10" s="229"/>
      <c r="AY10" s="224"/>
      <c r="AZ10" s="225"/>
      <c r="BA10" s="226"/>
    </row>
    <row r="11" spans="2:53" s="152" customFormat="1" ht="39.950000000000003" customHeight="1" thickBot="1">
      <c r="B11" s="242" t="s">
        <v>181</v>
      </c>
      <c r="C11" s="243">
        <v>200</v>
      </c>
      <c r="D11" s="244">
        <v>200</v>
      </c>
      <c r="E11" s="244">
        <v>3</v>
      </c>
      <c r="F11" s="245"/>
      <c r="G11" s="246">
        <v>250</v>
      </c>
      <c r="H11" s="247">
        <f>C11*D11-(C11-2*E11)*(D11-2*E11)</f>
        <v>2364</v>
      </c>
      <c r="I11" s="247">
        <f>H11*7.85/1000000*1000</f>
        <v>18.557399999999998</v>
      </c>
      <c r="J11" s="248">
        <f>C11^3*D11/12-(C11-2*E11)^3*(D11-2*E11)/12</f>
        <v>15294292</v>
      </c>
      <c r="K11" s="248">
        <f>C11*D11^3/12-(C11-2*E11)*(D11-2*E11)^3/12</f>
        <v>15294292</v>
      </c>
      <c r="L11" s="249">
        <f t="shared" si="0"/>
        <v>80.43423814935197</v>
      </c>
      <c r="M11" s="250">
        <f t="shared" si="1"/>
        <v>80.43423814935197</v>
      </c>
      <c r="N11" s="251" t="s">
        <v>175</v>
      </c>
      <c r="O11" s="252" t="s">
        <v>175</v>
      </c>
      <c r="P11" s="253" t="s">
        <v>175</v>
      </c>
      <c r="Q11" s="253" t="s">
        <v>175</v>
      </c>
      <c r="R11" s="253" t="s">
        <v>175</v>
      </c>
      <c r="S11" s="254" t="s">
        <v>175</v>
      </c>
      <c r="T11" s="255">
        <v>6000</v>
      </c>
      <c r="U11" s="256">
        <v>6000</v>
      </c>
      <c r="V11" s="257">
        <v>6000</v>
      </c>
      <c r="W11" s="247">
        <f t="shared" si="2"/>
        <v>74.595099525392101</v>
      </c>
      <c r="X11" s="258">
        <f t="shared" si="2"/>
        <v>74.595099525392101</v>
      </c>
      <c r="Y11" s="259">
        <f t="shared" si="3"/>
        <v>354.73917003841365</v>
      </c>
      <c r="Z11" s="258">
        <f t="shared" si="3"/>
        <v>354.73917003841365</v>
      </c>
      <c r="AA11" s="260"/>
      <c r="AB11" s="253"/>
      <c r="AC11" s="253" t="s">
        <v>175</v>
      </c>
      <c r="AD11" s="261">
        <f>MIN(Y11,Z11)</f>
        <v>354.73917003841365</v>
      </c>
      <c r="AE11" s="262">
        <f>G11/AD11</f>
        <v>0.70474314965817908</v>
      </c>
      <c r="AF11" s="247">
        <f t="shared" si="4"/>
        <v>186.13838967380551</v>
      </c>
      <c r="AG11" s="258" t="str">
        <f t="shared" si="8"/>
        <v>-</v>
      </c>
      <c r="AH11" s="263">
        <f>IF(AE11&gt;2.25,0.9*0.877*MIN(Y11,Z11,AA11)*H11/1000,0.9*0.658^AE11*G11*H11)/1000</f>
        <v>396.02803786998857</v>
      </c>
      <c r="AJ11" s="264">
        <f>1.4*(200000/250)^0.5</f>
        <v>39.597979746446661</v>
      </c>
      <c r="AK11" s="265"/>
      <c r="AL11" s="266">
        <f>MAX(C11,D11)/(E11)</f>
        <v>66.666666666666671</v>
      </c>
      <c r="AM11" s="267">
        <v>0.2</v>
      </c>
      <c r="AN11" s="268">
        <v>1.38</v>
      </c>
      <c r="AO11" s="269"/>
      <c r="AP11" s="270"/>
      <c r="AQ11" s="271"/>
      <c r="AR11" s="272"/>
      <c r="AS11" s="269"/>
      <c r="AT11" s="269"/>
      <c r="AU11" s="267">
        <v>0.2</v>
      </c>
      <c r="AV11" s="268">
        <v>1.38</v>
      </c>
      <c r="AW11" s="269"/>
      <c r="AX11" s="273"/>
      <c r="AY11" s="271"/>
      <c r="AZ11" s="274"/>
      <c r="BA11" s="275"/>
    </row>
    <row r="12" spans="2:53" s="276" customFormat="1" ht="39.75" customHeight="1">
      <c r="D12" s="277"/>
      <c r="L12" s="277"/>
      <c r="M12" s="277"/>
      <c r="N12" s="277"/>
      <c r="O12" s="278"/>
      <c r="P12" s="277"/>
      <c r="Q12" s="277"/>
      <c r="R12" s="277"/>
      <c r="AJ12" s="279"/>
      <c r="AK12" s="280"/>
      <c r="AW12" s="276" t="str">
        <f>"("&amp;AV5&amp;"*"&amp;ROUND(AR5,1)&amp;"/"&amp;AT5&amp;")^2*"&amp;G5</f>
        <v>(1.31*42.1/97)^2*250</v>
      </c>
      <c r="AX12" s="276">
        <f>(AH5/0.9/H5)*1000000</f>
        <v>97.36709386070055</v>
      </c>
    </row>
    <row r="13" spans="2:53" ht="39.950000000000003" customHeight="1" thickBot="1">
      <c r="B13" s="281" t="s">
        <v>182</v>
      </c>
      <c r="C13" s="282"/>
      <c r="D13" s="283"/>
      <c r="L13" s="284"/>
      <c r="M13" s="285" t="s">
        <v>183</v>
      </c>
      <c r="N13" s="284"/>
      <c r="O13" s="286"/>
      <c r="P13" s="286"/>
      <c r="Q13" s="286"/>
      <c r="R13" s="286"/>
      <c r="S13" s="286"/>
      <c r="T13" s="286"/>
      <c r="U13" s="286"/>
      <c r="AJ13" s="287"/>
      <c r="AK13" s="288"/>
    </row>
    <row r="14" spans="2:53" ht="39.950000000000003" customHeight="1">
      <c r="B14" s="289" t="s">
        <v>184</v>
      </c>
      <c r="C14" s="290" t="s">
        <v>185</v>
      </c>
      <c r="D14" s="291">
        <f>N8</f>
        <v>29.404255319148938</v>
      </c>
      <c r="E14" s="290"/>
      <c r="F14" s="292" t="s">
        <v>186</v>
      </c>
      <c r="G14" s="290"/>
      <c r="H14" s="290"/>
      <c r="I14" s="290"/>
      <c r="J14" s="293"/>
      <c r="L14" s="284"/>
      <c r="M14" s="289" t="s">
        <v>187</v>
      </c>
      <c r="N14" s="290"/>
      <c r="O14" s="291"/>
      <c r="P14" s="290"/>
      <c r="Q14" s="292" t="s">
        <v>188</v>
      </c>
      <c r="R14" s="290"/>
      <c r="S14" s="290"/>
      <c r="T14" s="290"/>
      <c r="U14" s="293"/>
      <c r="AI14" s="286"/>
      <c r="AJ14" s="285"/>
      <c r="AK14" s="294"/>
      <c r="AL14" s="294"/>
      <c r="AM14" s="294"/>
      <c r="AN14" s="286"/>
      <c r="AO14" s="286"/>
      <c r="AU14" s="283">
        <f>(1-AU5*AX5)*AX5</f>
        <v>-120.87387636993131</v>
      </c>
    </row>
    <row r="15" spans="2:53" ht="39.950000000000003" customHeight="1">
      <c r="B15" s="295" t="s">
        <v>178</v>
      </c>
      <c r="C15" s="294" t="s">
        <v>185</v>
      </c>
      <c r="D15" s="294">
        <v>3000</v>
      </c>
      <c r="E15" s="294"/>
      <c r="F15" s="296" t="s">
        <v>189</v>
      </c>
      <c r="G15" s="294"/>
      <c r="H15" s="294"/>
      <c r="I15" s="294"/>
      <c r="J15" s="297"/>
      <c r="L15" s="284"/>
      <c r="M15" s="295" t="s">
        <v>190</v>
      </c>
      <c r="N15" s="294" t="s">
        <v>185</v>
      </c>
      <c r="O15" s="294">
        <v>28</v>
      </c>
      <c r="P15" s="294"/>
      <c r="Q15" s="296" t="s">
        <v>191</v>
      </c>
      <c r="R15" s="294"/>
      <c r="S15" s="294"/>
      <c r="T15" s="294"/>
      <c r="U15" s="297"/>
      <c r="AI15" s="286"/>
      <c r="AJ15" s="298"/>
      <c r="AK15" s="286"/>
      <c r="AL15" s="298"/>
      <c r="AM15" s="298"/>
      <c r="AN15" s="298"/>
      <c r="AO15" s="286"/>
      <c r="AU15" s="299">
        <f>AU5</f>
        <v>0.18</v>
      </c>
    </row>
    <row r="16" spans="2:53" ht="39.950000000000003" customHeight="1">
      <c r="B16" s="295" t="s">
        <v>192</v>
      </c>
      <c r="C16" s="294" t="s">
        <v>185</v>
      </c>
      <c r="D16" s="300">
        <f>D15/D14</f>
        <v>102.0260492040521</v>
      </c>
      <c r="E16" s="294"/>
      <c r="F16" s="294"/>
      <c r="G16" s="294"/>
      <c r="H16" s="294"/>
      <c r="I16" s="294"/>
      <c r="J16" s="297"/>
      <c r="L16" s="284"/>
      <c r="M16" s="295" t="s">
        <v>193</v>
      </c>
      <c r="N16" s="294" t="s">
        <v>185</v>
      </c>
      <c r="O16" s="301">
        <v>40</v>
      </c>
      <c r="P16" s="286"/>
      <c r="Q16" s="286"/>
      <c r="R16" s="286"/>
      <c r="S16" s="286"/>
      <c r="T16" s="286"/>
      <c r="U16" s="297"/>
      <c r="AG16" s="286"/>
      <c r="AI16" s="286"/>
      <c r="AJ16" s="298"/>
      <c r="AK16" s="286"/>
      <c r="AL16" s="298"/>
      <c r="AM16" s="294"/>
      <c r="AN16" s="294"/>
      <c r="AO16" s="286"/>
      <c r="AU16" s="299">
        <f>AX5</f>
        <v>28.839964654001793</v>
      </c>
    </row>
    <row r="17" spans="2:50" ht="39.950000000000003" customHeight="1" thickBot="1">
      <c r="B17" s="302" t="s">
        <v>194</v>
      </c>
      <c r="C17" s="303" t="s">
        <v>185</v>
      </c>
      <c r="D17" s="304">
        <f>MAX(60+0.8*D15/D14,45+D15/D14)</f>
        <v>147.0260492040521</v>
      </c>
      <c r="E17" s="303"/>
      <c r="F17" s="305" t="s">
        <v>195</v>
      </c>
      <c r="G17" s="303"/>
      <c r="H17" s="303"/>
      <c r="I17" s="303"/>
      <c r="J17" s="306"/>
      <c r="L17" s="284"/>
      <c r="M17" s="302" t="s">
        <v>196</v>
      </c>
      <c r="N17" s="303" t="s">
        <v>185</v>
      </c>
      <c r="O17" s="304" t="s">
        <v>197</v>
      </c>
      <c r="P17" s="303" t="s">
        <v>185</v>
      </c>
      <c r="Q17" s="303">
        <f>40*O15</f>
        <v>1120</v>
      </c>
      <c r="R17" s="305" t="s">
        <v>198</v>
      </c>
      <c r="S17" s="307"/>
      <c r="T17" s="307"/>
      <c r="U17" s="308" t="s">
        <v>199</v>
      </c>
      <c r="AG17" s="286"/>
      <c r="AI17" s="286"/>
      <c r="AJ17" s="309"/>
      <c r="AK17" s="309"/>
      <c r="AL17" s="294"/>
      <c r="AM17" s="301"/>
      <c r="AN17" s="301"/>
      <c r="AO17" s="286"/>
    </row>
    <row r="18" spans="2:50" ht="39.950000000000003" customHeight="1">
      <c r="C18" s="310"/>
      <c r="D18" s="310"/>
      <c r="E18" s="311"/>
      <c r="G18" s="312"/>
      <c r="L18" s="284"/>
      <c r="M18" s="286"/>
      <c r="N18" s="286"/>
      <c r="O18" s="286"/>
      <c r="P18" s="286"/>
      <c r="Q18" s="286"/>
      <c r="R18" s="294"/>
      <c r="S18" s="294"/>
      <c r="T18" s="294"/>
      <c r="U18" s="286"/>
      <c r="AG18" s="286"/>
      <c r="AI18" s="286"/>
      <c r="AJ18" s="309"/>
      <c r="AK18" s="309"/>
      <c r="AL18" s="294"/>
      <c r="AM18" s="301"/>
      <c r="AN18" s="301"/>
      <c r="AO18" s="286"/>
    </row>
    <row r="19" spans="2:50" ht="39.950000000000003" customHeight="1">
      <c r="L19" s="284"/>
      <c r="M19" s="294"/>
      <c r="N19" s="294"/>
      <c r="O19" s="300"/>
      <c r="P19" s="294"/>
      <c r="Q19" s="296"/>
      <c r="R19" s="294"/>
      <c r="S19" s="294"/>
      <c r="T19" s="294"/>
      <c r="U19" s="286"/>
      <c r="AG19" s="286"/>
      <c r="AI19" s="286"/>
      <c r="AJ19" s="294"/>
      <c r="AK19" s="286"/>
      <c r="AL19" s="294"/>
      <c r="AM19" s="301"/>
      <c r="AN19" s="301"/>
      <c r="AO19" s="286"/>
    </row>
    <row r="20" spans="2:50" ht="39.950000000000003" customHeight="1">
      <c r="L20" s="284"/>
      <c r="M20" s="284"/>
      <c r="N20" s="284"/>
      <c r="O20" s="313"/>
      <c r="P20" s="284"/>
      <c r="Q20" s="284"/>
      <c r="R20" s="284"/>
      <c r="S20" s="286"/>
      <c r="T20" s="286"/>
      <c r="U20" s="286"/>
      <c r="AG20" s="286"/>
      <c r="AI20" s="286"/>
      <c r="AJ20" s="294"/>
      <c r="AK20" s="286"/>
      <c r="AL20" s="294"/>
      <c r="AM20" s="301"/>
      <c r="AN20" s="301"/>
      <c r="AO20" s="286"/>
    </row>
    <row r="21" spans="2:50" ht="39.950000000000003" customHeight="1">
      <c r="AG21" s="286"/>
      <c r="AI21" s="286"/>
      <c r="AJ21" s="294"/>
      <c r="AK21" s="286"/>
      <c r="AL21" s="294"/>
      <c r="AM21" s="301"/>
      <c r="AN21" s="301"/>
      <c r="AO21" s="286"/>
    </row>
    <row r="22" spans="2:50" ht="39.950000000000003" customHeight="1">
      <c r="AG22" s="286"/>
      <c r="AI22" s="286"/>
      <c r="AJ22" s="294"/>
      <c r="AK22" s="286"/>
      <c r="AL22" s="294"/>
      <c r="AM22" s="301"/>
      <c r="AN22" s="301"/>
      <c r="AO22" s="286"/>
    </row>
    <row r="23" spans="2:50" ht="39.950000000000003" customHeight="1">
      <c r="AG23" s="286"/>
      <c r="AH23" s="314"/>
      <c r="AI23" s="315"/>
      <c r="AJ23" s="287"/>
      <c r="AK23" s="288"/>
      <c r="AL23" s="286"/>
      <c r="AM23" s="286"/>
      <c r="AN23" s="286"/>
      <c r="AO23" s="286"/>
      <c r="AQ23" s="286"/>
    </row>
    <row r="24" spans="2:50" ht="39.950000000000003" customHeight="1">
      <c r="B24" s="286"/>
      <c r="C24" s="286"/>
      <c r="D24" s="284"/>
      <c r="E24" s="286"/>
      <c r="F24" s="286"/>
      <c r="G24" s="286"/>
      <c r="H24" s="286"/>
      <c r="I24" s="286"/>
      <c r="J24" s="286"/>
      <c r="K24" s="286"/>
      <c r="L24" s="284"/>
      <c r="M24" s="286"/>
      <c r="N24" s="286"/>
      <c r="O24" s="286"/>
      <c r="P24" s="286"/>
      <c r="Q24" s="286"/>
      <c r="R24" s="286"/>
      <c r="S24" s="286"/>
      <c r="T24" s="286"/>
      <c r="U24" s="286"/>
      <c r="V24" s="286"/>
      <c r="Y24" s="282"/>
      <c r="AG24" s="286"/>
      <c r="AH24" s="314"/>
      <c r="AI24" s="316"/>
      <c r="AJ24" s="287"/>
      <c r="AK24" s="288"/>
      <c r="AL24" s="286"/>
      <c r="AM24" s="286"/>
      <c r="AN24" s="286"/>
      <c r="AO24" s="286"/>
    </row>
    <row r="25" spans="2:50" ht="14.85" customHeight="1" thickBot="1">
      <c r="B25" s="286"/>
      <c r="C25" s="286"/>
      <c r="D25" s="284"/>
      <c r="E25" s="286"/>
      <c r="F25" s="286"/>
      <c r="G25" s="286"/>
      <c r="H25" s="286"/>
      <c r="I25" s="286"/>
      <c r="J25" s="286"/>
      <c r="K25" s="286"/>
      <c r="L25" s="284"/>
      <c r="M25" s="286"/>
      <c r="N25" s="286"/>
      <c r="O25" s="286"/>
      <c r="P25" s="286"/>
      <c r="Q25" s="286"/>
      <c r="R25" s="286"/>
      <c r="S25" s="286"/>
      <c r="T25" s="286"/>
      <c r="U25" s="286"/>
      <c r="V25" s="286"/>
      <c r="AF25" s="283" t="s">
        <v>200</v>
      </c>
      <c r="AG25" s="286"/>
      <c r="AH25" s="314"/>
      <c r="AI25" s="316"/>
      <c r="AJ25" s="287"/>
      <c r="AK25" s="288"/>
      <c r="AL25" s="286"/>
      <c r="AM25" s="286"/>
      <c r="AN25" s="286"/>
      <c r="AO25" s="286"/>
    </row>
    <row r="26" spans="2:50" ht="14.85" customHeight="1">
      <c r="B26" s="286"/>
      <c r="C26" s="317"/>
      <c r="D26" s="318"/>
      <c r="E26" s="319"/>
      <c r="F26" s="319"/>
      <c r="G26" s="319"/>
      <c r="H26" s="319"/>
      <c r="I26" s="319"/>
      <c r="J26" s="319"/>
      <c r="K26" s="319"/>
      <c r="L26" s="320"/>
      <c r="M26" s="286"/>
      <c r="N26" s="286"/>
      <c r="O26" s="317"/>
      <c r="P26" s="319"/>
      <c r="Q26" s="319"/>
      <c r="R26" s="319"/>
      <c r="S26" s="293"/>
      <c r="T26" s="286"/>
      <c r="U26" s="286"/>
      <c r="V26" s="286"/>
      <c r="X26" s="286"/>
      <c r="Y26" s="286"/>
      <c r="Z26" s="286"/>
      <c r="AA26" s="286"/>
      <c r="AB26" s="286"/>
      <c r="AC26" s="286"/>
      <c r="AD26" s="286"/>
      <c r="AE26" s="286"/>
      <c r="AF26" s="286"/>
      <c r="AG26" s="286"/>
      <c r="AH26" s="286"/>
      <c r="AI26" s="286"/>
      <c r="AJ26" s="287"/>
      <c r="AK26" s="288"/>
      <c r="AL26" s="286"/>
      <c r="AM26" s="286"/>
      <c r="AN26" s="286"/>
      <c r="AO26" s="286"/>
      <c r="AP26" s="286"/>
      <c r="AQ26" s="286"/>
      <c r="AR26" s="286"/>
      <c r="AS26" s="286"/>
      <c r="AT26" s="286"/>
      <c r="AU26" s="286"/>
      <c r="AV26" s="286"/>
      <c r="AW26" s="286"/>
      <c r="AX26" s="286"/>
    </row>
    <row r="27" spans="2:50" ht="14.85" customHeight="1">
      <c r="B27" s="286"/>
      <c r="C27" s="321"/>
      <c r="D27" s="322" t="s">
        <v>201</v>
      </c>
      <c r="E27" s="286"/>
      <c r="F27" s="286"/>
      <c r="G27" s="286"/>
      <c r="H27" s="286"/>
      <c r="I27" s="286"/>
      <c r="J27" s="286"/>
      <c r="K27" s="286"/>
      <c r="L27" s="297"/>
      <c r="M27" s="286"/>
      <c r="N27" s="286"/>
      <c r="O27" s="321"/>
      <c r="P27" s="286"/>
      <c r="Q27" s="286"/>
      <c r="R27" s="286"/>
      <c r="S27" s="297"/>
      <c r="T27" s="286"/>
      <c r="U27" s="286"/>
      <c r="V27" s="286"/>
      <c r="W27" s="286"/>
      <c r="X27" s="286"/>
      <c r="Y27" s="286"/>
      <c r="Z27" s="286"/>
      <c r="AA27" s="286"/>
      <c r="AB27" s="286"/>
      <c r="AC27" s="286"/>
      <c r="AD27" s="286"/>
      <c r="AE27" s="286"/>
      <c r="AF27" s="286"/>
      <c r="AG27" s="286"/>
      <c r="AH27" s="286"/>
      <c r="AI27" s="286"/>
      <c r="AJ27" s="287"/>
      <c r="AK27" s="288"/>
      <c r="AL27" s="286"/>
      <c r="AM27" s="286"/>
      <c r="AN27" s="286"/>
      <c r="AO27" s="286"/>
      <c r="AP27" s="286"/>
      <c r="AQ27" s="286"/>
      <c r="AR27" s="286"/>
      <c r="AS27" s="286"/>
      <c r="AT27" s="286"/>
      <c r="AU27" s="286"/>
      <c r="AV27" s="286"/>
      <c r="AW27" s="286"/>
      <c r="AX27" s="286"/>
    </row>
    <row r="28" spans="2:50" ht="14.85" customHeight="1">
      <c r="B28" s="286"/>
      <c r="C28" s="321"/>
      <c r="D28" s="284"/>
      <c r="E28" s="286"/>
      <c r="F28" s="286"/>
      <c r="G28" s="286"/>
      <c r="H28" s="286"/>
      <c r="I28" s="286"/>
      <c r="J28" s="286"/>
      <c r="K28" s="286"/>
      <c r="L28" s="297"/>
      <c r="M28" s="286"/>
      <c r="N28" s="286"/>
      <c r="O28" s="321"/>
      <c r="P28" s="322" t="s">
        <v>202</v>
      </c>
      <c r="Q28" s="286"/>
      <c r="R28" s="286"/>
      <c r="S28" s="297"/>
      <c r="T28" s="286"/>
      <c r="U28" s="286"/>
      <c r="V28" s="286"/>
      <c r="W28" s="286"/>
      <c r="X28" s="286"/>
      <c r="Y28" s="286"/>
      <c r="Z28" s="286"/>
      <c r="AA28" s="286"/>
      <c r="AB28" s="286"/>
      <c r="AC28" s="286"/>
      <c r="AD28" s="286"/>
      <c r="AE28" s="286"/>
      <c r="AF28" s="286"/>
      <c r="AG28" s="286"/>
      <c r="AH28" s="286"/>
      <c r="AI28" s="286"/>
      <c r="AJ28" s="287"/>
      <c r="AK28" s="288"/>
      <c r="AL28" s="286"/>
      <c r="AM28" s="286"/>
      <c r="AN28" s="286"/>
      <c r="AO28" s="286"/>
      <c r="AP28" s="286"/>
      <c r="AQ28" s="286"/>
      <c r="AR28" s="286"/>
      <c r="AS28" s="286"/>
      <c r="AT28" s="286"/>
      <c r="AU28" s="286"/>
      <c r="AV28" s="286"/>
      <c r="AW28" s="286"/>
      <c r="AX28" s="286"/>
    </row>
    <row r="29" spans="2:50" ht="14.85" customHeight="1">
      <c r="B29" s="286"/>
      <c r="C29" s="321"/>
      <c r="D29" s="323"/>
      <c r="E29" s="324"/>
      <c r="F29" s="325"/>
      <c r="G29" s="325"/>
      <c r="H29" s="325"/>
      <c r="I29" s="325"/>
      <c r="J29" s="325"/>
      <c r="K29" s="325"/>
      <c r="L29" s="326"/>
      <c r="M29" s="286"/>
      <c r="N29" s="286"/>
      <c r="O29" s="321"/>
      <c r="P29" s="286"/>
      <c r="Q29" s="286"/>
      <c r="R29" s="286"/>
      <c r="S29" s="297"/>
      <c r="T29" s="286"/>
      <c r="U29" s="286"/>
      <c r="V29" s="286"/>
      <c r="X29" s="286"/>
      <c r="Y29" s="286"/>
      <c r="Z29" s="286"/>
      <c r="AA29" s="286"/>
      <c r="AB29" s="286"/>
      <c r="AC29" s="286"/>
      <c r="AD29" s="286"/>
      <c r="AE29" s="286"/>
      <c r="AF29" s="286"/>
      <c r="AG29" s="286"/>
      <c r="AH29" s="286"/>
      <c r="AI29" s="286"/>
      <c r="AJ29" s="287"/>
      <c r="AK29" s="288"/>
      <c r="AL29" s="286"/>
      <c r="AM29" s="286"/>
      <c r="AN29" s="286"/>
      <c r="AO29" s="286"/>
      <c r="AP29" s="286"/>
      <c r="AQ29" s="286"/>
      <c r="AR29" s="286"/>
      <c r="AS29" s="286"/>
      <c r="AT29" s="286"/>
      <c r="AU29" s="286"/>
      <c r="AV29" s="286"/>
      <c r="AW29" s="286"/>
      <c r="AX29" s="286"/>
    </row>
    <row r="30" spans="2:50" ht="14.85" customHeight="1">
      <c r="B30" s="286"/>
      <c r="C30" s="321"/>
      <c r="D30" s="284"/>
      <c r="E30" s="284"/>
      <c r="F30" s="284"/>
      <c r="G30" s="286"/>
      <c r="H30" s="284"/>
      <c r="I30" s="284"/>
      <c r="J30" s="284"/>
      <c r="K30" s="284"/>
      <c r="L30" s="327"/>
      <c r="M30" s="284"/>
      <c r="N30" s="286"/>
      <c r="O30" s="321"/>
      <c r="P30" s="328"/>
      <c r="Q30" s="328"/>
      <c r="R30" s="328"/>
      <c r="S30" s="329"/>
      <c r="T30" s="328"/>
      <c r="U30" s="328"/>
      <c r="V30" s="328"/>
      <c r="X30" s="286"/>
      <c r="Y30" s="286"/>
      <c r="Z30" s="286"/>
      <c r="AA30" s="286"/>
      <c r="AB30" s="286"/>
      <c r="AC30" s="286"/>
      <c r="AD30" s="286"/>
      <c r="AE30" s="286"/>
      <c r="AF30" s="286"/>
      <c r="AG30" s="286"/>
      <c r="AH30" s="286"/>
      <c r="AI30" s="286"/>
      <c r="AJ30" s="287"/>
      <c r="AK30" s="288"/>
      <c r="AL30" s="286"/>
      <c r="AM30" s="286"/>
      <c r="AN30" s="286"/>
      <c r="AO30" s="286"/>
      <c r="AP30" s="286"/>
      <c r="AQ30" s="286"/>
      <c r="AR30" s="286"/>
      <c r="AS30" s="286"/>
      <c r="AT30" s="286"/>
      <c r="AU30" s="286"/>
      <c r="AV30" s="286"/>
      <c r="AW30" s="286"/>
      <c r="AX30" s="286"/>
    </row>
    <row r="31" spans="2:50" s="282" customFormat="1" ht="14.85" customHeight="1">
      <c r="B31" s="284"/>
      <c r="C31" s="330"/>
      <c r="D31" s="284"/>
      <c r="E31" s="284"/>
      <c r="F31" s="284"/>
      <c r="G31" s="284"/>
      <c r="H31" s="284"/>
      <c r="I31" s="284"/>
      <c r="J31" s="284"/>
      <c r="K31" s="284"/>
      <c r="L31" s="327"/>
      <c r="M31" s="284"/>
      <c r="N31" s="284"/>
      <c r="O31" s="330"/>
      <c r="P31" s="328"/>
      <c r="Q31" s="328"/>
      <c r="R31" s="328"/>
      <c r="S31" s="329"/>
      <c r="T31" s="328"/>
      <c r="U31" s="328"/>
      <c r="V31" s="328"/>
      <c r="X31" s="284"/>
      <c r="Y31" s="284"/>
      <c r="Z31" s="284"/>
      <c r="AA31" s="284"/>
      <c r="AB31" s="284"/>
      <c r="AC31" s="284"/>
      <c r="AD31" s="284"/>
      <c r="AE31" s="284"/>
      <c r="AF31" s="284"/>
      <c r="AG31" s="284"/>
      <c r="AH31" s="284"/>
      <c r="AI31" s="284"/>
      <c r="AJ31" s="287"/>
      <c r="AK31" s="288"/>
      <c r="AL31" s="284"/>
      <c r="AM31" s="284"/>
      <c r="AN31" s="284"/>
      <c r="AO31" s="284"/>
      <c r="AP31" s="284"/>
      <c r="AQ31" s="284"/>
      <c r="AR31" s="284"/>
      <c r="AS31" s="284"/>
      <c r="AT31" s="284"/>
      <c r="AU31" s="284"/>
      <c r="AV31" s="284"/>
      <c r="AW31" s="284"/>
      <c r="AX31" s="284"/>
    </row>
    <row r="32" spans="2:50" ht="14.85" customHeight="1">
      <c r="B32" s="286"/>
      <c r="C32" s="321"/>
      <c r="D32" s="284"/>
      <c r="E32" s="284"/>
      <c r="F32" s="331"/>
      <c r="G32" s="286"/>
      <c r="H32" s="331"/>
      <c r="I32" s="331"/>
      <c r="J32" s="331"/>
      <c r="K32" s="331"/>
      <c r="L32" s="332"/>
      <c r="M32" s="331"/>
      <c r="N32" s="286"/>
      <c r="O32" s="321"/>
      <c r="P32" s="328"/>
      <c r="Q32" s="328"/>
      <c r="R32" s="328"/>
      <c r="S32" s="329"/>
      <c r="T32" s="328"/>
      <c r="U32" s="328"/>
      <c r="V32" s="328"/>
      <c r="X32" s="286"/>
      <c r="Y32" s="286"/>
      <c r="Z32" s="286"/>
      <c r="AA32" s="286"/>
      <c r="AB32" s="286"/>
      <c r="AC32" s="286"/>
      <c r="AD32" s="286"/>
      <c r="AE32" s="286"/>
      <c r="AF32" s="286"/>
      <c r="AG32" s="286"/>
      <c r="AH32" s="286"/>
      <c r="AI32" s="286"/>
      <c r="AJ32" s="287"/>
      <c r="AK32" s="288"/>
      <c r="AL32" s="286"/>
      <c r="AM32" s="286"/>
      <c r="AN32" s="286"/>
      <c r="AO32" s="286"/>
      <c r="AP32" s="286"/>
      <c r="AQ32" s="286"/>
      <c r="AR32" s="286"/>
      <c r="AS32" s="286"/>
      <c r="AT32" s="286"/>
      <c r="AU32" s="286"/>
      <c r="AV32" s="286"/>
      <c r="AW32" s="286"/>
      <c r="AX32" s="286"/>
    </row>
    <row r="33" spans="2:50" s="282" customFormat="1" ht="14.85" customHeight="1">
      <c r="B33" s="284"/>
      <c r="C33" s="330"/>
      <c r="D33" s="333"/>
      <c r="E33" s="333"/>
      <c r="F33" s="334"/>
      <c r="G33" s="284"/>
      <c r="H33" s="331"/>
      <c r="I33" s="331"/>
      <c r="J33" s="331"/>
      <c r="K33" s="331"/>
      <c r="L33" s="332"/>
      <c r="M33" s="331"/>
      <c r="N33" s="284"/>
      <c r="O33" s="330"/>
      <c r="P33" s="328"/>
      <c r="Q33" s="328"/>
      <c r="R33" s="328"/>
      <c r="S33" s="335"/>
      <c r="T33" s="336"/>
      <c r="U33" s="336"/>
      <c r="V33" s="336"/>
      <c r="X33" s="284"/>
      <c r="Y33" s="284"/>
      <c r="Z33" s="284"/>
      <c r="AA33" s="284"/>
      <c r="AB33" s="284"/>
      <c r="AC33" s="284"/>
      <c r="AD33" s="284"/>
      <c r="AE33" s="284"/>
      <c r="AF33" s="284"/>
      <c r="AG33" s="284"/>
      <c r="AH33" s="284"/>
      <c r="AI33" s="284"/>
      <c r="AJ33" s="287"/>
      <c r="AK33" s="288"/>
      <c r="AL33" s="284"/>
      <c r="AM33" s="284"/>
      <c r="AN33" s="284"/>
      <c r="AO33" s="284"/>
      <c r="AP33" s="284"/>
      <c r="AQ33" s="284"/>
      <c r="AR33" s="284"/>
      <c r="AS33" s="284"/>
      <c r="AT33" s="284"/>
      <c r="AU33" s="284"/>
      <c r="AV33" s="284"/>
      <c r="AW33" s="284"/>
      <c r="AX33" s="284"/>
    </row>
    <row r="34" spans="2:50" s="282" customFormat="1" ht="14.85" customHeight="1">
      <c r="B34" s="284"/>
      <c r="C34" s="330"/>
      <c r="D34" s="333"/>
      <c r="E34" s="333"/>
      <c r="F34" s="334"/>
      <c r="G34" s="284"/>
      <c r="H34" s="331"/>
      <c r="I34" s="331"/>
      <c r="J34" s="331"/>
      <c r="K34" s="331"/>
      <c r="L34" s="332"/>
      <c r="M34" s="331"/>
      <c r="N34" s="284"/>
      <c r="O34" s="330"/>
      <c r="P34" s="331"/>
      <c r="Q34" s="331"/>
      <c r="R34" s="331"/>
      <c r="S34" s="327"/>
      <c r="T34" s="284"/>
      <c r="U34" s="284"/>
      <c r="V34" s="284"/>
      <c r="X34" s="284"/>
      <c r="Y34" s="284"/>
      <c r="Z34" s="284"/>
      <c r="AA34" s="284"/>
      <c r="AB34" s="284"/>
      <c r="AC34" s="284"/>
      <c r="AD34" s="284"/>
      <c r="AE34" s="284"/>
      <c r="AF34" s="284"/>
      <c r="AG34" s="284"/>
      <c r="AH34" s="284"/>
      <c r="AI34" s="284"/>
      <c r="AJ34" s="287"/>
      <c r="AK34" s="288"/>
      <c r="AL34" s="284"/>
      <c r="AM34" s="284"/>
      <c r="AN34" s="284"/>
      <c r="AO34" s="284"/>
      <c r="AP34" s="284"/>
      <c r="AQ34" s="284"/>
      <c r="AR34" s="284"/>
      <c r="AS34" s="284"/>
      <c r="AT34" s="284"/>
      <c r="AU34" s="284"/>
      <c r="AV34" s="284"/>
      <c r="AW34" s="284"/>
      <c r="AX34" s="284"/>
    </row>
    <row r="35" spans="2:50" ht="14.85" customHeight="1">
      <c r="B35" s="284"/>
      <c r="C35" s="330"/>
      <c r="D35" s="337"/>
      <c r="E35" s="337"/>
      <c r="F35" s="337"/>
      <c r="G35" s="284"/>
      <c r="H35" s="338"/>
      <c r="I35" s="338"/>
      <c r="J35" s="337"/>
      <c r="K35" s="286"/>
      <c r="L35" s="297"/>
      <c r="M35" s="284"/>
      <c r="N35" s="286"/>
      <c r="O35" s="321"/>
      <c r="P35" s="286"/>
      <c r="Q35" s="286"/>
      <c r="R35" s="286"/>
      <c r="S35" s="297"/>
      <c r="T35" s="286"/>
      <c r="U35" s="286"/>
      <c r="V35" s="286"/>
      <c r="X35" s="286"/>
      <c r="Y35" s="286"/>
      <c r="Z35" s="286"/>
      <c r="AA35" s="286"/>
      <c r="AB35" s="286"/>
      <c r="AC35" s="286"/>
      <c r="AD35" s="286"/>
      <c r="AE35" s="286"/>
      <c r="AF35" s="286"/>
      <c r="AG35" s="286"/>
      <c r="AH35" s="286"/>
      <c r="AI35" s="286"/>
      <c r="AJ35" s="287"/>
      <c r="AK35" s="288"/>
      <c r="AL35" s="286"/>
      <c r="AM35" s="286"/>
      <c r="AN35" s="286"/>
      <c r="AO35" s="286"/>
      <c r="AP35" s="286"/>
      <c r="AQ35" s="286"/>
      <c r="AR35" s="286"/>
      <c r="AS35" s="286"/>
      <c r="AT35" s="286"/>
      <c r="AU35" s="286"/>
      <c r="AV35" s="286"/>
      <c r="AW35" s="286"/>
      <c r="AX35" s="286"/>
    </row>
    <row r="36" spans="2:50" ht="14.85" customHeight="1">
      <c r="B36" s="284"/>
      <c r="C36" s="330"/>
      <c r="D36" s="337"/>
      <c r="E36" s="337"/>
      <c r="F36" s="337"/>
      <c r="G36" s="284"/>
      <c r="H36" s="338"/>
      <c r="I36" s="338"/>
      <c r="J36" s="337"/>
      <c r="K36" s="286"/>
      <c r="L36" s="297"/>
      <c r="M36" s="284"/>
      <c r="N36" s="286"/>
      <c r="O36" s="321"/>
      <c r="P36" s="286"/>
      <c r="Q36" s="286"/>
      <c r="R36" s="286"/>
      <c r="S36" s="297"/>
      <c r="T36" s="286"/>
      <c r="U36" s="286"/>
      <c r="V36" s="286"/>
      <c r="X36" s="286"/>
      <c r="Y36" s="286"/>
      <c r="Z36" s="286"/>
      <c r="AA36" s="286"/>
      <c r="AB36" s="286"/>
      <c r="AC36" s="286"/>
      <c r="AD36" s="286"/>
      <c r="AE36" s="286"/>
      <c r="AF36" s="286"/>
      <c r="AG36" s="286"/>
      <c r="AH36" s="286"/>
      <c r="AI36" s="286"/>
      <c r="AJ36" s="287"/>
      <c r="AK36" s="288"/>
      <c r="AL36" s="286"/>
      <c r="AM36" s="286"/>
      <c r="AN36" s="286"/>
      <c r="AO36" s="286"/>
      <c r="AP36" s="286"/>
      <c r="AQ36" s="286"/>
      <c r="AR36" s="286"/>
      <c r="AS36" s="286"/>
      <c r="AT36" s="286"/>
      <c r="AU36" s="286"/>
      <c r="AV36" s="286"/>
      <c r="AW36" s="286"/>
      <c r="AX36" s="286"/>
    </row>
    <row r="37" spans="2:50" ht="14.85" customHeight="1">
      <c r="B37" s="284"/>
      <c r="C37" s="330"/>
      <c r="D37" s="337"/>
      <c r="E37" s="337"/>
      <c r="F37" s="337"/>
      <c r="G37" s="284"/>
      <c r="H37" s="338"/>
      <c r="I37" s="338"/>
      <c r="J37" s="337"/>
      <c r="K37" s="286"/>
      <c r="L37" s="297"/>
      <c r="M37" s="284"/>
      <c r="N37" s="286"/>
      <c r="O37" s="321"/>
      <c r="P37" s="286"/>
      <c r="Q37" s="286"/>
      <c r="R37" s="286"/>
      <c r="S37" s="297"/>
      <c r="T37" s="286"/>
      <c r="U37" s="286"/>
      <c r="V37" s="286"/>
      <c r="X37" s="286"/>
      <c r="Y37" s="286"/>
      <c r="Z37" s="286"/>
      <c r="AA37" s="286"/>
      <c r="AB37" s="286"/>
      <c r="AC37" s="286"/>
      <c r="AD37" s="286"/>
      <c r="AE37" s="286"/>
      <c r="AF37" s="286"/>
      <c r="AG37" s="286"/>
      <c r="AH37" s="286"/>
      <c r="AI37" s="286"/>
      <c r="AJ37" s="287"/>
      <c r="AK37" s="288"/>
      <c r="AL37" s="286"/>
      <c r="AM37" s="286"/>
      <c r="AN37" s="286"/>
      <c r="AO37" s="286"/>
      <c r="AP37" s="286"/>
      <c r="AQ37" s="286"/>
      <c r="AR37" s="286"/>
      <c r="AS37" s="286"/>
      <c r="AT37" s="286"/>
      <c r="AU37" s="286"/>
      <c r="AV37" s="286"/>
      <c r="AW37" s="286"/>
      <c r="AX37" s="286"/>
    </row>
    <row r="38" spans="2:50" ht="14.85" customHeight="1">
      <c r="B38" s="284"/>
      <c r="C38" s="330"/>
      <c r="D38" s="337"/>
      <c r="E38" s="337"/>
      <c r="F38" s="337"/>
      <c r="G38" s="284"/>
      <c r="H38" s="338"/>
      <c r="I38" s="338"/>
      <c r="J38" s="337"/>
      <c r="K38" s="286"/>
      <c r="L38" s="297"/>
      <c r="M38" s="339"/>
      <c r="N38" s="286"/>
      <c r="O38" s="321"/>
      <c r="P38" s="286"/>
      <c r="Q38" s="286"/>
      <c r="R38" s="286"/>
      <c r="S38" s="297"/>
      <c r="T38" s="286"/>
      <c r="U38" s="286"/>
      <c r="V38" s="286"/>
      <c r="X38" s="286"/>
      <c r="Y38" s="286"/>
      <c r="Z38" s="286"/>
      <c r="AA38" s="286"/>
      <c r="AB38" s="286"/>
      <c r="AC38" s="286"/>
      <c r="AD38" s="286"/>
      <c r="AE38" s="286"/>
      <c r="AF38" s="286"/>
      <c r="AG38" s="286"/>
      <c r="AH38" s="286"/>
      <c r="AI38" s="286"/>
      <c r="AJ38" s="287"/>
      <c r="AK38" s="288"/>
      <c r="AL38" s="286"/>
      <c r="AM38" s="286"/>
      <c r="AN38" s="286"/>
      <c r="AO38" s="286"/>
      <c r="AP38" s="286"/>
      <c r="AQ38" s="286"/>
      <c r="AR38" s="286"/>
      <c r="AS38" s="286"/>
      <c r="AT38" s="286"/>
      <c r="AU38" s="286"/>
      <c r="AV38" s="286"/>
      <c r="AW38" s="286"/>
      <c r="AX38" s="286"/>
    </row>
    <row r="39" spans="2:50" ht="0" hidden="1" customHeight="1">
      <c r="B39" s="284"/>
      <c r="C39" s="330"/>
      <c r="D39" s="337"/>
      <c r="E39" s="337"/>
      <c r="F39" s="337"/>
      <c r="G39" s="284"/>
      <c r="H39" s="338"/>
      <c r="I39" s="338"/>
      <c r="J39" s="337"/>
      <c r="K39" s="286"/>
      <c r="L39" s="297"/>
      <c r="M39" s="284"/>
      <c r="N39" s="286"/>
      <c r="O39" s="321"/>
      <c r="P39" s="286"/>
      <c r="Q39" s="286"/>
      <c r="R39" s="286"/>
      <c r="S39" s="297"/>
      <c r="T39" s="286"/>
      <c r="U39" s="286"/>
      <c r="V39" s="286"/>
      <c r="X39" s="286"/>
      <c r="Y39" s="286"/>
      <c r="Z39" s="286"/>
      <c r="AA39" s="286"/>
      <c r="AB39" s="286"/>
      <c r="AC39" s="286"/>
      <c r="AD39" s="286"/>
      <c r="AE39" s="286"/>
      <c r="AF39" s="286"/>
      <c r="AG39" s="286"/>
      <c r="AH39" s="286"/>
      <c r="AI39" s="286"/>
      <c r="AJ39" s="287"/>
      <c r="AK39" s="288"/>
      <c r="AL39" s="286"/>
      <c r="AM39" s="286"/>
      <c r="AN39" s="286"/>
      <c r="AO39" s="286"/>
      <c r="AP39" s="286"/>
      <c r="AQ39" s="286"/>
      <c r="AR39" s="286"/>
      <c r="AS39" s="286"/>
      <c r="AT39" s="286"/>
      <c r="AU39" s="286"/>
      <c r="AV39" s="286"/>
      <c r="AW39" s="286"/>
      <c r="AX39" s="286"/>
    </row>
    <row r="40" spans="2:50" ht="14.85" customHeight="1">
      <c r="B40" s="284"/>
      <c r="C40" s="330"/>
      <c r="D40" s="337"/>
      <c r="E40" s="337"/>
      <c r="F40" s="337"/>
      <c r="G40" s="284"/>
      <c r="H40" s="338"/>
      <c r="I40" s="338"/>
      <c r="J40" s="337"/>
      <c r="K40" s="286"/>
      <c r="L40" s="297"/>
      <c r="M40" s="284"/>
      <c r="N40" s="286"/>
      <c r="O40" s="321"/>
      <c r="P40" s="286"/>
      <c r="Q40" s="286"/>
      <c r="R40" s="286"/>
      <c r="S40" s="297"/>
      <c r="T40" s="286"/>
      <c r="U40" s="286"/>
      <c r="V40" s="286"/>
      <c r="X40" s="286"/>
      <c r="Y40" s="286"/>
      <c r="Z40" s="286"/>
      <c r="AA40" s="286"/>
      <c r="AB40" s="286"/>
      <c r="AC40" s="286"/>
      <c r="AD40" s="286"/>
      <c r="AE40" s="286"/>
      <c r="AF40" s="286"/>
      <c r="AG40" s="286"/>
      <c r="AH40" s="286"/>
      <c r="AI40" s="286"/>
      <c r="AJ40" s="287"/>
      <c r="AK40" s="288"/>
      <c r="AL40" s="286"/>
      <c r="AM40" s="286"/>
      <c r="AN40" s="286"/>
      <c r="AO40" s="286"/>
      <c r="AP40" s="286"/>
      <c r="AQ40" s="286"/>
      <c r="AR40" s="286"/>
      <c r="AS40" s="286"/>
      <c r="AT40" s="286"/>
      <c r="AU40" s="286"/>
      <c r="AV40" s="286"/>
      <c r="AW40" s="286"/>
      <c r="AX40" s="286"/>
    </row>
    <row r="41" spans="2:50" ht="14.85" customHeight="1">
      <c r="B41" s="284"/>
      <c r="C41" s="330"/>
      <c r="D41" s="337"/>
      <c r="E41" s="337"/>
      <c r="F41" s="337"/>
      <c r="G41" s="284"/>
      <c r="H41" s="338"/>
      <c r="I41" s="338"/>
      <c r="J41" s="337"/>
      <c r="K41" s="286"/>
      <c r="L41" s="297"/>
      <c r="M41" s="284"/>
      <c r="N41" s="286"/>
      <c r="O41" s="321"/>
      <c r="P41" s="286"/>
      <c r="Q41" s="286"/>
      <c r="R41" s="286"/>
      <c r="S41" s="297"/>
      <c r="T41" s="286"/>
      <c r="U41" s="286"/>
      <c r="V41" s="286"/>
      <c r="X41" s="286"/>
      <c r="Y41" s="286"/>
      <c r="Z41" s="286"/>
      <c r="AA41" s="286"/>
      <c r="AB41" s="286"/>
      <c r="AC41" s="286"/>
      <c r="AD41" s="286"/>
      <c r="AE41" s="286"/>
      <c r="AF41" s="286"/>
      <c r="AG41" s="286"/>
      <c r="AH41" s="286"/>
      <c r="AI41" s="286"/>
      <c r="AJ41" s="287"/>
      <c r="AK41" s="288"/>
      <c r="AL41" s="286"/>
      <c r="AM41" s="286"/>
      <c r="AN41" s="286"/>
      <c r="AO41" s="286"/>
      <c r="AP41" s="286"/>
      <c r="AQ41" s="286"/>
      <c r="AR41" s="286"/>
      <c r="AS41" s="286"/>
      <c r="AT41" s="286"/>
      <c r="AU41" s="286"/>
      <c r="AV41" s="286"/>
      <c r="AW41" s="286"/>
      <c r="AX41" s="286"/>
    </row>
    <row r="42" spans="2:50" ht="14.85" customHeight="1">
      <c r="B42" s="284"/>
      <c r="C42" s="330"/>
      <c r="D42" s="337"/>
      <c r="E42" s="337"/>
      <c r="F42" s="337"/>
      <c r="G42" s="284"/>
      <c r="H42" s="338"/>
      <c r="I42" s="338"/>
      <c r="J42" s="337"/>
      <c r="K42" s="286"/>
      <c r="L42" s="297"/>
      <c r="M42" s="284"/>
      <c r="N42" s="286"/>
      <c r="O42" s="321"/>
      <c r="P42" s="286"/>
      <c r="Q42" s="286"/>
      <c r="R42" s="286"/>
      <c r="S42" s="297"/>
      <c r="T42" s="286"/>
      <c r="U42" s="286"/>
      <c r="V42" s="286"/>
      <c r="X42" s="286"/>
      <c r="Y42" s="286"/>
      <c r="Z42" s="286"/>
      <c r="AA42" s="286"/>
      <c r="AB42" s="286"/>
      <c r="AC42" s="286"/>
      <c r="AD42" s="286"/>
      <c r="AE42" s="286"/>
      <c r="AF42" s="286"/>
      <c r="AG42" s="286"/>
      <c r="AH42" s="286"/>
      <c r="AI42" s="286"/>
      <c r="AJ42" s="287"/>
      <c r="AK42" s="288"/>
      <c r="AL42" s="286"/>
      <c r="AM42" s="286"/>
      <c r="AN42" s="286"/>
      <c r="AO42" s="286"/>
      <c r="AP42" s="286"/>
      <c r="AQ42" s="286"/>
      <c r="AR42" s="286"/>
      <c r="AS42" s="286"/>
      <c r="AT42" s="286"/>
      <c r="AU42" s="286"/>
      <c r="AV42" s="286"/>
      <c r="AW42" s="286"/>
      <c r="AX42" s="286"/>
    </row>
    <row r="43" spans="2:50" ht="14.85" customHeight="1">
      <c r="B43" s="284"/>
      <c r="C43" s="330"/>
      <c r="D43" s="337"/>
      <c r="E43" s="337"/>
      <c r="F43" s="337"/>
      <c r="G43" s="284"/>
      <c r="H43" s="338"/>
      <c r="I43" s="338"/>
      <c r="J43" s="337"/>
      <c r="K43" s="286"/>
      <c r="L43" s="297"/>
      <c r="M43" s="284"/>
      <c r="N43" s="286"/>
      <c r="O43" s="321"/>
      <c r="P43" s="286"/>
      <c r="Q43" s="286"/>
      <c r="R43" s="286"/>
      <c r="S43" s="297"/>
      <c r="T43" s="286"/>
      <c r="U43" s="286"/>
      <c r="V43" s="286"/>
      <c r="X43" s="286"/>
      <c r="Y43" s="286"/>
      <c r="Z43" s="286"/>
      <c r="AA43" s="286"/>
      <c r="AB43" s="286"/>
      <c r="AC43" s="286"/>
      <c r="AD43" s="286"/>
      <c r="AE43" s="286"/>
      <c r="AF43" s="286"/>
      <c r="AG43" s="286"/>
      <c r="AH43" s="286"/>
      <c r="AI43" s="286"/>
      <c r="AJ43" s="287"/>
      <c r="AK43" s="288"/>
      <c r="AL43" s="286"/>
      <c r="AM43" s="286"/>
      <c r="AN43" s="286"/>
      <c r="AO43" s="286"/>
      <c r="AP43" s="286"/>
      <c r="AQ43" s="286"/>
      <c r="AR43" s="286"/>
      <c r="AS43" s="286"/>
      <c r="AT43" s="286"/>
      <c r="AU43" s="286"/>
      <c r="AV43" s="286"/>
      <c r="AW43" s="286"/>
      <c r="AX43" s="286"/>
    </row>
    <row r="44" spans="2:50" ht="14.85" customHeight="1">
      <c r="B44" s="284"/>
      <c r="C44" s="330"/>
      <c r="D44" s="337"/>
      <c r="E44" s="337"/>
      <c r="F44" s="337"/>
      <c r="G44" s="284"/>
      <c r="H44" s="338"/>
      <c r="I44" s="338"/>
      <c r="J44" s="337"/>
      <c r="K44" s="286"/>
      <c r="L44" s="297"/>
      <c r="M44" s="284"/>
      <c r="N44" s="286"/>
      <c r="O44" s="321"/>
      <c r="P44" s="286"/>
      <c r="Q44" s="286"/>
      <c r="R44" s="286"/>
      <c r="S44" s="297"/>
      <c r="T44" s="286"/>
      <c r="U44" s="286"/>
      <c r="V44" s="286"/>
      <c r="X44" s="286"/>
      <c r="Y44" s="286"/>
      <c r="Z44" s="286"/>
      <c r="AA44" s="286"/>
      <c r="AB44" s="286"/>
      <c r="AC44" s="286"/>
      <c r="AD44" s="286"/>
      <c r="AE44" s="286"/>
      <c r="AF44" s="286"/>
      <c r="AG44" s="286"/>
      <c r="AH44" s="286"/>
      <c r="AI44" s="286"/>
      <c r="AJ44" s="287"/>
      <c r="AK44" s="288"/>
      <c r="AL44" s="286"/>
      <c r="AM44" s="286"/>
      <c r="AN44" s="286"/>
      <c r="AO44" s="286"/>
      <c r="AP44" s="286"/>
      <c r="AQ44" s="286"/>
      <c r="AR44" s="286"/>
      <c r="AS44" s="286"/>
      <c r="AT44" s="286"/>
      <c r="AU44" s="286"/>
      <c r="AV44" s="286"/>
      <c r="AW44" s="286"/>
      <c r="AX44" s="286"/>
    </row>
    <row r="45" spans="2:50" ht="14.85" customHeight="1">
      <c r="B45" s="284"/>
      <c r="C45" s="330"/>
      <c r="D45" s="337"/>
      <c r="E45" s="337"/>
      <c r="F45" s="337"/>
      <c r="G45" s="284"/>
      <c r="H45" s="338"/>
      <c r="I45" s="338"/>
      <c r="J45" s="337"/>
      <c r="K45" s="286"/>
      <c r="L45" s="297"/>
      <c r="M45" s="284"/>
      <c r="N45" s="286"/>
      <c r="O45" s="321"/>
      <c r="P45" s="286"/>
      <c r="Q45" s="286"/>
      <c r="R45" s="286"/>
      <c r="S45" s="297"/>
      <c r="T45" s="286"/>
      <c r="U45" s="286"/>
      <c r="V45" s="286"/>
      <c r="X45" s="286"/>
      <c r="Y45" s="286"/>
      <c r="Z45" s="286"/>
      <c r="AA45" s="286"/>
      <c r="AB45" s="286"/>
      <c r="AC45" s="286"/>
      <c r="AD45" s="286"/>
      <c r="AE45" s="286"/>
      <c r="AF45" s="286"/>
      <c r="AG45" s="286"/>
      <c r="AH45" s="286"/>
      <c r="AI45" s="286"/>
      <c r="AJ45" s="287"/>
      <c r="AK45" s="288"/>
      <c r="AL45" s="286"/>
      <c r="AM45" s="286"/>
      <c r="AN45" s="286"/>
      <c r="AO45" s="286"/>
      <c r="AP45" s="286"/>
      <c r="AQ45" s="286"/>
      <c r="AR45" s="286"/>
      <c r="AS45" s="286"/>
      <c r="AT45" s="286"/>
      <c r="AU45" s="286"/>
      <c r="AV45" s="286"/>
      <c r="AW45" s="286"/>
      <c r="AX45" s="286"/>
    </row>
    <row r="46" spans="2:50" ht="14.85" customHeight="1">
      <c r="B46" s="284"/>
      <c r="C46" s="330"/>
      <c r="D46" s="337"/>
      <c r="E46" s="337"/>
      <c r="F46" s="337"/>
      <c r="G46" s="284"/>
      <c r="H46" s="338"/>
      <c r="I46" s="338"/>
      <c r="J46" s="337"/>
      <c r="K46" s="286"/>
      <c r="L46" s="297"/>
      <c r="M46" s="284"/>
      <c r="N46" s="286"/>
      <c r="O46" s="321"/>
      <c r="P46" s="286"/>
      <c r="Q46" s="286"/>
      <c r="R46" s="286"/>
      <c r="S46" s="297"/>
      <c r="T46" s="286"/>
      <c r="U46" s="286"/>
      <c r="V46" s="286"/>
      <c r="X46" s="286"/>
      <c r="Y46" s="286"/>
      <c r="Z46" s="286"/>
      <c r="AA46" s="286"/>
      <c r="AB46" s="286"/>
      <c r="AC46" s="286"/>
      <c r="AD46" s="286"/>
      <c r="AE46" s="286"/>
      <c r="AF46" s="286"/>
      <c r="AG46" s="286"/>
      <c r="AH46" s="286"/>
      <c r="AI46" s="286"/>
      <c r="AJ46" s="287"/>
      <c r="AK46" s="288"/>
      <c r="AL46" s="286"/>
      <c r="AM46" s="286"/>
      <c r="AN46" s="286"/>
      <c r="AO46" s="286"/>
      <c r="AP46" s="286"/>
      <c r="AQ46" s="286"/>
      <c r="AR46" s="286"/>
      <c r="AS46" s="286"/>
      <c r="AT46" s="286"/>
      <c r="AU46" s="286"/>
      <c r="AV46" s="286"/>
      <c r="AW46" s="286"/>
      <c r="AX46" s="286"/>
    </row>
    <row r="47" spans="2:50" ht="14.85" customHeight="1">
      <c r="B47" s="284"/>
      <c r="C47" s="330"/>
      <c r="D47" s="337"/>
      <c r="E47" s="337"/>
      <c r="F47" s="337"/>
      <c r="G47" s="284"/>
      <c r="H47" s="338"/>
      <c r="I47" s="338"/>
      <c r="J47" s="337"/>
      <c r="K47" s="286"/>
      <c r="L47" s="297"/>
      <c r="M47" s="284"/>
      <c r="N47" s="286"/>
      <c r="O47" s="321"/>
      <c r="P47" s="286"/>
      <c r="Q47" s="286"/>
      <c r="R47" s="286"/>
      <c r="S47" s="297"/>
      <c r="T47" s="286"/>
      <c r="U47" s="286"/>
      <c r="V47" s="286"/>
      <c r="X47" s="286"/>
      <c r="Y47" s="286"/>
      <c r="Z47" s="286"/>
      <c r="AA47" s="286"/>
      <c r="AB47" s="286"/>
      <c r="AC47" s="286"/>
      <c r="AD47" s="286"/>
      <c r="AE47" s="286"/>
      <c r="AF47" s="286"/>
      <c r="AG47" s="286"/>
      <c r="AH47" s="286"/>
      <c r="AI47" s="286"/>
      <c r="AJ47" s="287"/>
      <c r="AK47" s="288"/>
      <c r="AL47" s="286"/>
      <c r="AM47" s="286"/>
      <c r="AN47" s="286"/>
      <c r="AO47" s="286"/>
      <c r="AP47" s="286"/>
      <c r="AQ47" s="286"/>
      <c r="AR47" s="286"/>
      <c r="AS47" s="286"/>
      <c r="AT47" s="286"/>
      <c r="AU47" s="286"/>
      <c r="AV47" s="286"/>
      <c r="AW47" s="286"/>
      <c r="AX47" s="286"/>
    </row>
    <row r="48" spans="2:50" ht="14.85" customHeight="1">
      <c r="B48" s="284"/>
      <c r="C48" s="330"/>
      <c r="D48" s="337"/>
      <c r="E48" s="337"/>
      <c r="F48" s="337"/>
      <c r="G48" s="284"/>
      <c r="H48" s="338"/>
      <c r="I48" s="338"/>
      <c r="J48" s="337"/>
      <c r="K48" s="286"/>
      <c r="L48" s="297"/>
      <c r="M48" s="284"/>
      <c r="N48" s="286"/>
      <c r="O48" s="321"/>
      <c r="P48" s="286"/>
      <c r="Q48" s="286"/>
      <c r="R48" s="286"/>
      <c r="S48" s="297"/>
      <c r="T48" s="286"/>
      <c r="U48" s="286"/>
      <c r="V48" s="286"/>
      <c r="AB48" s="286"/>
      <c r="AC48" s="286"/>
      <c r="AD48" s="286"/>
      <c r="AE48" s="286"/>
      <c r="AF48" s="286"/>
      <c r="AG48" s="286"/>
      <c r="AH48" s="286"/>
      <c r="AI48" s="286"/>
      <c r="AJ48" s="287"/>
      <c r="AK48" s="288"/>
      <c r="AL48" s="286"/>
      <c r="AM48" s="286"/>
      <c r="AN48" s="286"/>
      <c r="AO48" s="286"/>
      <c r="AP48" s="286"/>
      <c r="AQ48" s="286"/>
      <c r="AR48" s="286"/>
      <c r="AS48" s="286"/>
      <c r="AT48" s="286"/>
      <c r="AU48" s="286"/>
      <c r="AV48" s="286"/>
      <c r="AW48" s="286"/>
      <c r="AX48" s="286"/>
    </row>
    <row r="49" spans="2:50" ht="14.85" customHeight="1">
      <c r="B49" s="284"/>
      <c r="C49" s="330"/>
      <c r="D49" s="337"/>
      <c r="E49" s="337"/>
      <c r="F49" s="337"/>
      <c r="G49" s="284"/>
      <c r="H49" s="338"/>
      <c r="I49" s="338"/>
      <c r="J49" s="337"/>
      <c r="K49" s="286"/>
      <c r="L49" s="297"/>
      <c r="M49" s="284"/>
      <c r="N49" s="286"/>
      <c r="O49" s="321"/>
      <c r="P49" s="286"/>
      <c r="Q49" s="286"/>
      <c r="R49" s="286"/>
      <c r="S49" s="297"/>
      <c r="T49" s="286"/>
      <c r="U49" s="286"/>
      <c r="V49" s="286"/>
      <c r="AB49" s="286"/>
      <c r="AC49" s="286"/>
      <c r="AD49" s="286"/>
      <c r="AE49" s="286"/>
      <c r="AF49" s="286"/>
      <c r="AG49" s="286"/>
      <c r="AH49" s="286"/>
      <c r="AI49" s="286"/>
      <c r="AJ49" s="287"/>
      <c r="AK49" s="288"/>
      <c r="AL49" s="286"/>
      <c r="AM49" s="286"/>
      <c r="AN49" s="286"/>
      <c r="AO49" s="286"/>
      <c r="AP49" s="286"/>
      <c r="AQ49" s="286"/>
      <c r="AR49" s="286"/>
      <c r="AS49" s="286"/>
      <c r="AT49" s="286"/>
      <c r="AU49" s="286"/>
      <c r="AV49" s="286"/>
      <c r="AW49" s="286"/>
      <c r="AX49" s="286"/>
    </row>
    <row r="50" spans="2:50" ht="14.85" customHeight="1">
      <c r="B50" s="284"/>
      <c r="C50" s="330"/>
      <c r="D50" s="337"/>
      <c r="E50" s="337"/>
      <c r="F50" s="337"/>
      <c r="G50" s="284"/>
      <c r="H50" s="338"/>
      <c r="I50" s="338"/>
      <c r="J50" s="337"/>
      <c r="K50" s="286"/>
      <c r="L50" s="297"/>
      <c r="M50" s="284"/>
      <c r="N50" s="286"/>
      <c r="O50" s="321"/>
      <c r="P50" s="286"/>
      <c r="Q50" s="286"/>
      <c r="R50" s="286"/>
      <c r="S50" s="297"/>
      <c r="T50" s="286"/>
      <c r="U50" s="286"/>
      <c r="V50" s="286"/>
      <c r="AB50" s="286"/>
      <c r="AC50" s="286"/>
      <c r="AD50" s="286"/>
      <c r="AE50" s="286"/>
      <c r="AF50" s="286"/>
      <c r="AG50" s="286"/>
      <c r="AH50" s="286"/>
      <c r="AI50" s="286"/>
      <c r="AJ50" s="287"/>
      <c r="AK50" s="288"/>
      <c r="AL50" s="286"/>
      <c r="AM50" s="286"/>
      <c r="AN50" s="286"/>
      <c r="AO50" s="286"/>
      <c r="AP50" s="286"/>
      <c r="AQ50" s="286"/>
      <c r="AR50" s="286"/>
      <c r="AS50" s="286"/>
      <c r="AT50" s="286"/>
      <c r="AU50" s="286"/>
      <c r="AV50" s="286"/>
      <c r="AW50" s="286"/>
      <c r="AX50" s="286"/>
    </row>
    <row r="51" spans="2:50" ht="14.85" customHeight="1">
      <c r="B51" s="284"/>
      <c r="C51" s="330"/>
      <c r="D51" s="337"/>
      <c r="E51" s="337"/>
      <c r="F51" s="337"/>
      <c r="G51" s="284"/>
      <c r="H51" s="338"/>
      <c r="I51" s="338"/>
      <c r="J51" s="337"/>
      <c r="K51" s="286"/>
      <c r="L51" s="297"/>
      <c r="M51" s="284"/>
      <c r="N51" s="286"/>
      <c r="O51" s="321"/>
      <c r="P51" s="286"/>
      <c r="Q51" s="286"/>
      <c r="R51" s="286"/>
      <c r="S51" s="297"/>
      <c r="T51" s="286"/>
      <c r="U51" s="286"/>
      <c r="V51" s="286"/>
      <c r="AB51" s="286"/>
      <c r="AC51" s="286"/>
      <c r="AD51" s="286"/>
      <c r="AE51" s="286"/>
      <c r="AF51" s="286"/>
      <c r="AG51" s="286"/>
      <c r="AH51" s="286"/>
      <c r="AI51" s="286"/>
      <c r="AJ51" s="287"/>
      <c r="AK51" s="288"/>
      <c r="AL51" s="286"/>
      <c r="AM51" s="286"/>
      <c r="AN51" s="286"/>
      <c r="AO51" s="286"/>
      <c r="AP51" s="286"/>
      <c r="AQ51" s="286"/>
      <c r="AR51" s="286"/>
      <c r="AS51" s="286"/>
      <c r="AT51" s="286"/>
      <c r="AU51" s="286"/>
      <c r="AV51" s="286"/>
      <c r="AW51" s="286"/>
      <c r="AX51" s="286"/>
    </row>
    <row r="52" spans="2:50" ht="14.85" customHeight="1">
      <c r="B52" s="284"/>
      <c r="C52" s="330"/>
      <c r="D52" s="337"/>
      <c r="E52" s="337"/>
      <c r="F52" s="337"/>
      <c r="G52" s="284"/>
      <c r="H52" s="338"/>
      <c r="I52" s="338"/>
      <c r="J52" s="337"/>
      <c r="K52" s="286"/>
      <c r="L52" s="297"/>
      <c r="M52" s="284"/>
      <c r="N52" s="286"/>
      <c r="O52" s="321"/>
      <c r="P52" s="286"/>
      <c r="Q52" s="286"/>
      <c r="R52" s="286"/>
      <c r="S52" s="297"/>
      <c r="T52" s="286"/>
      <c r="U52" s="286"/>
      <c r="V52" s="286"/>
      <c r="AB52" s="286"/>
      <c r="AC52" s="286"/>
      <c r="AD52" s="286"/>
      <c r="AE52" s="286"/>
      <c r="AF52" s="286"/>
      <c r="AG52" s="286"/>
      <c r="AH52" s="286"/>
      <c r="AI52" s="286"/>
      <c r="AJ52" s="287"/>
      <c r="AK52" s="288"/>
      <c r="AL52" s="286"/>
      <c r="AM52" s="286"/>
      <c r="AN52" s="286"/>
      <c r="AO52" s="286"/>
      <c r="AP52" s="286"/>
      <c r="AQ52" s="286"/>
      <c r="AR52" s="286"/>
      <c r="AS52" s="286"/>
      <c r="AT52" s="286"/>
      <c r="AU52" s="286"/>
      <c r="AV52" s="286"/>
      <c r="AW52" s="286"/>
      <c r="AX52" s="286"/>
    </row>
    <row r="53" spans="2:50" ht="14.85" customHeight="1">
      <c r="B53" s="284"/>
      <c r="C53" s="330"/>
      <c r="D53" s="337"/>
      <c r="E53" s="337"/>
      <c r="F53" s="337"/>
      <c r="G53" s="284"/>
      <c r="H53" s="338"/>
      <c r="I53" s="338"/>
      <c r="J53" s="337"/>
      <c r="K53" s="286"/>
      <c r="L53" s="297"/>
      <c r="M53" s="284"/>
      <c r="N53" s="286"/>
      <c r="O53" s="321"/>
      <c r="P53" s="286"/>
      <c r="Q53" s="286"/>
      <c r="R53" s="286"/>
      <c r="S53" s="297"/>
      <c r="T53" s="286"/>
      <c r="U53" s="286"/>
      <c r="V53" s="286"/>
      <c r="AB53" s="286"/>
      <c r="AC53" s="286"/>
      <c r="AD53" s="286"/>
      <c r="AE53" s="286"/>
      <c r="AF53" s="286"/>
      <c r="AG53" s="286"/>
      <c r="AH53" s="286"/>
      <c r="AI53" s="286"/>
      <c r="AJ53" s="287"/>
      <c r="AK53" s="288"/>
      <c r="AL53" s="286"/>
      <c r="AM53" s="286"/>
      <c r="AN53" s="286"/>
      <c r="AO53" s="286"/>
      <c r="AP53" s="286"/>
      <c r="AQ53" s="286"/>
      <c r="AR53" s="286"/>
      <c r="AS53" s="286"/>
      <c r="AT53" s="286"/>
      <c r="AU53" s="286"/>
      <c r="AV53" s="286"/>
      <c r="AW53" s="286"/>
      <c r="AX53" s="286"/>
    </row>
    <row r="54" spans="2:50" ht="14.85" customHeight="1">
      <c r="B54" s="284"/>
      <c r="C54" s="330"/>
      <c r="D54" s="337"/>
      <c r="E54" s="337"/>
      <c r="F54" s="337"/>
      <c r="G54" s="284"/>
      <c r="H54" s="338"/>
      <c r="I54" s="338"/>
      <c r="J54" s="337"/>
      <c r="K54" s="286"/>
      <c r="L54" s="297"/>
      <c r="M54" s="284"/>
      <c r="N54" s="286"/>
      <c r="O54" s="321"/>
      <c r="P54" s="286"/>
      <c r="Q54" s="286"/>
      <c r="R54" s="286"/>
      <c r="S54" s="297"/>
      <c r="T54" s="286"/>
      <c r="U54" s="286"/>
      <c r="V54" s="286"/>
      <c r="AB54" s="286"/>
      <c r="AC54" s="286"/>
      <c r="AD54" s="286"/>
      <c r="AE54" s="286"/>
      <c r="AF54" s="286"/>
      <c r="AG54" s="286"/>
      <c r="AH54" s="286"/>
      <c r="AI54" s="286"/>
      <c r="AJ54" s="287"/>
      <c r="AK54" s="288"/>
      <c r="AL54" s="286"/>
      <c r="AM54" s="286"/>
      <c r="AN54" s="286"/>
      <c r="AO54" s="286"/>
      <c r="AP54" s="286"/>
      <c r="AQ54" s="286"/>
      <c r="AR54" s="286"/>
      <c r="AS54" s="286"/>
      <c r="AT54" s="286"/>
      <c r="AU54" s="286"/>
      <c r="AV54" s="286"/>
      <c r="AW54" s="286"/>
      <c r="AX54" s="286"/>
    </row>
    <row r="55" spans="2:50" ht="14.85" customHeight="1">
      <c r="B55" s="284"/>
      <c r="C55" s="330"/>
      <c r="D55" s="337"/>
      <c r="E55" s="337"/>
      <c r="F55" s="337"/>
      <c r="G55" s="284"/>
      <c r="H55" s="338"/>
      <c r="I55" s="338"/>
      <c r="J55" s="337"/>
      <c r="K55" s="286"/>
      <c r="L55" s="297"/>
      <c r="M55" s="284"/>
      <c r="N55" s="286"/>
      <c r="O55" s="321"/>
      <c r="P55" s="286"/>
      <c r="Q55" s="286"/>
      <c r="R55" s="286"/>
      <c r="S55" s="297"/>
      <c r="T55" s="286"/>
      <c r="U55" s="286"/>
      <c r="V55" s="286"/>
      <c r="AB55" s="286"/>
      <c r="AC55" s="286"/>
      <c r="AD55" s="286"/>
      <c r="AE55" s="286"/>
      <c r="AF55" s="286"/>
      <c r="AG55" s="286"/>
      <c r="AH55" s="286"/>
      <c r="AI55" s="286"/>
      <c r="AJ55" s="287"/>
      <c r="AK55" s="288"/>
      <c r="AL55" s="286"/>
      <c r="AM55" s="286"/>
      <c r="AN55" s="286"/>
      <c r="AO55" s="286"/>
      <c r="AP55" s="286"/>
      <c r="AQ55" s="286"/>
      <c r="AR55" s="286"/>
      <c r="AS55" s="286"/>
      <c r="AT55" s="286"/>
      <c r="AU55" s="286"/>
      <c r="AV55" s="286"/>
      <c r="AW55" s="286"/>
      <c r="AX55" s="286"/>
    </row>
    <row r="56" spans="2:50" ht="14.85" customHeight="1">
      <c r="B56" s="284"/>
      <c r="C56" s="330"/>
      <c r="D56" s="337"/>
      <c r="E56" s="337"/>
      <c r="F56" s="337"/>
      <c r="G56" s="284"/>
      <c r="H56" s="338"/>
      <c r="I56" s="338"/>
      <c r="J56" s="337"/>
      <c r="K56" s="286"/>
      <c r="L56" s="297"/>
      <c r="M56" s="284"/>
      <c r="N56" s="286"/>
      <c r="O56" s="321"/>
      <c r="P56" s="286"/>
      <c r="Q56" s="286"/>
      <c r="R56" s="286"/>
      <c r="S56" s="297"/>
      <c r="T56" s="286"/>
      <c r="U56" s="286"/>
      <c r="V56" s="286"/>
      <c r="AB56" s="286"/>
      <c r="AC56" s="286"/>
      <c r="AD56" s="286"/>
      <c r="AE56" s="286"/>
      <c r="AF56" s="286"/>
      <c r="AG56" s="286"/>
      <c r="AH56" s="286"/>
      <c r="AI56" s="286"/>
      <c r="AJ56" s="287"/>
      <c r="AK56" s="288"/>
      <c r="AL56" s="286"/>
      <c r="AM56" s="286"/>
      <c r="AN56" s="286"/>
      <c r="AO56" s="286"/>
      <c r="AP56" s="286"/>
      <c r="AQ56" s="286"/>
      <c r="AR56" s="286"/>
      <c r="AS56" s="286"/>
      <c r="AT56" s="286"/>
      <c r="AU56" s="286"/>
      <c r="AV56" s="286"/>
      <c r="AW56" s="286"/>
      <c r="AX56" s="286"/>
    </row>
    <row r="57" spans="2:50" ht="14.85" customHeight="1">
      <c r="B57" s="284"/>
      <c r="C57" s="330"/>
      <c r="D57" s="337"/>
      <c r="E57" s="337"/>
      <c r="F57" s="337"/>
      <c r="G57" s="284"/>
      <c r="H57" s="338"/>
      <c r="I57" s="338"/>
      <c r="J57" s="337"/>
      <c r="K57" s="286"/>
      <c r="L57" s="297"/>
      <c r="M57" s="284"/>
      <c r="N57" s="286"/>
      <c r="O57" s="321"/>
      <c r="P57" s="286"/>
      <c r="Q57" s="286"/>
      <c r="R57" s="286"/>
      <c r="S57" s="297"/>
      <c r="T57" s="286"/>
      <c r="U57" s="286"/>
      <c r="V57" s="286"/>
      <c r="X57" s="286"/>
      <c r="Y57" s="286"/>
      <c r="Z57" s="340"/>
      <c r="AA57" s="286"/>
      <c r="AB57" s="286"/>
      <c r="AC57" s="286"/>
      <c r="AD57" s="286"/>
      <c r="AE57" s="286"/>
      <c r="AF57" s="286"/>
      <c r="AG57" s="286"/>
      <c r="AH57" s="286"/>
      <c r="AI57" s="286"/>
      <c r="AJ57" s="287"/>
      <c r="AK57" s="288"/>
      <c r="AL57" s="286"/>
      <c r="AM57" s="286"/>
      <c r="AN57" s="286"/>
      <c r="AO57" s="286"/>
      <c r="AP57" s="286"/>
      <c r="AQ57" s="286"/>
      <c r="AR57" s="286"/>
      <c r="AS57" s="286"/>
      <c r="AT57" s="286"/>
      <c r="AU57" s="286"/>
      <c r="AV57" s="286"/>
      <c r="AW57" s="286"/>
      <c r="AX57" s="286"/>
    </row>
    <row r="58" spans="2:50" ht="14.85" customHeight="1">
      <c r="B58" s="284"/>
      <c r="C58" s="330"/>
      <c r="D58" s="337"/>
      <c r="E58" s="337"/>
      <c r="F58" s="337"/>
      <c r="G58" s="284"/>
      <c r="H58" s="338"/>
      <c r="I58" s="338"/>
      <c r="J58" s="337"/>
      <c r="K58" s="286"/>
      <c r="L58" s="297"/>
      <c r="M58" s="284"/>
      <c r="N58" s="286"/>
      <c r="O58" s="321"/>
      <c r="P58" s="286"/>
      <c r="Q58" s="286"/>
      <c r="R58" s="286"/>
      <c r="S58" s="297"/>
      <c r="T58" s="286"/>
      <c r="U58" s="286"/>
      <c r="V58" s="286"/>
      <c r="AA58" s="286"/>
      <c r="AB58" s="286"/>
      <c r="AC58" s="286"/>
      <c r="AD58" s="286"/>
      <c r="AE58" s="286"/>
      <c r="AF58" s="286"/>
      <c r="AG58" s="286"/>
      <c r="AH58" s="286"/>
      <c r="AI58" s="286"/>
      <c r="AJ58" s="287"/>
      <c r="AK58" s="288"/>
      <c r="AL58" s="286"/>
      <c r="AM58" s="286"/>
      <c r="AN58" s="286"/>
      <c r="AO58" s="286"/>
      <c r="AP58" s="286"/>
      <c r="AQ58" s="286"/>
      <c r="AR58" s="286"/>
      <c r="AS58" s="286"/>
      <c r="AT58" s="286"/>
      <c r="AU58" s="286"/>
      <c r="AV58" s="286"/>
      <c r="AW58" s="286"/>
      <c r="AX58" s="286"/>
    </row>
    <row r="59" spans="2:50" ht="14.85" customHeight="1">
      <c r="B59" s="284"/>
      <c r="C59" s="330"/>
      <c r="D59" s="337"/>
      <c r="E59" s="337"/>
      <c r="F59" s="337"/>
      <c r="G59" s="284"/>
      <c r="H59" s="338"/>
      <c r="I59" s="338"/>
      <c r="J59" s="337"/>
      <c r="K59" s="286"/>
      <c r="L59" s="297"/>
      <c r="M59" s="284"/>
      <c r="N59" s="286"/>
      <c r="O59" s="321"/>
      <c r="P59" s="286"/>
      <c r="Q59" s="286"/>
      <c r="R59" s="286"/>
      <c r="S59" s="297"/>
      <c r="T59" s="286"/>
      <c r="U59" s="286"/>
      <c r="V59" s="286"/>
      <c r="AA59" s="286"/>
      <c r="AB59" s="286"/>
      <c r="AC59" s="286"/>
      <c r="AD59" s="286"/>
      <c r="AE59" s="286"/>
      <c r="AF59" s="286"/>
      <c r="AG59" s="286"/>
      <c r="AH59" s="286"/>
      <c r="AI59" s="286"/>
      <c r="AJ59" s="287"/>
      <c r="AK59" s="288"/>
      <c r="AL59" s="286"/>
      <c r="AM59" s="286"/>
      <c r="AN59" s="286"/>
      <c r="AO59" s="286"/>
      <c r="AP59" s="286"/>
      <c r="AQ59" s="286"/>
      <c r="AR59" s="286"/>
      <c r="AS59" s="286"/>
      <c r="AT59" s="286"/>
      <c r="AU59" s="286"/>
      <c r="AV59" s="286"/>
      <c r="AW59" s="286"/>
      <c r="AX59" s="286"/>
    </row>
    <row r="60" spans="2:50" ht="14.85" customHeight="1">
      <c r="B60" s="284"/>
      <c r="C60" s="330"/>
      <c r="D60" s="337"/>
      <c r="E60" s="337"/>
      <c r="F60" s="337"/>
      <c r="G60" s="284"/>
      <c r="H60" s="338"/>
      <c r="I60" s="338"/>
      <c r="J60" s="337"/>
      <c r="K60" s="286"/>
      <c r="L60" s="297"/>
      <c r="M60" s="284"/>
      <c r="N60" s="286"/>
      <c r="O60" s="321"/>
      <c r="P60" s="286"/>
      <c r="Q60" s="286"/>
      <c r="R60" s="286"/>
      <c r="S60" s="297"/>
      <c r="T60" s="286"/>
      <c r="U60" s="286"/>
      <c r="V60" s="286"/>
      <c r="X60" s="286"/>
      <c r="Y60" s="286"/>
      <c r="Z60" s="286"/>
      <c r="AA60" s="286"/>
      <c r="AB60" s="286"/>
      <c r="AC60" s="286"/>
      <c r="AD60" s="286"/>
      <c r="AE60" s="286"/>
      <c r="AF60" s="286"/>
      <c r="AG60" s="286"/>
      <c r="AH60" s="286"/>
      <c r="AI60" s="286"/>
      <c r="AJ60" s="287"/>
      <c r="AK60" s="288"/>
      <c r="AL60" s="286"/>
      <c r="AM60" s="286"/>
      <c r="AN60" s="286"/>
      <c r="AO60" s="286"/>
      <c r="AP60" s="286"/>
      <c r="AQ60" s="286"/>
      <c r="AR60" s="286"/>
      <c r="AS60" s="286"/>
      <c r="AT60" s="286"/>
      <c r="AU60" s="286"/>
      <c r="AV60" s="286"/>
      <c r="AW60" s="286"/>
      <c r="AX60" s="286"/>
    </row>
    <row r="61" spans="2:50" ht="14.85" customHeight="1">
      <c r="B61" s="284"/>
      <c r="C61" s="330"/>
      <c r="D61" s="337"/>
      <c r="E61" s="337"/>
      <c r="F61" s="337"/>
      <c r="G61" s="284"/>
      <c r="H61" s="338"/>
      <c r="I61" s="338"/>
      <c r="J61" s="337"/>
      <c r="K61" s="286"/>
      <c r="L61" s="297"/>
      <c r="M61" s="284"/>
      <c r="N61" s="286"/>
      <c r="O61" s="321"/>
      <c r="P61" s="286"/>
      <c r="Q61" s="286"/>
      <c r="R61" s="286"/>
      <c r="S61" s="297"/>
      <c r="T61" s="286"/>
      <c r="U61" s="286"/>
      <c r="V61" s="286"/>
      <c r="X61" s="286"/>
      <c r="Y61" s="286"/>
      <c r="Z61" s="286"/>
      <c r="AA61" s="286"/>
      <c r="AB61" s="286"/>
      <c r="AC61" s="286"/>
      <c r="AD61" s="286"/>
      <c r="AE61" s="286"/>
      <c r="AF61" s="286"/>
      <c r="AG61" s="286"/>
      <c r="AH61" s="286"/>
      <c r="AI61" s="286"/>
      <c r="AJ61" s="287"/>
      <c r="AK61" s="288"/>
      <c r="AL61" s="286"/>
      <c r="AM61" s="286"/>
      <c r="AN61" s="286"/>
      <c r="AO61" s="286"/>
      <c r="AP61" s="286"/>
      <c r="AQ61" s="286"/>
      <c r="AR61" s="286"/>
      <c r="AS61" s="286"/>
      <c r="AT61" s="286"/>
      <c r="AU61" s="286"/>
      <c r="AV61" s="286"/>
      <c r="AW61" s="286"/>
      <c r="AX61" s="286"/>
    </row>
    <row r="62" spans="2:50" ht="14.85" customHeight="1">
      <c r="B62" s="284"/>
      <c r="C62" s="330"/>
      <c r="D62" s="337"/>
      <c r="E62" s="337"/>
      <c r="F62" s="337"/>
      <c r="G62" s="284"/>
      <c r="H62" s="338"/>
      <c r="I62" s="338"/>
      <c r="J62" s="337"/>
      <c r="K62" s="286"/>
      <c r="L62" s="297"/>
      <c r="M62" s="284"/>
      <c r="N62" s="286"/>
      <c r="O62" s="321"/>
      <c r="P62" s="286"/>
      <c r="Q62" s="286"/>
      <c r="R62" s="286"/>
      <c r="S62" s="297"/>
      <c r="T62" s="286"/>
      <c r="U62" s="286"/>
      <c r="V62" s="286"/>
      <c r="X62" s="286"/>
      <c r="Y62" s="286"/>
      <c r="Z62" s="286"/>
      <c r="AA62" s="286"/>
      <c r="AB62" s="286"/>
      <c r="AC62" s="286"/>
      <c r="AD62" s="286"/>
      <c r="AE62" s="286"/>
      <c r="AF62" s="286"/>
      <c r="AG62" s="286"/>
      <c r="AH62" s="286"/>
      <c r="AI62" s="286"/>
      <c r="AJ62" s="287"/>
      <c r="AK62" s="288"/>
      <c r="AL62" s="286"/>
      <c r="AM62" s="286"/>
      <c r="AN62" s="286"/>
      <c r="AO62" s="286"/>
      <c r="AP62" s="286"/>
      <c r="AQ62" s="286"/>
      <c r="AR62" s="286"/>
      <c r="AS62" s="286"/>
      <c r="AT62" s="286"/>
      <c r="AU62" s="286"/>
      <c r="AV62" s="286"/>
      <c r="AW62" s="286"/>
      <c r="AX62" s="286"/>
    </row>
    <row r="63" spans="2:50" ht="14.85" customHeight="1">
      <c r="B63" s="284"/>
      <c r="C63" s="330"/>
      <c r="D63" s="337"/>
      <c r="E63" s="337"/>
      <c r="F63" s="337"/>
      <c r="G63" s="284"/>
      <c r="H63" s="338"/>
      <c r="I63" s="338"/>
      <c r="J63" s="337"/>
      <c r="K63" s="286"/>
      <c r="L63" s="297"/>
      <c r="M63" s="284"/>
      <c r="N63" s="286"/>
      <c r="O63" s="321"/>
      <c r="P63" s="286"/>
      <c r="Q63" s="286"/>
      <c r="R63" s="286"/>
      <c r="S63" s="297"/>
      <c r="T63" s="286"/>
      <c r="U63" s="286"/>
      <c r="V63" s="286"/>
      <c r="X63" s="286"/>
      <c r="Y63" s="286"/>
      <c r="Z63" s="286"/>
      <c r="AA63" s="286"/>
      <c r="AB63" s="286"/>
      <c r="AC63" s="286"/>
      <c r="AD63" s="286"/>
      <c r="AE63" s="286"/>
      <c r="AF63" s="286"/>
      <c r="AG63" s="286"/>
      <c r="AH63" s="286"/>
      <c r="AI63" s="286"/>
      <c r="AJ63" s="287"/>
      <c r="AK63" s="288"/>
      <c r="AL63" s="286"/>
      <c r="AM63" s="286"/>
      <c r="AN63" s="286"/>
      <c r="AO63" s="286"/>
      <c r="AP63" s="286"/>
      <c r="AQ63" s="286"/>
      <c r="AR63" s="286"/>
      <c r="AS63" s="286"/>
      <c r="AT63" s="286"/>
      <c r="AU63" s="286"/>
      <c r="AV63" s="286"/>
      <c r="AW63" s="286"/>
      <c r="AX63" s="286"/>
    </row>
    <row r="64" spans="2:50" ht="14.85" customHeight="1">
      <c r="B64" s="284"/>
      <c r="C64" s="330"/>
      <c r="D64" s="337"/>
      <c r="E64" s="337"/>
      <c r="F64" s="337"/>
      <c r="G64" s="284"/>
      <c r="H64" s="338"/>
      <c r="I64" s="338"/>
      <c r="J64" s="337"/>
      <c r="K64" s="286"/>
      <c r="L64" s="297"/>
      <c r="M64" s="284"/>
      <c r="N64" s="286"/>
      <c r="O64" s="321"/>
      <c r="P64" s="286"/>
      <c r="Q64" s="286"/>
      <c r="R64" s="286"/>
      <c r="S64" s="297"/>
      <c r="T64" s="286"/>
      <c r="U64" s="286"/>
      <c r="V64" s="286"/>
      <c r="X64" s="286"/>
      <c r="Y64" s="286"/>
      <c r="Z64" s="286"/>
      <c r="AA64" s="286"/>
      <c r="AB64" s="286"/>
      <c r="AC64" s="286"/>
      <c r="AD64" s="286"/>
      <c r="AE64" s="286"/>
      <c r="AF64" s="286"/>
      <c r="AG64" s="286"/>
      <c r="AH64" s="286"/>
      <c r="AI64" s="286"/>
      <c r="AJ64" s="287"/>
      <c r="AK64" s="288"/>
      <c r="AL64" s="286"/>
      <c r="AM64" s="286"/>
      <c r="AN64" s="286"/>
      <c r="AO64" s="286"/>
      <c r="AP64" s="286"/>
      <c r="AQ64" s="286"/>
      <c r="AR64" s="286"/>
      <c r="AS64" s="286"/>
      <c r="AT64" s="286"/>
      <c r="AU64" s="286"/>
      <c r="AV64" s="286"/>
      <c r="AW64" s="286"/>
      <c r="AX64" s="286"/>
    </row>
    <row r="65" spans="2:50" ht="14.85" customHeight="1">
      <c r="B65" s="284"/>
      <c r="C65" s="330"/>
      <c r="D65" s="337"/>
      <c r="E65" s="337"/>
      <c r="F65" s="337"/>
      <c r="G65" s="284"/>
      <c r="H65" s="338"/>
      <c r="I65" s="338"/>
      <c r="J65" s="337"/>
      <c r="K65" s="286"/>
      <c r="L65" s="297"/>
      <c r="M65" s="284"/>
      <c r="N65" s="286"/>
      <c r="O65" s="321"/>
      <c r="P65" s="286"/>
      <c r="Q65" s="286"/>
      <c r="R65" s="286"/>
      <c r="S65" s="297"/>
      <c r="T65" s="286"/>
      <c r="U65" s="286"/>
      <c r="V65" s="286"/>
      <c r="X65" s="286"/>
      <c r="Y65" s="286"/>
      <c r="Z65" s="286"/>
      <c r="AA65" s="286"/>
      <c r="AB65" s="286"/>
      <c r="AC65" s="286"/>
      <c r="AD65" s="286"/>
      <c r="AE65" s="286"/>
      <c r="AF65" s="286"/>
      <c r="AG65" s="286"/>
      <c r="AH65" s="286"/>
      <c r="AI65" s="286"/>
      <c r="AJ65" s="287"/>
      <c r="AK65" s="288"/>
      <c r="AL65" s="286"/>
      <c r="AM65" s="286"/>
      <c r="AN65" s="286"/>
      <c r="AO65" s="286"/>
      <c r="AP65" s="286"/>
      <c r="AQ65" s="286"/>
      <c r="AR65" s="286"/>
      <c r="AS65" s="286"/>
      <c r="AT65" s="286"/>
      <c r="AU65" s="286"/>
      <c r="AV65" s="286"/>
      <c r="AW65" s="286"/>
      <c r="AX65" s="286"/>
    </row>
    <row r="66" spans="2:50" ht="14.85" customHeight="1">
      <c r="B66" s="284"/>
      <c r="C66" s="330"/>
      <c r="D66" s="337"/>
      <c r="E66" s="337"/>
      <c r="F66" s="337"/>
      <c r="G66" s="284"/>
      <c r="H66" s="338"/>
      <c r="I66" s="338"/>
      <c r="J66" s="337"/>
      <c r="K66" s="286"/>
      <c r="L66" s="297"/>
      <c r="M66" s="284"/>
      <c r="N66" s="286"/>
      <c r="O66" s="321"/>
      <c r="P66" s="286"/>
      <c r="Q66" s="286"/>
      <c r="R66" s="286"/>
      <c r="S66" s="297"/>
      <c r="T66" s="286"/>
      <c r="U66" s="286"/>
      <c r="V66" s="286"/>
      <c r="X66" s="286"/>
      <c r="Y66" s="286"/>
      <c r="Z66" s="286"/>
      <c r="AA66" s="286"/>
      <c r="AB66" s="286"/>
      <c r="AC66" s="286"/>
      <c r="AD66" s="286"/>
      <c r="AE66" s="286"/>
      <c r="AF66" s="286"/>
      <c r="AG66" s="286"/>
      <c r="AH66" s="286"/>
      <c r="AI66" s="286"/>
      <c r="AJ66" s="286"/>
      <c r="AK66" s="288"/>
      <c r="AL66" s="286"/>
      <c r="AM66" s="286"/>
      <c r="AN66" s="286"/>
      <c r="AO66" s="286"/>
      <c r="AP66" s="286"/>
      <c r="AQ66" s="286"/>
      <c r="AR66" s="286"/>
      <c r="AS66" s="286"/>
      <c r="AT66" s="286"/>
      <c r="AU66" s="286"/>
      <c r="AV66" s="286"/>
      <c r="AW66" s="286"/>
      <c r="AX66" s="286"/>
    </row>
    <row r="67" spans="2:50" ht="14.85" customHeight="1">
      <c r="B67" s="284"/>
      <c r="C67" s="330"/>
      <c r="D67" s="337"/>
      <c r="E67" s="337"/>
      <c r="F67" s="337"/>
      <c r="G67" s="284"/>
      <c r="H67" s="338"/>
      <c r="I67" s="338"/>
      <c r="J67" s="337"/>
      <c r="K67" s="286"/>
      <c r="L67" s="297"/>
      <c r="M67" s="284"/>
      <c r="N67" s="286"/>
      <c r="O67" s="321"/>
      <c r="P67" s="286"/>
      <c r="Q67" s="286"/>
      <c r="R67" s="286"/>
      <c r="S67" s="297"/>
      <c r="T67" s="286"/>
      <c r="U67" s="286"/>
      <c r="V67" s="286"/>
      <c r="X67" s="286"/>
      <c r="Y67" s="286"/>
      <c r="Z67" s="286"/>
      <c r="AA67" s="286"/>
      <c r="AB67" s="286"/>
      <c r="AC67" s="286"/>
      <c r="AD67" s="286"/>
      <c r="AE67" s="286"/>
      <c r="AF67" s="286"/>
      <c r="AG67" s="286"/>
      <c r="AH67" s="286"/>
      <c r="AI67" s="286"/>
      <c r="AJ67" s="286"/>
      <c r="AK67" s="286"/>
      <c r="AL67" s="286"/>
      <c r="AM67" s="286"/>
      <c r="AN67" s="286"/>
      <c r="AO67" s="286"/>
      <c r="AP67" s="286"/>
      <c r="AQ67" s="286"/>
      <c r="AR67" s="286"/>
      <c r="AS67" s="286"/>
      <c r="AT67" s="286"/>
      <c r="AU67" s="286"/>
      <c r="AV67" s="286"/>
      <c r="AW67" s="286"/>
      <c r="AX67" s="286"/>
    </row>
    <row r="68" spans="2:50" ht="14.85" customHeight="1">
      <c r="B68" s="284"/>
      <c r="C68" s="330"/>
      <c r="D68" s="337"/>
      <c r="E68" s="337"/>
      <c r="F68" s="337"/>
      <c r="G68" s="284"/>
      <c r="H68" s="338"/>
      <c r="I68" s="338"/>
      <c r="J68" s="337"/>
      <c r="K68" s="286"/>
      <c r="L68" s="297"/>
      <c r="M68" s="284"/>
      <c r="N68" s="286"/>
      <c r="O68" s="321"/>
      <c r="P68" s="286"/>
      <c r="Q68" s="286"/>
      <c r="R68" s="286"/>
      <c r="S68" s="297"/>
      <c r="T68" s="286"/>
      <c r="U68" s="286"/>
      <c r="V68" s="286"/>
      <c r="X68" s="286"/>
      <c r="Y68" s="286"/>
      <c r="Z68" s="286"/>
      <c r="AA68" s="286"/>
      <c r="AB68" s="286"/>
      <c r="AC68" s="286"/>
      <c r="AD68" s="286"/>
      <c r="AE68" s="286"/>
      <c r="AF68" s="286"/>
      <c r="AG68" s="286"/>
      <c r="AH68" s="286"/>
      <c r="AI68" s="286"/>
      <c r="AJ68" s="286"/>
      <c r="AK68" s="286"/>
      <c r="AL68" s="286"/>
      <c r="AM68" s="286"/>
      <c r="AN68" s="286"/>
      <c r="AO68" s="286"/>
      <c r="AP68" s="286"/>
      <c r="AQ68" s="286"/>
      <c r="AR68" s="286"/>
      <c r="AS68" s="286"/>
      <c r="AT68" s="286"/>
      <c r="AU68" s="286"/>
      <c r="AV68" s="286"/>
      <c r="AW68" s="286"/>
      <c r="AX68" s="286"/>
    </row>
    <row r="69" spans="2:50" ht="14.85" customHeight="1">
      <c r="B69" s="284"/>
      <c r="C69" s="330"/>
      <c r="D69" s="337"/>
      <c r="E69" s="337"/>
      <c r="F69" s="337"/>
      <c r="G69" s="284"/>
      <c r="H69" s="338"/>
      <c r="I69" s="338"/>
      <c r="J69" s="337"/>
      <c r="K69" s="286"/>
      <c r="L69" s="297"/>
      <c r="M69" s="284"/>
      <c r="N69" s="286"/>
      <c r="O69" s="321"/>
      <c r="P69" s="286"/>
      <c r="Q69" s="286"/>
      <c r="R69" s="286"/>
      <c r="S69" s="297"/>
      <c r="T69" s="286"/>
      <c r="U69" s="286"/>
      <c r="V69" s="286"/>
      <c r="X69" s="286"/>
      <c r="Y69" s="286"/>
      <c r="Z69" s="286"/>
      <c r="AA69" s="286"/>
      <c r="AB69" s="286"/>
      <c r="AC69" s="286"/>
      <c r="AD69" s="286"/>
      <c r="AE69" s="286"/>
      <c r="AF69" s="286"/>
      <c r="AG69" s="286"/>
      <c r="AH69" s="286"/>
      <c r="AI69" s="286"/>
      <c r="AJ69" s="286"/>
      <c r="AK69" s="286"/>
      <c r="AL69" s="286"/>
      <c r="AM69" s="286"/>
      <c r="AN69" s="286"/>
      <c r="AO69" s="286"/>
      <c r="AP69" s="286"/>
      <c r="AQ69" s="286"/>
      <c r="AR69" s="286"/>
      <c r="AS69" s="286"/>
      <c r="AT69" s="286"/>
      <c r="AU69" s="286"/>
      <c r="AV69" s="286"/>
      <c r="AW69" s="286"/>
      <c r="AX69" s="286"/>
    </row>
    <row r="70" spans="2:50" ht="14.85" customHeight="1">
      <c r="B70" s="284"/>
      <c r="C70" s="330"/>
      <c r="D70" s="337"/>
      <c r="E70" s="337"/>
      <c r="F70" s="337"/>
      <c r="G70" s="284"/>
      <c r="H70" s="338"/>
      <c r="I70" s="338"/>
      <c r="J70" s="337"/>
      <c r="K70" s="286"/>
      <c r="L70" s="297"/>
      <c r="M70" s="284"/>
      <c r="N70" s="286"/>
      <c r="O70" s="321"/>
      <c r="P70" s="286"/>
      <c r="Q70" s="286"/>
      <c r="R70" s="286"/>
      <c r="S70" s="297"/>
      <c r="T70" s="286"/>
      <c r="U70" s="286"/>
      <c r="V70" s="286"/>
      <c r="X70" s="286"/>
      <c r="Y70" s="286"/>
      <c r="Z70" s="286"/>
      <c r="AA70" s="286"/>
      <c r="AB70" s="286"/>
      <c r="AC70" s="286"/>
      <c r="AD70" s="286"/>
      <c r="AE70" s="286"/>
      <c r="AF70" s="286"/>
      <c r="AG70" s="286"/>
      <c r="AH70" s="286"/>
      <c r="AI70" s="286"/>
      <c r="AJ70" s="286"/>
      <c r="AK70" s="286"/>
      <c r="AL70" s="286"/>
      <c r="AM70" s="286"/>
      <c r="AN70" s="286"/>
      <c r="AO70" s="286"/>
      <c r="AP70" s="286"/>
      <c r="AQ70" s="286"/>
      <c r="AR70" s="286"/>
      <c r="AS70" s="286"/>
      <c r="AT70" s="286"/>
      <c r="AU70" s="286"/>
      <c r="AV70" s="286"/>
      <c r="AW70" s="286"/>
      <c r="AX70" s="286"/>
    </row>
    <row r="71" spans="2:50" ht="14.85" customHeight="1" thickBot="1">
      <c r="B71" s="284"/>
      <c r="C71" s="341"/>
      <c r="D71" s="342"/>
      <c r="E71" s="342"/>
      <c r="F71" s="342"/>
      <c r="G71" s="343"/>
      <c r="H71" s="344"/>
      <c r="I71" s="344"/>
      <c r="J71" s="342"/>
      <c r="K71" s="307"/>
      <c r="L71" s="306"/>
      <c r="M71" s="284"/>
      <c r="N71" s="286"/>
      <c r="O71" s="345"/>
      <c r="P71" s="307"/>
      <c r="Q71" s="307"/>
      <c r="R71" s="307"/>
      <c r="S71" s="306"/>
      <c r="T71" s="286"/>
      <c r="U71" s="286"/>
      <c r="V71" s="286"/>
      <c r="X71" s="286"/>
      <c r="Y71" s="286"/>
      <c r="Z71" s="286"/>
      <c r="AA71" s="286"/>
      <c r="AB71" s="286"/>
      <c r="AC71" s="286"/>
      <c r="AD71" s="286"/>
      <c r="AE71" s="286"/>
      <c r="AF71" s="286"/>
      <c r="AG71" s="286"/>
      <c r="AH71" s="286"/>
      <c r="AI71" s="286"/>
      <c r="AJ71" s="286"/>
      <c r="AK71" s="286"/>
      <c r="AL71" s="286"/>
      <c r="AM71" s="286"/>
      <c r="AN71" s="286"/>
      <c r="AO71" s="286"/>
      <c r="AP71" s="286"/>
      <c r="AQ71" s="286"/>
      <c r="AR71" s="286"/>
      <c r="AS71" s="286"/>
      <c r="AT71" s="286"/>
      <c r="AU71" s="286"/>
      <c r="AV71" s="286"/>
      <c r="AW71" s="286"/>
      <c r="AX71" s="286"/>
    </row>
    <row r="72" spans="2:50" ht="14.85" customHeight="1">
      <c r="B72" s="284"/>
      <c r="C72" s="284"/>
      <c r="D72" s="337"/>
      <c r="E72" s="337"/>
      <c r="F72" s="337"/>
      <c r="G72" s="284"/>
      <c r="H72" s="338"/>
      <c r="I72" s="338"/>
      <c r="J72" s="337"/>
      <c r="K72" s="286"/>
      <c r="L72" s="286"/>
      <c r="M72" s="284"/>
      <c r="N72" s="286"/>
      <c r="O72" s="286"/>
      <c r="P72" s="286"/>
      <c r="Q72" s="286"/>
      <c r="R72" s="286"/>
      <c r="S72" s="286"/>
      <c r="T72" s="286"/>
      <c r="U72" s="286"/>
      <c r="V72" s="286"/>
      <c r="X72" s="286"/>
      <c r="Y72" s="286"/>
      <c r="Z72" s="286"/>
      <c r="AA72" s="286"/>
      <c r="AB72" s="286"/>
      <c r="AC72" s="286"/>
      <c r="AD72" s="286"/>
      <c r="AE72" s="286"/>
      <c r="AF72" s="286"/>
      <c r="AG72" s="286"/>
      <c r="AH72" s="286"/>
      <c r="AI72" s="286"/>
      <c r="AJ72" s="286"/>
      <c r="AK72" s="286"/>
      <c r="AL72" s="286"/>
      <c r="AM72" s="286"/>
      <c r="AN72" s="286"/>
      <c r="AO72" s="286"/>
      <c r="AP72" s="286"/>
      <c r="AQ72" s="286"/>
      <c r="AR72" s="286"/>
      <c r="AS72" s="286"/>
      <c r="AT72" s="286"/>
      <c r="AU72" s="286"/>
      <c r="AV72" s="286"/>
      <c r="AW72" s="286"/>
      <c r="AX72" s="286"/>
    </row>
    <row r="73" spans="2:50" ht="14.85" customHeight="1">
      <c r="B73" s="284"/>
      <c r="C73" s="284"/>
      <c r="D73" s="337"/>
      <c r="E73" s="337"/>
      <c r="F73" s="337"/>
      <c r="G73" s="284"/>
      <c r="H73" s="338"/>
      <c r="I73" s="338"/>
      <c r="J73" s="337"/>
      <c r="K73" s="286"/>
      <c r="L73" s="286"/>
      <c r="M73" s="284"/>
      <c r="N73" s="286"/>
      <c r="O73" s="286"/>
      <c r="P73" s="286"/>
      <c r="Q73" s="286"/>
      <c r="R73" s="286"/>
      <c r="S73" s="286"/>
      <c r="T73" s="286"/>
      <c r="U73" s="286"/>
      <c r="V73" s="286"/>
      <c r="X73" s="286"/>
      <c r="Y73" s="286"/>
      <c r="Z73" s="286"/>
      <c r="AA73" s="286"/>
      <c r="AB73" s="286"/>
      <c r="AC73" s="286"/>
      <c r="AD73" s="286"/>
      <c r="AE73" s="286"/>
      <c r="AF73" s="286"/>
      <c r="AG73" s="286"/>
      <c r="AH73" s="286"/>
      <c r="AI73" s="286"/>
      <c r="AJ73" s="286"/>
      <c r="AK73" s="286"/>
      <c r="AL73" s="286"/>
      <c r="AM73" s="286"/>
      <c r="AN73" s="286"/>
      <c r="AO73" s="286"/>
      <c r="AP73" s="286"/>
      <c r="AQ73" s="286"/>
      <c r="AR73" s="286"/>
      <c r="AS73" s="286"/>
      <c r="AT73" s="286"/>
      <c r="AU73" s="286"/>
      <c r="AV73" s="286"/>
      <c r="AW73" s="286"/>
      <c r="AX73" s="286"/>
    </row>
    <row r="74" spans="2:50" ht="14.85" customHeight="1">
      <c r="B74" s="284"/>
      <c r="C74" s="284"/>
      <c r="D74" s="337"/>
      <c r="E74" s="337"/>
      <c r="F74" s="337"/>
      <c r="G74" s="284"/>
      <c r="H74" s="338"/>
      <c r="I74" s="338"/>
      <c r="J74" s="337"/>
      <c r="K74" s="286"/>
      <c r="L74" s="286"/>
      <c r="M74" s="284"/>
      <c r="N74" s="286"/>
      <c r="O74" s="286"/>
      <c r="P74" s="286"/>
      <c r="Q74" s="286"/>
      <c r="R74" s="286"/>
      <c r="S74" s="286"/>
      <c r="T74" s="286"/>
      <c r="U74" s="286"/>
      <c r="V74" s="286"/>
      <c r="X74" s="286"/>
      <c r="Y74" s="286"/>
      <c r="Z74" s="286"/>
      <c r="AA74" s="286"/>
      <c r="AB74" s="286"/>
      <c r="AC74" s="286"/>
      <c r="AD74" s="286"/>
      <c r="AE74" s="286"/>
      <c r="AF74" s="286"/>
      <c r="AG74" s="286"/>
      <c r="AH74" s="286"/>
      <c r="AI74" s="286"/>
      <c r="AJ74" s="286"/>
      <c r="AK74" s="286"/>
      <c r="AL74" s="286"/>
      <c r="AM74" s="286"/>
      <c r="AN74" s="286"/>
      <c r="AO74" s="286"/>
      <c r="AP74" s="286"/>
      <c r="AQ74" s="286"/>
      <c r="AR74" s="286"/>
      <c r="AS74" s="286"/>
      <c r="AT74" s="286"/>
      <c r="AU74" s="286"/>
      <c r="AV74" s="286"/>
      <c r="AW74" s="286"/>
      <c r="AX74" s="286"/>
    </row>
    <row r="75" spans="2:50" ht="14.85" customHeight="1">
      <c r="B75" s="284"/>
      <c r="C75" s="284"/>
      <c r="D75" s="337"/>
      <c r="E75" s="337"/>
      <c r="F75" s="337"/>
      <c r="G75" s="284"/>
      <c r="H75" s="338"/>
      <c r="I75" s="338"/>
      <c r="J75" s="337"/>
      <c r="K75" s="286"/>
      <c r="L75" s="286"/>
      <c r="M75" s="284"/>
      <c r="N75" s="286"/>
      <c r="O75" s="286"/>
      <c r="P75" s="286"/>
      <c r="Q75" s="286"/>
      <c r="R75" s="286"/>
      <c r="S75" s="286"/>
      <c r="T75" s="286"/>
      <c r="U75" s="286"/>
      <c r="V75" s="286"/>
      <c r="X75" s="286"/>
      <c r="Y75" s="286"/>
      <c r="Z75" s="286"/>
      <c r="AA75" s="286"/>
      <c r="AB75" s="286"/>
      <c r="AC75" s="286"/>
      <c r="AD75" s="286"/>
      <c r="AE75" s="286"/>
      <c r="AF75" s="286"/>
      <c r="AG75" s="286"/>
      <c r="AH75" s="286"/>
      <c r="AI75" s="286"/>
      <c r="AJ75" s="286"/>
      <c r="AK75" s="286"/>
      <c r="AL75" s="286"/>
      <c r="AM75" s="286"/>
      <c r="AN75" s="286"/>
      <c r="AO75" s="286"/>
      <c r="AP75" s="286"/>
      <c r="AQ75" s="286"/>
      <c r="AR75" s="286"/>
      <c r="AS75" s="286"/>
      <c r="AT75" s="286"/>
      <c r="AU75" s="286"/>
      <c r="AV75" s="286"/>
      <c r="AW75" s="286"/>
      <c r="AX75" s="286"/>
    </row>
    <row r="76" spans="2:50">
      <c r="B76" s="286"/>
      <c r="C76" s="286"/>
      <c r="D76" s="284"/>
      <c r="E76" s="286"/>
      <c r="F76" s="286"/>
      <c r="G76" s="286"/>
      <c r="H76" s="286"/>
      <c r="I76" s="286"/>
      <c r="J76" s="286"/>
      <c r="K76" s="286"/>
      <c r="L76" s="284"/>
      <c r="M76" s="286"/>
      <c r="N76" s="286"/>
      <c r="O76" s="286"/>
      <c r="P76" s="286"/>
      <c r="Q76" s="286"/>
      <c r="R76" s="286"/>
      <c r="S76" s="286"/>
      <c r="T76" s="286"/>
      <c r="U76" s="286"/>
      <c r="V76" s="286"/>
      <c r="X76" s="286"/>
      <c r="Y76" s="286"/>
      <c r="Z76" s="286"/>
      <c r="AA76" s="286"/>
      <c r="AB76" s="286"/>
      <c r="AC76" s="286"/>
      <c r="AD76" s="286"/>
      <c r="AE76" s="286"/>
      <c r="AF76" s="286"/>
      <c r="AG76" s="286"/>
      <c r="AH76" s="286"/>
      <c r="AI76" s="286"/>
      <c r="AJ76" s="286"/>
      <c r="AK76" s="286"/>
      <c r="AL76" s="286"/>
      <c r="AM76" s="286"/>
      <c r="AN76" s="286"/>
      <c r="AO76" s="286"/>
      <c r="AP76" s="286"/>
      <c r="AQ76" s="286"/>
      <c r="AR76" s="286"/>
      <c r="AS76" s="286"/>
      <c r="AT76" s="286"/>
      <c r="AU76" s="286"/>
      <c r="AV76" s="286"/>
      <c r="AW76" s="286"/>
      <c r="AX76" s="286"/>
    </row>
    <row r="77" spans="2:50">
      <c r="B77" s="286"/>
      <c r="C77" s="286"/>
      <c r="D77" s="284"/>
      <c r="E77" s="286"/>
      <c r="F77" s="286"/>
      <c r="G77" s="286"/>
      <c r="H77" s="286"/>
      <c r="I77" s="286"/>
      <c r="J77" s="286"/>
      <c r="K77" s="286"/>
      <c r="L77" s="284"/>
      <c r="M77" s="286"/>
      <c r="N77" s="286"/>
      <c r="O77" s="286"/>
      <c r="P77" s="286"/>
      <c r="Q77" s="286"/>
      <c r="R77" s="286"/>
      <c r="S77" s="286"/>
      <c r="T77" s="286"/>
      <c r="U77" s="286"/>
      <c r="V77" s="286"/>
      <c r="X77" s="286"/>
      <c r="Y77" s="286"/>
      <c r="Z77" s="286"/>
      <c r="AA77" s="286"/>
      <c r="AB77" s="286"/>
      <c r="AC77" s="286"/>
      <c r="AD77" s="286"/>
      <c r="AE77" s="286"/>
      <c r="AF77" s="286"/>
      <c r="AG77" s="286"/>
      <c r="AH77" s="286"/>
      <c r="AI77" s="286"/>
      <c r="AJ77" s="286"/>
      <c r="AK77" s="286"/>
      <c r="AL77" s="286"/>
      <c r="AM77" s="286"/>
      <c r="AN77" s="286"/>
      <c r="AO77" s="286"/>
      <c r="AP77" s="286"/>
      <c r="AQ77" s="286"/>
      <c r="AR77" s="286"/>
      <c r="AS77" s="286"/>
      <c r="AT77" s="286"/>
      <c r="AU77" s="286"/>
      <c r="AV77" s="286"/>
      <c r="AW77" s="286"/>
      <c r="AX77" s="286"/>
    </row>
    <row r="78" spans="2:50">
      <c r="B78" s="286"/>
      <c r="C78" s="286"/>
      <c r="D78" s="284"/>
      <c r="E78" s="286"/>
      <c r="F78" s="286"/>
      <c r="G78" s="286"/>
      <c r="H78" s="286"/>
      <c r="I78" s="286"/>
      <c r="J78" s="286"/>
      <c r="K78" s="286"/>
      <c r="L78" s="284"/>
      <c r="M78" s="286"/>
      <c r="N78" s="286"/>
      <c r="O78" s="286"/>
      <c r="P78" s="286"/>
      <c r="Q78" s="286"/>
      <c r="R78" s="286"/>
      <c r="S78" s="286"/>
      <c r="T78" s="286"/>
      <c r="U78" s="286"/>
      <c r="V78" s="286"/>
      <c r="X78" s="286"/>
      <c r="Y78" s="286"/>
      <c r="Z78" s="286"/>
      <c r="AA78" s="286"/>
      <c r="AB78" s="286"/>
      <c r="AC78" s="286"/>
      <c r="AD78" s="286"/>
      <c r="AE78" s="286"/>
      <c r="AF78" s="286"/>
      <c r="AG78" s="286"/>
      <c r="AH78" s="286"/>
      <c r="AI78" s="286"/>
      <c r="AJ78" s="286"/>
      <c r="AK78" s="286"/>
      <c r="AL78" s="286"/>
      <c r="AM78" s="286"/>
      <c r="AN78" s="286"/>
      <c r="AO78" s="286"/>
      <c r="AP78" s="286"/>
      <c r="AQ78" s="286"/>
      <c r="AR78" s="286"/>
      <c r="AS78" s="286"/>
      <c r="AT78" s="286"/>
      <c r="AU78" s="286"/>
      <c r="AV78" s="286"/>
      <c r="AW78" s="286"/>
      <c r="AX78" s="286"/>
    </row>
    <row r="79" spans="2:50">
      <c r="B79" s="286"/>
      <c r="C79" s="286"/>
      <c r="D79" s="284"/>
      <c r="E79" s="286"/>
      <c r="F79" s="286"/>
      <c r="G79" s="286"/>
      <c r="H79" s="286"/>
      <c r="I79" s="286"/>
      <c r="J79" s="286"/>
      <c r="K79" s="286"/>
      <c r="L79" s="284"/>
      <c r="M79" s="286"/>
      <c r="N79" s="286"/>
      <c r="O79" s="286"/>
      <c r="P79" s="286"/>
      <c r="Q79" s="286"/>
      <c r="R79" s="286"/>
      <c r="S79" s="286"/>
      <c r="T79" s="286"/>
      <c r="U79" s="286"/>
      <c r="V79" s="286"/>
      <c r="X79" s="286"/>
      <c r="Y79" s="286"/>
      <c r="Z79" s="286"/>
      <c r="AA79" s="286"/>
      <c r="AB79" s="286"/>
      <c r="AC79" s="286"/>
      <c r="AD79" s="286"/>
      <c r="AE79" s="286"/>
      <c r="AF79" s="286"/>
      <c r="AG79" s="286"/>
      <c r="AH79" s="286"/>
      <c r="AI79" s="286"/>
      <c r="AJ79" s="286"/>
      <c r="AK79" s="286"/>
      <c r="AL79" s="286"/>
      <c r="AM79" s="286"/>
      <c r="AN79" s="286"/>
      <c r="AO79" s="286"/>
      <c r="AP79" s="286"/>
      <c r="AQ79" s="286"/>
      <c r="AR79" s="286"/>
      <c r="AS79" s="286"/>
      <c r="AT79" s="286"/>
      <c r="AU79" s="286"/>
      <c r="AV79" s="286"/>
      <c r="AW79" s="286"/>
      <c r="AX79" s="286"/>
    </row>
    <row r="80" spans="2:50">
      <c r="B80" s="286"/>
      <c r="C80" s="286"/>
      <c r="D80" s="284"/>
      <c r="E80" s="286"/>
      <c r="F80" s="286"/>
      <c r="G80" s="286"/>
      <c r="H80" s="286"/>
      <c r="I80" s="286"/>
      <c r="J80" s="286"/>
      <c r="K80" s="286"/>
      <c r="L80" s="284"/>
      <c r="M80" s="286"/>
      <c r="N80" s="286"/>
      <c r="O80" s="286"/>
      <c r="P80" s="286"/>
      <c r="Q80" s="286"/>
      <c r="R80" s="286"/>
      <c r="S80" s="286"/>
      <c r="T80" s="286"/>
      <c r="U80" s="286"/>
      <c r="V80" s="286"/>
      <c r="X80" s="286"/>
      <c r="Y80" s="286"/>
      <c r="Z80" s="286"/>
      <c r="AA80" s="286"/>
      <c r="AB80" s="286"/>
      <c r="AC80" s="286"/>
      <c r="AD80" s="286"/>
      <c r="AE80" s="286"/>
      <c r="AF80" s="286"/>
      <c r="AG80" s="286"/>
      <c r="AH80" s="286"/>
      <c r="AI80" s="286"/>
      <c r="AJ80" s="286"/>
      <c r="AK80" s="286"/>
      <c r="AL80" s="286"/>
      <c r="AM80" s="286"/>
      <c r="AN80" s="286"/>
      <c r="AO80" s="286"/>
      <c r="AP80" s="286"/>
      <c r="AQ80" s="286"/>
      <c r="AR80" s="286"/>
      <c r="AS80" s="286"/>
      <c r="AT80" s="286"/>
      <c r="AU80" s="286"/>
      <c r="AV80" s="286"/>
      <c r="AW80" s="286"/>
      <c r="AX80" s="286"/>
    </row>
    <row r="81" spans="24:50">
      <c r="X81" s="286"/>
      <c r="Y81" s="286"/>
      <c r="Z81" s="286"/>
      <c r="AA81" s="286"/>
      <c r="AB81" s="286"/>
      <c r="AC81" s="286"/>
      <c r="AD81" s="286"/>
      <c r="AE81" s="286"/>
      <c r="AF81" s="286"/>
      <c r="AG81" s="286"/>
      <c r="AH81" s="286"/>
      <c r="AI81" s="286"/>
      <c r="AJ81" s="286"/>
      <c r="AK81" s="286"/>
      <c r="AL81" s="286"/>
      <c r="AM81" s="286"/>
      <c r="AN81" s="286"/>
      <c r="AO81" s="286"/>
      <c r="AP81" s="286"/>
      <c r="AQ81" s="286"/>
      <c r="AR81" s="286"/>
      <c r="AS81" s="286"/>
      <c r="AT81" s="286"/>
      <c r="AU81" s="286"/>
      <c r="AV81" s="286"/>
      <c r="AW81" s="286"/>
      <c r="AX81" s="286"/>
    </row>
    <row r="82" spans="24:50">
      <c r="X82" s="286"/>
      <c r="Y82" s="286"/>
      <c r="Z82" s="286"/>
      <c r="AA82" s="286"/>
      <c r="AB82" s="286"/>
      <c r="AC82" s="286"/>
      <c r="AD82" s="286"/>
      <c r="AE82" s="286"/>
      <c r="AF82" s="286"/>
      <c r="AG82" s="286"/>
      <c r="AH82" s="286"/>
      <c r="AI82" s="286"/>
      <c r="AJ82" s="286"/>
      <c r="AK82" s="286"/>
      <c r="AL82" s="286"/>
      <c r="AM82" s="286"/>
      <c r="AN82" s="286"/>
      <c r="AO82" s="286"/>
      <c r="AP82" s="286"/>
      <c r="AQ82" s="286"/>
      <c r="AR82" s="286"/>
      <c r="AS82" s="286"/>
      <c r="AT82" s="286"/>
      <c r="AU82" s="286"/>
      <c r="AV82" s="286"/>
      <c r="AW82" s="286"/>
      <c r="AX82" s="286"/>
    </row>
    <row r="83" spans="24:50">
      <c r="X83" s="286"/>
      <c r="Y83" s="286"/>
      <c r="Z83" s="286"/>
      <c r="AA83" s="286"/>
      <c r="AB83" s="286"/>
      <c r="AC83" s="286"/>
      <c r="AD83" s="286"/>
      <c r="AE83" s="286"/>
      <c r="AF83" s="286"/>
      <c r="AG83" s="286"/>
      <c r="AH83" s="286"/>
      <c r="AI83" s="286"/>
      <c r="AJ83" s="286"/>
      <c r="AK83" s="286"/>
      <c r="AL83" s="286"/>
      <c r="AM83" s="286"/>
      <c r="AN83" s="286"/>
      <c r="AO83" s="286"/>
      <c r="AP83" s="286"/>
      <c r="AQ83" s="286"/>
      <c r="AR83" s="286"/>
      <c r="AS83" s="286"/>
      <c r="AT83" s="286"/>
      <c r="AU83" s="286"/>
      <c r="AV83" s="286"/>
      <c r="AW83" s="286"/>
      <c r="AX83" s="286"/>
    </row>
    <row r="84" spans="24:50">
      <c r="X84" s="286"/>
      <c r="Y84" s="286"/>
      <c r="Z84" s="286"/>
      <c r="AA84" s="286"/>
      <c r="AB84" s="286"/>
      <c r="AC84" s="286"/>
      <c r="AD84" s="286"/>
      <c r="AE84" s="286"/>
      <c r="AF84" s="286"/>
      <c r="AG84" s="286"/>
      <c r="AH84" s="286"/>
      <c r="AI84" s="286"/>
      <c r="AJ84" s="286"/>
      <c r="AK84" s="286"/>
      <c r="AL84" s="286"/>
      <c r="AM84" s="286"/>
      <c r="AN84" s="286"/>
      <c r="AO84" s="286"/>
      <c r="AP84" s="286"/>
      <c r="AQ84" s="286"/>
      <c r="AR84" s="286"/>
      <c r="AS84" s="286"/>
      <c r="AT84" s="286"/>
      <c r="AU84" s="286"/>
      <c r="AV84" s="286"/>
      <c r="AW84" s="286"/>
      <c r="AX84" s="286"/>
    </row>
    <row r="85" spans="24:50">
      <c r="X85" s="286"/>
      <c r="Y85" s="286"/>
      <c r="Z85" s="286"/>
      <c r="AA85" s="286"/>
      <c r="AB85" s="286"/>
      <c r="AC85" s="286"/>
      <c r="AD85" s="286"/>
      <c r="AE85" s="286"/>
      <c r="AF85" s="286"/>
      <c r="AG85" s="286"/>
      <c r="AH85" s="286"/>
      <c r="AI85" s="286"/>
      <c r="AJ85" s="286"/>
      <c r="AK85" s="286"/>
      <c r="AL85" s="286"/>
      <c r="AM85" s="286"/>
      <c r="AN85" s="286"/>
      <c r="AO85" s="286"/>
      <c r="AP85" s="286"/>
      <c r="AQ85" s="286"/>
      <c r="AR85" s="286"/>
      <c r="AS85" s="286"/>
      <c r="AT85" s="286"/>
      <c r="AU85" s="286"/>
      <c r="AV85" s="286"/>
      <c r="AW85" s="286"/>
      <c r="AX85" s="286"/>
    </row>
    <row r="86" spans="24:50">
      <c r="X86" s="286"/>
      <c r="Y86" s="286"/>
      <c r="Z86" s="286"/>
      <c r="AA86" s="286"/>
      <c r="AB86" s="286"/>
      <c r="AC86" s="286"/>
      <c r="AD86" s="286"/>
      <c r="AE86" s="286"/>
      <c r="AF86" s="286"/>
      <c r="AG86" s="286"/>
      <c r="AH86" s="286"/>
      <c r="AI86" s="286"/>
      <c r="AJ86" s="286"/>
      <c r="AK86" s="286"/>
      <c r="AL86" s="286"/>
      <c r="AM86" s="286"/>
      <c r="AN86" s="286"/>
      <c r="AO86" s="286"/>
      <c r="AP86" s="286"/>
      <c r="AQ86" s="286"/>
      <c r="AR86" s="286"/>
      <c r="AS86" s="286"/>
      <c r="AT86" s="286"/>
      <c r="AU86" s="286"/>
      <c r="AV86" s="286"/>
      <c r="AW86" s="286"/>
      <c r="AX86" s="286"/>
    </row>
    <row r="87" spans="24:50">
      <c r="X87" s="286"/>
      <c r="Y87" s="286"/>
      <c r="Z87" s="286"/>
      <c r="AA87" s="286"/>
      <c r="AB87" s="286"/>
      <c r="AC87" s="286"/>
      <c r="AD87" s="286"/>
      <c r="AE87" s="286"/>
      <c r="AF87" s="286"/>
      <c r="AG87" s="286"/>
      <c r="AH87" s="286"/>
      <c r="AI87" s="286"/>
      <c r="AJ87" s="286"/>
      <c r="AK87" s="286"/>
      <c r="AL87" s="286"/>
      <c r="AM87" s="286"/>
      <c r="AN87" s="286"/>
      <c r="AO87" s="286"/>
      <c r="AP87" s="286"/>
      <c r="AQ87" s="286"/>
      <c r="AR87" s="286"/>
      <c r="AS87" s="286"/>
      <c r="AT87" s="286"/>
      <c r="AU87" s="286"/>
      <c r="AV87" s="286"/>
      <c r="AW87" s="286"/>
      <c r="AX87" s="286"/>
    </row>
    <row r="88" spans="24:50">
      <c r="X88" s="286"/>
      <c r="Y88" s="286"/>
      <c r="Z88" s="286"/>
      <c r="AA88" s="286"/>
      <c r="AB88" s="286"/>
      <c r="AC88" s="286"/>
      <c r="AD88" s="286"/>
      <c r="AE88" s="286"/>
      <c r="AF88" s="286"/>
      <c r="AG88" s="286"/>
      <c r="AH88" s="286"/>
      <c r="AI88" s="286"/>
      <c r="AJ88" s="286"/>
      <c r="AK88" s="286"/>
      <c r="AL88" s="286"/>
      <c r="AM88" s="286"/>
      <c r="AN88" s="286"/>
      <c r="AO88" s="286"/>
      <c r="AP88" s="286"/>
      <c r="AQ88" s="286"/>
      <c r="AR88" s="286"/>
      <c r="AS88" s="286"/>
      <c r="AT88" s="286"/>
      <c r="AU88" s="286"/>
      <c r="AV88" s="286"/>
      <c r="AW88" s="286"/>
      <c r="AX88" s="286"/>
    </row>
    <row r="89" spans="24:50">
      <c r="X89" s="286"/>
      <c r="Y89" s="286"/>
      <c r="Z89" s="286"/>
      <c r="AA89" s="286"/>
      <c r="AB89" s="286"/>
      <c r="AC89" s="286"/>
      <c r="AD89" s="286"/>
      <c r="AE89" s="286"/>
      <c r="AF89" s="286"/>
      <c r="AG89" s="286"/>
      <c r="AH89" s="286"/>
      <c r="AI89" s="286"/>
      <c r="AJ89" s="286"/>
      <c r="AK89" s="286"/>
      <c r="AL89" s="286"/>
      <c r="AM89" s="286"/>
      <c r="AN89" s="286"/>
      <c r="AO89" s="286"/>
      <c r="AP89" s="286"/>
      <c r="AQ89" s="286"/>
      <c r="AR89" s="286"/>
      <c r="AS89" s="286"/>
      <c r="AT89" s="286"/>
      <c r="AU89" s="286"/>
      <c r="AV89" s="286"/>
      <c r="AW89" s="286"/>
      <c r="AX89" s="286"/>
    </row>
  </sheetData>
  <mergeCells count="18">
    <mergeCell ref="D29:E29"/>
    <mergeCell ref="F29:L29"/>
    <mergeCell ref="AZ3:BA3"/>
    <mergeCell ref="AJ15:AJ16"/>
    <mergeCell ref="AL15:AL16"/>
    <mergeCell ref="AM15:AN15"/>
    <mergeCell ref="AJ17:AK17"/>
    <mergeCell ref="AJ18:AK18"/>
    <mergeCell ref="B1:BA1"/>
    <mergeCell ref="B3:F3"/>
    <mergeCell ref="G3:P3"/>
    <mergeCell ref="Q3:S3"/>
    <mergeCell ref="T3:V3"/>
    <mergeCell ref="W3:X3"/>
    <mergeCell ref="Y3:AD3"/>
    <mergeCell ref="AE3:AG3"/>
    <mergeCell ref="AJ3:AQ3"/>
    <mergeCell ref="AR3:AY3"/>
  </mergeCells>
  <phoneticPr fontId="4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A66"/>
  <sheetViews>
    <sheetView topLeftCell="A7" zoomScale="40" zoomScaleNormal="40" workbookViewId="0">
      <selection activeCell="R54" sqref="R54"/>
    </sheetView>
  </sheetViews>
  <sheetFormatPr defaultRowHeight="16.5"/>
  <cols>
    <col min="1" max="1" width="22.375" style="4" customWidth="1"/>
    <col min="2" max="50" width="18.625" style="4" customWidth="1"/>
    <col min="51" max="51" width="21.625" style="4" customWidth="1"/>
    <col min="52" max="54" width="18.625" style="4" customWidth="1"/>
    <col min="55" max="16384" width="9" style="4"/>
  </cols>
  <sheetData>
    <row r="2" spans="1:2">
      <c r="A2" s="346">
        <v>44601</v>
      </c>
    </row>
    <row r="3" spans="1:2">
      <c r="A3" s="4" t="s">
        <v>203</v>
      </c>
      <c r="B3" s="4" t="s">
        <v>204</v>
      </c>
    </row>
    <row r="25" spans="1:12">
      <c r="A25" s="4" t="s">
        <v>205</v>
      </c>
      <c r="B25" s="4" t="s">
        <v>206</v>
      </c>
      <c r="J25" s="347" t="s">
        <v>207</v>
      </c>
    </row>
    <row r="26" spans="1:12">
      <c r="L26" s="25" t="s">
        <v>208</v>
      </c>
    </row>
    <row r="27" spans="1:12">
      <c r="B27" s="348" t="s">
        <v>209</v>
      </c>
      <c r="C27" s="349"/>
      <c r="D27" s="350"/>
      <c r="E27" s="15"/>
      <c r="F27" s="15" t="s">
        <v>210</v>
      </c>
      <c r="G27" s="15" t="s">
        <v>211</v>
      </c>
      <c r="H27" s="15"/>
      <c r="I27" s="15"/>
      <c r="J27" s="351" t="s">
        <v>212</v>
      </c>
      <c r="K27" s="352" t="s">
        <v>213</v>
      </c>
      <c r="L27" s="353" t="s">
        <v>214</v>
      </c>
    </row>
    <row r="28" spans="1:12">
      <c r="B28" s="354" t="s">
        <v>215</v>
      </c>
      <c r="C28" s="355"/>
      <c r="D28" s="350"/>
      <c r="E28" s="353"/>
      <c r="F28" s="15">
        <v>3000</v>
      </c>
      <c r="G28" s="15">
        <v>3000</v>
      </c>
      <c r="H28" s="353"/>
      <c r="I28" s="353"/>
      <c r="J28" s="356"/>
      <c r="K28" s="356"/>
      <c r="L28" s="15" t="s">
        <v>216</v>
      </c>
    </row>
    <row r="29" spans="1:12">
      <c r="B29" s="354" t="s">
        <v>217</v>
      </c>
      <c r="C29" s="355"/>
      <c r="D29" s="350"/>
      <c r="E29" s="353"/>
      <c r="F29" s="15">
        <v>6000</v>
      </c>
      <c r="G29" s="15">
        <v>3000</v>
      </c>
      <c r="H29" s="353"/>
      <c r="I29" s="353"/>
      <c r="J29" s="356"/>
      <c r="K29" s="356"/>
      <c r="L29" s="15"/>
    </row>
    <row r="30" spans="1:12">
      <c r="B30" s="354" t="s">
        <v>217</v>
      </c>
      <c r="C30" s="355"/>
      <c r="D30" s="350"/>
      <c r="E30" s="353"/>
      <c r="F30" s="15">
        <v>3000</v>
      </c>
      <c r="G30" s="15">
        <v>6000</v>
      </c>
      <c r="H30" s="353"/>
      <c r="I30" s="353"/>
      <c r="J30" s="356"/>
      <c r="K30" s="356"/>
      <c r="L30" s="15"/>
    </row>
    <row r="31" spans="1:12">
      <c r="B31" s="354" t="s">
        <v>215</v>
      </c>
      <c r="C31" s="355"/>
      <c r="D31" s="350"/>
      <c r="E31" s="353"/>
      <c r="F31" s="15">
        <v>6000</v>
      </c>
      <c r="G31" s="15">
        <v>6000</v>
      </c>
      <c r="H31" s="353"/>
      <c r="I31" s="353"/>
      <c r="J31" s="356"/>
      <c r="K31" s="356"/>
      <c r="L31" s="15"/>
    </row>
    <row r="32" spans="1:12">
      <c r="B32" s="354" t="s">
        <v>218</v>
      </c>
      <c r="C32" s="355"/>
      <c r="D32" s="350"/>
      <c r="E32" s="353"/>
      <c r="F32" s="15">
        <v>3000</v>
      </c>
      <c r="G32" s="15">
        <v>3000</v>
      </c>
      <c r="H32" s="353"/>
      <c r="I32" s="353"/>
      <c r="J32" s="356"/>
      <c r="K32" s="356"/>
      <c r="L32" s="15" t="s">
        <v>219</v>
      </c>
    </row>
    <row r="33" spans="1:53">
      <c r="B33" s="354" t="s">
        <v>218</v>
      </c>
      <c r="C33" s="355"/>
      <c r="D33" s="350"/>
      <c r="E33" s="353"/>
      <c r="F33" s="15">
        <v>6000</v>
      </c>
      <c r="G33" s="15">
        <v>3000</v>
      </c>
      <c r="H33" s="353"/>
      <c r="I33" s="353"/>
      <c r="J33" s="356"/>
      <c r="K33" s="356"/>
      <c r="L33" s="15"/>
    </row>
    <row r="34" spans="1:53">
      <c r="B34" s="354" t="s">
        <v>220</v>
      </c>
      <c r="C34" s="355"/>
      <c r="D34" s="350"/>
      <c r="E34" s="353"/>
      <c r="F34" s="15">
        <v>3000</v>
      </c>
      <c r="G34" s="15">
        <v>6000</v>
      </c>
      <c r="H34" s="353"/>
      <c r="I34" s="353"/>
      <c r="J34" s="356"/>
      <c r="K34" s="356"/>
      <c r="L34" s="15"/>
    </row>
    <row r="35" spans="1:53">
      <c r="B35" s="354" t="s">
        <v>220</v>
      </c>
      <c r="C35" s="355"/>
      <c r="D35" s="350"/>
      <c r="E35" s="353"/>
      <c r="F35" s="15">
        <v>6000</v>
      </c>
      <c r="G35" s="15">
        <v>6000</v>
      </c>
      <c r="H35" s="15"/>
      <c r="I35" s="353"/>
      <c r="J35" s="356"/>
      <c r="K35" s="356"/>
      <c r="L35" s="15"/>
    </row>
    <row r="40" spans="1:53" ht="33.75">
      <c r="A40" s="357">
        <v>44617</v>
      </c>
    </row>
    <row r="41" spans="1:53" ht="39">
      <c r="A41" s="358" t="s">
        <v>203</v>
      </c>
      <c r="B41" s="358" t="s">
        <v>221</v>
      </c>
    </row>
    <row r="42" spans="1:53" ht="39.75" thickBot="1">
      <c r="A42" s="359"/>
    </row>
    <row r="43" spans="1:53" ht="62.25" customHeight="1" thickBot="1">
      <c r="A43" s="359"/>
      <c r="B43" s="118" t="s">
        <v>126</v>
      </c>
      <c r="C43" s="119"/>
      <c r="D43" s="119"/>
      <c r="E43" s="119"/>
      <c r="F43" s="120"/>
      <c r="G43" s="118" t="s">
        <v>127</v>
      </c>
      <c r="H43" s="119"/>
      <c r="I43" s="118"/>
      <c r="J43" s="119"/>
      <c r="K43" s="119"/>
      <c r="L43" s="119"/>
      <c r="M43" s="119"/>
      <c r="N43" s="119"/>
      <c r="O43" s="119"/>
      <c r="P43" s="120"/>
      <c r="Q43" s="118" t="s">
        <v>128</v>
      </c>
      <c r="R43" s="119"/>
      <c r="S43" s="120"/>
      <c r="T43" s="121" t="s">
        <v>129</v>
      </c>
      <c r="U43" s="122"/>
      <c r="V43" s="123"/>
      <c r="W43" s="124" t="s">
        <v>130</v>
      </c>
      <c r="X43" s="122"/>
      <c r="Y43" s="121" t="s">
        <v>131</v>
      </c>
      <c r="Z43" s="122"/>
      <c r="AA43" s="122"/>
      <c r="AB43" s="122"/>
      <c r="AC43" s="122"/>
      <c r="AD43" s="123"/>
      <c r="AE43" s="122" t="s">
        <v>132</v>
      </c>
      <c r="AF43" s="122"/>
      <c r="AG43" s="123"/>
      <c r="AH43" s="125" t="s">
        <v>133</v>
      </c>
      <c r="AI43" s="115"/>
      <c r="AJ43" s="126" t="s">
        <v>222</v>
      </c>
      <c r="AK43" s="127"/>
      <c r="AL43" s="127"/>
      <c r="AM43" s="127"/>
      <c r="AN43" s="127"/>
      <c r="AO43" s="127"/>
      <c r="AP43" s="127"/>
      <c r="AQ43" s="128"/>
      <c r="AR43" s="126" t="s">
        <v>135</v>
      </c>
      <c r="AS43" s="127"/>
      <c r="AT43" s="127"/>
      <c r="AU43" s="127"/>
      <c r="AV43" s="127"/>
      <c r="AW43" s="127"/>
      <c r="AX43" s="127"/>
      <c r="AY43" s="128"/>
      <c r="AZ43" s="129" t="s">
        <v>136</v>
      </c>
      <c r="BA43" s="130"/>
    </row>
    <row r="44" spans="1:53" ht="96" customHeight="1" thickBot="1">
      <c r="A44" s="359"/>
      <c r="B44" s="131" t="s">
        <v>137</v>
      </c>
      <c r="C44" s="132" t="s">
        <v>138</v>
      </c>
      <c r="D44" s="133" t="s">
        <v>139</v>
      </c>
      <c r="E44" s="133" t="s">
        <v>140</v>
      </c>
      <c r="F44" s="134" t="s">
        <v>141</v>
      </c>
      <c r="G44" s="135" t="s">
        <v>142</v>
      </c>
      <c r="H44" s="135" t="s">
        <v>223</v>
      </c>
      <c r="I44" s="136" t="s">
        <v>144</v>
      </c>
      <c r="J44" s="137" t="s">
        <v>145</v>
      </c>
      <c r="K44" s="137" t="s">
        <v>146</v>
      </c>
      <c r="L44" s="137" t="s">
        <v>147</v>
      </c>
      <c r="M44" s="138" t="s">
        <v>148</v>
      </c>
      <c r="N44" s="139" t="s">
        <v>149</v>
      </c>
      <c r="O44" s="137" t="s">
        <v>150</v>
      </c>
      <c r="P44" s="138" t="s">
        <v>151</v>
      </c>
      <c r="Q44" s="139" t="s">
        <v>152</v>
      </c>
      <c r="R44" s="137" t="s">
        <v>153</v>
      </c>
      <c r="S44" s="140" t="s">
        <v>154</v>
      </c>
      <c r="T44" s="141" t="s">
        <v>155</v>
      </c>
      <c r="U44" s="142" t="s">
        <v>156</v>
      </c>
      <c r="V44" s="143" t="s">
        <v>157</v>
      </c>
      <c r="W44" s="142" t="s">
        <v>158</v>
      </c>
      <c r="X44" s="144" t="s">
        <v>159</v>
      </c>
      <c r="Y44" s="145" t="s">
        <v>160</v>
      </c>
      <c r="Z44" s="146" t="s">
        <v>161</v>
      </c>
      <c r="AA44" s="146" t="s">
        <v>162</v>
      </c>
      <c r="AB44" s="146" t="s">
        <v>163</v>
      </c>
      <c r="AC44" s="146" t="s">
        <v>164</v>
      </c>
      <c r="AD44" s="147" t="s">
        <v>165</v>
      </c>
      <c r="AE44" s="148" t="s">
        <v>166</v>
      </c>
      <c r="AF44" s="149" t="s">
        <v>167</v>
      </c>
      <c r="AG44" s="150" t="s">
        <v>168</v>
      </c>
      <c r="AH44" s="151" t="s">
        <v>169</v>
      </c>
      <c r="AI44" s="152"/>
      <c r="AJ44" s="153"/>
      <c r="AK44" s="154"/>
      <c r="AL44" s="154"/>
      <c r="AM44" s="155" t="s">
        <v>170</v>
      </c>
      <c r="AN44" s="156" t="s">
        <v>224</v>
      </c>
      <c r="AO44" s="156"/>
      <c r="AP44" s="156"/>
      <c r="AQ44" s="157" t="s">
        <v>172</v>
      </c>
      <c r="AR44" s="158"/>
      <c r="AS44" s="154"/>
      <c r="AT44" s="154"/>
      <c r="AU44" s="155" t="s">
        <v>225</v>
      </c>
      <c r="AV44" s="156" t="s">
        <v>171</v>
      </c>
      <c r="AW44" s="156"/>
      <c r="AX44" s="156"/>
      <c r="AY44" s="157" t="s">
        <v>172</v>
      </c>
      <c r="AZ44" s="159" t="s">
        <v>173</v>
      </c>
      <c r="BA44" s="160" t="s">
        <v>174</v>
      </c>
    </row>
    <row r="45" spans="1:53" ht="39.950000000000003" customHeight="1">
      <c r="A45" s="359"/>
      <c r="B45" s="161" t="s">
        <v>154</v>
      </c>
      <c r="C45" s="162">
        <v>400</v>
      </c>
      <c r="D45" s="163">
        <v>200</v>
      </c>
      <c r="E45" s="163">
        <v>8</v>
      </c>
      <c r="F45" s="164">
        <v>13</v>
      </c>
      <c r="G45" s="165">
        <v>250</v>
      </c>
      <c r="H45" s="166">
        <f>C45*D45-(C45-2*F45)*(D45-E45)</f>
        <v>8192</v>
      </c>
      <c r="I45" s="360">
        <f>H45*7.85/1000000*1000</f>
        <v>64.307199999999995</v>
      </c>
      <c r="J45" s="361">
        <f>(C45^3*D45/12-(C45-2*F45)^3*(D45-E45)/12)</f>
        <v>229648682.66666663</v>
      </c>
      <c r="K45" s="361">
        <f>(D45^3*F45/12*2+(C45-2*F45)*E45^3/12)</f>
        <v>17349290.666666664</v>
      </c>
      <c r="L45" s="362">
        <f t="shared" ref="L45:L49" si="0">(J45/H45)^0.5</f>
        <v>167.43143808237846</v>
      </c>
      <c r="M45" s="363">
        <f t="shared" ref="M45:M49" si="1">(K45/H45)^0.5</f>
        <v>46.01992322172358</v>
      </c>
      <c r="N45" s="364">
        <v>0</v>
      </c>
      <c r="O45" s="365">
        <v>0</v>
      </c>
      <c r="P45" s="366">
        <f>(N45^2+O45^2+(J45+K45)/H45)^0.5</f>
        <v>173.64077802079402</v>
      </c>
      <c r="Q45" s="367">
        <f>F45*D45^3*(C45-F45)^2/24</f>
        <v>648999000000</v>
      </c>
      <c r="R45" s="367">
        <f>(2*D45*F45^3+(C45-F45)*E45^3)/3</f>
        <v>358981.33333333331</v>
      </c>
      <c r="S45" s="368">
        <f>1-(N45^2+O45^2)/P45^2</f>
        <v>1</v>
      </c>
      <c r="T45" s="369">
        <v>12000</v>
      </c>
      <c r="U45" s="177">
        <v>6000</v>
      </c>
      <c r="V45" s="178">
        <v>6000</v>
      </c>
      <c r="W45" s="179">
        <f t="shared" ref="W45:X49" si="2">T45/L45</f>
        <v>71.671127820665575</v>
      </c>
      <c r="X45" s="180">
        <f t="shared" si="2"/>
        <v>130.37831399874472</v>
      </c>
      <c r="Y45" s="181"/>
      <c r="Z45" s="182"/>
      <c r="AA45" s="183"/>
      <c r="AB45" s="184"/>
      <c r="AC45" s="185" t="s">
        <v>175</v>
      </c>
      <c r="AD45" s="186">
        <f>MIN(Y45,Z45,AB45)</f>
        <v>0</v>
      </c>
      <c r="AE45" s="187"/>
      <c r="AF45" s="179"/>
      <c r="AG45" s="180"/>
      <c r="AH45" s="188"/>
      <c r="AI45" s="152"/>
      <c r="AJ45" s="189"/>
      <c r="AK45" s="190"/>
      <c r="AL45" s="191"/>
      <c r="AM45" s="192">
        <v>0.22</v>
      </c>
      <c r="AN45" s="156">
        <v>1.49</v>
      </c>
      <c r="AO45" s="193"/>
      <c r="AP45" s="192"/>
      <c r="AQ45" s="194"/>
      <c r="AR45" s="195"/>
      <c r="AS45" s="193"/>
      <c r="AT45" s="193"/>
      <c r="AU45" s="192">
        <v>0.18</v>
      </c>
      <c r="AV45" s="156">
        <v>1.31</v>
      </c>
      <c r="AW45" s="193"/>
      <c r="AX45" s="192"/>
      <c r="AY45" s="194"/>
      <c r="AZ45" s="196"/>
      <c r="BA45" s="197"/>
    </row>
    <row r="46" spans="1:53" ht="39.950000000000003" customHeight="1">
      <c r="A46" s="359"/>
      <c r="B46" s="161" t="s">
        <v>17</v>
      </c>
      <c r="C46" s="162">
        <v>400</v>
      </c>
      <c r="D46" s="163">
        <v>200</v>
      </c>
      <c r="E46" s="163">
        <v>4</v>
      </c>
      <c r="F46" s="164">
        <v>6</v>
      </c>
      <c r="G46" s="165">
        <v>251</v>
      </c>
      <c r="H46" s="166">
        <f t="shared" ref="H46:H47" si="3">C46*D46-(C46-2*F46)*(D46-E46)</f>
        <v>3952</v>
      </c>
      <c r="I46" s="370">
        <f t="shared" ref="I46:I49" si="4">H46*7.85/1000000*1000</f>
        <v>31.023199999999996</v>
      </c>
      <c r="J46" s="371">
        <f t="shared" ref="J46:J47" si="5">(C46^3*D46/12-(C46-2*F46)^3*(D46-E46)/12)</f>
        <v>112619157.33333325</v>
      </c>
      <c r="K46" s="371">
        <f t="shared" ref="K46:K47" si="6">(D46^3*F46/12*2+(C46-2*F46)*E46^3/12)</f>
        <v>8002069.333333333</v>
      </c>
      <c r="L46" s="372">
        <f t="shared" si="0"/>
        <v>168.80980521694198</v>
      </c>
      <c r="M46" s="373">
        <f t="shared" si="1"/>
        <v>44.997945672106539</v>
      </c>
      <c r="N46" s="374">
        <v>0</v>
      </c>
      <c r="O46" s="375">
        <v>0</v>
      </c>
      <c r="P46" s="376">
        <f t="shared" ref="P46:P47" si="7">(N46^2+O46^2+(J46+K46)/H46)^0.5</f>
        <v>174.70422276548368</v>
      </c>
      <c r="Q46" s="377">
        <f t="shared" ref="Q46:Q47" si="8">F46*D46^3*(C46-F46)^2/24</f>
        <v>310472000000</v>
      </c>
      <c r="R46" s="377">
        <f t="shared" ref="R46:R47" si="9">(2*D46*F46^3+(C46-F46)*E46^3)/3</f>
        <v>37205.333333333336</v>
      </c>
      <c r="S46" s="378">
        <f t="shared" ref="S46:S47" si="10">1-(N46^2+O46^2)/P46^2</f>
        <v>1</v>
      </c>
      <c r="T46" s="379">
        <v>12000</v>
      </c>
      <c r="U46" s="177">
        <v>6000</v>
      </c>
      <c r="V46" s="178">
        <v>6000</v>
      </c>
      <c r="W46" s="179">
        <f t="shared" si="2"/>
        <v>71.08591817032476</v>
      </c>
      <c r="X46" s="180">
        <f t="shared" si="2"/>
        <v>133.33942050868552</v>
      </c>
      <c r="Y46" s="380"/>
      <c r="Z46" s="179"/>
      <c r="AA46" s="381"/>
      <c r="AB46" s="382"/>
      <c r="AC46" s="383"/>
      <c r="AD46" s="384"/>
      <c r="AE46" s="187"/>
      <c r="AF46" s="179"/>
      <c r="AG46" s="180"/>
      <c r="AH46" s="385"/>
      <c r="AI46" s="152"/>
      <c r="AJ46" s="189"/>
      <c r="AK46" s="190"/>
      <c r="AL46" s="191"/>
      <c r="AM46" s="192"/>
      <c r="AN46" s="156"/>
      <c r="AO46" s="193"/>
      <c r="AP46" s="192"/>
      <c r="AQ46" s="194"/>
      <c r="AR46" s="195"/>
      <c r="AS46" s="193"/>
      <c r="AT46" s="193"/>
      <c r="AU46" s="192"/>
      <c r="AV46" s="156"/>
      <c r="AW46" s="193"/>
      <c r="AX46" s="192"/>
      <c r="AY46" s="194"/>
      <c r="AZ46" s="196"/>
      <c r="BA46" s="197"/>
    </row>
    <row r="47" spans="1:53" ht="39.950000000000003" customHeight="1">
      <c r="A47" s="359"/>
      <c r="B47" s="161" t="s">
        <v>226</v>
      </c>
      <c r="C47" s="162">
        <v>400</v>
      </c>
      <c r="D47" s="163">
        <v>200</v>
      </c>
      <c r="E47" s="163">
        <v>4</v>
      </c>
      <c r="F47" s="164">
        <v>6</v>
      </c>
      <c r="G47" s="165">
        <v>252</v>
      </c>
      <c r="H47" s="166">
        <f t="shared" si="3"/>
        <v>3952</v>
      </c>
      <c r="I47" s="370">
        <f t="shared" si="4"/>
        <v>31.023199999999996</v>
      </c>
      <c r="J47" s="371">
        <f t="shared" si="5"/>
        <v>112619157.33333325</v>
      </c>
      <c r="K47" s="371">
        <f t="shared" si="6"/>
        <v>8002069.333333333</v>
      </c>
      <c r="L47" s="372">
        <f t="shared" si="0"/>
        <v>168.80980521694198</v>
      </c>
      <c r="M47" s="373">
        <f t="shared" si="1"/>
        <v>44.997945672106539</v>
      </c>
      <c r="N47" s="374">
        <v>0</v>
      </c>
      <c r="O47" s="375">
        <v>0</v>
      </c>
      <c r="P47" s="376">
        <f t="shared" si="7"/>
        <v>174.70422276548368</v>
      </c>
      <c r="Q47" s="377">
        <f t="shared" si="8"/>
        <v>310472000000</v>
      </c>
      <c r="R47" s="377">
        <f t="shared" si="9"/>
        <v>37205.333333333336</v>
      </c>
      <c r="S47" s="378">
        <f t="shared" si="10"/>
        <v>1</v>
      </c>
      <c r="T47" s="379">
        <v>12000</v>
      </c>
      <c r="U47" s="177">
        <v>1500</v>
      </c>
      <c r="V47" s="178">
        <v>1500</v>
      </c>
      <c r="W47" s="179">
        <f t="shared" si="2"/>
        <v>71.08591817032476</v>
      </c>
      <c r="X47" s="180">
        <f t="shared" si="2"/>
        <v>33.33485512717138</v>
      </c>
      <c r="Y47" s="380"/>
      <c r="Z47" s="179"/>
      <c r="AA47" s="381"/>
      <c r="AB47" s="382"/>
      <c r="AC47" s="383"/>
      <c r="AD47" s="384"/>
      <c r="AE47" s="187"/>
      <c r="AF47" s="179"/>
      <c r="AG47" s="180"/>
      <c r="AH47" s="385"/>
      <c r="AI47" s="152"/>
      <c r="AJ47" s="189"/>
      <c r="AK47" s="190"/>
      <c r="AL47" s="191"/>
      <c r="AM47" s="192"/>
      <c r="AN47" s="156"/>
      <c r="AO47" s="193"/>
      <c r="AP47" s="192"/>
      <c r="AQ47" s="194"/>
      <c r="AR47" s="195"/>
      <c r="AS47" s="193"/>
      <c r="AT47" s="193"/>
      <c r="AU47" s="192"/>
      <c r="AV47" s="156"/>
      <c r="AW47" s="193"/>
      <c r="AX47" s="192"/>
      <c r="AY47" s="194"/>
      <c r="AZ47" s="196"/>
      <c r="BA47" s="197"/>
    </row>
    <row r="48" spans="1:53" ht="39.950000000000003" customHeight="1">
      <c r="A48" s="359"/>
      <c r="B48" s="198" t="s">
        <v>176</v>
      </c>
      <c r="C48" s="162">
        <v>200</v>
      </c>
      <c r="D48" s="163">
        <v>200</v>
      </c>
      <c r="E48" s="163">
        <v>8</v>
      </c>
      <c r="F48" s="164">
        <v>13</v>
      </c>
      <c r="G48" s="165">
        <v>250</v>
      </c>
      <c r="H48" s="199">
        <f>C48*D48-(C48-F48)*(D48-E48)</f>
        <v>4096</v>
      </c>
      <c r="I48" s="167">
        <f t="shared" si="4"/>
        <v>32.153599999999997</v>
      </c>
      <c r="J48" s="200">
        <f>D48*F48^3/12+D48*F48*(O48-F48/2)^2+E48*(C48-F48)^3/12+(C48-F48)*E48*((C48-F48)/2+F48-O48)</f>
        <v>7959346.1365559902</v>
      </c>
      <c r="K48" s="200">
        <f>F48*D48^3/12+(C48-F48)*E48^3/12</f>
        <v>8674645.3333333321</v>
      </c>
      <c r="L48" s="201">
        <f t="shared" si="0"/>
        <v>44.0817393074515</v>
      </c>
      <c r="M48" s="202">
        <f t="shared" si="1"/>
        <v>46.01992322172358</v>
      </c>
      <c r="N48" s="203">
        <v>0</v>
      </c>
      <c r="O48" s="204">
        <f>((D48-E48)*F48*F48/2+(C48*E48*C48/2))/H48</f>
        <v>43.0234375</v>
      </c>
      <c r="P48" s="205">
        <f>(N48^2+O48^2+(J48+K48)/H48)^0.5</f>
        <v>76.889851398086691</v>
      </c>
      <c r="Q48" s="206">
        <f>D48^3*F48^3/144+C48^3*E48^3/36</f>
        <v>235833333.33333331</v>
      </c>
      <c r="R48" s="206">
        <f>(D48*F48^3+(C48-F48)*E48^3)/3</f>
        <v>178381.33333333334</v>
      </c>
      <c r="S48" s="207">
        <f>1-(N48^2+O48^2)/P48^2</f>
        <v>0.6869078560303985</v>
      </c>
      <c r="T48" s="208">
        <v>4000</v>
      </c>
      <c r="U48" s="209">
        <v>8000</v>
      </c>
      <c r="V48" s="210">
        <v>8000</v>
      </c>
      <c r="W48" s="211">
        <f t="shared" si="2"/>
        <v>90.740521196355047</v>
      </c>
      <c r="X48" s="212">
        <f t="shared" si="2"/>
        <v>173.83775199832627</v>
      </c>
      <c r="Y48" s="213"/>
      <c r="Z48" s="211"/>
      <c r="AA48" s="212"/>
      <c r="AB48" s="214"/>
      <c r="AC48" s="167"/>
      <c r="AD48" s="215">
        <f>MIN(Y48,Z48,AC48)</f>
        <v>0</v>
      </c>
      <c r="AE48" s="216"/>
      <c r="AF48" s="211"/>
      <c r="AG48" s="212"/>
      <c r="AH48" s="217"/>
      <c r="AI48" s="152"/>
      <c r="AJ48" s="189"/>
      <c r="AK48" s="190"/>
      <c r="AL48" s="191"/>
      <c r="AM48" s="192">
        <v>0.22</v>
      </c>
      <c r="AN48" s="156">
        <v>1.49</v>
      </c>
      <c r="AO48" s="193"/>
      <c r="AP48" s="192"/>
      <c r="AQ48" s="194"/>
      <c r="AR48" s="195"/>
      <c r="AS48" s="193"/>
      <c r="AT48" s="193"/>
      <c r="AU48" s="192">
        <v>0.18</v>
      </c>
      <c r="AV48" s="156">
        <v>1.31</v>
      </c>
      <c r="AW48" s="193"/>
      <c r="AX48" s="192"/>
      <c r="AY48" s="194"/>
      <c r="AZ48" s="196"/>
      <c r="BA48" s="197"/>
    </row>
    <row r="49" spans="1:53" ht="39.950000000000003" customHeight="1">
      <c r="A49" s="359"/>
      <c r="B49" s="198" t="s">
        <v>176</v>
      </c>
      <c r="C49" s="162">
        <v>200</v>
      </c>
      <c r="D49" s="163">
        <v>200</v>
      </c>
      <c r="E49" s="163">
        <v>8</v>
      </c>
      <c r="F49" s="164">
        <v>13</v>
      </c>
      <c r="G49" s="165">
        <v>250</v>
      </c>
      <c r="H49" s="199">
        <f>C49*D49-(C49-F49)*(D49-E49)</f>
        <v>4096</v>
      </c>
      <c r="I49" s="167">
        <f t="shared" si="4"/>
        <v>32.153599999999997</v>
      </c>
      <c r="J49" s="200">
        <f>D49*F49^3/12+D49*F49*(O49-F49/2)^2+E49*(C49-F49)^3/12+(C49-F49)*E49*((C49-F49)/2+F49-O49)</f>
        <v>7959346.1365559902</v>
      </c>
      <c r="K49" s="200">
        <f>F49*D49^3/12+(C49-F49)*E49^3/12</f>
        <v>8674645.3333333321</v>
      </c>
      <c r="L49" s="201">
        <f t="shared" si="0"/>
        <v>44.0817393074515</v>
      </c>
      <c r="M49" s="202">
        <f t="shared" si="1"/>
        <v>46.01992322172358</v>
      </c>
      <c r="N49" s="203">
        <v>0</v>
      </c>
      <c r="O49" s="204">
        <f>((D49-E49)*F49*F49/2+(C49*E49*C49/2))/H49</f>
        <v>43.0234375</v>
      </c>
      <c r="P49" s="205">
        <f>(N49^2+O49^2+(J49+K49)/H49)^0.5</f>
        <v>76.889851398086691</v>
      </c>
      <c r="Q49" s="206">
        <f>D49^3*F49^3/144+C49^3*E49^3/36</f>
        <v>235833333.33333331</v>
      </c>
      <c r="R49" s="206">
        <f>(D49*F49^3+(C49-F49)*E49^3)/3</f>
        <v>178381.33333333334</v>
      </c>
      <c r="S49" s="207">
        <f>1-(N49^2+O49^2)/P49^2</f>
        <v>0.6869078560303985</v>
      </c>
      <c r="T49" s="208">
        <v>8000</v>
      </c>
      <c r="U49" s="209">
        <v>4000</v>
      </c>
      <c r="V49" s="210">
        <v>8000</v>
      </c>
      <c r="W49" s="211">
        <f t="shared" si="2"/>
        <v>181.48104239271009</v>
      </c>
      <c r="X49" s="212">
        <f t="shared" si="2"/>
        <v>86.918875999163134</v>
      </c>
      <c r="Y49" s="213"/>
      <c r="Z49" s="211"/>
      <c r="AA49" s="212"/>
      <c r="AB49" s="214"/>
      <c r="AC49" s="167"/>
      <c r="AD49" s="215">
        <f>MIN(Y49,Z49,AC49)</f>
        <v>0</v>
      </c>
      <c r="AE49" s="216"/>
      <c r="AF49" s="211"/>
      <c r="AG49" s="212"/>
      <c r="AH49" s="217"/>
      <c r="AI49" s="152"/>
      <c r="AJ49" s="189"/>
      <c r="AK49" s="190"/>
      <c r="AL49" s="191"/>
      <c r="AM49" s="192">
        <v>0.22</v>
      </c>
      <c r="AN49" s="156">
        <v>1.49</v>
      </c>
      <c r="AO49" s="193"/>
      <c r="AP49" s="192"/>
      <c r="AQ49" s="194"/>
      <c r="AR49" s="195"/>
      <c r="AS49" s="193"/>
      <c r="AT49" s="193"/>
      <c r="AU49" s="192">
        <v>0.18</v>
      </c>
      <c r="AV49" s="156">
        <v>1.31</v>
      </c>
      <c r="AW49" s="193"/>
      <c r="AX49" s="192"/>
      <c r="AY49" s="194"/>
      <c r="AZ49" s="196"/>
      <c r="BA49" s="197"/>
    </row>
    <row r="50" spans="1:53" ht="39.950000000000003" customHeight="1">
      <c r="A50" s="359"/>
    </row>
    <row r="51" spans="1:53" ht="39">
      <c r="A51" s="359" t="s">
        <v>227</v>
      </c>
      <c r="B51" s="358" t="s">
        <v>228</v>
      </c>
    </row>
    <row r="54" spans="1:53" ht="39">
      <c r="A54" s="359" t="s">
        <v>229</v>
      </c>
      <c r="B54" s="358" t="s">
        <v>230</v>
      </c>
    </row>
    <row r="66" spans="10:10">
      <c r="J66" s="347"/>
    </row>
  </sheetData>
  <mergeCells count="11">
    <mergeCell ref="Y43:AD43"/>
    <mergeCell ref="AE43:AG43"/>
    <mergeCell ref="AJ43:AQ43"/>
    <mergeCell ref="AR43:AY43"/>
    <mergeCell ref="AZ43:BA43"/>
    <mergeCell ref="B27:C27"/>
    <mergeCell ref="B43:F43"/>
    <mergeCell ref="G43:P43"/>
    <mergeCell ref="Q43:S43"/>
    <mergeCell ref="T43:V43"/>
    <mergeCell ref="W43:X43"/>
  </mergeCells>
  <phoneticPr fontId="4" type="noConversion"/>
  <pageMargins left="0.7" right="0.7" top="0.75" bottom="0.75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5"/>
  <sheetViews>
    <sheetView topLeftCell="A75" zoomScale="70" zoomScaleNormal="70" workbookViewId="0">
      <selection activeCell="R54" sqref="R54"/>
    </sheetView>
  </sheetViews>
  <sheetFormatPr defaultRowHeight="16.5"/>
  <cols>
    <col min="1" max="2" width="9" style="387"/>
    <col min="3" max="3" width="11.625" style="387" bestFit="1" customWidth="1"/>
    <col min="4" max="4" width="9" style="387"/>
    <col min="5" max="5" width="9.875" style="387" bestFit="1" customWidth="1"/>
    <col min="6" max="12" width="9" style="387"/>
    <col min="13" max="16384" width="9" style="388"/>
  </cols>
  <sheetData>
    <row r="1" spans="1:11">
      <c r="A1" s="386" t="s">
        <v>231</v>
      </c>
      <c r="B1" s="386"/>
      <c r="C1" s="386"/>
      <c r="D1" s="386"/>
      <c r="E1" s="386"/>
      <c r="F1" s="386"/>
      <c r="G1" s="386"/>
      <c r="H1" s="386"/>
      <c r="I1" s="386"/>
      <c r="J1" s="386"/>
      <c r="K1" s="386"/>
    </row>
    <row r="2" spans="1:11">
      <c r="A2" s="386" t="s">
        <v>232</v>
      </c>
      <c r="B2" s="386"/>
      <c r="C2" s="386"/>
      <c r="D2" s="386"/>
      <c r="E2" s="386"/>
      <c r="F2" s="386"/>
      <c r="G2" s="386"/>
      <c r="H2" s="386"/>
      <c r="I2" s="386"/>
      <c r="J2" s="386"/>
      <c r="K2" s="386"/>
    </row>
    <row r="36" spans="1:15">
      <c r="A36" s="386" t="s">
        <v>233</v>
      </c>
      <c r="B36" s="386"/>
      <c r="C36" s="386"/>
      <c r="D36" s="386"/>
      <c r="E36" s="386"/>
      <c r="F36" s="386"/>
      <c r="G36" s="386"/>
      <c r="H36" s="386"/>
      <c r="I36" s="386"/>
    </row>
    <row r="37" spans="1:15">
      <c r="H37" s="387" t="s">
        <v>234</v>
      </c>
    </row>
    <row r="38" spans="1:15">
      <c r="B38" s="387" t="s">
        <v>235</v>
      </c>
      <c r="C38" s="389">
        <f>12.5*C39/(2.5*C39+3*C40+4*C41+3*C42)</f>
        <v>1.8765133171912833</v>
      </c>
      <c r="H38" s="387" t="s">
        <v>236</v>
      </c>
      <c r="M38" s="390" t="s">
        <v>237</v>
      </c>
      <c r="N38" s="391"/>
      <c r="O38" s="392" t="s">
        <v>238</v>
      </c>
    </row>
    <row r="39" spans="1:15">
      <c r="B39" s="387" t="s">
        <v>239</v>
      </c>
      <c r="C39" s="389">
        <f>E39*1000000</f>
        <v>3100000000</v>
      </c>
      <c r="D39" s="387" t="s">
        <v>240</v>
      </c>
      <c r="E39" s="393">
        <v>3100</v>
      </c>
      <c r="F39" s="387" t="s">
        <v>241</v>
      </c>
      <c r="H39" s="387" t="s">
        <v>242</v>
      </c>
      <c r="M39" s="394" t="s">
        <v>243</v>
      </c>
      <c r="N39" s="394"/>
      <c r="O39" s="392">
        <v>1.5</v>
      </c>
    </row>
    <row r="40" spans="1:15">
      <c r="B40" s="387" t="s">
        <v>244</v>
      </c>
      <c r="C40" s="389">
        <f t="shared" ref="C40:C42" si="0">E40*1000000</f>
        <v>2000000000</v>
      </c>
      <c r="D40" s="387" t="s">
        <v>245</v>
      </c>
      <c r="E40" s="393">
        <v>2000</v>
      </c>
      <c r="H40" s="387" t="s">
        <v>246</v>
      </c>
      <c r="M40" s="395" t="s">
        <v>247</v>
      </c>
      <c r="N40" s="395"/>
      <c r="O40" s="392">
        <v>2.2999999999999998</v>
      </c>
    </row>
    <row r="41" spans="1:15">
      <c r="B41" s="387" t="s">
        <v>248</v>
      </c>
      <c r="C41" s="389">
        <f t="shared" si="0"/>
        <v>1500000000</v>
      </c>
      <c r="D41" s="387" t="s">
        <v>245</v>
      </c>
      <c r="E41" s="393">
        <v>1500</v>
      </c>
      <c r="H41" s="387" t="s">
        <v>249</v>
      </c>
      <c r="M41" s="394" t="s">
        <v>250</v>
      </c>
      <c r="N41" s="394"/>
      <c r="O41" s="391">
        <v>1</v>
      </c>
    </row>
    <row r="42" spans="1:15" ht="17.25" thickBot="1">
      <c r="B42" s="387" t="s">
        <v>251</v>
      </c>
      <c r="C42" s="396">
        <f t="shared" si="0"/>
        <v>300000000</v>
      </c>
      <c r="D42" s="387" t="s">
        <v>245</v>
      </c>
      <c r="E42" s="393">
        <v>300</v>
      </c>
      <c r="H42" s="387" t="s">
        <v>252</v>
      </c>
      <c r="M42" s="397" t="s">
        <v>253</v>
      </c>
      <c r="N42" s="397"/>
      <c r="O42" s="392">
        <v>2.2999999999999998</v>
      </c>
    </row>
    <row r="43" spans="1:15">
      <c r="A43" s="398"/>
      <c r="B43" s="399"/>
      <c r="C43" s="399"/>
      <c r="D43" s="399"/>
      <c r="E43" s="399"/>
      <c r="F43" s="399"/>
      <c r="G43" s="399"/>
      <c r="H43" s="399"/>
      <c r="I43" s="399"/>
      <c r="J43" s="399"/>
      <c r="K43" s="400"/>
    </row>
    <row r="44" spans="1:15">
      <c r="A44" s="401"/>
      <c r="B44" s="402"/>
      <c r="C44" s="402"/>
      <c r="D44" s="402"/>
      <c r="E44" s="402"/>
      <c r="F44" s="402"/>
      <c r="G44" s="402"/>
      <c r="H44" s="402"/>
      <c r="I44" s="402"/>
      <c r="J44" s="402"/>
      <c r="K44" s="403"/>
    </row>
    <row r="45" spans="1:15">
      <c r="A45" s="401"/>
      <c r="B45" s="402"/>
      <c r="C45" s="402"/>
      <c r="D45" s="402"/>
      <c r="E45" s="402"/>
      <c r="F45" s="402"/>
      <c r="G45" s="402"/>
      <c r="H45" s="402"/>
      <c r="I45" s="402"/>
      <c r="J45" s="402"/>
      <c r="K45" s="403"/>
    </row>
    <row r="46" spans="1:15">
      <c r="A46" s="401"/>
      <c r="B46" s="402"/>
      <c r="C46" s="402"/>
      <c r="D46" s="402"/>
      <c r="E46" s="402"/>
      <c r="F46" s="402"/>
      <c r="G46" s="402"/>
      <c r="H46" s="402"/>
      <c r="I46" s="402"/>
      <c r="J46" s="402"/>
      <c r="K46" s="403"/>
    </row>
    <row r="47" spans="1:15" ht="17.25" thickBot="1">
      <c r="A47" s="404"/>
      <c r="B47" s="405"/>
      <c r="C47" s="405"/>
      <c r="D47" s="405"/>
      <c r="E47" s="405"/>
      <c r="F47" s="405"/>
      <c r="G47" s="405"/>
      <c r="H47" s="405"/>
      <c r="I47" s="405"/>
      <c r="J47" s="405"/>
      <c r="K47" s="406"/>
    </row>
    <row r="48" spans="1:15">
      <c r="D48" s="407"/>
    </row>
    <row r="49" spans="2:4">
      <c r="B49" s="408" t="s">
        <v>254</v>
      </c>
      <c r="D49" s="407"/>
    </row>
    <row r="50" spans="2:4">
      <c r="B50" s="408"/>
      <c r="D50" s="407"/>
    </row>
    <row r="51" spans="2:4">
      <c r="B51" s="387" t="s">
        <v>255</v>
      </c>
    </row>
    <row r="55" spans="2:4">
      <c r="B55" s="387" t="s">
        <v>256</v>
      </c>
    </row>
    <row r="57" spans="2:4">
      <c r="B57" s="387" t="s">
        <v>257</v>
      </c>
    </row>
    <row r="101" spans="1:11">
      <c r="B101" s="408" t="s">
        <v>258</v>
      </c>
    </row>
    <row r="102" spans="1:11">
      <c r="B102" s="408" t="s">
        <v>259</v>
      </c>
    </row>
    <row r="109" spans="1:11" ht="99.95" customHeight="1">
      <c r="B109" s="389"/>
      <c r="C109" s="409"/>
      <c r="D109" s="409"/>
      <c r="E109" s="409" t="s">
        <v>260</v>
      </c>
      <c r="F109" s="409"/>
      <c r="G109" s="409"/>
      <c r="H109" s="409" t="s">
        <v>261</v>
      </c>
      <c r="I109" s="409"/>
      <c r="J109" s="409"/>
      <c r="K109" s="409"/>
    </row>
    <row r="110" spans="1:11" ht="99.95" customHeight="1">
      <c r="B110" s="410" t="s">
        <v>262</v>
      </c>
      <c r="C110" s="411" t="s">
        <v>263</v>
      </c>
      <c r="D110" s="411"/>
      <c r="E110" s="409" t="s">
        <v>264</v>
      </c>
      <c r="F110" s="409"/>
      <c r="G110" s="409"/>
      <c r="H110" s="409" t="s">
        <v>265</v>
      </c>
      <c r="I110" s="409"/>
      <c r="J110" s="409"/>
      <c r="K110" s="409"/>
    </row>
    <row r="111" spans="1:11" ht="99.95" customHeight="1">
      <c r="A111" s="387" t="s">
        <v>262</v>
      </c>
      <c r="B111" s="410" t="s">
        <v>266</v>
      </c>
      <c r="C111" s="411" t="s">
        <v>267</v>
      </c>
      <c r="D111" s="411"/>
      <c r="E111" s="409" t="s">
        <v>268</v>
      </c>
      <c r="F111" s="409"/>
      <c r="G111" s="409"/>
      <c r="H111" s="409" t="s">
        <v>265</v>
      </c>
      <c r="I111" s="409"/>
      <c r="J111" s="409"/>
      <c r="K111" s="409"/>
    </row>
    <row r="112" spans="1:11" ht="99.95" customHeight="1">
      <c r="B112" s="410" t="s">
        <v>269</v>
      </c>
      <c r="C112" s="411" t="s">
        <v>270</v>
      </c>
      <c r="D112" s="411"/>
      <c r="E112" s="409" t="s">
        <v>271</v>
      </c>
      <c r="F112" s="409"/>
      <c r="G112" s="409"/>
      <c r="H112" s="409" t="s">
        <v>265</v>
      </c>
      <c r="I112" s="409"/>
      <c r="J112" s="409"/>
      <c r="K112" s="409"/>
    </row>
    <row r="113" spans="2:11" ht="99.95" customHeight="1">
      <c r="B113" s="410" t="s">
        <v>272</v>
      </c>
      <c r="C113" s="411" t="s">
        <v>273</v>
      </c>
      <c r="D113" s="411"/>
      <c r="E113" s="409" t="s">
        <v>271</v>
      </c>
      <c r="F113" s="409"/>
      <c r="G113" s="409"/>
      <c r="H113" s="409" t="s">
        <v>265</v>
      </c>
      <c r="I113" s="409"/>
      <c r="J113" s="409"/>
      <c r="K113" s="409"/>
    </row>
    <row r="115" spans="2:11">
      <c r="G115" s="387" t="s">
        <v>274</v>
      </c>
    </row>
  </sheetData>
  <mergeCells count="18">
    <mergeCell ref="C112:D112"/>
    <mergeCell ref="E112:G112"/>
    <mergeCell ref="H112:K112"/>
    <mergeCell ref="C113:D113"/>
    <mergeCell ref="E113:G113"/>
    <mergeCell ref="H113:K113"/>
    <mergeCell ref="C110:D110"/>
    <mergeCell ref="E110:G110"/>
    <mergeCell ref="H110:K110"/>
    <mergeCell ref="C111:D111"/>
    <mergeCell ref="E111:G111"/>
    <mergeCell ref="H111:K111"/>
    <mergeCell ref="A1:K1"/>
    <mergeCell ref="A2:K2"/>
    <mergeCell ref="A36:I36"/>
    <mergeCell ref="C109:D109"/>
    <mergeCell ref="E109:G109"/>
    <mergeCell ref="H109:K109"/>
  </mergeCells>
  <phoneticPr fontId="4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Chapter B</vt:lpstr>
      <vt:lpstr>Chapter E1</vt:lpstr>
      <vt:lpstr>Chapter E2</vt:lpstr>
      <vt:lpstr>H.W</vt:lpstr>
      <vt:lpstr>Chapter 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HEC</dc:creator>
  <cp:lastModifiedBy>HEC</cp:lastModifiedBy>
  <dcterms:created xsi:type="dcterms:W3CDTF">2022-02-25T08:06:39Z</dcterms:created>
  <dcterms:modified xsi:type="dcterms:W3CDTF">2022-02-25T08:06:43Z</dcterms:modified>
</cp:coreProperties>
</file>