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C:\Projects\Computational-Finance\Workbooks\"/>
    </mc:Choice>
  </mc:AlternateContent>
  <bookViews>
    <workbookView xWindow="0" yWindow="0" windowWidth="25035" windowHeight="11715" activeTab="3"/>
  </bookViews>
  <sheets>
    <sheet name="IR, CF, BM" sheetId="1" r:id="rId1"/>
    <sheet name="Volatility" sheetId="2" r:id="rId2"/>
    <sheet name="Correlation" sheetId="4" r:id="rId3"/>
    <sheet name="Fundamentals" sheetId="5" r:id="rId4"/>
  </sheets>
  <definedNames>
    <definedName name="BSE_Close">Correlation!$F$2:$F$31</definedName>
    <definedName name="N">Correlation!$K$9</definedName>
    <definedName name="SPX_Close">Correlation!$F$34:$F$63</definedName>
    <definedName name="xBar">Correlation!$K$10</definedName>
    <definedName name="xSigma">Correlation!$K$13</definedName>
    <definedName name="yBar">Correlation!$K$11</definedName>
    <definedName name="ySigma">Correlation!$K$14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33" i="4" l="1"/>
  <c r="V33" i="4"/>
  <c r="W33" i="4"/>
  <c r="X33" i="4"/>
  <c r="U34" i="4"/>
  <c r="V34" i="4"/>
  <c r="W34" i="4"/>
  <c r="X34" i="4"/>
  <c r="U35" i="4"/>
  <c r="V35" i="4"/>
  <c r="W35" i="4"/>
  <c r="X35" i="4"/>
  <c r="U36" i="4"/>
  <c r="V36" i="4"/>
  <c r="W36" i="4"/>
  <c r="X36" i="4"/>
  <c r="U37" i="4"/>
  <c r="V37" i="4"/>
  <c r="W37" i="4"/>
  <c r="X37" i="4"/>
  <c r="U38" i="4"/>
  <c r="V38" i="4"/>
  <c r="W38" i="4"/>
  <c r="X38" i="4"/>
  <c r="U39" i="4"/>
  <c r="V39" i="4"/>
  <c r="W39" i="4"/>
  <c r="X39" i="4"/>
  <c r="U40" i="4"/>
  <c r="V40" i="4"/>
  <c r="W40" i="4"/>
  <c r="X40" i="4"/>
  <c r="U41" i="4"/>
  <c r="V41" i="4"/>
  <c r="W41" i="4"/>
  <c r="X41" i="4"/>
  <c r="U42" i="4"/>
  <c r="V42" i="4"/>
  <c r="W42" i="4"/>
  <c r="X42" i="4"/>
  <c r="W32" i="4"/>
  <c r="X32" i="4"/>
  <c r="V32" i="4"/>
  <c r="U32" i="4"/>
  <c r="W26" i="4"/>
  <c r="U29" i="4"/>
  <c r="K11" i="4" l="1"/>
  <c r="G37" i="4" s="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2" i="4"/>
  <c r="K9" i="4"/>
  <c r="K7" i="4"/>
  <c r="W10" i="4"/>
  <c r="J27" i="4"/>
  <c r="V9" i="4"/>
  <c r="W9" i="4" s="1"/>
  <c r="S3" i="4"/>
  <c r="S4" i="4"/>
  <c r="S5" i="4"/>
  <c r="S2" i="4"/>
  <c r="R3" i="4"/>
  <c r="R4" i="4"/>
  <c r="R5" i="4"/>
  <c r="R2" i="4"/>
  <c r="P3" i="4"/>
  <c r="P4" i="4"/>
  <c r="P5" i="4"/>
  <c r="V5" i="4"/>
  <c r="V4" i="4"/>
  <c r="V1" i="4"/>
  <c r="U9" i="4" s="1"/>
  <c r="V3" i="4"/>
  <c r="V2" i="4"/>
  <c r="P2" i="4" s="1"/>
  <c r="K14" i="4"/>
  <c r="K16" i="4" s="1"/>
  <c r="K13" i="4"/>
  <c r="K10" i="4"/>
  <c r="G4" i="4" s="1"/>
  <c r="G27" i="4" l="1"/>
  <c r="G19" i="4"/>
  <c r="G11" i="4"/>
  <c r="G3" i="4"/>
  <c r="G50" i="4"/>
  <c r="I35" i="4" s="1"/>
  <c r="G26" i="4"/>
  <c r="G34" i="4"/>
  <c r="G17" i="4"/>
  <c r="G9" i="4"/>
  <c r="G63" i="4"/>
  <c r="G47" i="4"/>
  <c r="I32" i="4" s="1"/>
  <c r="G18" i="4"/>
  <c r="G48" i="4"/>
  <c r="I33" i="4" s="1"/>
  <c r="G25" i="4"/>
  <c r="G2" i="4"/>
  <c r="G24" i="4"/>
  <c r="G16" i="4"/>
  <c r="G8" i="4"/>
  <c r="G62" i="4"/>
  <c r="I47" i="4" s="1"/>
  <c r="G46" i="4"/>
  <c r="G10" i="4"/>
  <c r="G31" i="4"/>
  <c r="G23" i="4"/>
  <c r="G15" i="4"/>
  <c r="G7" i="4"/>
  <c r="G61" i="4"/>
  <c r="G39" i="4"/>
  <c r="I24" i="4" s="1"/>
  <c r="G28" i="4"/>
  <c r="G22" i="4"/>
  <c r="G6" i="4"/>
  <c r="G58" i="4"/>
  <c r="I43" i="4" s="1"/>
  <c r="G38" i="4"/>
  <c r="G30" i="4"/>
  <c r="G14" i="4"/>
  <c r="G29" i="4"/>
  <c r="G21" i="4"/>
  <c r="G13" i="4"/>
  <c r="G5" i="4"/>
  <c r="I22" i="4" s="1"/>
  <c r="G56" i="4"/>
  <c r="I41" i="4" s="1"/>
  <c r="G20" i="4"/>
  <c r="G12" i="4"/>
  <c r="G53" i="4"/>
  <c r="G35" i="4"/>
  <c r="I20" i="4" s="1"/>
  <c r="G45" i="4"/>
  <c r="G55" i="4"/>
  <c r="I40" i="4" s="1"/>
  <c r="G42" i="4"/>
  <c r="I27" i="4" s="1"/>
  <c r="G54" i="4"/>
  <c r="I39" i="4" s="1"/>
  <c r="G40" i="4"/>
  <c r="G57" i="4"/>
  <c r="G49" i="4"/>
  <c r="I34" i="4" s="1"/>
  <c r="G41" i="4"/>
  <c r="I26" i="4" s="1"/>
  <c r="G60" i="4"/>
  <c r="I45" i="4" s="1"/>
  <c r="G52" i="4"/>
  <c r="I37" i="4" s="1"/>
  <c r="G44" i="4"/>
  <c r="I29" i="4" s="1"/>
  <c r="G36" i="4"/>
  <c r="I21" i="4" s="1"/>
  <c r="G59" i="4"/>
  <c r="I44" i="4" s="1"/>
  <c r="G51" i="4"/>
  <c r="I36" i="4" s="1"/>
  <c r="G43" i="4"/>
  <c r="I28" i="4" s="1"/>
  <c r="T53" i="2"/>
  <c r="D35" i="2"/>
  <c r="P55" i="2"/>
  <c r="O53" i="2"/>
  <c r="Q53"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24" i="2"/>
  <c r="D33" i="2"/>
  <c r="H4" i="2"/>
  <c r="S5" i="2"/>
  <c r="R8" i="2"/>
  <c r="D31" i="2"/>
  <c r="G3" i="2"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2" i="2"/>
  <c r="G2" i="2"/>
  <c r="R3" i="2"/>
  <c r="K7" i="2" s="1"/>
  <c r="L7" i="2" s="1"/>
  <c r="F4" i="2"/>
  <c r="P5" i="2"/>
  <c r="M3" i="2"/>
  <c r="M4" i="2"/>
  <c r="M5" i="2"/>
  <c r="M6" i="2"/>
  <c r="M7" i="2"/>
  <c r="M8" i="2"/>
  <c r="M9" i="2"/>
  <c r="M10" i="2"/>
  <c r="M11" i="2"/>
  <c r="M2" i="2"/>
  <c r="B4" i="2"/>
  <c r="B5" i="2"/>
  <c r="B6" i="2"/>
  <c r="B7" i="2"/>
  <c r="B8" i="2"/>
  <c r="B9" i="2"/>
  <c r="B10" i="2"/>
  <c r="B11" i="2"/>
  <c r="B12" i="2"/>
  <c r="B13" i="2"/>
  <c r="B14" i="2"/>
  <c r="B15" i="2"/>
  <c r="B16" i="2"/>
  <c r="B17" i="2"/>
  <c r="B18" i="2"/>
  <c r="B19" i="2"/>
  <c r="B20" i="2"/>
  <c r="B21" i="2"/>
  <c r="B22" i="2"/>
  <c r="B23" i="2"/>
  <c r="B24" i="2"/>
  <c r="B25" i="2"/>
  <c r="B26" i="2"/>
  <c r="B27" i="2"/>
  <c r="B28" i="2"/>
  <c r="B29" i="2"/>
  <c r="B30" i="2"/>
  <c r="B3" i="2"/>
  <c r="J4" i="2"/>
  <c r="J5" i="2"/>
  <c r="J6" i="2"/>
  <c r="J7" i="2"/>
  <c r="J8" i="2"/>
  <c r="J9" i="2"/>
  <c r="J10" i="2"/>
  <c r="J11" i="2"/>
  <c r="J3" i="2"/>
  <c r="F5" i="2"/>
  <c r="P6" i="2"/>
  <c r="P4" i="2"/>
  <c r="F3" i="2"/>
  <c r="I19" i="4" l="1"/>
  <c r="I30" i="4"/>
  <c r="I31" i="4"/>
  <c r="I38" i="4"/>
  <c r="I46" i="4"/>
  <c r="I48" i="4"/>
  <c r="I42" i="4"/>
  <c r="I25" i="4"/>
  <c r="K27" i="4" s="1"/>
  <c r="L27" i="4" s="1"/>
  <c r="N27" i="4" s="1"/>
  <c r="I23" i="4"/>
  <c r="K2" i="2"/>
  <c r="L2" i="2" s="1"/>
  <c r="K6" i="2"/>
  <c r="L6" i="2" s="1"/>
  <c r="K3" i="2"/>
  <c r="L3" i="2" s="1"/>
  <c r="K9" i="2"/>
  <c r="L9" i="2" s="1"/>
  <c r="K4" i="2"/>
  <c r="L4" i="2" s="1"/>
  <c r="K5" i="2"/>
  <c r="L5" i="2" s="1"/>
  <c r="K11" i="2"/>
  <c r="L11" i="2" s="1"/>
  <c r="K10" i="2"/>
  <c r="L10" i="2" s="1"/>
  <c r="K8" i="2"/>
  <c r="L8" i="2" s="1"/>
  <c r="C16" i="1"/>
  <c r="C17" i="1"/>
  <c r="C18" i="1"/>
  <c r="C15" i="1"/>
  <c r="G20" i="1"/>
  <c r="G16" i="1"/>
  <c r="G17" i="1"/>
  <c r="G18" i="1"/>
  <c r="G19" i="1"/>
  <c r="G15" i="1"/>
  <c r="H33" i="1"/>
  <c r="E33" i="1"/>
  <c r="B33" i="1"/>
  <c r="H32" i="1"/>
  <c r="E32" i="1"/>
  <c r="B32" i="1"/>
  <c r="F20" i="1"/>
  <c r="A17" i="1"/>
  <c r="A18" i="1" s="1"/>
  <c r="E16" i="1"/>
  <c r="E17" i="1" s="1"/>
  <c r="A16" i="1"/>
  <c r="L12" i="2" l="1"/>
  <c r="R5" i="2" s="1"/>
  <c r="G22" i="1"/>
  <c r="E18" i="1"/>
  <c r="C20" i="1"/>
  <c r="F3" i="1"/>
  <c r="E3" i="1"/>
  <c r="D3" i="1"/>
  <c r="E19" i="1" l="1"/>
  <c r="E20" i="1" l="1"/>
</calcChain>
</file>

<file path=xl/sharedStrings.xml><?xml version="1.0" encoding="utf-8"?>
<sst xmlns="http://schemas.openxmlformats.org/spreadsheetml/2006/main" count="187" uniqueCount="116">
  <si>
    <t>face</t>
  </si>
  <si>
    <t>periods</t>
  </si>
  <si>
    <t>rate</t>
  </si>
  <si>
    <t>Single</t>
  </si>
  <si>
    <t>Multiple</t>
  </si>
  <si>
    <t>Continious</t>
  </si>
  <si>
    <t>Cash Flows</t>
  </si>
  <si>
    <t>PV:</t>
  </si>
  <si>
    <t>Rate:</t>
  </si>
  <si>
    <t>Example 2</t>
  </si>
  <si>
    <t>Book Example</t>
  </si>
  <si>
    <t>Instutuion</t>
  </si>
  <si>
    <t>Principal</t>
  </si>
  <si>
    <t>Coupon</t>
  </si>
  <si>
    <t>Periods</t>
  </si>
  <si>
    <t>Example 1</t>
  </si>
  <si>
    <t>XYZ</t>
  </si>
  <si>
    <t>Rate</t>
  </si>
  <si>
    <t>FV</t>
  </si>
  <si>
    <t>XOM</t>
  </si>
  <si>
    <t>Example 3</t>
  </si>
  <si>
    <t>MSFT</t>
  </si>
  <si>
    <t>Simple Interest</t>
  </si>
  <si>
    <t>Bond Modeling</t>
  </si>
  <si>
    <t>range vol:</t>
  </si>
  <si>
    <t>std vol:</t>
  </si>
  <si>
    <t>avg daily vol:</t>
  </si>
  <si>
    <t>SPX Price</t>
  </si>
  <si>
    <t>Book Price</t>
  </si>
  <si>
    <t>Prev</t>
  </si>
  <si>
    <t>Debug Info</t>
  </si>
  <si>
    <t>Date</t>
  </si>
  <si>
    <t>Open</t>
  </si>
  <si>
    <t>High</t>
  </si>
  <si>
    <t>Low</t>
  </si>
  <si>
    <t>Close</t>
  </si>
  <si>
    <t>Ticker</t>
  </si>
  <si>
    <t>BSE500</t>
  </si>
  <si>
    <t>BSE501</t>
  </si>
  <si>
    <t>BSE502</t>
  </si>
  <si>
    <t>BSE503</t>
  </si>
  <si>
    <t>BSE504</t>
  </si>
  <si>
    <t>BSE505</t>
  </si>
  <si>
    <t>BSE506</t>
  </si>
  <si>
    <t>BSE507</t>
  </si>
  <si>
    <t>BSE508</t>
  </si>
  <si>
    <t>BSE509</t>
  </si>
  <si>
    <t>BSE510</t>
  </si>
  <si>
    <t>BSE511</t>
  </si>
  <si>
    <t>BSE512</t>
  </si>
  <si>
    <t>BSE513</t>
  </si>
  <si>
    <t>BSE514</t>
  </si>
  <si>
    <t>BSE515</t>
  </si>
  <si>
    <t>BSE516</t>
  </si>
  <si>
    <t>BSE517</t>
  </si>
  <si>
    <t>BSE518</t>
  </si>
  <si>
    <t>BSE519</t>
  </si>
  <si>
    <t>BSE520</t>
  </si>
  <si>
    <t>BSE521</t>
  </si>
  <si>
    <t>BSE522</t>
  </si>
  <si>
    <t>BSE523</t>
  </si>
  <si>
    <t>BSE524</t>
  </si>
  <si>
    <t>BSE525</t>
  </si>
  <si>
    <t>BSE526</t>
  </si>
  <si>
    <t>BSE527</t>
  </si>
  <si>
    <t>BSE528</t>
  </si>
  <si>
    <t>BSE529</t>
  </si>
  <si>
    <t>SPX</t>
  </si>
  <si>
    <t>Correlation (Excel)</t>
  </si>
  <si>
    <t>yBar</t>
  </si>
  <si>
    <t>xBar</t>
  </si>
  <si>
    <t>xSigma</t>
  </si>
  <si>
    <t>ySigma</t>
  </si>
  <si>
    <t>BSE</t>
  </si>
  <si>
    <t>x</t>
  </si>
  <si>
    <t>y</t>
  </si>
  <si>
    <t>N</t>
  </si>
  <si>
    <t>1/(n-1)</t>
  </si>
  <si>
    <t>sigma</t>
  </si>
  <si>
    <t>correlation</t>
  </si>
  <si>
    <t>validation</t>
  </si>
  <si>
    <t>Book Examples</t>
  </si>
  <si>
    <t>Metric</t>
  </si>
  <si>
    <t>Definition</t>
  </si>
  <si>
    <t>Notes</t>
  </si>
  <si>
    <t>Calc</t>
  </si>
  <si>
    <t>Price-earnings ratio</t>
  </si>
  <si>
    <t>Alias</t>
  </si>
  <si>
    <t>P/E</t>
  </si>
  <si>
    <t>Calculated as the price of the total stock of the company (price * shares outstanding), divided by the earnings as published in the last quarter release.</t>
  </si>
  <si>
    <t>Book Value</t>
  </si>
  <si>
    <t>BV</t>
  </si>
  <si>
    <t>The book value corresponds to the amount of assets currently on the company balance sheet. This is in essence an accounting measure of the value of the company, without considering market factors such as future earnings, for example.</t>
  </si>
  <si>
    <t>Price-to-book ratio</t>
  </si>
  <si>
    <t>B/P</t>
  </si>
  <si>
    <t>This ratio is determined by dividing the stock price by the assets minus liabilities.</t>
  </si>
  <si>
    <t>Stock Price / Assets - Liabilities and IntangiableAssets</t>
  </si>
  <si>
    <t>(Price * Shares Outstanding) / Earnings</t>
  </si>
  <si>
    <t>TotalAssets - IngangibleAssets</t>
  </si>
  <si>
    <t>This only includes tangible assets</t>
  </si>
  <si>
    <t>Price-earnings to growth</t>
  </si>
  <si>
    <t>PEG</t>
  </si>
  <si>
    <t>This indicator can be used to compare companies with similar P/E, but different growth rates.</t>
  </si>
  <si>
    <t>(P/E) / EPS Annual Growth</t>
  </si>
  <si>
    <t>Earnings Before Interest, taxes, depreciation, and amortization</t>
  </si>
  <si>
    <t>EBITDA</t>
  </si>
  <si>
    <t>This is a measure that can be used to determine how a company is making a profit, and it is based on accounting information provided by the company in every earnings release. The value simply represents how much profit the company made befre items such as taxes and related expenses were paid.</t>
  </si>
  <si>
    <t>Operating Profit + Amortization Expenses + Depreciation Expenses</t>
  </si>
  <si>
    <t>Return on Equity</t>
  </si>
  <si>
    <t>ROE</t>
  </si>
  <si>
    <t>This ratio is used to determine the percentage of net income generated based on shareholder's equity. Investors are usually interested in companies able to generate higher income on thes ame amount of equity.</t>
  </si>
  <si>
    <t>NetIncome / ShareholdersEquity</t>
  </si>
  <si>
    <t>Forward P/E</t>
  </si>
  <si>
    <t>F/PE</t>
  </si>
  <si>
    <t>This number is similar to the P/E ratio, but instead of being calculated based on existing revenue data, it is a prediction for the next quarter made by analysts. When compared to P/E, this number can be used to determien if analyst expect the revenue to increase , decrease, or say at the same levels.</t>
  </si>
  <si>
    <t>(Price * Shares Outstanding) / Future Estimated Earnings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</si>
</sst>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8" formatCode="&quot;$&quot;#,##0.00_);[Red]\(&quot;$&quot;#,##0.00\)"/>
    <numFmt numFmtId="164" formatCode="&quot;$&quot;#,##0.0000_);[Red]\(&quot;$&quot;#,##0.0000\)"/>
    <numFmt numFmtId="165" formatCode="0.0000%"/>
    <numFmt numFmtId="166" formatCode="#,##0.000"/>
    <numFmt numFmtId="167" formatCode="#,##0.00000"/>
    <numFmt numFmtId="168" formatCode="#,##0.0"/>
    <numFmt numFmtId="169" formatCode="0.000"/>
    <numFmt numFmtId="170" formatCode="#,##0.00000000000"/>
    <numFmt numFmtId="171" formatCode="#,##0.000000000000000000000000"/>
    <numFmt numFmtId="172" formatCode="0.00000"/>
    <numFmt numFmtId="173" formatCode="#,##0.0000"/>
    <numFmt numFmtId="174" formatCode="#,##0.000000"/>
  </numFmts>
  <fonts count="14" x14ac:knownFonts="1">
    <font>
      <sz val="11"/>
      <color theme="1"/>
      <name val="Calibri"/>
      <family val="2"/>
      <scheme val="minor"/>
    </font>
    <font>
      <b/>
      <sz val="11"/>
      <color theme="3"/>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0"/>
      <name val="Calibri"/>
      <family val="2"/>
      <scheme val="minor"/>
    </font>
    <font>
      <b/>
      <sz val="10"/>
      <color rgb="FF000000"/>
      <name val="Calibri"/>
      <family val="2"/>
      <charset val="1"/>
      <scheme val="minor"/>
    </font>
    <font>
      <sz val="10"/>
      <color rgb="FF000000"/>
      <name val="Calibri"/>
      <family val="2"/>
      <charset val="1"/>
      <scheme val="minor"/>
    </font>
  </fonts>
  <fills count="10">
    <fill>
      <patternFill patternType="none"/>
    </fill>
    <fill>
      <patternFill patternType="gray125"/>
    </fill>
    <fill>
      <patternFill patternType="solid">
        <fgColor rgb="FFFFCC99"/>
      </patternFill>
    </fill>
    <fill>
      <patternFill patternType="solid">
        <fgColor rgb="FFF2F2F2"/>
      </patternFill>
    </fill>
    <fill>
      <patternFill patternType="solid">
        <fgColor rgb="FFC6EFCE"/>
      </patternFill>
    </fill>
    <fill>
      <patternFill patternType="solid">
        <fgColor rgb="FFFFEB9C"/>
      </patternFill>
    </fill>
    <fill>
      <patternFill patternType="solid">
        <fgColor rgb="FFFFFFCC"/>
      </patternFill>
    </fill>
    <fill>
      <patternFill patternType="solid">
        <fgColor rgb="FFA5A5A5"/>
      </patternFill>
    </fill>
    <fill>
      <patternFill patternType="solid">
        <fgColor rgb="FFF5F5F5"/>
        <bgColor indexed="64"/>
      </patternFill>
    </fill>
    <fill>
      <patternFill patternType="solid">
        <fgColor rgb="FFFFFFFF"/>
        <bgColor indexed="64"/>
      </patternFill>
    </fill>
  </fills>
  <borders count="11">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rgb="FF7F7F7F"/>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diagonal/>
    </border>
    <border>
      <left style="double">
        <color rgb="FF3F3F3F"/>
      </left>
      <right style="double">
        <color rgb="FF3F3F3F"/>
      </right>
      <top style="double">
        <color rgb="FF3F3F3F"/>
      </top>
      <bottom style="double">
        <color rgb="FF3F3F3F"/>
      </bottom>
      <diagonal/>
    </border>
    <border>
      <left/>
      <right/>
      <top style="thin">
        <color rgb="FFD5D5D5"/>
      </top>
      <bottom/>
      <diagonal/>
    </border>
    <border>
      <left/>
      <right/>
      <top/>
      <bottom style="thin">
        <color rgb="FFD5D5D5"/>
      </bottom>
      <diagonal/>
    </border>
  </borders>
  <cellStyleXfs count="13">
    <xf numFmtId="0" fontId="0" fillId="0" borderId="0"/>
    <xf numFmtId="0" fontId="1" fillId="0" borderId="1" applyNumberFormat="0" applyFill="0" applyAlignment="0" applyProtection="0"/>
    <xf numFmtId="0" fontId="2" fillId="2" borderId="2" applyNumberFormat="0" applyAlignment="0" applyProtection="0"/>
    <xf numFmtId="0" fontId="3" fillId="3" borderId="3" applyNumberFormat="0" applyAlignment="0" applyProtection="0"/>
    <xf numFmtId="0" fontId="4" fillId="3" borderId="2"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4" applyNumberFormat="0" applyFill="0" applyAlignment="0" applyProtection="0"/>
    <xf numFmtId="0" fontId="1" fillId="0" borderId="0" applyNumberFormat="0" applyFill="0" applyBorder="0" applyAlignment="0" applyProtection="0"/>
    <xf numFmtId="0" fontId="9" fillId="4" borderId="0" applyNumberFormat="0" applyBorder="0" applyAlignment="0" applyProtection="0"/>
    <xf numFmtId="0" fontId="10" fillId="5" borderId="0" applyNumberFormat="0" applyBorder="0" applyAlignment="0" applyProtection="0"/>
    <xf numFmtId="0" fontId="8" fillId="6" borderId="6" applyNumberFormat="0" applyFont="0" applyAlignment="0" applyProtection="0"/>
    <xf numFmtId="0" fontId="11" fillId="7" borderId="8" applyNumberFormat="0" applyAlignment="0" applyProtection="0"/>
  </cellStyleXfs>
  <cellXfs count="61">
    <xf numFmtId="0" fontId="0" fillId="0" borderId="0" xfId="0"/>
    <xf numFmtId="8" fontId="4" fillId="3" borderId="2" xfId="4" applyNumberFormat="1"/>
    <xf numFmtId="0" fontId="6" fillId="0" borderId="0" xfId="6"/>
    <xf numFmtId="0" fontId="1" fillId="0" borderId="1" xfId="1"/>
    <xf numFmtId="0" fontId="2" fillId="2" borderId="2" xfId="2"/>
    <xf numFmtId="8" fontId="2" fillId="2" borderId="2" xfId="2" applyNumberFormat="1"/>
    <xf numFmtId="9" fontId="2" fillId="2" borderId="2" xfId="2" applyNumberFormat="1"/>
    <xf numFmtId="0" fontId="3" fillId="3" borderId="3" xfId="3"/>
    <xf numFmtId="0" fontId="7" fillId="0" borderId="4" xfId="7"/>
    <xf numFmtId="3" fontId="2" fillId="2" borderId="2" xfId="2" applyNumberFormat="1"/>
    <xf numFmtId="10" fontId="5" fillId="0" borderId="0" xfId="5" applyNumberFormat="1"/>
    <xf numFmtId="0" fontId="0" fillId="0" borderId="0" xfId="0" applyAlignment="1">
      <alignment horizontal="center"/>
    </xf>
    <xf numFmtId="164" fontId="3" fillId="3" borderId="3" xfId="3" applyNumberFormat="1"/>
    <xf numFmtId="0" fontId="4" fillId="3" borderId="2" xfId="4"/>
    <xf numFmtId="0" fontId="2" fillId="2" borderId="2" xfId="2" applyAlignment="1">
      <alignment horizontal="right"/>
    </xf>
    <xf numFmtId="8" fontId="2" fillId="2" borderId="2" xfId="2" applyNumberFormat="1" applyAlignment="1">
      <alignment horizontal="right"/>
    </xf>
    <xf numFmtId="4" fontId="2" fillId="2" borderId="2" xfId="2" applyNumberFormat="1" applyAlignment="1">
      <alignment horizontal="right"/>
    </xf>
    <xf numFmtId="9" fontId="4" fillId="3" borderId="2" xfId="4" applyNumberFormat="1" applyAlignment="1">
      <alignment horizontal="right"/>
    </xf>
    <xf numFmtId="8" fontId="3" fillId="3" borderId="3" xfId="3" applyNumberFormat="1" applyAlignment="1">
      <alignment horizontal="right"/>
    </xf>
    <xf numFmtId="10" fontId="4" fillId="3" borderId="2" xfId="4" applyNumberFormat="1" applyAlignment="1">
      <alignment horizontal="right"/>
    </xf>
    <xf numFmtId="165" fontId="4" fillId="3" borderId="2" xfId="4" applyNumberFormat="1" applyAlignment="1">
      <alignment horizontal="right"/>
    </xf>
    <xf numFmtId="4" fontId="0" fillId="0" borderId="0" xfId="0" applyNumberFormat="1"/>
    <xf numFmtId="166" fontId="0" fillId="0" borderId="0" xfId="0" applyNumberFormat="1"/>
    <xf numFmtId="0" fontId="1" fillId="0" borderId="0" xfId="8"/>
    <xf numFmtId="4" fontId="2" fillId="2" borderId="2" xfId="2" applyNumberFormat="1"/>
    <xf numFmtId="4" fontId="0" fillId="6" borderId="6" xfId="11" applyNumberFormat="1" applyFont="1"/>
    <xf numFmtId="4" fontId="3" fillId="3" borderId="3" xfId="3" applyNumberFormat="1"/>
    <xf numFmtId="167" fontId="3" fillId="3" borderId="3" xfId="3" applyNumberFormat="1"/>
    <xf numFmtId="0" fontId="0" fillId="6" borderId="6" xfId="11" applyFont="1"/>
    <xf numFmtId="168" fontId="3" fillId="3" borderId="3" xfId="3" applyNumberFormat="1"/>
    <xf numFmtId="0" fontId="0" fillId="6" borderId="7" xfId="11" applyFont="1" applyBorder="1"/>
    <xf numFmtId="4" fontId="0" fillId="6" borderId="7" xfId="11" applyNumberFormat="1" applyFont="1" applyBorder="1"/>
    <xf numFmtId="0" fontId="10" fillId="5" borderId="0" xfId="10"/>
    <xf numFmtId="167" fontId="9" fillId="4" borderId="0" xfId="9" applyNumberFormat="1"/>
    <xf numFmtId="169" fontId="10" fillId="5" borderId="0" xfId="10" applyNumberFormat="1"/>
    <xf numFmtId="170" fontId="0" fillId="0" borderId="0" xfId="0" applyNumberFormat="1"/>
    <xf numFmtId="171" fontId="0" fillId="0" borderId="0" xfId="0" applyNumberFormat="1"/>
    <xf numFmtId="0" fontId="12" fillId="8" borderId="9" xfId="0" applyFont="1" applyFill="1" applyBorder="1" applyAlignment="1">
      <alignment wrapText="1"/>
    </xf>
    <xf numFmtId="15" fontId="13" fillId="9" borderId="10" xfId="0" applyNumberFormat="1" applyFont="1" applyFill="1" applyBorder="1" applyAlignment="1">
      <alignment wrapText="1"/>
    </xf>
    <xf numFmtId="4" fontId="13" fillId="9" borderId="10" xfId="0" applyNumberFormat="1" applyFont="1" applyFill="1" applyBorder="1" applyAlignment="1">
      <alignment wrapText="1"/>
    </xf>
    <xf numFmtId="2" fontId="0" fillId="0" borderId="0" xfId="0" applyNumberFormat="1"/>
    <xf numFmtId="4" fontId="2" fillId="2" borderId="2" xfId="2" applyNumberFormat="1" applyAlignment="1">
      <alignment wrapText="1"/>
    </xf>
    <xf numFmtId="172" fontId="11" fillId="7" borderId="8" xfId="12" applyNumberFormat="1"/>
    <xf numFmtId="172" fontId="3" fillId="3" borderId="3" xfId="3" applyNumberFormat="1"/>
    <xf numFmtId="4" fontId="6" fillId="0" borderId="0" xfId="6" applyNumberFormat="1"/>
    <xf numFmtId="4" fontId="6" fillId="3" borderId="2" xfId="6" applyNumberFormat="1" applyFill="1" applyBorder="1"/>
    <xf numFmtId="0" fontId="6" fillId="0" borderId="0" xfId="6" applyFill="1" applyBorder="1"/>
    <xf numFmtId="4" fontId="10" fillId="5" borderId="0" xfId="10" applyNumberFormat="1"/>
    <xf numFmtId="173" fontId="3" fillId="3" borderId="3" xfId="3" applyNumberFormat="1"/>
    <xf numFmtId="0" fontId="0" fillId="0" borderId="0" xfId="0" applyAlignment="1">
      <alignment horizontal="right"/>
    </xf>
    <xf numFmtId="174" fontId="11" fillId="7" borderId="8" xfId="12" applyNumberFormat="1"/>
    <xf numFmtId="0" fontId="11" fillId="7" borderId="8" xfId="12"/>
    <xf numFmtId="0" fontId="1" fillId="0" borderId="1" xfId="1" applyAlignment="1">
      <alignment horizontal="center"/>
    </xf>
    <xf numFmtId="0" fontId="0" fillId="0" borderId="0" xfId="0" applyAlignment="1">
      <alignment horizontal="center"/>
    </xf>
    <xf numFmtId="0" fontId="1" fillId="0" borderId="5" xfId="8" applyBorder="1" applyAlignment="1">
      <alignment horizontal="center" wrapText="1"/>
    </xf>
    <xf numFmtId="0" fontId="4" fillId="3" borderId="2" xfId="4" applyAlignment="1">
      <alignment horizontal="center"/>
    </xf>
    <xf numFmtId="0" fontId="6" fillId="0" borderId="0" xfId="6" applyAlignment="1">
      <alignment horizontal="center"/>
    </xf>
    <xf numFmtId="0" fontId="10" fillId="5" borderId="0" xfId="1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5" fillId="0" borderId="0" xfId="5" applyAlignment="1">
      <alignment horizontal="center" vertical="center" wrapText="1"/>
    </xf>
  </cellXfs>
  <cellStyles count="13">
    <cellStyle name="Calculation" xfId="4" builtinId="22"/>
    <cellStyle name="Check Cell" xfId="12" builtinId="23"/>
    <cellStyle name="Explanatory Text" xfId="6" builtinId="53"/>
    <cellStyle name="Good" xfId="9" builtinId="26"/>
    <cellStyle name="Heading 3" xfId="1" builtinId="18"/>
    <cellStyle name="Heading 4" xfId="8" builtinId="19"/>
    <cellStyle name="Input" xfId="2" builtinId="20"/>
    <cellStyle name="Neutral" xfId="10" builtinId="28"/>
    <cellStyle name="Normal" xfId="0" builtinId="0"/>
    <cellStyle name="Note" xfId="11" builtinId="10"/>
    <cellStyle name="Output" xfId="3" builtinId="21"/>
    <cellStyle name="Total" xfId="7" builtinId="25"/>
    <cellStyle name="Warning Text" xfId="5" builtinId="11"/>
  </cellStyles>
  <dxfs count="7">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191832921195098E-2"/>
          <c:y val="2.4456500172899551E-2"/>
          <c:w val="0.89586763782044365"/>
          <c:h val="0.90420653300690357"/>
        </c:manualLayout>
      </c:layout>
      <c:lineChart>
        <c:grouping val="standard"/>
        <c:varyColors val="0"/>
        <c:ser>
          <c:idx val="0"/>
          <c:order val="0"/>
          <c:tx>
            <c:v>BSE</c:v>
          </c:tx>
          <c:spPr>
            <a:ln w="28575" cap="rnd">
              <a:solidFill>
                <a:schemeClr val="accent1"/>
              </a:solidFill>
              <a:round/>
            </a:ln>
            <a:effectLst/>
          </c:spPr>
          <c:marker>
            <c:symbol val="none"/>
          </c:marker>
          <c:cat>
            <c:strLit>
              <c:ptCount val="2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Correlation!$F$2:$F$31</c15:sqref>
                  </c15:fullRef>
                </c:ext>
              </c:extLst>
              <c:f>Correlation!$F$3:$F$31</c:f>
              <c:numCache>
                <c:formatCode>#,##0.00</c:formatCode>
                <c:ptCount val="29"/>
                <c:pt idx="0">
                  <c:v>13221.57</c:v>
                </c:pt>
                <c:pt idx="1">
                  <c:v>13199.15</c:v>
                </c:pt>
                <c:pt idx="2">
                  <c:v>13158.31</c:v>
                </c:pt>
                <c:pt idx="3">
                  <c:v>13112.1</c:v>
                </c:pt>
                <c:pt idx="4">
                  <c:v>13164.84</c:v>
                </c:pt>
                <c:pt idx="5">
                  <c:v>13007.44</c:v>
                </c:pt>
                <c:pt idx="6">
                  <c:v>12810.75</c:v>
                </c:pt>
                <c:pt idx="7">
                  <c:v>12893.54</c:v>
                </c:pt>
                <c:pt idx="8">
                  <c:v>13016.74</c:v>
                </c:pt>
                <c:pt idx="9">
                  <c:v>13051.03</c:v>
                </c:pt>
                <c:pt idx="10">
                  <c:v>13085.67</c:v>
                </c:pt>
                <c:pt idx="11">
                  <c:v>13270.3</c:v>
                </c:pt>
                <c:pt idx="12">
                  <c:v>13273.3</c:v>
                </c:pt>
                <c:pt idx="13">
                  <c:v>13195.46</c:v>
                </c:pt>
                <c:pt idx="14">
                  <c:v>13112.98</c:v>
                </c:pt>
                <c:pt idx="15">
                  <c:v>13167.6</c:v>
                </c:pt>
                <c:pt idx="16">
                  <c:v>13151.07</c:v>
                </c:pt>
                <c:pt idx="17">
                  <c:v>13027.62</c:v>
                </c:pt>
                <c:pt idx="18">
                  <c:v>13001.19</c:v>
                </c:pt>
                <c:pt idx="19">
                  <c:v>12945.57</c:v>
                </c:pt>
                <c:pt idx="20">
                  <c:v>13062.14</c:v>
                </c:pt>
                <c:pt idx="21">
                  <c:v>12997.91</c:v>
                </c:pt>
                <c:pt idx="22">
                  <c:v>13006.66</c:v>
                </c:pt>
                <c:pt idx="23">
                  <c:v>12979.24</c:v>
                </c:pt>
                <c:pt idx="24">
                  <c:v>12993.79</c:v>
                </c:pt>
                <c:pt idx="25">
                  <c:v>13005.91</c:v>
                </c:pt>
                <c:pt idx="26">
                  <c:v>12982.49</c:v>
                </c:pt>
                <c:pt idx="27">
                  <c:v>12854.14</c:v>
                </c:pt>
                <c:pt idx="28">
                  <c:v>12729.13</c:v>
                </c:pt>
              </c:numCache>
            </c:numRef>
          </c:val>
          <c:smooth val="0"/>
          <c:extLst>
            <c:ext xmlns:c16="http://schemas.microsoft.com/office/drawing/2014/chart" uri="{C3380CC4-5D6E-409C-BE32-E72D297353CC}">
              <c16:uniqueId val="{00000000-64AB-4708-AD86-1E2F1A3ABE9B}"/>
            </c:ext>
          </c:extLst>
        </c:ser>
        <c:ser>
          <c:idx val="1"/>
          <c:order val="1"/>
          <c:tx>
            <c:v>SPX</c:v>
          </c:tx>
          <c:spPr>
            <a:ln w="28575" cap="rnd">
              <a:solidFill>
                <a:schemeClr val="accent2"/>
              </a:solidFill>
              <a:round/>
            </a:ln>
            <a:effectLst/>
          </c:spPr>
          <c:marker>
            <c:symbol val="none"/>
          </c:marker>
          <c:cat>
            <c:strLit>
              <c:ptCount val="29"/>
              <c:pt idx="0">
                <c:v>2.00</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pt idx="19">
                <c:v>21.00</c:v>
              </c:pt>
              <c:pt idx="20">
                <c:v>22.00</c:v>
              </c:pt>
              <c:pt idx="21">
                <c:v>23.00</c:v>
              </c:pt>
              <c:pt idx="22">
                <c:v>24.00</c:v>
              </c:pt>
              <c:pt idx="23">
                <c:v>25.00</c:v>
              </c:pt>
              <c:pt idx="24">
                <c:v>26.00</c:v>
              </c:pt>
              <c:pt idx="25">
                <c:v>27.00</c:v>
              </c:pt>
              <c:pt idx="26">
                <c:v>28.00</c:v>
              </c:pt>
              <c:pt idx="27">
                <c:v>29.00</c:v>
              </c:pt>
              <c:pt idx="28">
                <c:v>30.00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Correlation!$F$34:$F$63</c15:sqref>
                  </c15:fullRef>
                </c:ext>
              </c:extLst>
              <c:f>Correlation!$F$35:$F$63</c:f>
              <c:numCache>
                <c:formatCode>#,##0.00</c:formatCode>
                <c:ptCount val="29"/>
                <c:pt idx="0">
                  <c:v>2430.06</c:v>
                </c:pt>
                <c:pt idx="1">
                  <c:v>2411.8000000000002</c:v>
                </c:pt>
                <c:pt idx="2">
                  <c:v>2412.91</c:v>
                </c:pt>
                <c:pt idx="3">
                  <c:v>2415.8200000000002</c:v>
                </c:pt>
                <c:pt idx="4">
                  <c:v>2415.0700000000002</c:v>
                </c:pt>
                <c:pt idx="5">
                  <c:v>2404.39</c:v>
                </c:pt>
                <c:pt idx="6">
                  <c:v>2398.42</c:v>
                </c:pt>
                <c:pt idx="7">
                  <c:v>2394.02</c:v>
                </c:pt>
                <c:pt idx="8">
                  <c:v>2381.73</c:v>
                </c:pt>
                <c:pt idx="9">
                  <c:v>2365.7199999999998</c:v>
                </c:pt>
                <c:pt idx="10">
                  <c:v>2357.0300000000002</c:v>
                </c:pt>
                <c:pt idx="11">
                  <c:v>2400.67</c:v>
                </c:pt>
                <c:pt idx="12">
                  <c:v>2402.3200000000002</c:v>
                </c:pt>
                <c:pt idx="13">
                  <c:v>2390.9</c:v>
                </c:pt>
                <c:pt idx="14">
                  <c:v>2394.44</c:v>
                </c:pt>
                <c:pt idx="15">
                  <c:v>2399.63</c:v>
                </c:pt>
                <c:pt idx="16">
                  <c:v>2396.92</c:v>
                </c:pt>
                <c:pt idx="17">
                  <c:v>2399.38</c:v>
                </c:pt>
                <c:pt idx="18">
                  <c:v>2399.29</c:v>
                </c:pt>
                <c:pt idx="19">
                  <c:v>2389.52</c:v>
                </c:pt>
                <c:pt idx="20">
                  <c:v>2388.13</c:v>
                </c:pt>
                <c:pt idx="21">
                  <c:v>2391.17</c:v>
                </c:pt>
                <c:pt idx="22">
                  <c:v>2388.33</c:v>
                </c:pt>
                <c:pt idx="23">
                  <c:v>2384.1999999999998</c:v>
                </c:pt>
                <c:pt idx="24">
                  <c:v>2388.77</c:v>
                </c:pt>
                <c:pt idx="25">
                  <c:v>2387.4499999999998</c:v>
                </c:pt>
                <c:pt idx="26">
                  <c:v>2388.61</c:v>
                </c:pt>
                <c:pt idx="27">
                  <c:v>2374.15</c:v>
                </c:pt>
                <c:pt idx="28">
                  <c:v>2348.69</c:v>
                </c:pt>
              </c:numCache>
            </c:numRef>
          </c:val>
          <c:smooth val="0"/>
          <c:extLst>
            <c:ext xmlns:c16="http://schemas.microsoft.com/office/drawing/2014/chart" uri="{C3380CC4-5D6E-409C-BE32-E72D297353CC}">
              <c16:uniqueId val="{00000002-64AB-4708-AD86-1E2F1A3ABE9B}"/>
            </c:ext>
          </c:extLst>
        </c:ser>
        <c:dLbls>
          <c:showLegendKey val="0"/>
          <c:showVal val="0"/>
          <c:showCatName val="0"/>
          <c:showSerName val="0"/>
          <c:showPercent val="0"/>
          <c:showBubbleSize val="0"/>
        </c:dLbls>
        <c:smooth val="0"/>
        <c:axId val="658238648"/>
        <c:axId val="658238976"/>
      </c:lineChart>
      <c:catAx>
        <c:axId val="6582386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238976"/>
        <c:crosses val="autoZero"/>
        <c:auto val="1"/>
        <c:lblAlgn val="ctr"/>
        <c:lblOffset val="100"/>
        <c:noMultiLvlLbl val="0"/>
      </c:catAx>
      <c:valAx>
        <c:axId val="6582389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238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566737</xdr:colOff>
      <xdr:row>34</xdr:row>
      <xdr:rowOff>76200</xdr:rowOff>
    </xdr:from>
    <xdr:to>
      <xdr:col>19</xdr:col>
      <xdr:colOff>85725</xdr:colOff>
      <xdr:row>57</xdr:row>
      <xdr:rowOff>104775</xdr:rowOff>
    </xdr:to>
    <xdr:graphicFrame macro="">
      <xdr:nvGraphicFramePr>
        <xdr:cNvPr id="4" name="Chart 3">
          <a:extLst>
            <a:ext uri="{FF2B5EF4-FFF2-40B4-BE49-F238E27FC236}">
              <a16:creationId xmlns:a16="http://schemas.microsoft.com/office/drawing/2014/main" id="{8BDF8279-6DC4-4C72-805F-761D1600D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E1048576" totalsRowShown="0" headerRowDxfId="1" dataDxfId="0">
  <autoFilter ref="A1:E1048576"/>
  <tableColumns count="5">
    <tableColumn id="1" name="Metric" dataDxfId="6"/>
    <tableColumn id="5" name="Alias" dataDxfId="5"/>
    <tableColumn id="2" name="Definition" dataDxfId="4"/>
    <tableColumn id="3" name="Notes" dataDxfId="3"/>
    <tableColumn id="4" name="Calc" dataDxfId="2"/>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election activeCell="Q21" sqref="Q21"/>
    </sheetView>
  </sheetViews>
  <sheetFormatPr defaultRowHeight="15" x14ac:dyDescent="0.25"/>
  <cols>
    <col min="1" max="1" width="10.7109375" customWidth="1"/>
    <col min="2" max="2" width="11.85546875" bestFit="1" customWidth="1"/>
    <col min="4" max="4" width="10.85546875" bestFit="1" customWidth="1"/>
    <col min="5" max="5" width="20.85546875" bestFit="1" customWidth="1"/>
    <col min="6" max="6" width="12.7109375" customWidth="1"/>
    <col min="7" max="7" width="10.5703125" bestFit="1" customWidth="1"/>
    <col min="8" max="8" width="11.85546875" bestFit="1" customWidth="1"/>
  </cols>
  <sheetData>
    <row r="1" spans="1:7" ht="15.75" thickBot="1" x14ac:dyDescent="0.3">
      <c r="A1" s="52" t="s">
        <v>22</v>
      </c>
      <c r="B1" s="52"/>
      <c r="C1" s="52"/>
      <c r="D1" s="52"/>
      <c r="E1" s="52"/>
      <c r="F1" s="52"/>
    </row>
    <row r="2" spans="1:7" ht="15.75" thickBot="1" x14ac:dyDescent="0.3">
      <c r="A2" s="2" t="s">
        <v>0</v>
      </c>
      <c r="B2" s="5">
        <v>10000</v>
      </c>
      <c r="D2" s="8" t="s">
        <v>3</v>
      </c>
      <c r="E2" s="8" t="s">
        <v>4</v>
      </c>
      <c r="F2" s="8" t="s">
        <v>5</v>
      </c>
    </row>
    <row r="3" spans="1:7" ht="15.75" thickTop="1" x14ac:dyDescent="0.25">
      <c r="A3" s="2" t="s">
        <v>1</v>
      </c>
      <c r="B3" s="4">
        <v>4</v>
      </c>
      <c r="D3" s="1">
        <f>B2+(B2*B4)</f>
        <v>10500</v>
      </c>
      <c r="E3" s="1">
        <f>B2*(POWER(1+B4,B3))</f>
        <v>12155.0625</v>
      </c>
      <c r="F3" s="1">
        <f>B2*EXP(B4*B3)</f>
        <v>12214.027581601698</v>
      </c>
    </row>
    <row r="4" spans="1:7" x14ac:dyDescent="0.25">
      <c r="A4" s="2" t="s">
        <v>2</v>
      </c>
      <c r="B4" s="6">
        <v>0.05</v>
      </c>
    </row>
    <row r="10" spans="1:7" ht="15.75" thickBot="1" x14ac:dyDescent="0.3">
      <c r="A10" s="52" t="s">
        <v>6</v>
      </c>
      <c r="B10" s="52"/>
      <c r="C10" s="52"/>
      <c r="D10" s="52"/>
      <c r="E10" s="52"/>
      <c r="F10" s="52"/>
      <c r="G10" s="52"/>
    </row>
    <row r="11" spans="1:7" x14ac:dyDescent="0.25">
      <c r="A11" s="53" t="s">
        <v>10</v>
      </c>
      <c r="B11" s="53"/>
      <c r="C11" s="53"/>
      <c r="E11" s="53" t="s">
        <v>9</v>
      </c>
      <c r="F11" s="53"/>
      <c r="G11" s="53"/>
    </row>
    <row r="12" spans="1:7" x14ac:dyDescent="0.25">
      <c r="A12" t="s">
        <v>8</v>
      </c>
      <c r="B12" s="10">
        <v>0.05</v>
      </c>
      <c r="E12" t="s">
        <v>8</v>
      </c>
      <c r="F12" s="10">
        <v>0.08</v>
      </c>
    </row>
    <row r="14" spans="1:7" ht="15.75" thickBot="1" x14ac:dyDescent="0.3">
      <c r="A14" s="3" t="s">
        <v>6</v>
      </c>
      <c r="B14" s="3"/>
      <c r="C14" s="3"/>
      <c r="E14" s="3" t="s">
        <v>6</v>
      </c>
      <c r="F14" s="3"/>
      <c r="G14" s="3"/>
    </row>
    <row r="15" spans="1:7" x14ac:dyDescent="0.25">
      <c r="A15" s="9">
        <v>1</v>
      </c>
      <c r="B15" s="5">
        <v>200</v>
      </c>
      <c r="C15" s="1">
        <f>B15/POWER(1+B$12,A15)</f>
        <v>190.47619047619048</v>
      </c>
      <c r="E15" s="9">
        <v>1</v>
      </c>
      <c r="F15" s="5">
        <v>200</v>
      </c>
      <c r="G15" s="1">
        <f>F15/POWER(1+F$12,E15)</f>
        <v>185.18518518518516</v>
      </c>
    </row>
    <row r="16" spans="1:7" x14ac:dyDescent="0.25">
      <c r="A16" s="9">
        <f>A15+1</f>
        <v>2</v>
      </c>
      <c r="B16" s="5">
        <v>300</v>
      </c>
      <c r="C16" s="1">
        <f t="shared" ref="C16:C18" si="0">B16/POWER(1+B$12,A16)</f>
        <v>272.10884353741494</v>
      </c>
      <c r="E16" s="9">
        <f>E15+1</f>
        <v>2</v>
      </c>
      <c r="F16" s="5">
        <v>300</v>
      </c>
      <c r="G16" s="1">
        <f t="shared" ref="G16:G20" si="1">F16/POWER(1+F$12,E16)</f>
        <v>257.20164609053495</v>
      </c>
    </row>
    <row r="17" spans="1:8" x14ac:dyDescent="0.25">
      <c r="A17" s="9">
        <f t="shared" ref="A17:A18" si="2">A16+1</f>
        <v>3</v>
      </c>
      <c r="B17" s="5">
        <v>500</v>
      </c>
      <c r="C17" s="1">
        <f t="shared" si="0"/>
        <v>431.91879926573802</v>
      </c>
      <c r="E17" s="9">
        <f t="shared" ref="E17:E20" si="3">E16+1</f>
        <v>3</v>
      </c>
      <c r="F17" s="5">
        <v>500</v>
      </c>
      <c r="G17" s="1">
        <f t="shared" si="1"/>
        <v>396.9161205100848</v>
      </c>
    </row>
    <row r="18" spans="1:8" x14ac:dyDescent="0.25">
      <c r="A18" s="9">
        <f t="shared" si="2"/>
        <v>4</v>
      </c>
      <c r="B18" s="5">
        <v>-1000</v>
      </c>
      <c r="C18" s="1">
        <f t="shared" si="0"/>
        <v>-822.70247479188197</v>
      </c>
      <c r="E18" s="9">
        <f t="shared" si="3"/>
        <v>4</v>
      </c>
      <c r="F18" s="5">
        <v>1500</v>
      </c>
      <c r="G18" s="1">
        <f t="shared" si="1"/>
        <v>1102.5447791946799</v>
      </c>
    </row>
    <row r="19" spans="1:8" x14ac:dyDescent="0.25">
      <c r="E19" s="9">
        <f t="shared" si="3"/>
        <v>5</v>
      </c>
      <c r="F19" s="5">
        <v>600</v>
      </c>
      <c r="G19" s="1">
        <f t="shared" si="1"/>
        <v>408.34991822025182</v>
      </c>
    </row>
    <row r="20" spans="1:8" x14ac:dyDescent="0.25">
      <c r="B20" s="7" t="s">
        <v>7</v>
      </c>
      <c r="C20" s="12">
        <f>SUM(C15:C18)</f>
        <v>71.801358487461471</v>
      </c>
      <c r="E20" s="9">
        <f t="shared" si="3"/>
        <v>6</v>
      </c>
      <c r="F20" s="5">
        <f>SUM(F15:F19)*-1</f>
        <v>-3100</v>
      </c>
      <c r="G20" s="1">
        <f t="shared" si="1"/>
        <v>-1953.5258433376241</v>
      </c>
    </row>
    <row r="22" spans="1:8" x14ac:dyDescent="0.25">
      <c r="F22" s="7" t="s">
        <v>7</v>
      </c>
      <c r="G22" s="12">
        <f>SUM(G15:G20)</f>
        <v>396.67180586311247</v>
      </c>
    </row>
    <row r="26" spans="1:8" ht="15.75" thickBot="1" x14ac:dyDescent="0.3">
      <c r="A26" s="52" t="s">
        <v>23</v>
      </c>
      <c r="B26" s="52"/>
      <c r="C26" s="52"/>
      <c r="D26" s="52"/>
      <c r="E26" s="52"/>
      <c r="F26" s="52"/>
      <c r="G26" s="52"/>
      <c r="H26" s="52"/>
    </row>
    <row r="27" spans="1:8" x14ac:dyDescent="0.25">
      <c r="A27" s="54" t="s">
        <v>15</v>
      </c>
      <c r="B27" s="54"/>
      <c r="C27" s="11"/>
      <c r="D27" s="54" t="s">
        <v>9</v>
      </c>
      <c r="E27" s="54"/>
      <c r="G27" s="54" t="s">
        <v>20</v>
      </c>
      <c r="H27" s="54"/>
    </row>
    <row r="28" spans="1:8" x14ac:dyDescent="0.25">
      <c r="A28" s="4" t="s">
        <v>11</v>
      </c>
      <c r="B28" s="14" t="s">
        <v>16</v>
      </c>
      <c r="D28" s="4" t="s">
        <v>11</v>
      </c>
      <c r="E28" s="14" t="s">
        <v>19</v>
      </c>
      <c r="G28" s="4" t="s">
        <v>11</v>
      </c>
      <c r="H28" s="14" t="s">
        <v>21</v>
      </c>
    </row>
    <row r="29" spans="1:8" x14ac:dyDescent="0.25">
      <c r="A29" s="4" t="s">
        <v>12</v>
      </c>
      <c r="B29" s="15">
        <v>100000</v>
      </c>
      <c r="D29" s="4" t="s">
        <v>12</v>
      </c>
      <c r="E29" s="15">
        <v>200000</v>
      </c>
      <c r="G29" s="4" t="s">
        <v>12</v>
      </c>
      <c r="H29" s="15">
        <v>190000</v>
      </c>
    </row>
    <row r="30" spans="1:8" x14ac:dyDescent="0.25">
      <c r="A30" s="4" t="s">
        <v>13</v>
      </c>
      <c r="B30" s="15">
        <v>5000</v>
      </c>
      <c r="D30" s="4" t="s">
        <v>13</v>
      </c>
      <c r="E30" s="15">
        <v>7500</v>
      </c>
      <c r="G30" s="4" t="s">
        <v>13</v>
      </c>
      <c r="H30" s="15">
        <v>6589</v>
      </c>
    </row>
    <row r="31" spans="1:8" x14ac:dyDescent="0.25">
      <c r="A31" s="4" t="s">
        <v>14</v>
      </c>
      <c r="B31" s="16">
        <v>30</v>
      </c>
      <c r="D31" s="4" t="s">
        <v>14</v>
      </c>
      <c r="E31" s="16">
        <v>20</v>
      </c>
      <c r="G31" s="4" t="s">
        <v>14</v>
      </c>
      <c r="H31" s="16">
        <v>25</v>
      </c>
    </row>
    <row r="32" spans="1:8" x14ac:dyDescent="0.25">
      <c r="A32" s="13" t="s">
        <v>17</v>
      </c>
      <c r="B32" s="17">
        <f>B30/B29</f>
        <v>0.05</v>
      </c>
      <c r="D32" s="13" t="s">
        <v>17</v>
      </c>
      <c r="E32" s="19">
        <f>E30/E29</f>
        <v>3.7499999999999999E-2</v>
      </c>
      <c r="G32" s="13" t="s">
        <v>17</v>
      </c>
      <c r="H32" s="20">
        <f>H30/H29</f>
        <v>3.4678947368421052E-2</v>
      </c>
    </row>
    <row r="33" spans="1:8" x14ac:dyDescent="0.25">
      <c r="A33" s="7" t="s">
        <v>18</v>
      </c>
      <c r="B33" s="18">
        <f>B29+B30*B31</f>
        <v>250000</v>
      </c>
      <c r="D33" s="7" t="s">
        <v>18</v>
      </c>
      <c r="E33" s="18">
        <f>E29+E30*E31</f>
        <v>350000</v>
      </c>
      <c r="G33" s="7" t="s">
        <v>18</v>
      </c>
      <c r="H33" s="18">
        <f>H29+H30*H31</f>
        <v>354725</v>
      </c>
    </row>
  </sheetData>
  <mergeCells count="8">
    <mergeCell ref="A1:F1"/>
    <mergeCell ref="A11:C11"/>
    <mergeCell ref="E11:G11"/>
    <mergeCell ref="A10:G10"/>
    <mergeCell ref="A27:B27"/>
    <mergeCell ref="D27:E27"/>
    <mergeCell ref="G27:H27"/>
    <mergeCell ref="A26:H2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showGridLines="0" topLeftCell="D1" workbookViewId="0">
      <selection activeCell="I20" sqref="I20"/>
    </sheetView>
  </sheetViews>
  <sheetFormatPr defaultRowHeight="15" x14ac:dyDescent="0.25"/>
  <cols>
    <col min="2" max="3" width="9.42578125" customWidth="1"/>
    <col min="4" max="4" width="14.42578125" bestFit="1" customWidth="1"/>
    <col min="5" max="5" width="12.42578125" bestFit="1" customWidth="1"/>
    <col min="9" max="9" width="10.28515625" bestFit="1" customWidth="1"/>
    <col min="15" max="15" width="12.42578125" bestFit="1" customWidth="1"/>
    <col min="16" max="16" width="9.5703125" bestFit="1" customWidth="1"/>
    <col min="18" max="18" width="27.140625" bestFit="1" customWidth="1"/>
  </cols>
  <sheetData>
    <row r="1" spans="1:19" s="23" customFormat="1" x14ac:dyDescent="0.25">
      <c r="A1" s="23" t="s">
        <v>27</v>
      </c>
      <c r="B1" s="23" t="s">
        <v>29</v>
      </c>
      <c r="I1" s="23" t="s">
        <v>28</v>
      </c>
      <c r="J1" s="23" t="s">
        <v>29</v>
      </c>
    </row>
    <row r="2" spans="1:19" x14ac:dyDescent="0.25">
      <c r="A2" s="24">
        <v>2381.73</v>
      </c>
      <c r="B2" s="28"/>
      <c r="C2" s="25">
        <f>A2-G$2</f>
        <v>6.3134482758619015</v>
      </c>
      <c r="D2" s="25">
        <f>C2*C2</f>
        <v>39.859629131983617</v>
      </c>
      <c r="G2" s="22">
        <f>AVERAGE(A2:A30)</f>
        <v>2375.4165517241381</v>
      </c>
      <c r="H2">
        <v>2375.4165517241299</v>
      </c>
      <c r="I2" s="4">
        <v>3</v>
      </c>
      <c r="J2" s="28"/>
      <c r="K2" s="28">
        <f>I2-R$3</f>
        <v>-1.9680000000000009</v>
      </c>
      <c r="L2" s="28">
        <f>K2*K2</f>
        <v>3.8730240000000036</v>
      </c>
      <c r="M2" t="str">
        <f>I2&amp;","</f>
        <v>3,</v>
      </c>
    </row>
    <row r="3" spans="1:19" x14ac:dyDescent="0.25">
      <c r="A3" s="24">
        <v>2365.7199999999998</v>
      </c>
      <c r="B3" s="28">
        <f>ABS(A3-A2)</f>
        <v>16.010000000000218</v>
      </c>
      <c r="C3" s="25">
        <f t="shared" ref="C3:C30" si="0">A3-G$2</f>
        <v>-9.6965517241383168</v>
      </c>
      <c r="D3" s="25">
        <f t="shared" ref="D3:D30" si="1">C3*C3</f>
        <v>94.023115338889767</v>
      </c>
      <c r="E3" s="13" t="s">
        <v>24</v>
      </c>
      <c r="F3" s="26">
        <f>MAX(A:A)-MIN(A:A)</f>
        <v>73.370000000000346</v>
      </c>
      <c r="G3">
        <f>SQRT(D31/(COUNT(A2:A30)-1))</f>
        <v>22.484574279756167</v>
      </c>
      <c r="I3" s="4">
        <v>3.5</v>
      </c>
      <c r="J3" s="28">
        <f>ABS(I3-I2)</f>
        <v>0.5</v>
      </c>
      <c r="K3" s="28">
        <f t="shared" ref="K3:K11" si="2">I3-R$3</f>
        <v>-1.4680000000000009</v>
      </c>
      <c r="L3" s="28">
        <f t="shared" ref="L3:L11" si="3">K3*K3</f>
        <v>2.1550240000000027</v>
      </c>
      <c r="M3" t="str">
        <f t="shared" ref="M3:M11" si="4">I3&amp;","</f>
        <v>3.5,</v>
      </c>
      <c r="R3" s="34">
        <f>AVERAGE(I2:I11)</f>
        <v>4.9680000000000009</v>
      </c>
    </row>
    <row r="4" spans="1:19" x14ac:dyDescent="0.25">
      <c r="A4" s="24">
        <v>2357.0300000000002</v>
      </c>
      <c r="B4" s="28">
        <f t="shared" ref="B4:B30" si="5">ABS(A4-A3)</f>
        <v>8.6899999999995998</v>
      </c>
      <c r="C4" s="25">
        <f t="shared" si="0"/>
        <v>-18.386551724137917</v>
      </c>
      <c r="D4" s="25">
        <f t="shared" si="1"/>
        <v>338.06528430439897</v>
      </c>
      <c r="E4" s="13" t="s">
        <v>26</v>
      </c>
      <c r="F4" s="26">
        <f>SUM(B:B)/(COUNT(B:B))</f>
        <v>8.8382142857143435</v>
      </c>
      <c r="H4" s="22">
        <f>G2-H2</f>
        <v>8.1854523159563541E-12</v>
      </c>
      <c r="I4" s="4">
        <v>5</v>
      </c>
      <c r="J4" s="28">
        <f t="shared" ref="J4:J11" si="6">ABS(I4-I3)</f>
        <v>1.5</v>
      </c>
      <c r="K4" s="28">
        <f t="shared" si="2"/>
        <v>3.199999999999914E-2</v>
      </c>
      <c r="L4" s="28">
        <f t="shared" si="3"/>
        <v>1.0239999999999449E-3</v>
      </c>
      <c r="M4" t="str">
        <f t="shared" si="4"/>
        <v>5,</v>
      </c>
      <c r="O4" s="13" t="s">
        <v>24</v>
      </c>
      <c r="P4" s="29">
        <f>MAX(I:I)-MIN(I:I)</f>
        <v>3.0999999999999996</v>
      </c>
    </row>
    <row r="5" spans="1:19" x14ac:dyDescent="0.25">
      <c r="A5" s="24">
        <v>2400.67</v>
      </c>
      <c r="B5" s="28">
        <f t="shared" si="5"/>
        <v>43.639999999999873</v>
      </c>
      <c r="C5" s="25">
        <f t="shared" si="0"/>
        <v>25.253448275861956</v>
      </c>
      <c r="D5" s="25">
        <f t="shared" si="1"/>
        <v>637.73664982163518</v>
      </c>
      <c r="E5" s="13" t="s">
        <v>25</v>
      </c>
      <c r="F5" s="7">
        <f>STDEV(A:A)</f>
        <v>22.484574279756167</v>
      </c>
      <c r="I5" s="4">
        <v>4.4800000000000004</v>
      </c>
      <c r="J5" s="28">
        <f t="shared" si="6"/>
        <v>0.51999999999999957</v>
      </c>
      <c r="K5" s="28">
        <f t="shared" si="2"/>
        <v>-0.48800000000000043</v>
      </c>
      <c r="L5" s="28">
        <f t="shared" si="3"/>
        <v>0.23814400000000041</v>
      </c>
      <c r="M5" t="str">
        <f t="shared" si="4"/>
        <v>4.48,</v>
      </c>
      <c r="O5" s="13" t="s">
        <v>26</v>
      </c>
      <c r="P5" s="29">
        <f>SUM(J:J)/(COUNT(J:J))</f>
        <v>0.61555555555555541</v>
      </c>
      <c r="R5" s="32">
        <f>SQRT(L12/(COUNT(I2:I11)-1))</f>
        <v>1.0295716477146104</v>
      </c>
      <c r="S5" s="33">
        <f>R5-P6</f>
        <v>5.3290705182007514E-15</v>
      </c>
    </row>
    <row r="6" spans="1:19" x14ac:dyDescent="0.25">
      <c r="A6" s="24">
        <v>2402.3200000000002</v>
      </c>
      <c r="B6" s="28">
        <f t="shared" si="5"/>
        <v>1.6500000000000909</v>
      </c>
      <c r="C6" s="25">
        <f t="shared" si="0"/>
        <v>26.903448275862047</v>
      </c>
      <c r="D6" s="25">
        <f t="shared" si="1"/>
        <v>723.79552913198449</v>
      </c>
      <c r="I6" s="4">
        <v>5.2</v>
      </c>
      <c r="J6" s="28">
        <f t="shared" si="6"/>
        <v>0.71999999999999975</v>
      </c>
      <c r="K6" s="28">
        <f t="shared" si="2"/>
        <v>0.23199999999999932</v>
      </c>
      <c r="L6" s="28">
        <f t="shared" si="3"/>
        <v>5.3823999999999685E-2</v>
      </c>
      <c r="M6" t="str">
        <f t="shared" si="4"/>
        <v>5.2,</v>
      </c>
      <c r="O6" s="13" t="s">
        <v>25</v>
      </c>
      <c r="P6" s="27">
        <f>STDEV(I:I)</f>
        <v>1.0295716477146051</v>
      </c>
    </row>
    <row r="7" spans="1:19" x14ac:dyDescent="0.25">
      <c r="A7" s="24">
        <v>2390.9</v>
      </c>
      <c r="B7" s="28">
        <f t="shared" si="5"/>
        <v>11.420000000000073</v>
      </c>
      <c r="C7" s="25">
        <f t="shared" si="0"/>
        <v>15.483448275861974</v>
      </c>
      <c r="D7" s="25">
        <f t="shared" si="1"/>
        <v>239.73717051129313</v>
      </c>
      <c r="I7" s="4">
        <v>6</v>
      </c>
      <c r="J7" s="28">
        <f t="shared" si="6"/>
        <v>0.79999999999999982</v>
      </c>
      <c r="K7" s="28">
        <f t="shared" si="2"/>
        <v>1.0319999999999991</v>
      </c>
      <c r="L7" s="28">
        <f t="shared" si="3"/>
        <v>1.0650239999999982</v>
      </c>
      <c r="M7" t="str">
        <f t="shared" si="4"/>
        <v>6,</v>
      </c>
    </row>
    <row r="8" spans="1:19" x14ac:dyDescent="0.25">
      <c r="A8" s="24">
        <v>2394.44</v>
      </c>
      <c r="B8" s="28">
        <f t="shared" si="5"/>
        <v>3.5399999999999636</v>
      </c>
      <c r="C8" s="25">
        <f t="shared" si="0"/>
        <v>19.023448275861938</v>
      </c>
      <c r="D8" s="25">
        <f t="shared" si="1"/>
        <v>361.89158430439454</v>
      </c>
      <c r="I8" s="4">
        <v>6.1</v>
      </c>
      <c r="J8" s="28">
        <f t="shared" si="6"/>
        <v>9.9999999999999645E-2</v>
      </c>
      <c r="K8" s="28">
        <f t="shared" si="2"/>
        <v>1.1319999999999988</v>
      </c>
      <c r="L8" s="28">
        <f t="shared" si="3"/>
        <v>1.2814239999999972</v>
      </c>
      <c r="M8" t="str">
        <f t="shared" si="4"/>
        <v>6.1,</v>
      </c>
      <c r="R8" s="32">
        <f>SUM(I2:I11)/(COUNT(I2:I11))</f>
        <v>4.9680000000000009</v>
      </c>
    </row>
    <row r="9" spans="1:19" x14ac:dyDescent="0.25">
      <c r="A9" s="24">
        <v>2399.63</v>
      </c>
      <c r="B9" s="28">
        <f t="shared" si="5"/>
        <v>5.1900000000000546</v>
      </c>
      <c r="C9" s="25">
        <f t="shared" si="0"/>
        <v>24.213448275861992</v>
      </c>
      <c r="D9" s="25">
        <f t="shared" si="1"/>
        <v>586.29107740784411</v>
      </c>
      <c r="I9" s="4">
        <v>5.5</v>
      </c>
      <c r="J9" s="28">
        <f t="shared" si="6"/>
        <v>0.59999999999999964</v>
      </c>
      <c r="K9" s="28">
        <f t="shared" si="2"/>
        <v>0.53199999999999914</v>
      </c>
      <c r="L9" s="28">
        <f t="shared" si="3"/>
        <v>0.28302399999999911</v>
      </c>
      <c r="M9" t="str">
        <f t="shared" si="4"/>
        <v>5.5,</v>
      </c>
    </row>
    <row r="10" spans="1:19" x14ac:dyDescent="0.25">
      <c r="A10" s="24">
        <v>2396.92</v>
      </c>
      <c r="B10" s="28">
        <f t="shared" si="5"/>
        <v>2.7100000000000364</v>
      </c>
      <c r="C10" s="25">
        <f t="shared" si="0"/>
        <v>21.503448275861956</v>
      </c>
      <c r="D10" s="25">
        <f t="shared" si="1"/>
        <v>462.39828775267051</v>
      </c>
      <c r="I10" s="4">
        <v>5.2</v>
      </c>
      <c r="J10" s="28">
        <f t="shared" si="6"/>
        <v>0.29999999999999982</v>
      </c>
      <c r="K10" s="28">
        <f t="shared" si="2"/>
        <v>0.23199999999999932</v>
      </c>
      <c r="L10" s="28">
        <f t="shared" si="3"/>
        <v>5.3823999999999685E-2</v>
      </c>
      <c r="M10" t="str">
        <f t="shared" si="4"/>
        <v>5.2,</v>
      </c>
    </row>
    <row r="11" spans="1:19" x14ac:dyDescent="0.25">
      <c r="A11" s="24">
        <v>2399.38</v>
      </c>
      <c r="B11" s="28">
        <f t="shared" si="5"/>
        <v>2.4600000000000364</v>
      </c>
      <c r="C11" s="25">
        <f t="shared" si="0"/>
        <v>23.963448275861992</v>
      </c>
      <c r="D11" s="25">
        <f t="shared" si="1"/>
        <v>574.24685326991312</v>
      </c>
      <c r="I11" s="4">
        <v>5.7</v>
      </c>
      <c r="J11" s="28">
        <f t="shared" si="6"/>
        <v>0.5</v>
      </c>
      <c r="K11" s="28">
        <f t="shared" si="2"/>
        <v>0.73199999999999932</v>
      </c>
      <c r="L11" s="28">
        <f t="shared" si="3"/>
        <v>0.53582399999999897</v>
      </c>
      <c r="M11" t="str">
        <f t="shared" si="4"/>
        <v>5.7,</v>
      </c>
    </row>
    <row r="12" spans="1:19" x14ac:dyDescent="0.25">
      <c r="A12" s="24">
        <v>2399.29</v>
      </c>
      <c r="B12" s="28">
        <f t="shared" si="5"/>
        <v>9.0000000000145519E-2</v>
      </c>
      <c r="C12" s="25">
        <f t="shared" si="0"/>
        <v>23.873448275861847</v>
      </c>
      <c r="D12" s="25">
        <f t="shared" si="1"/>
        <v>569.94153258025096</v>
      </c>
      <c r="K12" s="30"/>
      <c r="L12" s="30">
        <f>SUBTOTAL(9,L2:L11)</f>
        <v>9.5401600000000002</v>
      </c>
    </row>
    <row r="13" spans="1:19" x14ac:dyDescent="0.25">
      <c r="A13" s="24">
        <v>2389.52</v>
      </c>
      <c r="B13" s="28">
        <f t="shared" si="5"/>
        <v>9.7699999999999818</v>
      </c>
      <c r="C13" s="25">
        <f t="shared" si="0"/>
        <v>14.103448275861865</v>
      </c>
      <c r="D13" s="25">
        <f t="shared" si="1"/>
        <v>198.90725326991102</v>
      </c>
    </row>
    <row r="14" spans="1:19" x14ac:dyDescent="0.25">
      <c r="A14" s="24">
        <v>2388.13</v>
      </c>
      <c r="B14" s="28">
        <f t="shared" si="5"/>
        <v>1.3899999999998727</v>
      </c>
      <c r="C14" s="25">
        <f t="shared" si="0"/>
        <v>12.713448275861992</v>
      </c>
      <c r="D14" s="25">
        <f t="shared" si="1"/>
        <v>161.63176706301826</v>
      </c>
    </row>
    <row r="15" spans="1:19" x14ac:dyDescent="0.25">
      <c r="A15" s="24">
        <v>2391.17</v>
      </c>
      <c r="B15" s="28">
        <f t="shared" si="5"/>
        <v>3.0399999999999636</v>
      </c>
      <c r="C15" s="25">
        <f t="shared" si="0"/>
        <v>15.753448275861956</v>
      </c>
      <c r="D15" s="25">
        <f t="shared" si="1"/>
        <v>248.17113258025805</v>
      </c>
    </row>
    <row r="16" spans="1:19" x14ac:dyDescent="0.25">
      <c r="A16" s="24">
        <v>2388.33</v>
      </c>
      <c r="B16" s="28">
        <f t="shared" si="5"/>
        <v>2.8400000000001455</v>
      </c>
      <c r="C16" s="25">
        <f t="shared" si="0"/>
        <v>12.913448275861811</v>
      </c>
      <c r="D16" s="25">
        <f t="shared" si="1"/>
        <v>166.75714637335838</v>
      </c>
    </row>
    <row r="17" spans="1:18" x14ac:dyDescent="0.25">
      <c r="A17" s="24">
        <v>2384.1999999999998</v>
      </c>
      <c r="B17" s="28">
        <f t="shared" si="5"/>
        <v>4.1300000000001091</v>
      </c>
      <c r="C17" s="25">
        <f t="shared" si="0"/>
        <v>8.7834482758617014</v>
      </c>
      <c r="D17" s="25">
        <f t="shared" si="1"/>
        <v>77.148963614737895</v>
      </c>
    </row>
    <row r="18" spans="1:18" x14ac:dyDescent="0.25">
      <c r="A18" s="24">
        <v>2388.77</v>
      </c>
      <c r="B18" s="28">
        <f t="shared" si="5"/>
        <v>4.5700000000001637</v>
      </c>
      <c r="C18" s="25">
        <f t="shared" si="0"/>
        <v>13.353448275861865</v>
      </c>
      <c r="D18" s="25">
        <f t="shared" si="1"/>
        <v>178.31458085611823</v>
      </c>
    </row>
    <row r="19" spans="1:18" x14ac:dyDescent="0.25">
      <c r="A19" s="24">
        <v>2387.4499999999998</v>
      </c>
      <c r="B19" s="28">
        <f t="shared" si="5"/>
        <v>1.3200000000001637</v>
      </c>
      <c r="C19" s="25">
        <f t="shared" si="0"/>
        <v>12.033448275861701</v>
      </c>
      <c r="D19" s="25">
        <f t="shared" si="1"/>
        <v>144.80387740783897</v>
      </c>
    </row>
    <row r="20" spans="1:18" x14ac:dyDescent="0.25">
      <c r="A20" s="24">
        <v>2388.61</v>
      </c>
      <c r="B20" s="28">
        <f t="shared" si="5"/>
        <v>1.1600000000003092</v>
      </c>
      <c r="C20" s="25">
        <f t="shared" si="0"/>
        <v>13.193448275862011</v>
      </c>
      <c r="D20" s="25">
        <f t="shared" si="1"/>
        <v>174.06707740784626</v>
      </c>
    </row>
    <row r="21" spans="1:18" x14ac:dyDescent="0.25">
      <c r="A21" s="24">
        <v>2374.15</v>
      </c>
      <c r="B21" s="28">
        <f t="shared" si="5"/>
        <v>14.460000000000036</v>
      </c>
      <c r="C21" s="25">
        <f t="shared" si="0"/>
        <v>-1.2665517241380257</v>
      </c>
      <c r="D21" s="25">
        <f t="shared" si="1"/>
        <v>1.6041532699170056</v>
      </c>
    </row>
    <row r="22" spans="1:18" x14ac:dyDescent="0.25">
      <c r="A22" s="24">
        <v>2348.69</v>
      </c>
      <c r="B22" s="28">
        <f t="shared" si="5"/>
        <v>25.460000000000036</v>
      </c>
      <c r="C22" s="25">
        <f t="shared" si="0"/>
        <v>-26.726551724138062</v>
      </c>
      <c r="D22" s="25">
        <f t="shared" si="1"/>
        <v>714.30856706302723</v>
      </c>
    </row>
    <row r="23" spans="1:18" x14ac:dyDescent="0.25">
      <c r="A23" s="24">
        <v>2355.84</v>
      </c>
      <c r="B23" s="28">
        <f t="shared" si="5"/>
        <v>7.1500000000000909</v>
      </c>
      <c r="C23" s="25">
        <f t="shared" si="0"/>
        <v>-19.576551724137971</v>
      </c>
      <c r="D23" s="25">
        <f t="shared" si="1"/>
        <v>383.24137740784937</v>
      </c>
      <c r="K23" s="55" t="s">
        <v>30</v>
      </c>
      <c r="L23" s="55"/>
      <c r="M23" s="55"/>
      <c r="N23" s="55"/>
      <c r="O23" s="55"/>
      <c r="P23" s="55"/>
      <c r="Q23" s="55"/>
      <c r="R23" s="55"/>
    </row>
    <row r="24" spans="1:18" x14ac:dyDescent="0.25">
      <c r="A24" s="24">
        <v>2338.17</v>
      </c>
      <c r="B24" s="28">
        <f t="shared" si="5"/>
        <v>17.670000000000073</v>
      </c>
      <c r="C24" s="25">
        <f t="shared" si="0"/>
        <v>-37.246551724138044</v>
      </c>
      <c r="D24" s="25">
        <f t="shared" si="1"/>
        <v>1387.3056153388907</v>
      </c>
      <c r="K24">
        <v>2381.73</v>
      </c>
      <c r="L24" s="21"/>
      <c r="O24">
        <v>39.859629131983617</v>
      </c>
      <c r="Q24">
        <v>39.859629131983603</v>
      </c>
      <c r="R24" s="36">
        <f>O24-Q24</f>
        <v>0</v>
      </c>
    </row>
    <row r="25" spans="1:18" x14ac:dyDescent="0.25">
      <c r="A25" s="24">
        <v>2342.19</v>
      </c>
      <c r="B25" s="28">
        <f t="shared" si="5"/>
        <v>4.0199999999999818</v>
      </c>
      <c r="C25" s="25">
        <f t="shared" si="0"/>
        <v>-33.226551724138062</v>
      </c>
      <c r="D25" s="25">
        <f t="shared" si="1"/>
        <v>1104.0037394768219</v>
      </c>
      <c r="K25">
        <v>2365.7199999999998</v>
      </c>
      <c r="L25" s="21"/>
      <c r="O25">
        <v>94.023115338889767</v>
      </c>
      <c r="Q25">
        <v>94.023115338889696</v>
      </c>
      <c r="R25" s="36">
        <f t="shared" ref="R25:R52" si="7">O25-Q25</f>
        <v>0</v>
      </c>
    </row>
    <row r="26" spans="1:18" x14ac:dyDescent="0.25">
      <c r="A26" s="24">
        <v>2349.0100000000002</v>
      </c>
      <c r="B26" s="28">
        <f t="shared" si="5"/>
        <v>6.8200000000001637</v>
      </c>
      <c r="C26" s="25">
        <f t="shared" si="0"/>
        <v>-26.406551724137898</v>
      </c>
      <c r="D26" s="25">
        <f t="shared" si="1"/>
        <v>697.30597395957022</v>
      </c>
      <c r="K26">
        <v>2357.0300000000002</v>
      </c>
      <c r="L26" s="21"/>
      <c r="O26">
        <v>338.06528430439897</v>
      </c>
      <c r="Q26">
        <v>338.06528430439801</v>
      </c>
      <c r="R26" s="36">
        <f t="shared" si="7"/>
        <v>9.6633812063373625E-13</v>
      </c>
    </row>
    <row r="27" spans="1:18" x14ac:dyDescent="0.25">
      <c r="A27" s="24">
        <v>2328.9499999999998</v>
      </c>
      <c r="B27" s="28">
        <f t="shared" si="5"/>
        <v>20.0600000000004</v>
      </c>
      <c r="C27" s="25">
        <f t="shared" si="0"/>
        <v>-46.466551724138299</v>
      </c>
      <c r="D27" s="25">
        <f t="shared" si="1"/>
        <v>2159.14042913202</v>
      </c>
      <c r="K27">
        <v>2400.67</v>
      </c>
      <c r="L27" s="21"/>
      <c r="O27">
        <v>637.73664982163518</v>
      </c>
      <c r="Q27">
        <v>637.73664982163496</v>
      </c>
      <c r="R27" s="36">
        <f t="shared" si="7"/>
        <v>0</v>
      </c>
    </row>
    <row r="28" spans="1:18" x14ac:dyDescent="0.25">
      <c r="A28" s="24">
        <v>2344.9299999999998</v>
      </c>
      <c r="B28" s="28">
        <f t="shared" si="5"/>
        <v>15.980000000000018</v>
      </c>
      <c r="C28" s="25">
        <f t="shared" si="0"/>
        <v>-30.48655172413828</v>
      </c>
      <c r="D28" s="25">
        <f t="shared" si="1"/>
        <v>929.42983602855873</v>
      </c>
      <c r="E28" s="21"/>
      <c r="F28">
        <v>13611</v>
      </c>
      <c r="K28">
        <v>2402.3200000000002</v>
      </c>
      <c r="L28" s="21"/>
      <c r="O28">
        <v>723.79552913198449</v>
      </c>
      <c r="Q28">
        <v>723.79552913198404</v>
      </c>
      <c r="R28" s="36">
        <f t="shared" si="7"/>
        <v>0</v>
      </c>
    </row>
    <row r="29" spans="1:18" x14ac:dyDescent="0.25">
      <c r="A29" s="24">
        <v>2353.7800000000002</v>
      </c>
      <c r="B29" s="28">
        <f t="shared" si="5"/>
        <v>8.8500000000003638</v>
      </c>
      <c r="C29" s="25">
        <f t="shared" si="0"/>
        <v>-21.636551724137917</v>
      </c>
      <c r="D29" s="25">
        <f t="shared" si="1"/>
        <v>468.14037051129543</v>
      </c>
      <c r="K29">
        <v>2390.9</v>
      </c>
      <c r="L29" s="21"/>
      <c r="O29">
        <v>239.73717051129313</v>
      </c>
      <c r="Q29">
        <v>239.73717051129299</v>
      </c>
      <c r="R29" s="36">
        <f t="shared" si="7"/>
        <v>0</v>
      </c>
    </row>
    <row r="30" spans="1:18" x14ac:dyDescent="0.25">
      <c r="A30" s="24">
        <v>2357.16</v>
      </c>
      <c r="B30" s="28">
        <f t="shared" si="5"/>
        <v>3.3799999999996544</v>
      </c>
      <c r="C30" s="25">
        <f t="shared" si="0"/>
        <v>-18.256551724138262</v>
      </c>
      <c r="D30" s="25">
        <f t="shared" si="1"/>
        <v>333.30168085613576</v>
      </c>
      <c r="K30">
        <v>2394.44</v>
      </c>
      <c r="L30" s="21"/>
      <c r="O30">
        <v>361.89158430439454</v>
      </c>
      <c r="Q30">
        <v>361.89158430439397</v>
      </c>
      <c r="R30" s="36">
        <f t="shared" si="7"/>
        <v>5.6843418860808015E-13</v>
      </c>
    </row>
    <row r="31" spans="1:18" x14ac:dyDescent="0.25">
      <c r="D31" s="31">
        <f>SUBTOTAL(9,D2:D30)</f>
        <v>14155.570255172432</v>
      </c>
      <c r="K31">
        <v>2399.63</v>
      </c>
      <c r="L31" s="21"/>
      <c r="O31">
        <v>586.29107740784411</v>
      </c>
      <c r="Q31">
        <v>586.291077407844</v>
      </c>
      <c r="R31" s="36">
        <f t="shared" si="7"/>
        <v>0</v>
      </c>
    </row>
    <row r="32" spans="1:18" x14ac:dyDescent="0.25">
      <c r="K32">
        <v>2396.92</v>
      </c>
      <c r="L32" s="21"/>
      <c r="O32">
        <v>462.39828775267051</v>
      </c>
      <c r="Q32">
        <v>462.39828775267</v>
      </c>
      <c r="R32" s="36">
        <f t="shared" si="7"/>
        <v>5.1159076974727213E-13</v>
      </c>
    </row>
    <row r="33" spans="4:18" x14ac:dyDescent="0.25">
      <c r="D33" s="21">
        <f>SUM(D2:D30)</f>
        <v>14155.570255172432</v>
      </c>
      <c r="K33">
        <v>2399.38</v>
      </c>
      <c r="L33" s="21"/>
      <c r="O33">
        <v>574.24685326991312</v>
      </c>
      <c r="Q33">
        <v>574.246853269913</v>
      </c>
      <c r="R33" s="36">
        <f t="shared" si="7"/>
        <v>0</v>
      </c>
    </row>
    <row r="34" spans="4:18" x14ac:dyDescent="0.25">
      <c r="D34">
        <v>14155.570255172401</v>
      </c>
      <c r="K34">
        <v>2399.29</v>
      </c>
      <c r="L34" s="21"/>
      <c r="O34">
        <v>569.94153258025096</v>
      </c>
      <c r="Q34">
        <v>569.94153258025005</v>
      </c>
      <c r="R34" s="36">
        <f t="shared" si="7"/>
        <v>9.0949470177292824E-13</v>
      </c>
    </row>
    <row r="35" spans="4:18" x14ac:dyDescent="0.25">
      <c r="D35" s="35">
        <f>D34-D33</f>
        <v>-3.092281986027956E-11</v>
      </c>
      <c r="K35">
        <v>2389.52</v>
      </c>
      <c r="L35" s="21"/>
      <c r="O35">
        <v>198.90725326991102</v>
      </c>
      <c r="Q35">
        <v>198.907253269911</v>
      </c>
      <c r="R35" s="36">
        <f t="shared" si="7"/>
        <v>0</v>
      </c>
    </row>
    <row r="36" spans="4:18" x14ac:dyDescent="0.25">
      <c r="K36">
        <v>2388.13</v>
      </c>
      <c r="L36" s="21"/>
      <c r="O36">
        <v>161.63176706301826</v>
      </c>
      <c r="Q36">
        <v>161.631767063018</v>
      </c>
      <c r="R36" s="36">
        <f t="shared" si="7"/>
        <v>2.5579538487363607E-13</v>
      </c>
    </row>
    <row r="37" spans="4:18" x14ac:dyDescent="0.25">
      <c r="K37">
        <v>2391.17</v>
      </c>
      <c r="L37" s="21"/>
      <c r="O37">
        <v>248.17113258025805</v>
      </c>
      <c r="Q37">
        <v>248.17113258025799</v>
      </c>
      <c r="R37" s="36">
        <f t="shared" si="7"/>
        <v>0</v>
      </c>
    </row>
    <row r="38" spans="4:18" x14ac:dyDescent="0.25">
      <c r="K38">
        <v>2388.33</v>
      </c>
      <c r="L38" s="21"/>
      <c r="O38">
        <v>166.75714637335838</v>
      </c>
      <c r="Q38">
        <v>166.75714637335801</v>
      </c>
      <c r="R38" s="36">
        <f t="shared" si="7"/>
        <v>3.694822225952521E-13</v>
      </c>
    </row>
    <row r="39" spans="4:18" x14ac:dyDescent="0.25">
      <c r="K39">
        <v>2384.1999999999998</v>
      </c>
      <c r="L39" s="21"/>
      <c r="O39">
        <v>77.148963614737895</v>
      </c>
      <c r="Q39">
        <v>77.148963614737795</v>
      </c>
      <c r="R39" s="36">
        <f t="shared" si="7"/>
        <v>0</v>
      </c>
    </row>
    <row r="40" spans="4:18" x14ac:dyDescent="0.25">
      <c r="K40">
        <v>2388.77</v>
      </c>
      <c r="L40" s="21"/>
      <c r="O40">
        <v>178.31458085611823</v>
      </c>
      <c r="Q40">
        <v>178.314580856118</v>
      </c>
      <c r="R40" s="36">
        <f t="shared" si="7"/>
        <v>2.2737367544323206E-13</v>
      </c>
    </row>
    <row r="41" spans="4:18" x14ac:dyDescent="0.25">
      <c r="K41">
        <v>2387.4499999999998</v>
      </c>
      <c r="L41" s="21"/>
      <c r="O41">
        <v>144.80387740783897</v>
      </c>
      <c r="Q41">
        <v>144.803877407838</v>
      </c>
      <c r="R41" s="36">
        <f t="shared" si="7"/>
        <v>9.6633812063373625E-13</v>
      </c>
    </row>
    <row r="42" spans="4:18" x14ac:dyDescent="0.25">
      <c r="K42">
        <v>2388.61</v>
      </c>
      <c r="L42" s="21"/>
      <c r="O42">
        <v>174.06707740784626</v>
      </c>
      <c r="Q42">
        <v>174.067077407846</v>
      </c>
      <c r="R42" s="36">
        <f t="shared" si="7"/>
        <v>2.5579538487363607E-13</v>
      </c>
    </row>
    <row r="43" spans="4:18" x14ac:dyDescent="0.25">
      <c r="K43">
        <v>2374.15</v>
      </c>
      <c r="L43" s="21"/>
      <c r="O43">
        <v>1.6041532699170056</v>
      </c>
      <c r="Q43">
        <v>1.604153269917</v>
      </c>
      <c r="R43" s="36">
        <f t="shared" si="7"/>
        <v>5.5511151231257827E-15</v>
      </c>
    </row>
    <row r="44" spans="4:18" x14ac:dyDescent="0.25">
      <c r="K44">
        <v>2348.69</v>
      </c>
      <c r="L44" s="21"/>
      <c r="O44">
        <v>714.30856706302723</v>
      </c>
      <c r="Q44">
        <v>714.308567063027</v>
      </c>
      <c r="R44" s="36">
        <f t="shared" si="7"/>
        <v>0</v>
      </c>
    </row>
    <row r="45" spans="4:18" x14ac:dyDescent="0.25">
      <c r="K45">
        <v>2355.84</v>
      </c>
      <c r="L45" s="21"/>
      <c r="O45">
        <v>383.24137740784937</v>
      </c>
      <c r="Q45">
        <v>383.24137740784897</v>
      </c>
      <c r="R45" s="36">
        <f t="shared" si="7"/>
        <v>0</v>
      </c>
    </row>
    <row r="46" spans="4:18" x14ac:dyDescent="0.25">
      <c r="K46">
        <v>2338.17</v>
      </c>
      <c r="L46" s="21"/>
      <c r="O46">
        <v>1387.3056153388907</v>
      </c>
      <c r="Q46">
        <v>1387.30561533889</v>
      </c>
      <c r="R46" s="36">
        <f t="shared" si="7"/>
        <v>0</v>
      </c>
    </row>
    <row r="47" spans="4:18" x14ac:dyDescent="0.25">
      <c r="K47">
        <v>2342.19</v>
      </c>
      <c r="L47" s="21"/>
      <c r="O47">
        <v>1104.0037394768219</v>
      </c>
      <c r="Q47">
        <v>1104.0037394768201</v>
      </c>
      <c r="R47" s="36">
        <f t="shared" si="7"/>
        <v>1.8189894035458565E-12</v>
      </c>
    </row>
    <row r="48" spans="4:18" x14ac:dyDescent="0.25">
      <c r="K48">
        <v>2349.0100000000002</v>
      </c>
      <c r="L48" s="21"/>
      <c r="O48">
        <v>697.30597395957022</v>
      </c>
      <c r="Q48">
        <v>697.30597395957</v>
      </c>
      <c r="R48" s="36">
        <f t="shared" si="7"/>
        <v>0</v>
      </c>
    </row>
    <row r="49" spans="11:20" x14ac:dyDescent="0.25">
      <c r="K49">
        <v>2328.9499999999998</v>
      </c>
      <c r="L49" s="21"/>
      <c r="O49">
        <v>2159.14042913202</v>
      </c>
      <c r="Q49">
        <v>2159.14042913202</v>
      </c>
      <c r="R49" s="36">
        <f t="shared" si="7"/>
        <v>0</v>
      </c>
    </row>
    <row r="50" spans="11:20" x14ac:dyDescent="0.25">
      <c r="K50">
        <v>2344.9299999999998</v>
      </c>
      <c r="L50" s="21"/>
      <c r="O50">
        <v>929.42983602855873</v>
      </c>
      <c r="Q50">
        <v>929.42983602855804</v>
      </c>
      <c r="R50" s="36">
        <f t="shared" si="7"/>
        <v>0</v>
      </c>
    </row>
    <row r="51" spans="11:20" x14ac:dyDescent="0.25">
      <c r="K51">
        <v>2353.7800000000002</v>
      </c>
      <c r="L51" s="21"/>
      <c r="O51">
        <v>468.14037051129543</v>
      </c>
      <c r="Q51">
        <v>468.14037051129498</v>
      </c>
      <c r="R51" s="36">
        <f t="shared" si="7"/>
        <v>4.5474735088646412E-13</v>
      </c>
    </row>
    <row r="52" spans="11:20" x14ac:dyDescent="0.25">
      <c r="K52">
        <v>2357.16</v>
      </c>
      <c r="L52" s="21"/>
      <c r="O52">
        <v>333.30168085613576</v>
      </c>
      <c r="Q52">
        <v>333.30168085613502</v>
      </c>
      <c r="R52" s="36">
        <f t="shared" si="7"/>
        <v>7.3896444519050419E-13</v>
      </c>
    </row>
    <row r="53" spans="11:20" x14ac:dyDescent="0.25">
      <c r="O53">
        <f>SUBTOTAL(9,O24:O52)</f>
        <v>14155.570255172432</v>
      </c>
      <c r="Q53">
        <f>SUBTOTAL(9,Q24:Q52)</f>
        <v>14155.570255172421</v>
      </c>
      <c r="T53">
        <f>SQRT(Q53/(COUNT(Q24:Q52)-1))</f>
        <v>22.48457427975616</v>
      </c>
    </row>
    <row r="55" spans="11:20" x14ac:dyDescent="0.25">
      <c r="P55">
        <f>O53-Q53</f>
        <v>0</v>
      </c>
    </row>
  </sheetData>
  <mergeCells count="1">
    <mergeCell ref="K23:R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3"/>
  <sheetViews>
    <sheetView showGridLines="0" topLeftCell="H1" workbookViewId="0">
      <selection activeCell="X32" sqref="X32:X38"/>
    </sheetView>
  </sheetViews>
  <sheetFormatPr defaultColWidth="14.42578125" defaultRowHeight="15" x14ac:dyDescent="0.25"/>
  <cols>
    <col min="7" max="7" width="14.7109375" style="2" customWidth="1"/>
    <col min="8" max="8" width="14.7109375" style="32" customWidth="1"/>
    <col min="9" max="9" width="14.7109375" customWidth="1"/>
    <col min="10" max="10" width="17.7109375" bestFit="1" customWidth="1"/>
    <col min="11" max="11" width="25.28515625" customWidth="1"/>
    <col min="14" max="14" width="20.42578125" customWidth="1"/>
  </cols>
  <sheetData>
    <row r="1" spans="1:24" x14ac:dyDescent="0.25">
      <c r="A1" s="37" t="s">
        <v>36</v>
      </c>
      <c r="B1" s="37" t="s">
        <v>31</v>
      </c>
      <c r="C1" s="37" t="s">
        <v>32</v>
      </c>
      <c r="D1" s="37" t="s">
        <v>33</v>
      </c>
      <c r="E1" s="37" t="s">
        <v>34</v>
      </c>
      <c r="F1" s="37" t="s">
        <v>35</v>
      </c>
      <c r="O1" t="s">
        <v>74</v>
      </c>
      <c r="Q1" t="s">
        <v>75</v>
      </c>
      <c r="U1" t="s">
        <v>76</v>
      </c>
      <c r="V1">
        <f>COUNT(O2:O5)-1</f>
        <v>3</v>
      </c>
    </row>
    <row r="2" spans="1:24" x14ac:dyDescent="0.25">
      <c r="A2" t="s">
        <v>37</v>
      </c>
      <c r="B2" s="38">
        <v>42888</v>
      </c>
      <c r="C2" s="39">
        <v>13257.37</v>
      </c>
      <c r="D2" s="39">
        <v>13302.04</v>
      </c>
      <c r="E2" s="39">
        <v>13257.21</v>
      </c>
      <c r="F2" s="41">
        <v>13290.23</v>
      </c>
      <c r="G2" s="44">
        <f t="shared" ref="G2:G31" si="0">(F2-xBar)/xSigma</f>
        <v>1.6891567094595075</v>
      </c>
      <c r="H2" s="47" t="str">
        <f>F2&amp;","</f>
        <v>13290.23,</v>
      </c>
      <c r="I2" s="21"/>
      <c r="O2">
        <v>1</v>
      </c>
      <c r="P2">
        <f>(O2-V$2)/V$4</f>
        <v>-1.0954451150103321</v>
      </c>
      <c r="Q2">
        <v>1</v>
      </c>
      <c r="R2">
        <f>(Q2-V$3)/V$5</f>
        <v>-1.1618950038622251</v>
      </c>
      <c r="S2">
        <f>P2*R2</f>
        <v>1.2727922061357855</v>
      </c>
      <c r="U2" t="s">
        <v>70</v>
      </c>
      <c r="V2">
        <f>AVERAGE(O2:O5)</f>
        <v>3</v>
      </c>
    </row>
    <row r="3" spans="1:24" x14ac:dyDescent="0.25">
      <c r="A3" t="s">
        <v>38</v>
      </c>
      <c r="B3" s="38">
        <v>42887</v>
      </c>
      <c r="C3" s="39">
        <v>13198.12</v>
      </c>
      <c r="D3" s="39">
        <v>13240.96</v>
      </c>
      <c r="E3" s="39">
        <v>13182.46</v>
      </c>
      <c r="F3" s="41">
        <v>13221.57</v>
      </c>
      <c r="G3" s="44">
        <f t="shared" si="0"/>
        <v>1.1877429686132124</v>
      </c>
      <c r="H3" s="47" t="str">
        <f t="shared" ref="H3:H63" si="1">F3&amp;","</f>
        <v>13221.57,</v>
      </c>
      <c r="I3" s="21"/>
      <c r="J3" s="28" t="s">
        <v>73</v>
      </c>
      <c r="K3" s="28" t="s">
        <v>74</v>
      </c>
      <c r="O3">
        <v>2</v>
      </c>
      <c r="P3">
        <f t="shared" ref="P3:P5" si="2">(O3-V$2)/V$4</f>
        <v>-0.54772255750516607</v>
      </c>
      <c r="Q3">
        <v>3</v>
      </c>
      <c r="R3">
        <f t="shared" ref="R3:R5" si="3">(Q3-V$3)/V$5</f>
        <v>-0.3872983346207417</v>
      </c>
      <c r="S3">
        <f t="shared" ref="S3:S5" si="4">P3*R3</f>
        <v>0.21213203435596426</v>
      </c>
      <c r="U3" t="s">
        <v>69</v>
      </c>
      <c r="V3">
        <f>AVERAGE(Q2:Q5)</f>
        <v>4</v>
      </c>
    </row>
    <row r="4" spans="1:24" x14ac:dyDescent="0.25">
      <c r="A4" t="s">
        <v>39</v>
      </c>
      <c r="B4" s="38">
        <v>42886</v>
      </c>
      <c r="C4" s="39">
        <v>13190.13</v>
      </c>
      <c r="D4" s="39">
        <v>13229.39</v>
      </c>
      <c r="E4" s="39">
        <v>13172.29</v>
      </c>
      <c r="F4" s="41">
        <v>13199.15</v>
      </c>
      <c r="G4" s="44">
        <f t="shared" si="0"/>
        <v>1.0240130520712085</v>
      </c>
      <c r="H4" s="47" t="str">
        <f t="shared" si="1"/>
        <v>13199.15,</v>
      </c>
      <c r="I4" s="21"/>
      <c r="J4" s="28" t="s">
        <v>67</v>
      </c>
      <c r="K4" s="28" t="s">
        <v>75</v>
      </c>
      <c r="O4">
        <v>4</v>
      </c>
      <c r="P4">
        <f t="shared" si="2"/>
        <v>0.54772255750516607</v>
      </c>
      <c r="Q4">
        <v>5</v>
      </c>
      <c r="R4">
        <f t="shared" si="3"/>
        <v>0.3872983346207417</v>
      </c>
      <c r="S4">
        <f t="shared" si="4"/>
        <v>0.21213203435596426</v>
      </c>
      <c r="U4" t="s">
        <v>71</v>
      </c>
      <c r="V4" s="40">
        <f>STDEV(O2:O5)</f>
        <v>1.8257418583505538</v>
      </c>
    </row>
    <row r="5" spans="1:24" x14ac:dyDescent="0.25">
      <c r="A5" t="s">
        <v>40</v>
      </c>
      <c r="B5" s="38">
        <v>42885</v>
      </c>
      <c r="C5" s="39">
        <v>13108.98</v>
      </c>
      <c r="D5" s="39">
        <v>13169.9</v>
      </c>
      <c r="E5" s="39">
        <v>13060.25</v>
      </c>
      <c r="F5" s="41">
        <v>13158.31</v>
      </c>
      <c r="G5" s="44">
        <f t="shared" si="0"/>
        <v>0.72576462247373097</v>
      </c>
      <c r="H5" s="47" t="str">
        <f t="shared" si="1"/>
        <v>13158.31,</v>
      </c>
      <c r="I5" s="21"/>
      <c r="O5">
        <v>5</v>
      </c>
      <c r="P5">
        <f t="shared" si="2"/>
        <v>1.0954451150103321</v>
      </c>
      <c r="Q5">
        <v>7</v>
      </c>
      <c r="R5">
        <f t="shared" si="3"/>
        <v>1.1618950038622251</v>
      </c>
      <c r="S5">
        <f t="shared" si="4"/>
        <v>1.2727922061357855</v>
      </c>
      <c r="U5" t="s">
        <v>72</v>
      </c>
      <c r="V5" s="40">
        <f>STDEV(Q2:Q5)</f>
        <v>2.5819888974716112</v>
      </c>
    </row>
    <row r="6" spans="1:24" x14ac:dyDescent="0.25">
      <c r="A6" t="s">
        <v>41</v>
      </c>
      <c r="B6" s="38">
        <v>42884</v>
      </c>
      <c r="C6" s="39">
        <v>13154.62</v>
      </c>
      <c r="D6" s="39">
        <v>13200.55</v>
      </c>
      <c r="E6" s="39">
        <v>13063.04</v>
      </c>
      <c r="F6" s="41">
        <v>13112.1</v>
      </c>
      <c r="G6" s="44">
        <f t="shared" si="0"/>
        <v>0.38829988369559365</v>
      </c>
      <c r="H6" s="47" t="str">
        <f t="shared" si="1"/>
        <v>13112.1,</v>
      </c>
      <c r="I6" s="21"/>
    </row>
    <row r="7" spans="1:24" x14ac:dyDescent="0.25">
      <c r="A7" t="s">
        <v>42</v>
      </c>
      <c r="B7" s="38">
        <v>42881</v>
      </c>
      <c r="C7" s="39">
        <v>13022.44</v>
      </c>
      <c r="D7" s="39">
        <v>13171.57</v>
      </c>
      <c r="E7" s="39">
        <v>13008.58</v>
      </c>
      <c r="F7" s="41">
        <v>13164.84</v>
      </c>
      <c r="G7" s="44">
        <f t="shared" si="0"/>
        <v>0.77345223866549673</v>
      </c>
      <c r="H7" s="47" t="str">
        <f t="shared" si="1"/>
        <v>13164.84,</v>
      </c>
      <c r="I7" s="21"/>
      <c r="J7" s="13" t="s">
        <v>68</v>
      </c>
      <c r="K7" s="43">
        <f>CORREL(BSE_Close,SPX_Close)</f>
        <v>0.63046760138433977</v>
      </c>
    </row>
    <row r="8" spans="1:24" x14ac:dyDescent="0.25">
      <c r="A8" t="s">
        <v>43</v>
      </c>
      <c r="B8" s="38">
        <v>42880</v>
      </c>
      <c r="C8" s="39">
        <v>12842.82</v>
      </c>
      <c r="D8" s="39">
        <v>13016.07</v>
      </c>
      <c r="E8" s="39">
        <v>12833.19</v>
      </c>
      <c r="F8" s="41">
        <v>13007.44</v>
      </c>
      <c r="G8" s="44">
        <f t="shared" si="0"/>
        <v>-0.37601648852947589</v>
      </c>
      <c r="H8" s="47" t="str">
        <f t="shared" si="1"/>
        <v>13007.44,</v>
      </c>
      <c r="I8" s="21"/>
      <c r="J8" s="13"/>
      <c r="K8" s="43"/>
      <c r="U8" s="2" t="s">
        <v>77</v>
      </c>
      <c r="V8" s="2" t="s">
        <v>78</v>
      </c>
      <c r="W8" s="2" t="s">
        <v>79</v>
      </c>
    </row>
    <row r="9" spans="1:24" x14ac:dyDescent="0.25">
      <c r="A9" t="s">
        <v>44</v>
      </c>
      <c r="B9" s="38">
        <v>42879</v>
      </c>
      <c r="C9" s="39">
        <v>12924.09</v>
      </c>
      <c r="D9" s="39">
        <v>12949.08</v>
      </c>
      <c r="E9" s="39">
        <v>12781.06</v>
      </c>
      <c r="F9" s="41">
        <v>12810.75</v>
      </c>
      <c r="G9" s="44">
        <f t="shared" si="0"/>
        <v>-1.8124142264709009</v>
      </c>
      <c r="H9" s="47" t="str">
        <f t="shared" si="1"/>
        <v>12810.75,</v>
      </c>
      <c r="I9" s="21"/>
      <c r="J9" s="13" t="s">
        <v>76</v>
      </c>
      <c r="K9" s="7">
        <f>(COUNT(F:F)/2)-1</f>
        <v>29</v>
      </c>
      <c r="U9" s="4">
        <f>1/V1</f>
        <v>0.33333333333333331</v>
      </c>
      <c r="V9" s="4">
        <f>SUM(S:S)</f>
        <v>2.9698484809834995</v>
      </c>
      <c r="W9" s="7">
        <f>V9*U9</f>
        <v>0.98994949366116647</v>
      </c>
    </row>
    <row r="10" spans="1:24" x14ac:dyDescent="0.25">
      <c r="A10" t="s">
        <v>45</v>
      </c>
      <c r="B10" s="38">
        <v>42878</v>
      </c>
      <c r="C10" s="39">
        <v>13023.03</v>
      </c>
      <c r="D10" s="39">
        <v>13029.56</v>
      </c>
      <c r="E10" s="39">
        <v>12837.1</v>
      </c>
      <c r="F10" s="41">
        <v>12893.54</v>
      </c>
      <c r="G10" s="44">
        <f t="shared" si="0"/>
        <v>-1.2078112028084294</v>
      </c>
      <c r="H10" s="47" t="str">
        <f t="shared" si="1"/>
        <v>12893.54,</v>
      </c>
      <c r="I10" s="21"/>
      <c r="J10" s="13" t="s">
        <v>70</v>
      </c>
      <c r="K10" s="26">
        <f>AVERAGE(BSE_Close)</f>
        <v>13058.928999999998</v>
      </c>
      <c r="W10">
        <f>CORREL(O2:O5,Q2:Q5)</f>
        <v>0.98994949366116636</v>
      </c>
    </row>
    <row r="11" spans="1:24" x14ac:dyDescent="0.25">
      <c r="A11" t="s">
        <v>46</v>
      </c>
      <c r="B11" s="38">
        <v>42877</v>
      </c>
      <c r="C11" s="39">
        <v>13121.25</v>
      </c>
      <c r="D11" s="39">
        <v>13151.78</v>
      </c>
      <c r="E11" s="39">
        <v>13007.07</v>
      </c>
      <c r="F11" s="41">
        <v>13016.74</v>
      </c>
      <c r="G11" s="44">
        <f t="shared" si="0"/>
        <v>-0.30809997542329781</v>
      </c>
      <c r="H11" s="47" t="str">
        <f t="shared" si="1"/>
        <v>13016.74,</v>
      </c>
      <c r="I11" s="21"/>
      <c r="J11" s="13" t="s">
        <v>69</v>
      </c>
      <c r="K11" s="26">
        <f>AVERAGE(SPX_Close)</f>
        <v>2394.6203333333324</v>
      </c>
    </row>
    <row r="12" spans="1:24" x14ac:dyDescent="0.25">
      <c r="A12" t="s">
        <v>47</v>
      </c>
      <c r="B12" s="38">
        <v>42874</v>
      </c>
      <c r="C12" s="39">
        <v>13134.02</v>
      </c>
      <c r="D12" s="39">
        <v>13206.81</v>
      </c>
      <c r="E12" s="39">
        <v>12995.4</v>
      </c>
      <c r="F12" s="41">
        <v>13051.03</v>
      </c>
      <c r="G12" s="44">
        <f t="shared" si="0"/>
        <v>-5.7685219035008686E-2</v>
      </c>
      <c r="H12" s="47" t="str">
        <f t="shared" si="1"/>
        <v>13051.03,</v>
      </c>
      <c r="I12" s="21"/>
    </row>
    <row r="13" spans="1:24" x14ac:dyDescent="0.25">
      <c r="A13" t="s">
        <v>48</v>
      </c>
      <c r="B13" s="38">
        <v>42873</v>
      </c>
      <c r="C13" s="39">
        <v>13205.59</v>
      </c>
      <c r="D13" s="39">
        <v>13222.12</v>
      </c>
      <c r="E13" s="39">
        <v>13070.02</v>
      </c>
      <c r="F13" s="41">
        <v>13085.67</v>
      </c>
      <c r="G13" s="44">
        <f t="shared" si="0"/>
        <v>0.19528553515834124</v>
      </c>
      <c r="H13" s="47" t="str">
        <f t="shared" si="1"/>
        <v>13085.67,</v>
      </c>
      <c r="I13" s="21"/>
      <c r="J13" s="13" t="s">
        <v>71</v>
      </c>
      <c r="K13" s="26">
        <f>STDEV(BSE_Close)</f>
        <v>136.93282494435491</v>
      </c>
    </row>
    <row r="14" spans="1:24" x14ac:dyDescent="0.25">
      <c r="A14" t="s">
        <v>49</v>
      </c>
      <c r="B14" s="38">
        <v>42872</v>
      </c>
      <c r="C14" s="39">
        <v>13286.58</v>
      </c>
      <c r="D14" s="39">
        <v>13288.81</v>
      </c>
      <c r="E14" s="39">
        <v>13237.75</v>
      </c>
      <c r="F14" s="41">
        <v>13270.3</v>
      </c>
      <c r="G14" s="44">
        <f t="shared" si="0"/>
        <v>1.543610891587867</v>
      </c>
      <c r="H14" s="47" t="str">
        <f t="shared" si="1"/>
        <v>13270.3,</v>
      </c>
      <c r="I14" s="21"/>
      <c r="J14" s="13" t="s">
        <v>72</v>
      </c>
      <c r="K14" s="26">
        <f>STDEV(SPX_Close)</f>
        <v>18.86144443280935</v>
      </c>
    </row>
    <row r="15" spans="1:24" x14ac:dyDescent="0.25">
      <c r="A15" t="s">
        <v>50</v>
      </c>
      <c r="B15" s="38">
        <v>42871</v>
      </c>
      <c r="C15" s="39">
        <v>13221.75</v>
      </c>
      <c r="D15" s="39">
        <v>13276.68</v>
      </c>
      <c r="E15" s="39">
        <v>13214.54</v>
      </c>
      <c r="F15" s="41">
        <v>13273.3</v>
      </c>
      <c r="G15" s="44">
        <f t="shared" si="0"/>
        <v>1.5655194442027649</v>
      </c>
      <c r="H15" s="47" t="str">
        <f t="shared" si="1"/>
        <v>13273.3,</v>
      </c>
      <c r="I15" s="21"/>
    </row>
    <row r="16" spans="1:24" x14ac:dyDescent="0.25">
      <c r="A16" t="s">
        <v>51</v>
      </c>
      <c r="B16" s="38">
        <v>42870</v>
      </c>
      <c r="C16" s="39">
        <v>13154.59</v>
      </c>
      <c r="D16" s="39">
        <v>13200.6</v>
      </c>
      <c r="E16" s="39">
        <v>13154.09</v>
      </c>
      <c r="F16" s="41">
        <v>13195.46</v>
      </c>
      <c r="G16" s="44">
        <f t="shared" si="0"/>
        <v>0.99706553235488027</v>
      </c>
      <c r="H16" s="47" t="str">
        <f t="shared" si="1"/>
        <v>13195.46,</v>
      </c>
      <c r="I16" s="21"/>
      <c r="K16">
        <f>K14*K13</f>
        <v>2582.75086871556</v>
      </c>
      <c r="U16" s="57" t="s">
        <v>81</v>
      </c>
      <c r="V16" s="57"/>
      <c r="W16" s="57"/>
      <c r="X16" s="57"/>
    </row>
    <row r="17" spans="1:24" x14ac:dyDescent="0.25">
      <c r="A17" t="s">
        <v>52</v>
      </c>
      <c r="B17" s="38">
        <v>42867</v>
      </c>
      <c r="C17" s="39">
        <v>13187.01</v>
      </c>
      <c r="D17" s="39">
        <v>13188.97</v>
      </c>
      <c r="E17" s="39">
        <v>13076.87</v>
      </c>
      <c r="F17" s="41">
        <v>13112.98</v>
      </c>
      <c r="G17" s="44">
        <f t="shared" si="0"/>
        <v>0.39472639246262453</v>
      </c>
      <c r="H17" s="47" t="str">
        <f t="shared" si="1"/>
        <v>13112.98,</v>
      </c>
      <c r="I17" s="21"/>
      <c r="U17" s="56">
        <v>1</v>
      </c>
      <c r="V17" s="56"/>
      <c r="W17" s="56">
        <v>2</v>
      </c>
      <c r="X17" s="56"/>
    </row>
    <row r="18" spans="1:24" x14ac:dyDescent="0.25">
      <c r="A18" t="s">
        <v>53</v>
      </c>
      <c r="B18" s="38">
        <v>42866</v>
      </c>
      <c r="C18" s="39">
        <v>13189.34</v>
      </c>
      <c r="D18" s="39">
        <v>13215.77</v>
      </c>
      <c r="E18" s="39">
        <v>13158.03</v>
      </c>
      <c r="F18" s="41">
        <v>13167.6</v>
      </c>
      <c r="G18" s="44">
        <f t="shared" si="0"/>
        <v>0.79360810707120444</v>
      </c>
      <c r="H18" s="47" t="str">
        <f t="shared" si="1"/>
        <v>13167.6,</v>
      </c>
      <c r="I18" s="21"/>
      <c r="U18" s="49" t="s">
        <v>74</v>
      </c>
      <c r="V18" s="49" t="s">
        <v>75</v>
      </c>
      <c r="W18" s="49" t="s">
        <v>74</v>
      </c>
      <c r="X18" s="49" t="s">
        <v>75</v>
      </c>
    </row>
    <row r="19" spans="1:24" x14ac:dyDescent="0.25">
      <c r="A19" t="s">
        <v>54</v>
      </c>
      <c r="B19" s="38">
        <v>42865</v>
      </c>
      <c r="C19" s="39">
        <v>13058.63</v>
      </c>
      <c r="D19" s="39">
        <v>13158.46</v>
      </c>
      <c r="E19" s="39">
        <v>13058.29</v>
      </c>
      <c r="F19" s="41">
        <v>13151.07</v>
      </c>
      <c r="G19" s="44">
        <f t="shared" si="0"/>
        <v>0.6728919821631123</v>
      </c>
      <c r="H19" s="47" t="str">
        <f t="shared" si="1"/>
        <v>13151.07,</v>
      </c>
      <c r="I19" s="45">
        <f>G2*G34</f>
        <v>3.9807371567277801</v>
      </c>
      <c r="U19">
        <v>1.2</v>
      </c>
      <c r="V19">
        <v>3.4</v>
      </c>
      <c r="W19">
        <v>1</v>
      </c>
      <c r="X19">
        <v>10</v>
      </c>
    </row>
    <row r="20" spans="1:24" x14ac:dyDescent="0.25">
      <c r="A20" t="s">
        <v>55</v>
      </c>
      <c r="B20" s="38">
        <v>42864</v>
      </c>
      <c r="C20" s="39">
        <v>13022.55</v>
      </c>
      <c r="D20" s="39">
        <v>13052.12</v>
      </c>
      <c r="E20" s="39">
        <v>13000.87</v>
      </c>
      <c r="F20" s="41">
        <v>13027.62</v>
      </c>
      <c r="G20" s="44">
        <f t="shared" si="0"/>
        <v>-0.2286449579399274</v>
      </c>
      <c r="H20" s="47" t="str">
        <f t="shared" si="1"/>
        <v>13027.62,</v>
      </c>
      <c r="I20" s="45">
        <f t="shared" ref="I20:I48" si="5">G3*G35</f>
        <v>2.2317068580447414</v>
      </c>
      <c r="U20">
        <v>2</v>
      </c>
      <c r="V20">
        <v>3.3</v>
      </c>
      <c r="W20">
        <v>2</v>
      </c>
      <c r="X20">
        <v>9</v>
      </c>
    </row>
    <row r="21" spans="1:24" x14ac:dyDescent="0.25">
      <c r="A21" t="s">
        <v>56</v>
      </c>
      <c r="B21" s="38">
        <v>42863</v>
      </c>
      <c r="C21" s="39">
        <v>12984.03</v>
      </c>
      <c r="D21" s="39">
        <v>13029.14</v>
      </c>
      <c r="E21" s="39">
        <v>12976.94</v>
      </c>
      <c r="F21" s="41">
        <v>13001.19</v>
      </c>
      <c r="G21" s="44">
        <f t="shared" si="0"/>
        <v>-0.42165930647717981</v>
      </c>
      <c r="H21" s="47" t="str">
        <f t="shared" si="1"/>
        <v>13001.19,</v>
      </c>
      <c r="I21" s="45">
        <f t="shared" si="5"/>
        <v>0.93270708717827489</v>
      </c>
      <c r="U21">
        <v>2.5</v>
      </c>
      <c r="V21">
        <v>3</v>
      </c>
      <c r="W21">
        <v>3</v>
      </c>
      <c r="X21">
        <v>8</v>
      </c>
    </row>
    <row r="22" spans="1:24" x14ac:dyDescent="0.25">
      <c r="A22" t="s">
        <v>57</v>
      </c>
      <c r="B22" s="38">
        <v>42860</v>
      </c>
      <c r="C22" s="39">
        <v>13076.19</v>
      </c>
      <c r="D22" s="39">
        <v>13084.26</v>
      </c>
      <c r="E22" s="39">
        <v>12920.2</v>
      </c>
      <c r="F22" s="41">
        <v>12945.57</v>
      </c>
      <c r="G22" s="44">
        <f t="shared" si="0"/>
        <v>-0.82784387195739229</v>
      </c>
      <c r="H22" s="47" t="str">
        <f t="shared" si="1"/>
        <v>12945.57,</v>
      </c>
      <c r="I22" s="45">
        <f t="shared" si="5"/>
        <v>0.70376333428707516</v>
      </c>
      <c r="U22">
        <v>4</v>
      </c>
      <c r="V22">
        <v>5.5</v>
      </c>
      <c r="W22">
        <v>4</v>
      </c>
      <c r="X22">
        <v>7</v>
      </c>
    </row>
    <row r="23" spans="1:24" x14ac:dyDescent="0.25">
      <c r="A23" t="s">
        <v>58</v>
      </c>
      <c r="B23" s="38">
        <v>42859</v>
      </c>
      <c r="C23" s="39">
        <v>13050.72</v>
      </c>
      <c r="D23" s="39">
        <v>13070.43</v>
      </c>
      <c r="E23" s="39">
        <v>13019.9</v>
      </c>
      <c r="F23" s="41">
        <v>13062.14</v>
      </c>
      <c r="G23" s="44">
        <f t="shared" si="0"/>
        <v>2.3449454148820756E-2</v>
      </c>
      <c r="H23" s="47" t="str">
        <f t="shared" si="1"/>
        <v>13062.14,</v>
      </c>
      <c r="I23" s="45">
        <f t="shared" si="5"/>
        <v>0.43643678141284059</v>
      </c>
      <c r="U23">
        <v>3</v>
      </c>
      <c r="V23">
        <v>1.2</v>
      </c>
      <c r="W23">
        <v>5</v>
      </c>
      <c r="X23">
        <v>6</v>
      </c>
    </row>
    <row r="24" spans="1:24" x14ac:dyDescent="0.25">
      <c r="A24" t="s">
        <v>59</v>
      </c>
      <c r="B24" s="38">
        <v>42858</v>
      </c>
      <c r="C24" s="39">
        <v>13036.05</v>
      </c>
      <c r="D24" s="39">
        <v>13052.6</v>
      </c>
      <c r="E24" s="39">
        <v>12984.19</v>
      </c>
      <c r="F24" s="41">
        <v>12997.91</v>
      </c>
      <c r="G24" s="44">
        <f t="shared" si="0"/>
        <v>-0.44561265733613964</v>
      </c>
      <c r="H24" s="47" t="str">
        <f t="shared" si="1"/>
        <v>12997.91,</v>
      </c>
      <c r="I24" s="45">
        <f t="shared" si="5"/>
        <v>0.83858055090330719</v>
      </c>
      <c r="U24">
        <v>6</v>
      </c>
      <c r="V24">
        <v>2.4</v>
      </c>
      <c r="W24">
        <v>6</v>
      </c>
      <c r="X24">
        <v>5</v>
      </c>
    </row>
    <row r="25" spans="1:24" ht="15.75" thickBot="1" x14ac:dyDescent="0.3">
      <c r="A25" t="s">
        <v>60</v>
      </c>
      <c r="B25" s="38">
        <v>42857</v>
      </c>
      <c r="C25" s="39">
        <v>13016.89</v>
      </c>
      <c r="D25" s="39">
        <v>13057.46</v>
      </c>
      <c r="E25" s="39">
        <v>12941.37</v>
      </c>
      <c r="F25" s="41">
        <v>13006.66</v>
      </c>
      <c r="G25" s="44">
        <f t="shared" si="0"/>
        <v>-0.38171271220935415</v>
      </c>
      <c r="H25" s="47" t="str">
        <f t="shared" si="1"/>
        <v>13006.66,</v>
      </c>
      <c r="I25" s="45">
        <f t="shared" si="5"/>
        <v>-0.19476534616371452</v>
      </c>
      <c r="U25">
        <v>5.5</v>
      </c>
      <c r="V25">
        <v>3.2</v>
      </c>
      <c r="W25">
        <v>7</v>
      </c>
      <c r="X25">
        <v>4</v>
      </c>
    </row>
    <row r="26" spans="1:24" ht="16.5" thickTop="1" thickBot="1" x14ac:dyDescent="0.3">
      <c r="A26" t="s">
        <v>61</v>
      </c>
      <c r="B26" s="38">
        <v>42853</v>
      </c>
      <c r="C26" s="39">
        <v>13014.73</v>
      </c>
      <c r="D26" s="39">
        <v>13017.09</v>
      </c>
      <c r="E26" s="39">
        <v>12959.33</v>
      </c>
      <c r="F26" s="41">
        <v>12979.24</v>
      </c>
      <c r="G26" s="44">
        <f t="shared" si="0"/>
        <v>-0.58195688310952132</v>
      </c>
      <c r="H26" s="47" t="str">
        <f t="shared" si="1"/>
        <v>12979.24,</v>
      </c>
      <c r="I26" s="45">
        <f t="shared" si="5"/>
        <v>-0.36511360235680829</v>
      </c>
      <c r="J26" s="2" t="s">
        <v>77</v>
      </c>
      <c r="K26" s="2" t="s">
        <v>78</v>
      </c>
      <c r="L26" s="2" t="s">
        <v>79</v>
      </c>
      <c r="N26" s="46" t="s">
        <v>80</v>
      </c>
      <c r="U26">
        <v>6.3</v>
      </c>
      <c r="V26">
        <v>3.1</v>
      </c>
      <c r="W26" s="51">
        <f>CORREL(W19:W25,X19:X25)</f>
        <v>-1</v>
      </c>
    </row>
    <row r="27" spans="1:24" ht="16.5" thickTop="1" thickBot="1" x14ac:dyDescent="0.3">
      <c r="A27" t="s">
        <v>62</v>
      </c>
      <c r="B27" s="38">
        <v>42852</v>
      </c>
      <c r="C27" s="39">
        <v>13013.9</v>
      </c>
      <c r="D27" s="39">
        <v>13032.13</v>
      </c>
      <c r="E27" s="39">
        <v>12979.88</v>
      </c>
      <c r="F27" s="41">
        <v>12993.79</v>
      </c>
      <c r="G27" s="44">
        <f t="shared" si="0"/>
        <v>-0.47570040292725857</v>
      </c>
      <c r="H27" s="47" t="str">
        <f t="shared" si="1"/>
        <v>12993.79,</v>
      </c>
      <c r="I27" s="45">
        <f t="shared" si="5"/>
        <v>3.8442937284109219E-2</v>
      </c>
      <c r="J27" s="7">
        <f>1/N</f>
        <v>3.4482758620689655E-2</v>
      </c>
      <c r="K27" s="7">
        <f>SUM(I:I)</f>
        <v>18.283560440145845</v>
      </c>
      <c r="L27" s="48">
        <f>J27*K27</f>
        <v>0.63046760138433944</v>
      </c>
      <c r="N27" s="42">
        <f>L27-K7</f>
        <v>0</v>
      </c>
      <c r="U27">
        <v>7.1</v>
      </c>
      <c r="V27">
        <v>2.9</v>
      </c>
    </row>
    <row r="28" spans="1:24" ht="16.5" thickTop="1" thickBot="1" x14ac:dyDescent="0.3">
      <c r="A28" t="s">
        <v>63</v>
      </c>
      <c r="B28" s="38">
        <v>42851</v>
      </c>
      <c r="C28" s="39">
        <v>13019.13</v>
      </c>
      <c r="D28" s="39">
        <v>13053.04</v>
      </c>
      <c r="E28" s="39">
        <v>12924.67</v>
      </c>
      <c r="F28" s="41">
        <v>13005.91</v>
      </c>
      <c r="G28" s="44">
        <f t="shared" si="0"/>
        <v>-0.38718985036307862</v>
      </c>
      <c r="H28" s="47" t="str">
        <f t="shared" si="1"/>
        <v>13005.91,</v>
      </c>
      <c r="I28" s="45">
        <f t="shared" si="5"/>
        <v>0.21056241993266445</v>
      </c>
      <c r="U28">
        <v>5.4</v>
      </c>
      <c r="V28">
        <v>3.2</v>
      </c>
    </row>
    <row r="29" spans="1:24" ht="16.5" thickTop="1" thickBot="1" x14ac:dyDescent="0.3">
      <c r="A29" t="s">
        <v>64</v>
      </c>
      <c r="B29" s="38">
        <v>42850</v>
      </c>
      <c r="C29" s="39">
        <v>12919.14</v>
      </c>
      <c r="D29" s="39">
        <v>12987.25</v>
      </c>
      <c r="E29" s="39">
        <v>12908.2</v>
      </c>
      <c r="F29" s="41">
        <v>12982.49</v>
      </c>
      <c r="G29" s="44">
        <f t="shared" si="0"/>
        <v>-0.55822261777671522</v>
      </c>
      <c r="H29" s="47" t="str">
        <f t="shared" si="1"/>
        <v>12982.49,</v>
      </c>
      <c r="I29" s="45">
        <f t="shared" si="5"/>
        <v>8.8387825463574016E-2</v>
      </c>
      <c r="U29" s="50">
        <f>CORREL(U19:U28,V19:V28)</f>
        <v>-5.0600991587674081E-2</v>
      </c>
    </row>
    <row r="30" spans="1:24" ht="15.75" thickTop="1" x14ac:dyDescent="0.25">
      <c r="A30" t="s">
        <v>65</v>
      </c>
      <c r="B30" s="38">
        <v>42849</v>
      </c>
      <c r="C30" s="39">
        <v>12752.63</v>
      </c>
      <c r="D30" s="39">
        <v>12862.69</v>
      </c>
      <c r="E30" s="39">
        <v>12752.45</v>
      </c>
      <c r="F30" s="41">
        <v>12854.14</v>
      </c>
      <c r="G30" s="44">
        <f t="shared" si="0"/>
        <v>-1.4955435271507653</v>
      </c>
      <c r="H30" s="47" t="str">
        <f t="shared" si="1"/>
        <v>12854.14,</v>
      </c>
      <c r="I30" s="45">
        <f t="shared" si="5"/>
        <v>-0.38919863152213596</v>
      </c>
    </row>
    <row r="31" spans="1:24" x14ac:dyDescent="0.25">
      <c r="A31" t="s">
        <v>66</v>
      </c>
      <c r="B31" s="38">
        <v>42846</v>
      </c>
      <c r="C31" s="39">
        <v>12794.37</v>
      </c>
      <c r="D31" s="39">
        <v>12804.43</v>
      </c>
      <c r="E31" s="39">
        <v>12690.34</v>
      </c>
      <c r="F31" s="41">
        <v>12729.13</v>
      </c>
      <c r="G31" s="44">
        <f t="shared" si="0"/>
        <v>-2.4084729146135615</v>
      </c>
      <c r="H31" s="47" t="str">
        <f t="shared" si="1"/>
        <v>12729.13,</v>
      </c>
      <c r="I31" s="45">
        <f t="shared" si="5"/>
        <v>0.49510160212864457</v>
      </c>
    </row>
    <row r="32" spans="1:24" x14ac:dyDescent="0.25">
      <c r="G32" s="44"/>
      <c r="H32" s="47"/>
      <c r="I32" s="45">
        <f t="shared" si="5"/>
        <v>0.63908031664746157</v>
      </c>
      <c r="U32" t="str">
        <f>U19&amp;","</f>
        <v>1.2,</v>
      </c>
      <c r="V32" t="str">
        <f>V19&amp;","</f>
        <v>3.4,</v>
      </c>
      <c r="W32" t="str">
        <f t="shared" ref="W32:X32" si="6">W19&amp;","</f>
        <v>1,</v>
      </c>
      <c r="X32" t="str">
        <f t="shared" si="6"/>
        <v>10,</v>
      </c>
    </row>
    <row r="33" spans="1:24" x14ac:dyDescent="0.25">
      <c r="A33" s="37" t="s">
        <v>36</v>
      </c>
      <c r="B33" s="37" t="s">
        <v>31</v>
      </c>
      <c r="C33" s="37" t="s">
        <v>32</v>
      </c>
      <c r="D33" s="37" t="s">
        <v>33</v>
      </c>
      <c r="E33" s="37" t="s">
        <v>34</v>
      </c>
      <c r="F33" s="37" t="s">
        <v>35</v>
      </c>
      <c r="G33"/>
      <c r="H33" s="47"/>
      <c r="I33" s="45">
        <f t="shared" si="5"/>
        <v>-0.19666659935567099</v>
      </c>
      <c r="U33" t="str">
        <f t="shared" ref="U33:X33" si="7">U20&amp;","</f>
        <v>2,</v>
      </c>
      <c r="V33" t="str">
        <f t="shared" si="7"/>
        <v>3.3,</v>
      </c>
      <c r="W33" t="str">
        <f t="shared" si="7"/>
        <v>2,</v>
      </c>
      <c r="X33" t="str">
        <f t="shared" si="7"/>
        <v>9,</v>
      </c>
    </row>
    <row r="34" spans="1:24" x14ac:dyDescent="0.25">
      <c r="A34" t="s">
        <v>67</v>
      </c>
      <c r="B34" s="38">
        <v>42888</v>
      </c>
      <c r="C34" s="39">
        <v>2431.2800000000002</v>
      </c>
      <c r="D34" s="39">
        <v>2440.23</v>
      </c>
      <c r="E34" s="39">
        <v>2427.71</v>
      </c>
      <c r="F34" s="41">
        <v>2439.0700000000002</v>
      </c>
      <c r="G34" s="44">
        <f t="shared" ref="G34:G63" si="8">(F34-yBar)/ySigma</f>
        <v>2.3566417102895842</v>
      </c>
      <c r="H34" s="47" t="str">
        <f t="shared" si="1"/>
        <v>2439.07,</v>
      </c>
      <c r="I34" s="45">
        <f t="shared" si="5"/>
        <v>-3.7739594314001026E-3</v>
      </c>
      <c r="U34" t="str">
        <f t="shared" ref="U34:X34" si="9">U21&amp;","</f>
        <v>2.5,</v>
      </c>
      <c r="V34" t="str">
        <f t="shared" si="9"/>
        <v>3,</v>
      </c>
      <c r="W34" t="str">
        <f t="shared" si="9"/>
        <v>3,</v>
      </c>
      <c r="X34" t="str">
        <f t="shared" si="9"/>
        <v>8,</v>
      </c>
    </row>
    <row r="35" spans="1:24" x14ac:dyDescent="0.25">
      <c r="A35" t="s">
        <v>67</v>
      </c>
      <c r="B35" s="38">
        <v>42887</v>
      </c>
      <c r="C35" s="39">
        <v>2415.65</v>
      </c>
      <c r="D35" s="39">
        <v>2430.06</v>
      </c>
      <c r="E35" s="39">
        <v>2413.54</v>
      </c>
      <c r="F35" s="41">
        <v>2430.06</v>
      </c>
      <c r="G35" s="44">
        <f t="shared" si="8"/>
        <v>1.8789476486233743</v>
      </c>
      <c r="H35" s="47" t="str">
        <f t="shared" si="1"/>
        <v>2430.06,</v>
      </c>
      <c r="I35" s="45">
        <f t="shared" si="5"/>
        <v>0.21078513337378138</v>
      </c>
      <c r="U35" t="str">
        <f t="shared" ref="U35:X35" si="10">U22&amp;","</f>
        <v>4,</v>
      </c>
      <c r="V35" t="str">
        <f t="shared" si="10"/>
        <v>5.5,</v>
      </c>
      <c r="W35" t="str">
        <f t="shared" si="10"/>
        <v>4,</v>
      </c>
      <c r="X35" t="str">
        <f t="shared" si="10"/>
        <v>7,</v>
      </c>
    </row>
    <row r="36" spans="1:24" x14ac:dyDescent="0.25">
      <c r="A36" t="s">
        <v>67</v>
      </c>
      <c r="B36" s="38">
        <v>42886</v>
      </c>
      <c r="C36" s="39">
        <v>2415.63</v>
      </c>
      <c r="D36" s="39">
        <v>2415.9899999999998</v>
      </c>
      <c r="E36" s="39">
        <v>2403.59</v>
      </c>
      <c r="F36" s="41">
        <v>2411.8000000000002</v>
      </c>
      <c r="G36" s="44">
        <f t="shared" si="8"/>
        <v>0.91083515516891644</v>
      </c>
      <c r="H36" s="47" t="str">
        <f t="shared" si="1"/>
        <v>2411.8,</v>
      </c>
      <c r="I36" s="45">
        <f t="shared" si="5"/>
        <v>8.2041821725844094E-2</v>
      </c>
      <c r="U36" t="str">
        <f t="shared" ref="U36:X36" si="11">U23&amp;","</f>
        <v>3,</v>
      </c>
      <c r="V36" t="str">
        <f t="shared" si="11"/>
        <v>1.2,</v>
      </c>
      <c r="W36" t="str">
        <f t="shared" si="11"/>
        <v>5,</v>
      </c>
      <c r="X36" t="str">
        <f t="shared" si="11"/>
        <v>6,</v>
      </c>
    </row>
    <row r="37" spans="1:24" x14ac:dyDescent="0.25">
      <c r="A37" t="s">
        <v>67</v>
      </c>
      <c r="B37" s="38">
        <v>42885</v>
      </c>
      <c r="C37" s="39">
        <v>2411.67</v>
      </c>
      <c r="D37" s="39">
        <v>2415.2600000000002</v>
      </c>
      <c r="E37" s="39">
        <v>2409.4299999999998</v>
      </c>
      <c r="F37" s="41">
        <v>2412.91</v>
      </c>
      <c r="G37" s="44">
        <f t="shared" si="8"/>
        <v>0.96968536698349173</v>
      </c>
      <c r="H37" s="47" t="str">
        <f t="shared" si="1"/>
        <v>2412.91,</v>
      </c>
      <c r="I37" s="45">
        <f t="shared" si="5"/>
        <v>-5.7698326800214313E-2</v>
      </c>
      <c r="U37" t="str">
        <f t="shared" ref="U37:X37" si="12">U24&amp;","</f>
        <v>6,</v>
      </c>
      <c r="V37" t="str">
        <f t="shared" si="12"/>
        <v>2.4,</v>
      </c>
      <c r="W37" t="str">
        <f t="shared" si="12"/>
        <v>6,</v>
      </c>
      <c r="X37" t="str">
        <f t="shared" si="12"/>
        <v>5,</v>
      </c>
    </row>
    <row r="38" spans="1:24" x14ac:dyDescent="0.25">
      <c r="A38" t="s">
        <v>67</v>
      </c>
      <c r="B38" s="38">
        <v>42881</v>
      </c>
      <c r="C38" s="39">
        <v>2414.5</v>
      </c>
      <c r="D38" s="39">
        <v>2416.6799999999998</v>
      </c>
      <c r="E38" s="39">
        <v>2412.1999999999998</v>
      </c>
      <c r="F38" s="41">
        <v>2415.8200000000002</v>
      </c>
      <c r="G38" s="44">
        <f t="shared" si="8"/>
        <v>1.1239683547136565</v>
      </c>
      <c r="H38" s="47" t="str">
        <f t="shared" si="1"/>
        <v>2415.82,</v>
      </c>
      <c r="I38" s="45">
        <f t="shared" si="5"/>
        <v>-0.10439329899472492</v>
      </c>
      <c r="U38" t="str">
        <f t="shared" ref="U38:X38" si="13">U25&amp;","</f>
        <v>5.5,</v>
      </c>
      <c r="V38" t="str">
        <f t="shared" si="13"/>
        <v>3.2,</v>
      </c>
      <c r="W38" t="str">
        <f t="shared" si="13"/>
        <v>7,</v>
      </c>
      <c r="X38" t="str">
        <f t="shared" si="13"/>
        <v>4,</v>
      </c>
    </row>
    <row r="39" spans="1:24" x14ac:dyDescent="0.25">
      <c r="A39" t="s">
        <v>67</v>
      </c>
      <c r="B39" s="38">
        <v>42880</v>
      </c>
      <c r="C39" s="39">
        <v>2409.54</v>
      </c>
      <c r="D39" s="39">
        <v>2418.71</v>
      </c>
      <c r="E39" s="39">
        <v>2408.0100000000002</v>
      </c>
      <c r="F39" s="41">
        <v>2415.0700000000002</v>
      </c>
      <c r="G39" s="44">
        <f t="shared" si="8"/>
        <v>1.0842046980821749</v>
      </c>
      <c r="H39" s="47" t="str">
        <f t="shared" si="1"/>
        <v>2415.07,</v>
      </c>
      <c r="I39" s="45">
        <f t="shared" si="5"/>
        <v>0.22385770665552115</v>
      </c>
      <c r="U39" t="str">
        <f t="shared" ref="U39:X39" si="14">U26&amp;","</f>
        <v>6.3,</v>
      </c>
      <c r="V39" t="str">
        <f t="shared" si="14"/>
        <v>3.1,</v>
      </c>
      <c r="W39" t="str">
        <f t="shared" si="14"/>
        <v>-1,</v>
      </c>
      <c r="X39" t="str">
        <f t="shared" si="14"/>
        <v>,</v>
      </c>
    </row>
    <row r="40" spans="1:24" x14ac:dyDescent="0.25">
      <c r="A40" t="s">
        <v>67</v>
      </c>
      <c r="B40" s="38">
        <v>42879</v>
      </c>
      <c r="C40" s="39">
        <v>2401.41</v>
      </c>
      <c r="D40" s="39">
        <v>2405.58</v>
      </c>
      <c r="E40" s="39">
        <v>2397.9899999999998</v>
      </c>
      <c r="F40" s="41">
        <v>2404.39</v>
      </c>
      <c r="G40" s="44">
        <f t="shared" si="8"/>
        <v>0.51797022764986245</v>
      </c>
      <c r="H40" s="47" t="str">
        <f t="shared" si="1"/>
        <v>2404.39,</v>
      </c>
      <c r="I40" s="45">
        <f t="shared" si="5"/>
        <v>-8.0690943078461363E-3</v>
      </c>
      <c r="U40" t="str">
        <f t="shared" ref="U40:X40" si="15">U27&amp;","</f>
        <v>7.1,</v>
      </c>
      <c r="V40" t="str">
        <f t="shared" si="15"/>
        <v>2.9,</v>
      </c>
      <c r="W40" t="str">
        <f t="shared" si="15"/>
        <v>,</v>
      </c>
      <c r="X40" t="str">
        <f t="shared" si="15"/>
        <v>,</v>
      </c>
    </row>
    <row r="41" spans="1:24" x14ac:dyDescent="0.25">
      <c r="A41" t="s">
        <v>67</v>
      </c>
      <c r="B41" s="38">
        <v>42878</v>
      </c>
      <c r="C41" s="39">
        <v>2397.04</v>
      </c>
      <c r="D41" s="39">
        <v>2400.85</v>
      </c>
      <c r="E41" s="39">
        <v>2393.88</v>
      </c>
      <c r="F41" s="41">
        <v>2398.42</v>
      </c>
      <c r="G41" s="44">
        <f t="shared" si="8"/>
        <v>0.20145152086328005</v>
      </c>
      <c r="H41" s="47" t="str">
        <f t="shared" si="1"/>
        <v>2398.42,</v>
      </c>
      <c r="I41" s="45">
        <f t="shared" si="5"/>
        <v>8.1516143200951213E-2</v>
      </c>
      <c r="U41" t="str">
        <f t="shared" ref="U41:X41" si="16">U28&amp;","</f>
        <v>5.4,</v>
      </c>
      <c r="V41" t="str">
        <f t="shared" si="16"/>
        <v>3.2,</v>
      </c>
      <c r="W41" t="str">
        <f t="shared" si="16"/>
        <v>,</v>
      </c>
      <c r="X41" t="str">
        <f t="shared" si="16"/>
        <v>,</v>
      </c>
    </row>
    <row r="42" spans="1:24" x14ac:dyDescent="0.25">
      <c r="A42" t="s">
        <v>67</v>
      </c>
      <c r="B42" s="38">
        <v>42877</v>
      </c>
      <c r="C42" s="39">
        <v>2387.21</v>
      </c>
      <c r="D42" s="39">
        <v>2395.46</v>
      </c>
      <c r="E42" s="39">
        <v>2386.92</v>
      </c>
      <c r="F42" s="41">
        <v>2394.02</v>
      </c>
      <c r="G42" s="44">
        <f t="shared" si="8"/>
        <v>-3.1828598041416446E-2</v>
      </c>
      <c r="H42" s="47" t="str">
        <f t="shared" si="1"/>
        <v>2394.02,</v>
      </c>
      <c r="I42" s="45">
        <f t="shared" si="5"/>
        <v>0.12730203171452459</v>
      </c>
      <c r="U42" t="str">
        <f t="shared" ref="U42:X42" si="17">U29&amp;","</f>
        <v>-0.0506009915876741,</v>
      </c>
      <c r="V42" t="str">
        <f t="shared" si="17"/>
        <v>,</v>
      </c>
      <c r="W42" t="str">
        <f t="shared" si="17"/>
        <v>,</v>
      </c>
      <c r="X42" t="str">
        <f t="shared" si="17"/>
        <v>,</v>
      </c>
    </row>
    <row r="43" spans="1:24" x14ac:dyDescent="0.25">
      <c r="A43" t="s">
        <v>67</v>
      </c>
      <c r="B43" s="38">
        <v>42874</v>
      </c>
      <c r="C43" s="39">
        <v>2371.37</v>
      </c>
      <c r="D43" s="39">
        <v>2389.06</v>
      </c>
      <c r="E43" s="39">
        <v>2370.4299999999998</v>
      </c>
      <c r="F43" s="41">
        <v>2381.73</v>
      </c>
      <c r="G43" s="44">
        <f t="shared" si="8"/>
        <v>-0.68342238470929195</v>
      </c>
      <c r="H43" s="47" t="str">
        <f t="shared" si="1"/>
        <v>2381.73,</v>
      </c>
      <c r="I43" s="45">
        <f t="shared" si="5"/>
        <v>0.32151221128535956</v>
      </c>
    </row>
    <row r="44" spans="1:24" x14ac:dyDescent="0.25">
      <c r="A44" t="s">
        <v>67</v>
      </c>
      <c r="B44" s="38">
        <v>42873</v>
      </c>
      <c r="C44" s="39">
        <v>2354.69</v>
      </c>
      <c r="D44" s="39">
        <v>2375.7399999999998</v>
      </c>
      <c r="E44" s="39">
        <v>2352.7199999999998</v>
      </c>
      <c r="F44" s="41">
        <v>2365.7199999999998</v>
      </c>
      <c r="G44" s="44">
        <f t="shared" si="8"/>
        <v>-1.5322439082693293</v>
      </c>
      <c r="H44" s="47" t="str">
        <f t="shared" si="1"/>
        <v>2365.72,</v>
      </c>
      <c r="I44" s="45">
        <f t="shared" si="5"/>
        <v>0.14754998928311003</v>
      </c>
    </row>
    <row r="45" spans="1:24" x14ac:dyDescent="0.25">
      <c r="A45" t="s">
        <v>67</v>
      </c>
      <c r="B45" s="38">
        <v>42872</v>
      </c>
      <c r="C45" s="39">
        <v>2382.9499999999998</v>
      </c>
      <c r="D45" s="39">
        <v>2384.87</v>
      </c>
      <c r="E45" s="39">
        <v>2356.21</v>
      </c>
      <c r="F45" s="41">
        <v>2357.0300000000002</v>
      </c>
      <c r="G45" s="44">
        <f t="shared" si="8"/>
        <v>-1.9929721431060743</v>
      </c>
      <c r="H45" s="47" t="str">
        <f t="shared" si="1"/>
        <v>2357.03,</v>
      </c>
      <c r="I45" s="45">
        <f t="shared" si="5"/>
        <v>0.14719340823956784</v>
      </c>
    </row>
    <row r="46" spans="1:24" x14ac:dyDescent="0.25">
      <c r="A46" t="s">
        <v>67</v>
      </c>
      <c r="B46" s="38">
        <v>42871</v>
      </c>
      <c r="C46" s="39">
        <v>2404.5500000000002</v>
      </c>
      <c r="D46" s="39">
        <v>2405.77</v>
      </c>
      <c r="E46" s="39">
        <v>2396.0500000000002</v>
      </c>
      <c r="F46" s="41">
        <v>2400.67</v>
      </c>
      <c r="G46" s="44">
        <f t="shared" si="8"/>
        <v>0.32074249075772465</v>
      </c>
      <c r="H46" s="47" t="str">
        <f t="shared" si="1"/>
        <v>2400.67,</v>
      </c>
      <c r="I46" s="45">
        <f t="shared" si="5"/>
        <v>0.17788160493197447</v>
      </c>
    </row>
    <row r="47" spans="1:24" x14ac:dyDescent="0.25">
      <c r="A47" t="s">
        <v>67</v>
      </c>
      <c r="B47" s="38">
        <v>42870</v>
      </c>
      <c r="C47" s="39">
        <v>2393.98</v>
      </c>
      <c r="D47" s="39">
        <v>2404.0500000000002</v>
      </c>
      <c r="E47" s="39">
        <v>2393.94</v>
      </c>
      <c r="F47" s="41">
        <v>2402.3200000000002</v>
      </c>
      <c r="G47" s="44">
        <f t="shared" si="8"/>
        <v>0.40822253534698888</v>
      </c>
      <c r="H47" s="47" t="str">
        <f t="shared" si="1"/>
        <v>2402.32,</v>
      </c>
      <c r="I47" s="45">
        <f t="shared" si="5"/>
        <v>1.6231139997968735</v>
      </c>
    </row>
    <row r="48" spans="1:24" x14ac:dyDescent="0.25">
      <c r="A48" t="s">
        <v>67</v>
      </c>
      <c r="B48" s="38">
        <v>42867</v>
      </c>
      <c r="C48" s="39">
        <v>2392.44</v>
      </c>
      <c r="D48" s="39">
        <v>2392.44</v>
      </c>
      <c r="E48" s="39">
        <v>2387.19</v>
      </c>
      <c r="F48" s="41">
        <v>2390.9</v>
      </c>
      <c r="G48" s="44">
        <f t="shared" si="8"/>
        <v>-0.19724540962837384</v>
      </c>
      <c r="H48" s="47" t="str">
        <f t="shared" si="1"/>
        <v>2390.9,</v>
      </c>
      <c r="I48" s="45">
        <f t="shared" si="5"/>
        <v>5.8649783788603811</v>
      </c>
    </row>
    <row r="49" spans="1:9" x14ac:dyDescent="0.25">
      <c r="A49" t="s">
        <v>67</v>
      </c>
      <c r="B49" s="38">
        <v>42866</v>
      </c>
      <c r="C49" s="39">
        <v>2394.84</v>
      </c>
      <c r="D49" s="39">
        <v>2395.7199999999998</v>
      </c>
      <c r="E49" s="39">
        <v>2381.7399999999998</v>
      </c>
      <c r="F49" s="41">
        <v>2394.44</v>
      </c>
      <c r="G49" s="44">
        <f t="shared" si="8"/>
        <v>-9.5609503277829279E-3</v>
      </c>
      <c r="H49" s="47" t="str">
        <f t="shared" si="1"/>
        <v>2394.44,</v>
      </c>
      <c r="I49" s="21"/>
    </row>
    <row r="50" spans="1:9" x14ac:dyDescent="0.25">
      <c r="A50" t="s">
        <v>67</v>
      </c>
      <c r="B50" s="38">
        <v>42865</v>
      </c>
      <c r="C50" s="39">
        <v>2396.79</v>
      </c>
      <c r="D50" s="39">
        <v>2399.7399999999998</v>
      </c>
      <c r="E50" s="39">
        <v>2392.79</v>
      </c>
      <c r="F50" s="41">
        <v>2399.63</v>
      </c>
      <c r="G50" s="44">
        <f t="shared" si="8"/>
        <v>0.26560355356207221</v>
      </c>
      <c r="H50" s="47" t="str">
        <f t="shared" si="1"/>
        <v>2399.63,</v>
      </c>
      <c r="I50" s="21"/>
    </row>
    <row r="51" spans="1:9" x14ac:dyDescent="0.25">
      <c r="A51" t="s">
        <v>67</v>
      </c>
      <c r="B51" s="38">
        <v>42864</v>
      </c>
      <c r="C51" s="39">
        <v>2401.58</v>
      </c>
      <c r="D51" s="39">
        <v>2403.87</v>
      </c>
      <c r="E51" s="39">
        <v>2392.44</v>
      </c>
      <c r="F51" s="41">
        <v>2396.92</v>
      </c>
      <c r="G51" s="44">
        <f t="shared" si="8"/>
        <v>0.12192420760031698</v>
      </c>
      <c r="H51" s="47" t="str">
        <f t="shared" si="1"/>
        <v>2396.92,</v>
      </c>
      <c r="I51" s="21"/>
    </row>
    <row r="52" spans="1:9" x14ac:dyDescent="0.25">
      <c r="A52" t="s">
        <v>67</v>
      </c>
      <c r="B52" s="38">
        <v>42863</v>
      </c>
      <c r="C52" s="39">
        <v>2399.94</v>
      </c>
      <c r="D52" s="39">
        <v>2401.36</v>
      </c>
      <c r="E52" s="39">
        <v>2393.92</v>
      </c>
      <c r="F52" s="41">
        <v>2399.38</v>
      </c>
      <c r="G52" s="44">
        <f t="shared" si="8"/>
        <v>0.25234900135157834</v>
      </c>
      <c r="H52" s="47" t="str">
        <f t="shared" si="1"/>
        <v>2399.38,</v>
      </c>
      <c r="I52" s="21"/>
    </row>
    <row r="53" spans="1:9" x14ac:dyDescent="0.25">
      <c r="A53" t="s">
        <v>67</v>
      </c>
      <c r="B53" s="38">
        <v>42860</v>
      </c>
      <c r="C53" s="39">
        <v>2392.37</v>
      </c>
      <c r="D53" s="39">
        <v>2399.29</v>
      </c>
      <c r="E53" s="39">
        <v>2389.38</v>
      </c>
      <c r="F53" s="41">
        <v>2399.29</v>
      </c>
      <c r="G53" s="44">
        <f t="shared" si="8"/>
        <v>0.24757736255579285</v>
      </c>
      <c r="H53" s="47" t="str">
        <f t="shared" si="1"/>
        <v>2399.29,</v>
      </c>
      <c r="I53" s="21"/>
    </row>
    <row r="54" spans="1:9" x14ac:dyDescent="0.25">
      <c r="A54" t="s">
        <v>67</v>
      </c>
      <c r="B54" s="38">
        <v>42859</v>
      </c>
      <c r="C54" s="39">
        <v>2389.79</v>
      </c>
      <c r="D54" s="39">
        <v>2391.4299999999998</v>
      </c>
      <c r="E54" s="39">
        <v>2380.35</v>
      </c>
      <c r="F54" s="41">
        <v>2389.52</v>
      </c>
      <c r="G54" s="44">
        <f t="shared" si="8"/>
        <v>-0.27041053783030566</v>
      </c>
      <c r="H54" s="47" t="str">
        <f t="shared" si="1"/>
        <v>2389.52,</v>
      </c>
      <c r="I54" s="21"/>
    </row>
    <row r="55" spans="1:9" x14ac:dyDescent="0.25">
      <c r="A55" t="s">
        <v>67</v>
      </c>
      <c r="B55" s="38">
        <v>42858</v>
      </c>
      <c r="C55" s="39">
        <v>2386.5</v>
      </c>
      <c r="D55" s="39">
        <v>2389.8200000000002</v>
      </c>
      <c r="E55" s="39">
        <v>2379.75</v>
      </c>
      <c r="F55" s="41">
        <v>2388.13</v>
      </c>
      <c r="G55" s="44">
        <f t="shared" si="8"/>
        <v>-0.34410584812064471</v>
      </c>
      <c r="H55" s="47" t="str">
        <f t="shared" si="1"/>
        <v>2388.13,</v>
      </c>
      <c r="I55" s="21"/>
    </row>
    <row r="56" spans="1:9" x14ac:dyDescent="0.25">
      <c r="A56" t="s">
        <v>67</v>
      </c>
      <c r="B56" s="38">
        <v>42857</v>
      </c>
      <c r="C56" s="39">
        <v>2391.0500000000002</v>
      </c>
      <c r="D56" s="39">
        <v>2392.9299999999998</v>
      </c>
      <c r="E56" s="39">
        <v>2385.8200000000002</v>
      </c>
      <c r="F56" s="41">
        <v>2391.17</v>
      </c>
      <c r="G56" s="44">
        <f t="shared" si="8"/>
        <v>-0.18293049324104146</v>
      </c>
      <c r="H56" s="47" t="str">
        <f t="shared" si="1"/>
        <v>2391.17,</v>
      </c>
      <c r="I56" s="21"/>
    </row>
    <row r="57" spans="1:9" x14ac:dyDescent="0.25">
      <c r="A57" t="s">
        <v>67</v>
      </c>
      <c r="B57" s="38">
        <v>42856</v>
      </c>
      <c r="C57" s="39">
        <v>2388.5</v>
      </c>
      <c r="D57" s="39">
        <v>2394.4899999999998</v>
      </c>
      <c r="E57" s="39">
        <v>2384.83</v>
      </c>
      <c r="F57" s="41">
        <v>2388.33</v>
      </c>
      <c r="G57" s="44">
        <f t="shared" si="8"/>
        <v>-0.33350220635225925</v>
      </c>
      <c r="H57" s="47" t="str">
        <f t="shared" si="1"/>
        <v>2388.33,</v>
      </c>
      <c r="I57" s="21"/>
    </row>
    <row r="58" spans="1:9" x14ac:dyDescent="0.25">
      <c r="A58" t="s">
        <v>67</v>
      </c>
      <c r="B58" s="38">
        <v>42853</v>
      </c>
      <c r="C58" s="39">
        <v>2393.6799999999998</v>
      </c>
      <c r="D58" s="39">
        <v>2393.6799999999998</v>
      </c>
      <c r="E58" s="39">
        <v>2382.36</v>
      </c>
      <c r="F58" s="41">
        <v>2384.1999999999998</v>
      </c>
      <c r="G58" s="44">
        <f t="shared" si="8"/>
        <v>-0.55246740886962342</v>
      </c>
      <c r="H58" s="47" t="str">
        <f t="shared" si="1"/>
        <v>2384.2,</v>
      </c>
      <c r="I58" s="21"/>
    </row>
    <row r="59" spans="1:9" x14ac:dyDescent="0.25">
      <c r="A59" t="s">
        <v>67</v>
      </c>
      <c r="B59" s="38">
        <v>42852</v>
      </c>
      <c r="C59" s="39">
        <v>2389.6999999999998</v>
      </c>
      <c r="D59" s="39">
        <v>2392.1</v>
      </c>
      <c r="E59" s="39">
        <v>2382.6799999999998</v>
      </c>
      <c r="F59" s="41">
        <v>2388.77</v>
      </c>
      <c r="G59" s="44">
        <f t="shared" si="8"/>
        <v>-0.31017419446178718</v>
      </c>
      <c r="H59" s="47" t="str">
        <f t="shared" si="1"/>
        <v>2388.77,</v>
      </c>
      <c r="I59" s="21"/>
    </row>
    <row r="60" spans="1:9" x14ac:dyDescent="0.25">
      <c r="A60" t="s">
        <v>67</v>
      </c>
      <c r="B60" s="38">
        <v>42851</v>
      </c>
      <c r="C60" s="39">
        <v>2388.98</v>
      </c>
      <c r="D60" s="39">
        <v>2398.16</v>
      </c>
      <c r="E60" s="39">
        <v>2386.7800000000002</v>
      </c>
      <c r="F60" s="41">
        <v>2387.4499999999998</v>
      </c>
      <c r="G60" s="44">
        <f t="shared" si="8"/>
        <v>-0.38015823013320338</v>
      </c>
      <c r="H60" s="47" t="str">
        <f t="shared" si="1"/>
        <v>2387.45,</v>
      </c>
      <c r="I60" s="21"/>
    </row>
    <row r="61" spans="1:9" x14ac:dyDescent="0.25">
      <c r="A61" t="s">
        <v>67</v>
      </c>
      <c r="B61" s="38">
        <v>42850</v>
      </c>
      <c r="C61" s="39">
        <v>2381.5100000000002</v>
      </c>
      <c r="D61" s="39">
        <v>2392.48</v>
      </c>
      <c r="E61" s="39">
        <v>2381.15</v>
      </c>
      <c r="F61" s="41">
        <v>2388.61</v>
      </c>
      <c r="G61" s="44">
        <f t="shared" si="8"/>
        <v>-0.31865710787649554</v>
      </c>
      <c r="H61" s="47" t="str">
        <f t="shared" si="1"/>
        <v>2388.61,</v>
      </c>
      <c r="I61" s="21"/>
    </row>
    <row r="62" spans="1:9" x14ac:dyDescent="0.25">
      <c r="A62" t="s">
        <v>67</v>
      </c>
      <c r="B62" s="38">
        <v>42849</v>
      </c>
      <c r="C62" s="39">
        <v>2370.33</v>
      </c>
      <c r="D62" s="39">
        <v>2376.98</v>
      </c>
      <c r="E62" s="39">
        <v>2369.19</v>
      </c>
      <c r="F62" s="41">
        <v>2374.15</v>
      </c>
      <c r="G62" s="44">
        <f t="shared" si="8"/>
        <v>-1.0853004077314614</v>
      </c>
      <c r="H62" s="47" t="str">
        <f t="shared" si="1"/>
        <v>2374.15,</v>
      </c>
      <c r="I62" s="21"/>
    </row>
    <row r="63" spans="1:9" x14ac:dyDescent="0.25">
      <c r="A63" t="s">
        <v>67</v>
      </c>
      <c r="B63" s="38">
        <v>42846</v>
      </c>
      <c r="C63" s="39">
        <v>2354.7399999999998</v>
      </c>
      <c r="D63" s="39">
        <v>2356.1799999999998</v>
      </c>
      <c r="E63" s="39">
        <v>2344.5100000000002</v>
      </c>
      <c r="F63" s="41">
        <v>2348.69</v>
      </c>
      <c r="G63" s="44">
        <f t="shared" si="8"/>
        <v>-2.4351440048481567</v>
      </c>
      <c r="H63" s="47" t="str">
        <f t="shared" si="1"/>
        <v>2348.69,</v>
      </c>
      <c r="I63" s="21"/>
    </row>
  </sheetData>
  <mergeCells count="3">
    <mergeCell ref="U17:V17"/>
    <mergeCell ref="W17:X17"/>
    <mergeCell ref="U16:X1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abSelected="1" workbookViewId="0">
      <selection activeCell="J9" sqref="J9"/>
    </sheetView>
  </sheetViews>
  <sheetFormatPr defaultColWidth="23.7109375" defaultRowHeight="15" x14ac:dyDescent="0.25"/>
  <cols>
    <col min="1" max="2" width="23.7109375" style="58"/>
    <col min="3" max="3" width="54.140625" style="58" customWidth="1"/>
    <col min="4" max="5" width="23.7109375" style="58"/>
  </cols>
  <sheetData>
    <row r="1" spans="1:5" x14ac:dyDescent="0.25">
      <c r="A1" s="58" t="s">
        <v>82</v>
      </c>
      <c r="B1" s="58" t="s">
        <v>87</v>
      </c>
      <c r="C1" s="58" t="s">
        <v>83</v>
      </c>
      <c r="D1" s="58" t="s">
        <v>84</v>
      </c>
      <c r="E1" s="58" t="s">
        <v>85</v>
      </c>
    </row>
    <row r="2" spans="1:5" ht="45" x14ac:dyDescent="0.25">
      <c r="A2" s="59" t="s">
        <v>86</v>
      </c>
      <c r="B2" s="59" t="s">
        <v>88</v>
      </c>
      <c r="C2" s="59" t="s">
        <v>89</v>
      </c>
      <c r="D2" s="59"/>
      <c r="E2" s="59" t="s">
        <v>97</v>
      </c>
    </row>
    <row r="3" spans="1:5" ht="75" x14ac:dyDescent="0.25">
      <c r="A3" s="59" t="s">
        <v>90</v>
      </c>
      <c r="B3" s="59" t="s">
        <v>91</v>
      </c>
      <c r="C3" s="59" t="s">
        <v>92</v>
      </c>
      <c r="D3" s="59"/>
      <c r="E3" s="59" t="s">
        <v>98</v>
      </c>
    </row>
    <row r="4" spans="1:5" ht="45" x14ac:dyDescent="0.25">
      <c r="A4" s="59" t="s">
        <v>93</v>
      </c>
      <c r="B4" s="59" t="s">
        <v>94</v>
      </c>
      <c r="C4" s="59" t="s">
        <v>95</v>
      </c>
      <c r="D4" s="60" t="s">
        <v>99</v>
      </c>
      <c r="E4" s="59" t="s">
        <v>96</v>
      </c>
    </row>
    <row r="5" spans="1:5" ht="30" x14ac:dyDescent="0.25">
      <c r="A5" s="59" t="s">
        <v>100</v>
      </c>
      <c r="B5" s="59" t="s">
        <v>101</v>
      </c>
      <c r="C5" s="59" t="s">
        <v>102</v>
      </c>
      <c r="D5" s="59"/>
      <c r="E5" s="59" t="s">
        <v>103</v>
      </c>
    </row>
    <row r="6" spans="1:5" ht="90" x14ac:dyDescent="0.25">
      <c r="A6" s="59" t="s">
        <v>104</v>
      </c>
      <c r="B6" s="59" t="s">
        <v>105</v>
      </c>
      <c r="C6" s="59" t="s">
        <v>106</v>
      </c>
      <c r="D6" s="59"/>
      <c r="E6" s="59" t="s">
        <v>107</v>
      </c>
    </row>
    <row r="7" spans="1:5" x14ac:dyDescent="0.25">
      <c r="A7" s="59"/>
      <c r="B7" s="59"/>
      <c r="C7" s="59"/>
      <c r="D7" s="59"/>
      <c r="E7" s="59"/>
    </row>
    <row r="8" spans="1:5" ht="60" x14ac:dyDescent="0.25">
      <c r="A8" s="59" t="s">
        <v>108</v>
      </c>
      <c r="B8" s="59" t="s">
        <v>109</v>
      </c>
      <c r="C8" s="59" t="s">
        <v>110</v>
      </c>
      <c r="D8" s="59"/>
      <c r="E8" s="59" t="s">
        <v>111</v>
      </c>
    </row>
    <row r="9" spans="1:5" ht="90" x14ac:dyDescent="0.25">
      <c r="A9" s="59" t="s">
        <v>112</v>
      </c>
      <c r="B9" s="59" t="s">
        <v>113</v>
      </c>
      <c r="C9" s="59" t="s">
        <v>114</v>
      </c>
      <c r="D9" s="59"/>
      <c r="E9" s="59" t="s">
        <v>115</v>
      </c>
    </row>
    <row r="10" spans="1:5" x14ac:dyDescent="0.25">
      <c r="A10" s="59"/>
      <c r="B10" s="59"/>
      <c r="C10" s="59"/>
      <c r="D10" s="59"/>
      <c r="E10" s="59"/>
    </row>
    <row r="11" spans="1:5" x14ac:dyDescent="0.25">
      <c r="A11" s="59"/>
      <c r="B11" s="59"/>
      <c r="C11" s="59"/>
      <c r="D11" s="59"/>
      <c r="E11" s="59"/>
    </row>
    <row r="12" spans="1:5" x14ac:dyDescent="0.25">
      <c r="A12" s="59"/>
      <c r="B12" s="59"/>
      <c r="C12" s="59"/>
      <c r="D12" s="59"/>
      <c r="E12" s="59"/>
    </row>
    <row r="13" spans="1:5" x14ac:dyDescent="0.25">
      <c r="A13" s="59"/>
      <c r="B13" s="59"/>
      <c r="C13" s="59"/>
      <c r="D13" s="59"/>
      <c r="E13" s="59"/>
    </row>
    <row r="14" spans="1:5" x14ac:dyDescent="0.25">
      <c r="A14" s="59"/>
      <c r="B14" s="59"/>
      <c r="C14" s="59"/>
      <c r="D14" s="59"/>
      <c r="E14" s="59"/>
    </row>
    <row r="15" spans="1:5" x14ac:dyDescent="0.25">
      <c r="A15" s="59"/>
      <c r="B15" s="59"/>
      <c r="C15" s="59"/>
      <c r="D15" s="59"/>
      <c r="E15" s="59"/>
    </row>
    <row r="16" spans="1:5" x14ac:dyDescent="0.25">
      <c r="A16" s="59"/>
      <c r="B16" s="59"/>
      <c r="C16" s="59"/>
      <c r="D16" s="59"/>
      <c r="E16" s="59"/>
    </row>
    <row r="17" spans="1:5" x14ac:dyDescent="0.25">
      <c r="A17" s="59"/>
      <c r="B17" s="59"/>
      <c r="C17" s="59"/>
      <c r="D17" s="59"/>
      <c r="E17" s="59"/>
    </row>
    <row r="18" spans="1:5" x14ac:dyDescent="0.25">
      <c r="A18" s="59"/>
      <c r="B18" s="59"/>
      <c r="C18" s="59"/>
      <c r="D18" s="59"/>
      <c r="E18" s="59"/>
    </row>
    <row r="19" spans="1:5" x14ac:dyDescent="0.25">
      <c r="A19" s="59"/>
      <c r="B19" s="59"/>
      <c r="C19" s="59"/>
      <c r="D19" s="59"/>
      <c r="E19" s="59"/>
    </row>
    <row r="20" spans="1:5" x14ac:dyDescent="0.25">
      <c r="A20" s="59"/>
      <c r="B20" s="59"/>
      <c r="C20" s="59"/>
      <c r="D20" s="59"/>
      <c r="E20" s="59"/>
    </row>
    <row r="21" spans="1:5" x14ac:dyDescent="0.25">
      <c r="A21" s="59"/>
      <c r="B21" s="59"/>
      <c r="C21" s="59"/>
      <c r="D21" s="59"/>
      <c r="E21" s="59"/>
    </row>
    <row r="22" spans="1:5" x14ac:dyDescent="0.25">
      <c r="A22" s="59"/>
      <c r="B22" s="59"/>
      <c r="C22" s="59"/>
      <c r="D22" s="59"/>
      <c r="E22" s="59"/>
    </row>
    <row r="23" spans="1:5" x14ac:dyDescent="0.25">
      <c r="A23" s="59"/>
      <c r="B23" s="59"/>
      <c r="C23" s="59"/>
      <c r="D23" s="59"/>
      <c r="E23" s="59"/>
    </row>
    <row r="24" spans="1:5" x14ac:dyDescent="0.25">
      <c r="A24" s="59"/>
      <c r="B24" s="59"/>
      <c r="C24" s="59"/>
      <c r="D24" s="59"/>
      <c r="E24" s="59"/>
    </row>
    <row r="25" spans="1:5" x14ac:dyDescent="0.25">
      <c r="A25" s="59"/>
      <c r="B25" s="59"/>
      <c r="C25" s="59"/>
      <c r="D25" s="59"/>
      <c r="E25" s="59"/>
    </row>
    <row r="26" spans="1:5" x14ac:dyDescent="0.25">
      <c r="A26" s="59"/>
      <c r="B26" s="59"/>
      <c r="C26" s="59"/>
      <c r="D26" s="59"/>
      <c r="E26" s="59"/>
    </row>
    <row r="27" spans="1:5" x14ac:dyDescent="0.25">
      <c r="A27" s="59"/>
      <c r="B27" s="59"/>
      <c r="C27" s="59"/>
      <c r="D27" s="59"/>
      <c r="E27" s="59"/>
    </row>
    <row r="28" spans="1:5" x14ac:dyDescent="0.25">
      <c r="A28" s="59"/>
      <c r="B28" s="59"/>
      <c r="C28" s="59"/>
      <c r="D28" s="59"/>
      <c r="E28" s="59"/>
    </row>
    <row r="29" spans="1:5" x14ac:dyDescent="0.25">
      <c r="A29" s="59"/>
      <c r="B29" s="59"/>
      <c r="C29" s="59"/>
      <c r="D29" s="59"/>
      <c r="E29" s="59"/>
    </row>
    <row r="30" spans="1:5" x14ac:dyDescent="0.25">
      <c r="A30" s="59"/>
      <c r="B30" s="59"/>
      <c r="C30" s="59"/>
      <c r="D30" s="59"/>
      <c r="E30" s="59"/>
    </row>
    <row r="31" spans="1:5" x14ac:dyDescent="0.25">
      <c r="A31" s="59"/>
      <c r="B31" s="59"/>
      <c r="C31" s="59"/>
      <c r="D31" s="59"/>
      <c r="E31" s="59"/>
    </row>
    <row r="32" spans="1:5" x14ac:dyDescent="0.25">
      <c r="A32" s="59"/>
      <c r="B32" s="59"/>
      <c r="C32" s="59"/>
      <c r="D32" s="59"/>
      <c r="E32" s="59"/>
    </row>
    <row r="33" spans="1:5" x14ac:dyDescent="0.25">
      <c r="A33" s="59"/>
      <c r="B33" s="59"/>
      <c r="C33" s="59"/>
      <c r="D33" s="59"/>
      <c r="E33" s="59"/>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IR, CF, BM</vt:lpstr>
      <vt:lpstr>Volatility</vt:lpstr>
      <vt:lpstr>Correlation</vt:lpstr>
      <vt:lpstr>Fundamentals</vt:lpstr>
      <vt:lpstr>BSE_Close</vt:lpstr>
      <vt:lpstr>N</vt:lpstr>
      <vt:lpstr>SPX_Close</vt:lpstr>
      <vt:lpstr>xBar</vt:lpstr>
      <vt:lpstr>xSigma</vt:lpstr>
      <vt:lpstr>yBar</vt:lpstr>
      <vt:lpstr>ySigma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Moretz</dc:creator>
  <cp:lastModifiedBy>Brandon Moretz</cp:lastModifiedBy>
  <dcterms:created xsi:type="dcterms:W3CDTF">2017-05-06T17:18:02Z</dcterms:created>
  <dcterms:modified xsi:type="dcterms:W3CDTF">2017-06-04T22:39:23Z</dcterms:modified>
</cp:coreProperties>
</file>