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19416" windowHeight="10416" activeTab="8"/>
  </bookViews>
  <sheets>
    <sheet name="0季度" sheetId="1" r:id="rId1"/>
    <sheet name="1季度" sheetId="2" r:id="rId2"/>
    <sheet name="2季度" sheetId="22" r:id="rId3"/>
    <sheet name="3季度" sheetId="23" r:id="rId4"/>
    <sheet name="4季度" sheetId="24" r:id="rId5"/>
    <sheet name="5季度" sheetId="25" r:id="rId6"/>
    <sheet name="6季度" sheetId="26" r:id="rId7"/>
    <sheet name="7季度" sheetId="27" r:id="rId8"/>
    <sheet name="8季度" sheetId="28" r:id="rId9"/>
  </sheets>
  <calcPr calcId="191029"/>
</workbook>
</file>

<file path=xl/calcChain.xml><?xml version="1.0" encoding="utf-8"?>
<calcChain xmlns="http://schemas.openxmlformats.org/spreadsheetml/2006/main">
  <c r="H27" i="28" l="1"/>
  <c r="C19" i="27"/>
  <c r="C19" i="26"/>
  <c r="C19" i="25"/>
  <c r="C19" i="24"/>
  <c r="C19" i="23"/>
  <c r="C19" i="22"/>
  <c r="C19" i="2"/>
  <c r="C17" i="1"/>
  <c r="C19" i="28"/>
  <c r="H15" i="28" l="1"/>
  <c r="H29" i="27"/>
  <c r="C23" i="28" s="1"/>
  <c r="C18" i="27"/>
  <c r="H28" i="27"/>
  <c r="J9" i="28"/>
  <c r="J10" i="28"/>
  <c r="J11" i="28"/>
  <c r="J8" i="28"/>
  <c r="H9" i="28"/>
  <c r="H10" i="28"/>
  <c r="H11" i="28"/>
  <c r="H8" i="28"/>
  <c r="L5" i="28"/>
  <c r="L4" i="28"/>
  <c r="L3" i="28"/>
  <c r="L2" i="28"/>
  <c r="G9" i="28"/>
  <c r="G10" i="28"/>
  <c r="G11" i="28"/>
  <c r="G8" i="28"/>
  <c r="C24" i="28"/>
  <c r="C24" i="24"/>
  <c r="C24" i="25"/>
  <c r="C24" i="26"/>
  <c r="C24" i="27"/>
  <c r="C25" i="27"/>
  <c r="H29" i="26"/>
  <c r="C23" i="27" s="1"/>
  <c r="H15" i="27"/>
  <c r="J9" i="27"/>
  <c r="J10" i="27"/>
  <c r="J11" i="27"/>
  <c r="J8" i="27"/>
  <c r="H9" i="27"/>
  <c r="H10" i="27"/>
  <c r="H11" i="27"/>
  <c r="H8" i="27"/>
  <c r="G9" i="27"/>
  <c r="G10" i="27"/>
  <c r="G11" i="27"/>
  <c r="G8" i="27"/>
  <c r="L5" i="27"/>
  <c r="L4" i="27"/>
  <c r="C34" i="22"/>
  <c r="C23" i="26"/>
  <c r="H28" i="25"/>
  <c r="L5" i="25"/>
  <c r="H15" i="26"/>
  <c r="H15" i="23"/>
  <c r="J9" i="23"/>
  <c r="J10" i="23"/>
  <c r="J11" i="23"/>
  <c r="J8" i="23"/>
  <c r="J9" i="24"/>
  <c r="J10" i="24"/>
  <c r="J11" i="24"/>
  <c r="J8" i="24"/>
  <c r="J9" i="25"/>
  <c r="J10" i="25"/>
  <c r="J11" i="25"/>
  <c r="J8" i="25"/>
  <c r="J9" i="26"/>
  <c r="J10" i="26"/>
  <c r="J11" i="26"/>
  <c r="J8" i="26"/>
  <c r="H9" i="26"/>
  <c r="H10" i="26"/>
  <c r="H11" i="26"/>
  <c r="H8" i="26"/>
  <c r="G9" i="26"/>
  <c r="G10" i="26"/>
  <c r="G11" i="26"/>
  <c r="G8" i="26"/>
  <c r="L4" i="26"/>
  <c r="C18" i="25"/>
  <c r="H9" i="25"/>
  <c r="H10" i="25"/>
  <c r="H11" i="25"/>
  <c r="H8" i="25"/>
  <c r="G9" i="25"/>
  <c r="G10" i="25"/>
  <c r="G11" i="25"/>
  <c r="G8" i="25"/>
  <c r="L4" i="25"/>
  <c r="H9" i="24"/>
  <c r="H10" i="24"/>
  <c r="H11" i="24"/>
  <c r="H8" i="24"/>
  <c r="G9" i="24"/>
  <c r="G10" i="24"/>
  <c r="G11" i="24"/>
  <c r="G8" i="24"/>
  <c r="L5" i="24"/>
  <c r="L4" i="24"/>
  <c r="L5" i="23"/>
  <c r="M5" i="22"/>
  <c r="H28" i="22" s="1"/>
  <c r="H28" i="23" s="1"/>
  <c r="G9" i="23"/>
  <c r="G10" i="23"/>
  <c r="G11" i="23"/>
  <c r="G8" i="23"/>
  <c r="H15" i="22"/>
  <c r="J9" i="22"/>
  <c r="J10" i="22"/>
  <c r="J11" i="22"/>
  <c r="J8" i="22"/>
  <c r="G9" i="22"/>
  <c r="G10" i="22"/>
  <c r="G11" i="22"/>
  <c r="G8" i="22"/>
  <c r="H11" i="23"/>
  <c r="H10" i="23"/>
  <c r="H9" i="23"/>
  <c r="H8" i="23"/>
  <c r="L4" i="23"/>
  <c r="L2" i="23"/>
  <c r="H9" i="22"/>
  <c r="H10" i="22"/>
  <c r="H11" i="22"/>
  <c r="H8" i="22"/>
  <c r="G12" i="22"/>
  <c r="G12" i="2"/>
  <c r="H11" i="2"/>
  <c r="H10" i="2"/>
  <c r="H9" i="2"/>
  <c r="H8" i="2"/>
  <c r="L5" i="2"/>
  <c r="G12" i="28" l="1"/>
  <c r="G12" i="27"/>
  <c r="H28" i="26"/>
  <c r="C18" i="26"/>
  <c r="L5" i="26"/>
  <c r="G12" i="26"/>
  <c r="G12" i="25"/>
  <c r="G12" i="24"/>
  <c r="C18" i="23"/>
  <c r="G12" i="23"/>
  <c r="C33" i="2" l="1"/>
  <c r="E33" i="2" s="1"/>
  <c r="E11" i="2"/>
  <c r="E10" i="2"/>
  <c r="E10" i="22" s="1"/>
  <c r="E10" i="23" s="1"/>
  <c r="E10" i="24" s="1"/>
  <c r="E10" i="25" s="1"/>
  <c r="E10" i="26" s="1"/>
  <c r="E10" i="27" s="1"/>
  <c r="E10" i="28" s="1"/>
  <c r="E9" i="2"/>
  <c r="E9" i="22" s="1"/>
  <c r="E9" i="23" s="1"/>
  <c r="E8" i="2"/>
  <c r="E8" i="22" s="1"/>
  <c r="E8" i="23" s="1"/>
  <c r="E8" i="24" s="1"/>
  <c r="E8" i="25" s="1"/>
  <c r="E8" i="26" s="1"/>
  <c r="H28" i="28"/>
  <c r="U3" i="27"/>
  <c r="T3" i="26"/>
  <c r="D12" i="27"/>
  <c r="D13" i="27"/>
  <c r="D13" i="2"/>
  <c r="F12" i="2"/>
  <c r="F16" i="1"/>
  <c r="C27" i="28"/>
  <c r="H22" i="28"/>
  <c r="C22" i="28"/>
  <c r="H21" i="28"/>
  <c r="C20" i="28"/>
  <c r="H19" i="28"/>
  <c r="H18" i="28"/>
  <c r="C18" i="28" s="1"/>
  <c r="H16" i="28"/>
  <c r="C15" i="28"/>
  <c r="D13" i="28"/>
  <c r="I12" i="28"/>
  <c r="C26" i="28" s="1"/>
  <c r="H12" i="28"/>
  <c r="H32" i="28" s="1"/>
  <c r="F12" i="28"/>
  <c r="D12" i="28"/>
  <c r="F2" i="28"/>
  <c r="C27" i="27"/>
  <c r="H22" i="27"/>
  <c r="C22" i="27"/>
  <c r="H21" i="27"/>
  <c r="C20" i="27"/>
  <c r="H19" i="27"/>
  <c r="H18" i="27"/>
  <c r="H16" i="27"/>
  <c r="C15" i="27"/>
  <c r="I12" i="27"/>
  <c r="C26" i="27" s="1"/>
  <c r="H12" i="27"/>
  <c r="H32" i="27" s="1"/>
  <c r="F12" i="27"/>
  <c r="L3" i="27" s="1"/>
  <c r="F2" i="27"/>
  <c r="L2" i="27" s="1"/>
  <c r="C27" i="26"/>
  <c r="H22" i="26"/>
  <c r="C22" i="26"/>
  <c r="H21" i="26"/>
  <c r="C20" i="26"/>
  <c r="H19" i="26"/>
  <c r="H18" i="26"/>
  <c r="H16" i="26"/>
  <c r="C15" i="26"/>
  <c r="D13" i="26"/>
  <c r="I12" i="26"/>
  <c r="C26" i="26" s="1"/>
  <c r="H12" i="26"/>
  <c r="H32" i="26" s="1"/>
  <c r="F12" i="26"/>
  <c r="L3" i="26" s="1"/>
  <c r="D12" i="26"/>
  <c r="F2" i="26"/>
  <c r="L2" i="26" s="1"/>
  <c r="C27" i="25"/>
  <c r="H22" i="25"/>
  <c r="C22" i="25"/>
  <c r="H21" i="25"/>
  <c r="C20" i="25"/>
  <c r="H19" i="25"/>
  <c r="H18" i="25"/>
  <c r="H16" i="25"/>
  <c r="C15" i="25"/>
  <c r="D13" i="25"/>
  <c r="I12" i="25"/>
  <c r="C26" i="25" s="1"/>
  <c r="H12" i="25"/>
  <c r="H32" i="25" s="1"/>
  <c r="F12" i="25"/>
  <c r="L3" i="25" s="1"/>
  <c r="D12" i="25"/>
  <c r="F2" i="25"/>
  <c r="L2" i="25" s="1"/>
  <c r="C27" i="24"/>
  <c r="H22" i="24"/>
  <c r="C22" i="24"/>
  <c r="H21" i="24"/>
  <c r="C20" i="24"/>
  <c r="H19" i="24"/>
  <c r="H18" i="24"/>
  <c r="H16" i="24"/>
  <c r="C15" i="24"/>
  <c r="D13" i="24"/>
  <c r="I12" i="24"/>
  <c r="C26" i="24" s="1"/>
  <c r="H12" i="24"/>
  <c r="C32" i="24" s="1"/>
  <c r="F12" i="24"/>
  <c r="L3" i="24" s="1"/>
  <c r="D12" i="24"/>
  <c r="F2" i="24"/>
  <c r="L2" i="24" s="1"/>
  <c r="C27" i="23"/>
  <c r="H22" i="23"/>
  <c r="C22" i="23"/>
  <c r="H21" i="23"/>
  <c r="C20" i="23"/>
  <c r="H19" i="23"/>
  <c r="H18" i="23"/>
  <c r="H16" i="23"/>
  <c r="C15" i="23"/>
  <c r="D13" i="23"/>
  <c r="I12" i="23"/>
  <c r="C26" i="23" s="1"/>
  <c r="H12" i="23"/>
  <c r="H32" i="23" s="1"/>
  <c r="F12" i="23"/>
  <c r="L3" i="23" s="1"/>
  <c r="D12" i="23"/>
  <c r="F2" i="23"/>
  <c r="F12" i="22"/>
  <c r="J2" i="2"/>
  <c r="L4" i="2" s="1"/>
  <c r="C20" i="22"/>
  <c r="C20" i="2"/>
  <c r="H18" i="2"/>
  <c r="D13" i="22"/>
  <c r="J2" i="22"/>
  <c r="C27" i="22"/>
  <c r="H22" i="22"/>
  <c r="C22" i="22"/>
  <c r="H21" i="22"/>
  <c r="H19" i="22"/>
  <c r="H18" i="22"/>
  <c r="H16" i="22"/>
  <c r="C15" i="22"/>
  <c r="I12" i="22"/>
  <c r="C26" i="22" s="1"/>
  <c r="H12" i="22"/>
  <c r="H32" i="22" s="1"/>
  <c r="C24" i="23" s="1"/>
  <c r="D12" i="22"/>
  <c r="F2" i="22"/>
  <c r="F4" i="2"/>
  <c r="L3" i="2" s="1"/>
  <c r="H21" i="2"/>
  <c r="H20" i="2"/>
  <c r="E11" i="22"/>
  <c r="E11" i="23" s="1"/>
  <c r="H13" i="1"/>
  <c r="D3" i="1"/>
  <c r="I12" i="2"/>
  <c r="C26" i="2" s="1"/>
  <c r="F19" i="1"/>
  <c r="C31" i="2" s="1"/>
  <c r="F20" i="1"/>
  <c r="H28" i="2" s="1"/>
  <c r="C23" i="22" s="1"/>
  <c r="F15" i="1"/>
  <c r="C18" i="1"/>
  <c r="H26" i="2"/>
  <c r="C27" i="2"/>
  <c r="C22" i="2"/>
  <c r="H19" i="2"/>
  <c r="H16" i="2"/>
  <c r="C15" i="2"/>
  <c r="H12" i="2"/>
  <c r="D12" i="2"/>
  <c r="J11" i="2"/>
  <c r="J10" i="2"/>
  <c r="J9" i="2"/>
  <c r="J8" i="2"/>
  <c r="F2" i="2"/>
  <c r="C30" i="1"/>
  <c r="C31" i="1" s="1"/>
  <c r="F17" i="1"/>
  <c r="C20" i="1"/>
  <c r="D4" i="1"/>
  <c r="D5" i="1" s="1"/>
  <c r="F3" i="2"/>
  <c r="H32" i="24" l="1"/>
  <c r="L2" i="2"/>
  <c r="J2" i="23"/>
  <c r="M4" i="22"/>
  <c r="E8" i="27"/>
  <c r="E8" i="28" s="1"/>
  <c r="C28" i="22"/>
  <c r="J3" i="2"/>
  <c r="H4" i="2" s="1"/>
  <c r="C16" i="2" s="1"/>
  <c r="C29" i="24"/>
  <c r="H27" i="2"/>
  <c r="C31" i="22" s="1"/>
  <c r="C18" i="2"/>
  <c r="F3" i="22"/>
  <c r="C29" i="28"/>
  <c r="C35" i="26"/>
  <c r="C25" i="26"/>
  <c r="C29" i="27"/>
  <c r="J15" i="28"/>
  <c r="E26" i="28"/>
  <c r="C35" i="27"/>
  <c r="E26" i="27"/>
  <c r="H15" i="25"/>
  <c r="C35" i="25" s="1"/>
  <c r="C29" i="26"/>
  <c r="E26" i="26"/>
  <c r="C28" i="24"/>
  <c r="H15" i="24"/>
  <c r="C35" i="24" s="1"/>
  <c r="C25" i="24"/>
  <c r="C25" i="25"/>
  <c r="C25" i="28"/>
  <c r="C35" i="23"/>
  <c r="C29" i="22"/>
  <c r="F4" i="22"/>
  <c r="M3" i="22" s="1"/>
  <c r="C35" i="22"/>
  <c r="C36" i="22" s="1"/>
  <c r="C28" i="28"/>
  <c r="C32" i="28"/>
  <c r="C28" i="27"/>
  <c r="C32" i="27"/>
  <c r="C21" i="23"/>
  <c r="J2" i="24"/>
  <c r="C23" i="2"/>
  <c r="H29" i="22"/>
  <c r="E11" i="24"/>
  <c r="E11" i="25" s="1"/>
  <c r="E11" i="26" s="1"/>
  <c r="E11" i="27" s="1"/>
  <c r="E9" i="24"/>
  <c r="E9" i="25" s="1"/>
  <c r="E9" i="26" s="1"/>
  <c r="E9" i="27" s="1"/>
  <c r="E9" i="28" s="1"/>
  <c r="C30" i="2"/>
  <c r="E12" i="23"/>
  <c r="C28" i="26"/>
  <c r="C32" i="26"/>
  <c r="C29" i="25"/>
  <c r="E26" i="25"/>
  <c r="C28" i="25"/>
  <c r="C32" i="25"/>
  <c r="E26" i="24"/>
  <c r="C25" i="23"/>
  <c r="C29" i="23"/>
  <c r="E26" i="23"/>
  <c r="C28" i="23"/>
  <c r="C32" i="23"/>
  <c r="C29" i="2"/>
  <c r="C28" i="2"/>
  <c r="E26" i="22"/>
  <c r="E12" i="22"/>
  <c r="C21" i="22"/>
  <c r="C32" i="22"/>
  <c r="H15" i="2"/>
  <c r="E12" i="2"/>
  <c r="C26" i="1"/>
  <c r="C25" i="1"/>
  <c r="C24" i="1"/>
  <c r="C21" i="2"/>
  <c r="C32" i="2"/>
  <c r="N33" i="2"/>
  <c r="C25" i="2"/>
  <c r="H31" i="2"/>
  <c r="C24" i="22" s="1"/>
  <c r="C25" i="22" s="1"/>
  <c r="E26" i="2"/>
  <c r="F3" i="23" l="1"/>
  <c r="F3" i="24" s="1"/>
  <c r="F3" i="25" s="1"/>
  <c r="F3" i="26" s="1"/>
  <c r="F3" i="27" s="1"/>
  <c r="F3" i="28" s="1"/>
  <c r="M2" i="22"/>
  <c r="J4" i="2"/>
  <c r="C17" i="2"/>
  <c r="H25" i="2" s="1"/>
  <c r="J5" i="2"/>
  <c r="J3" i="22" s="1"/>
  <c r="C18" i="22"/>
  <c r="C30" i="22"/>
  <c r="E28" i="22" s="1"/>
  <c r="J15" i="26"/>
  <c r="C35" i="28"/>
  <c r="C36" i="28" s="1"/>
  <c r="J15" i="27"/>
  <c r="F4" i="23"/>
  <c r="F4" i="24" s="1"/>
  <c r="E12" i="26"/>
  <c r="E11" i="28"/>
  <c r="E12" i="28" s="1"/>
  <c r="E12" i="27"/>
  <c r="C36" i="27"/>
  <c r="C23" i="23"/>
  <c r="H29" i="23"/>
  <c r="C21" i="24"/>
  <c r="J2" i="25"/>
  <c r="E12" i="25"/>
  <c r="E12" i="24"/>
  <c r="C36" i="26"/>
  <c r="J15" i="25"/>
  <c r="C36" i="25"/>
  <c r="J15" i="24"/>
  <c r="C36" i="24"/>
  <c r="J15" i="23"/>
  <c r="C36" i="23"/>
  <c r="E15" i="2"/>
  <c r="J15" i="2"/>
  <c r="C34" i="2"/>
  <c r="C35" i="2" s="1"/>
  <c r="J15" i="22"/>
  <c r="F22" i="1"/>
  <c r="F14" i="1"/>
  <c r="H14" i="1" s="1"/>
  <c r="F23" i="1" s="1"/>
  <c r="H22" i="2" s="1"/>
  <c r="E28" i="2"/>
  <c r="C30" i="24" l="1"/>
  <c r="J6" i="2"/>
  <c r="D2" i="2" s="1"/>
  <c r="C30" i="23"/>
  <c r="F4" i="25"/>
  <c r="F4" i="26" s="1"/>
  <c r="H29" i="24"/>
  <c r="C23" i="24"/>
  <c r="C21" i="25"/>
  <c r="J2" i="26"/>
  <c r="J5" i="22"/>
  <c r="J4" i="22"/>
  <c r="C17" i="22"/>
  <c r="H4" i="22"/>
  <c r="C16" i="22" s="1"/>
  <c r="E15" i="22" s="1"/>
  <c r="F18" i="1"/>
  <c r="F21" i="1"/>
  <c r="C30" i="25" l="1"/>
  <c r="F4" i="27"/>
  <c r="C30" i="26"/>
  <c r="H29" i="28"/>
  <c r="C21" i="26"/>
  <c r="J2" i="27"/>
  <c r="J6" i="22"/>
  <c r="D2" i="22" s="1"/>
  <c r="J3" i="23"/>
  <c r="C23" i="25"/>
  <c r="H29" i="25"/>
  <c r="G21" i="1"/>
  <c r="C31" i="23" l="1"/>
  <c r="E28" i="23" s="1"/>
  <c r="F4" i="28"/>
  <c r="C30" i="28" s="1"/>
  <c r="C30" i="27"/>
  <c r="C21" i="27"/>
  <c r="J2" i="28"/>
  <c r="C21" i="28" s="1"/>
  <c r="J5" i="23"/>
  <c r="H4" i="23"/>
  <c r="C16" i="23" s="1"/>
  <c r="C17" i="23"/>
  <c r="J4" i="23"/>
  <c r="C31" i="24" l="1"/>
  <c r="E28" i="24" s="1"/>
  <c r="C18" i="24"/>
  <c r="J6" i="23"/>
  <c r="D2" i="23" s="1"/>
  <c r="H28" i="24" s="1"/>
  <c r="J3" i="24"/>
  <c r="C31" i="25" l="1"/>
  <c r="E28" i="25" s="1"/>
  <c r="J5" i="24"/>
  <c r="C17" i="24"/>
  <c r="H4" i="24"/>
  <c r="C16" i="24" s="1"/>
  <c r="E15" i="24" s="1"/>
  <c r="J4" i="24"/>
  <c r="C31" i="26" l="1"/>
  <c r="E28" i="26" s="1"/>
  <c r="J6" i="24"/>
  <c r="D2" i="24" s="1"/>
  <c r="J3" i="25"/>
  <c r="C31" i="27" l="1"/>
  <c r="E28" i="27" s="1"/>
  <c r="J4" i="25"/>
  <c r="C17" i="25" s="1"/>
  <c r="J5" i="25"/>
  <c r="H4" i="25"/>
  <c r="C16" i="25" s="1"/>
  <c r="E15" i="25" s="1"/>
  <c r="C31" i="28" l="1"/>
  <c r="E28" i="28" s="1"/>
  <c r="J6" i="25"/>
  <c r="D2" i="25" s="1"/>
  <c r="J3" i="26"/>
  <c r="H4" i="26" l="1"/>
  <c r="C16" i="26" s="1"/>
  <c r="J4" i="26"/>
  <c r="C17" i="26" s="1"/>
  <c r="J5" i="26"/>
  <c r="J6" i="26" l="1"/>
  <c r="D2" i="26" s="1"/>
  <c r="J3" i="27"/>
  <c r="E15" i="26"/>
  <c r="H4" i="27" l="1"/>
  <c r="C16" i="27" s="1"/>
  <c r="J5" i="27"/>
  <c r="J4" i="27"/>
  <c r="C17" i="27" s="1"/>
  <c r="C36" i="2"/>
  <c r="E34" i="2" s="1"/>
  <c r="E15" i="27" l="1"/>
  <c r="J6" i="27"/>
  <c r="D2" i="27" s="1"/>
  <c r="J3" i="28"/>
  <c r="H17" i="2"/>
  <c r="J17" i="2" s="1"/>
  <c r="H23" i="2" s="1"/>
  <c r="H24" i="2"/>
  <c r="H32" i="2" s="1"/>
  <c r="J5" i="28" l="1"/>
  <c r="J6" i="28" s="1"/>
  <c r="D2" i="28" s="1"/>
  <c r="J4" i="28"/>
  <c r="C17" i="28" s="1"/>
  <c r="H4" i="28"/>
  <c r="C16" i="28" s="1"/>
  <c r="E15" i="28" s="1"/>
  <c r="I30" i="2"/>
  <c r="H29" i="2"/>
  <c r="J26" i="2" s="1"/>
  <c r="C33" i="22" s="1"/>
  <c r="H27" i="22" l="1"/>
  <c r="C34" i="23" s="1"/>
  <c r="H30" i="2"/>
  <c r="H23" i="22" l="1"/>
  <c r="I32" i="2"/>
  <c r="E33" i="22" l="1"/>
  <c r="H26" i="22"/>
  <c r="E15" i="23"/>
  <c r="C37" i="22" l="1"/>
  <c r="E35" i="22" s="1"/>
  <c r="H25" i="22" l="1"/>
  <c r="H33" i="22" s="1"/>
  <c r="H17" i="22"/>
  <c r="J17" i="22" s="1"/>
  <c r="I31" i="22" s="1"/>
  <c r="H30" i="22" l="1"/>
  <c r="J27" i="22" s="1"/>
  <c r="H24" i="22"/>
  <c r="H31" i="22" l="1"/>
  <c r="H23" i="23" s="1"/>
  <c r="H27" i="23"/>
  <c r="C33" i="23"/>
  <c r="C34" i="24" l="1"/>
  <c r="I33" i="22"/>
  <c r="E33" i="23"/>
  <c r="H26" i="23" s="1"/>
  <c r="C37" i="23" s="1"/>
  <c r="E35" i="23" l="1"/>
  <c r="H17" i="23" l="1"/>
  <c r="J17" i="23" s="1"/>
  <c r="H25" i="23"/>
  <c r="H30" i="23" l="1"/>
  <c r="H24" i="23"/>
  <c r="I31" i="23"/>
  <c r="H31" i="23" l="1"/>
  <c r="H23" i="24" s="1"/>
  <c r="J27" i="23"/>
  <c r="H27" i="24" s="1"/>
  <c r="C34" i="25" l="1"/>
  <c r="C33" i="24"/>
  <c r="E33" i="24" s="1"/>
  <c r="H33" i="23"/>
  <c r="I33" i="23" s="1"/>
  <c r="H26" i="24" l="1"/>
  <c r="C37" i="24" l="1"/>
  <c r="E35" i="24" s="1"/>
  <c r="H25" i="24" s="1"/>
  <c r="H17" i="24" l="1"/>
  <c r="J17" i="24" s="1"/>
  <c r="H30" i="24" s="1"/>
  <c r="J27" i="24" s="1"/>
  <c r="C33" i="25" l="1"/>
  <c r="E33" i="25" s="1"/>
  <c r="H26" i="25" s="1"/>
  <c r="H27" i="25"/>
  <c r="I31" i="24"/>
  <c r="H31" i="24" s="1"/>
  <c r="H23" i="25" s="1"/>
  <c r="H24" i="24"/>
  <c r="C34" i="26" l="1"/>
  <c r="H33" i="24"/>
  <c r="I33" i="24" s="1"/>
  <c r="C37" i="25"/>
  <c r="E35" i="25" s="1"/>
  <c r="H25" i="25" l="1"/>
  <c r="H33" i="25" s="1"/>
  <c r="H17" i="25"/>
  <c r="J17" i="25" s="1"/>
  <c r="H24" i="25" l="1"/>
  <c r="I31" i="25"/>
  <c r="H30" i="25"/>
  <c r="J27" i="25" s="1"/>
  <c r="C33" i="26" l="1"/>
  <c r="E33" i="26" s="1"/>
  <c r="H26" i="26" s="1"/>
  <c r="C37" i="26" s="1"/>
  <c r="E35" i="26" s="1"/>
  <c r="H27" i="26"/>
  <c r="H31" i="25"/>
  <c r="C34" i="27" l="1"/>
  <c r="I33" i="25"/>
  <c r="H23" i="26"/>
  <c r="H25" i="26"/>
  <c r="H33" i="26" s="1"/>
  <c r="H17" i="26"/>
  <c r="J17" i="26" s="1"/>
  <c r="H24" i="26" s="1"/>
  <c r="H30" i="26" l="1"/>
  <c r="J27" i="26" s="1"/>
  <c r="H27" i="27" s="1"/>
  <c r="C34" i="28" s="1"/>
  <c r="I31" i="26"/>
  <c r="H31" i="26" l="1"/>
  <c r="C33" i="27"/>
  <c r="E33" i="27" s="1"/>
  <c r="H26" i="27" s="1"/>
  <c r="C37" i="27" s="1"/>
  <c r="I33" i="26" l="1"/>
  <c r="H23" i="27"/>
  <c r="E35" i="27"/>
  <c r="H25" i="27" l="1"/>
  <c r="H33" i="27" s="1"/>
  <c r="H17" i="27"/>
  <c r="J17" i="27" s="1"/>
  <c r="H24" i="27" s="1"/>
  <c r="H30" i="27" l="1"/>
  <c r="J27" i="27" s="1"/>
  <c r="C33" i="28" s="1"/>
  <c r="E33" i="28" s="1"/>
  <c r="H26" i="28" s="1"/>
  <c r="C37" i="28" s="1"/>
  <c r="E35" i="28" s="1"/>
  <c r="I31" i="27"/>
  <c r="H25" i="28" l="1"/>
  <c r="H33" i="28" s="1"/>
  <c r="H17" i="28"/>
  <c r="J17" i="28" s="1"/>
  <c r="H24" i="28" s="1"/>
  <c r="H31" i="27"/>
  <c r="I33" i="27" l="1"/>
  <c r="H23" i="28"/>
  <c r="H30" i="28" s="1"/>
  <c r="J27" i="28" s="1"/>
  <c r="I31" i="28" l="1"/>
  <c r="H31" i="28" s="1"/>
  <c r="I33" i="28" s="1"/>
</calcChain>
</file>

<file path=xl/comments1.xml><?xml version="1.0" encoding="utf-8"?>
<comments xmlns="http://schemas.openxmlformats.org/spreadsheetml/2006/main">
  <authors>
    <author>绿色芒果冰</author>
  </authors>
  <commentList>
    <comment ref="E7" authorId="0">
      <text>
        <r>
          <rPr>
            <b/>
            <sz val="9"/>
            <rFont val="宋体"/>
            <family val="3"/>
            <charset val="134"/>
          </rPr>
          <t>绿色芒果冰:每10万对应一个销售人员</t>
        </r>
      </text>
    </comment>
    <comment ref="D13" authorId="0">
      <text>
        <r>
          <rPr>
            <b/>
            <sz val="9"/>
            <color indexed="81"/>
            <rFont val="宋体"/>
            <family val="3"/>
            <charset val="134"/>
          </rPr>
          <t>参考值，便于检查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默认采用三倍产能即三班次生产</t>
        </r>
      </text>
    </comment>
    <comment ref="B18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原材料耗用=单位材料成本*耗用原材料数量，单位材料成本= (当季购料金额+.上季原材料存货价值)/ (当季购料数量+上季原材料存货数量)
不包括非正常采购
</t>
        </r>
      </text>
    </comment>
    <comment ref="G24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净利润=销售收入-该季度现金支出</t>
        </r>
      </text>
    </comment>
    <comment ref="I32" authorId="0">
      <text>
        <r>
          <rPr>
            <b/>
            <sz val="9"/>
            <color indexed="81"/>
            <rFont val="宋体"/>
            <family val="3"/>
            <charset val="134"/>
          </rPr>
          <t>绿色芒果冰:</t>
        </r>
        <r>
          <rPr>
            <sz val="9"/>
            <color indexed="81"/>
            <rFont val="宋体"/>
            <family val="3"/>
            <charset val="134"/>
          </rPr>
          <t xml:space="preserve">
这里的数字是指下季可以采购多少条生产线（卡权益）</t>
        </r>
      </text>
    </comment>
  </commentList>
</comments>
</file>

<file path=xl/comments2.xml><?xml version="1.0" encoding="utf-8"?>
<comments xmlns="http://schemas.openxmlformats.org/spreadsheetml/2006/main">
  <authors>
    <author>绿色芒果冰</author>
  </authors>
  <commentList>
    <comment ref="E7" authorId="0">
      <text>
        <r>
          <rPr>
            <b/>
            <sz val="9"/>
            <rFont val="宋体"/>
            <family val="3"/>
            <charset val="134"/>
          </rPr>
          <t>绿色芒果冰:每10万对应一个销售人员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默认采用三倍产能即三班次生产</t>
        </r>
      </text>
    </comment>
    <comment ref="B18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原材料耗用=单位材料成本*耗用原材料数量，单位材料成本= (当季购料金额+.上季原材料存货价值)/ (当季购料数量+上季原材料存货数量)</t>
        </r>
      </text>
    </comment>
    <comment ref="G25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净利润=销售收入-该季度现金支出</t>
        </r>
      </text>
    </commen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>绿色芒果冰:</t>
        </r>
        <r>
          <rPr>
            <sz val="9"/>
            <color indexed="81"/>
            <rFont val="宋体"/>
            <family val="3"/>
            <charset val="134"/>
          </rPr>
          <t xml:space="preserve">
这里的数字是指下季可以采购多少条生产线（卡权益）</t>
        </r>
      </text>
    </comment>
  </commentList>
</comments>
</file>

<file path=xl/comments3.xml><?xml version="1.0" encoding="utf-8"?>
<comments xmlns="http://schemas.openxmlformats.org/spreadsheetml/2006/main">
  <authors>
    <author>绿色芒果冰</author>
  </authors>
  <commentList>
    <comment ref="E7" authorId="0">
      <text>
        <r>
          <rPr>
            <b/>
            <sz val="9"/>
            <rFont val="宋体"/>
            <family val="3"/>
            <charset val="134"/>
          </rPr>
          <t>绿色芒果冰:每10万对应一个销售人员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默认采用三倍产能即三班次生产</t>
        </r>
      </text>
    </comment>
    <comment ref="B18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原材料耗用=单位材料成本*耗用原材料数量，单位材料成本= (当季购料金额+.上季原材料存货价值)/ (当季购料数量+上季原材料存货数量)</t>
        </r>
      </text>
    </comment>
    <comment ref="G25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净利润=销售收入-该季度现金支出</t>
        </r>
      </text>
    </commen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>绿色芒果冰:</t>
        </r>
        <r>
          <rPr>
            <sz val="9"/>
            <color indexed="81"/>
            <rFont val="宋体"/>
            <family val="3"/>
            <charset val="134"/>
          </rPr>
          <t xml:space="preserve">
这里的数字是指下季可以采购多少条生产线（卡权益）</t>
        </r>
      </text>
    </comment>
  </commentList>
</comments>
</file>

<file path=xl/comments4.xml><?xml version="1.0" encoding="utf-8"?>
<comments xmlns="http://schemas.openxmlformats.org/spreadsheetml/2006/main">
  <authors>
    <author>绿色芒果冰</author>
  </authors>
  <commentList>
    <comment ref="E7" authorId="0">
      <text>
        <r>
          <rPr>
            <b/>
            <sz val="9"/>
            <rFont val="宋体"/>
            <family val="3"/>
            <charset val="134"/>
          </rPr>
          <t>绿色芒果冰:每10万对应一个销售人员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默认采用三倍产能即三班次生产</t>
        </r>
      </text>
    </comment>
    <comment ref="B18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原材料耗用=单位材料成本*耗用原材料数量，单位材料成本= (当季购料金额+.上季原材料存货价值)/ (当季购料数量+上季原材料存货数量)</t>
        </r>
      </text>
    </comment>
    <comment ref="G25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净利润=销售收入-该季度现金支出</t>
        </r>
      </text>
    </commen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>绿色芒果冰:</t>
        </r>
        <r>
          <rPr>
            <sz val="9"/>
            <color indexed="81"/>
            <rFont val="宋体"/>
            <family val="3"/>
            <charset val="134"/>
          </rPr>
          <t xml:space="preserve">
这里的数字是指下季可以采购多少条生产线（卡权益）</t>
        </r>
      </text>
    </comment>
  </commentList>
</comments>
</file>

<file path=xl/comments5.xml><?xml version="1.0" encoding="utf-8"?>
<comments xmlns="http://schemas.openxmlformats.org/spreadsheetml/2006/main">
  <authors>
    <author>绿色芒果冰</author>
  </authors>
  <commentList>
    <comment ref="E7" authorId="0">
      <text>
        <r>
          <rPr>
            <b/>
            <sz val="9"/>
            <rFont val="宋体"/>
            <family val="3"/>
            <charset val="134"/>
          </rPr>
          <t>绿色芒果冰:每10万对应一个销售人员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默认采用三倍产能即三班次生产</t>
        </r>
      </text>
    </comment>
    <comment ref="B18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原材料耗用=单位材料成本*耗用原材料数量，单位材料成本= (当季购料金额+.上季原材料存货价值)/ (当季购料数量+上季原材料存货数量)</t>
        </r>
      </text>
    </comment>
    <comment ref="G25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净利润=销售收入-该季度现金支出</t>
        </r>
      </text>
    </commen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>绿色芒果冰:</t>
        </r>
        <r>
          <rPr>
            <sz val="9"/>
            <color indexed="81"/>
            <rFont val="宋体"/>
            <family val="3"/>
            <charset val="134"/>
          </rPr>
          <t xml:space="preserve">
这里的数字是指下季可以采购多少条生产线（卡权益）</t>
        </r>
      </text>
    </comment>
  </commentList>
</comments>
</file>

<file path=xl/comments6.xml><?xml version="1.0" encoding="utf-8"?>
<comments xmlns="http://schemas.openxmlformats.org/spreadsheetml/2006/main">
  <authors>
    <author>绿色芒果冰</author>
  </authors>
  <commentList>
    <comment ref="E7" authorId="0">
      <text>
        <r>
          <rPr>
            <b/>
            <sz val="9"/>
            <rFont val="宋体"/>
            <family val="3"/>
            <charset val="134"/>
          </rPr>
          <t>绿色芒果冰:每10万对应一个销售人员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默认采用三倍产能即三班次生产</t>
        </r>
      </text>
    </comment>
    <comment ref="B18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原材料耗用=单位材料成本*耗用原材料数量，单位材料成本= (当季购料金额+.上季原材料存货价值)/ (当季购料数量+上季原材料存货数量)</t>
        </r>
      </text>
    </comment>
    <comment ref="G25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净利润=销售收入-该季度现金支出</t>
        </r>
      </text>
    </commen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>绿色芒果冰:</t>
        </r>
        <r>
          <rPr>
            <sz val="9"/>
            <color indexed="81"/>
            <rFont val="宋体"/>
            <family val="3"/>
            <charset val="134"/>
          </rPr>
          <t xml:space="preserve">
这里的数字是指下季可以采购多少条生产线（卡权益）</t>
        </r>
      </text>
    </comment>
  </commentList>
</comments>
</file>

<file path=xl/comments7.xml><?xml version="1.0" encoding="utf-8"?>
<comments xmlns="http://schemas.openxmlformats.org/spreadsheetml/2006/main">
  <authors>
    <author>绿色芒果冰</author>
  </authors>
  <commentList>
    <comment ref="E7" authorId="0">
      <text>
        <r>
          <rPr>
            <b/>
            <sz val="9"/>
            <rFont val="宋体"/>
            <family val="3"/>
            <charset val="134"/>
          </rPr>
          <t>绿色芒果冰:每10万对应一个销售人员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默认采用三倍产能即三班次生产</t>
        </r>
      </text>
    </comment>
    <comment ref="B18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原材料耗用=单位材料成本*耗用原材料数量，单位材料成本= (当季购料金额+.上季原材料存货价值)/ (当季购料数量+上季原材料存货数量)</t>
        </r>
      </text>
    </comment>
    <comment ref="G25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净利润=销售收入-该季度现金支出</t>
        </r>
      </text>
    </commen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>绿色芒果冰:</t>
        </r>
        <r>
          <rPr>
            <sz val="9"/>
            <color indexed="81"/>
            <rFont val="宋体"/>
            <family val="3"/>
            <charset val="134"/>
          </rPr>
          <t xml:space="preserve">
这里的数字是指下季可以采购多少条生产线（卡权益）</t>
        </r>
      </text>
    </comment>
  </commentList>
</comments>
</file>

<file path=xl/comments8.xml><?xml version="1.0" encoding="utf-8"?>
<comments xmlns="http://schemas.openxmlformats.org/spreadsheetml/2006/main">
  <authors>
    <author>绿色芒果冰</author>
  </authors>
  <commentList>
    <comment ref="E7" authorId="0">
      <text>
        <r>
          <rPr>
            <b/>
            <sz val="9"/>
            <rFont val="宋体"/>
            <family val="3"/>
            <charset val="134"/>
          </rPr>
          <t>绿色芒果冰:每10万对应一个销售人员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默认采用三倍产能即三班次生产</t>
        </r>
      </text>
    </comment>
    <comment ref="B18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原材料耗用=单位材料成本*耗用原材料数量，单位材料成本= (当季购料金额+.上季原材料存货价值)/ (当季购料数量+上季原材料存货数量)</t>
        </r>
      </text>
    </comment>
    <comment ref="G25" authorId="0">
      <text>
        <r>
          <rPr>
            <b/>
            <sz val="9"/>
            <rFont val="宋体"/>
            <family val="3"/>
            <charset val="134"/>
          </rPr>
          <t>绿色芒果冰:</t>
        </r>
        <r>
          <rPr>
            <sz val="9"/>
            <rFont val="宋体"/>
            <family val="3"/>
            <charset val="134"/>
          </rPr>
          <t xml:space="preserve">
净利润=销售收入-该季度现金支出</t>
        </r>
      </text>
    </commen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>绿色芒果冰:</t>
        </r>
        <r>
          <rPr>
            <sz val="9"/>
            <color indexed="81"/>
            <rFont val="宋体"/>
            <family val="3"/>
            <charset val="134"/>
          </rPr>
          <t xml:space="preserve">
这里的数字是指下季可以采购多少条生产线（卡权益）</t>
        </r>
      </text>
    </comment>
  </commentList>
</comments>
</file>

<file path=xl/sharedStrings.xml><?xml version="1.0" encoding="utf-8"?>
<sst xmlns="http://schemas.openxmlformats.org/spreadsheetml/2006/main" count="1070" uniqueCount="154">
  <si>
    <t>当季原材料单价</t>
  </si>
  <si>
    <t>折现率</t>
  </si>
  <si>
    <t>所得税率</t>
  </si>
  <si>
    <t>增值税率</t>
  </si>
  <si>
    <t>产能</t>
  </si>
  <si>
    <t>附加税率</t>
  </si>
  <si>
    <t>理论最大产能</t>
  </si>
  <si>
    <t>年利率</t>
  </si>
  <si>
    <t>预计生产总数</t>
  </si>
  <si>
    <t>当季原材料存货价值</t>
  </si>
  <si>
    <t>利润表</t>
  </si>
  <si>
    <t>现金流量表</t>
  </si>
  <si>
    <t>产品成本</t>
  </si>
  <si>
    <t>班次管理费用</t>
  </si>
  <si>
    <t>现金流入</t>
  </si>
  <si>
    <t>销售收入</t>
  </si>
  <si>
    <t>合计</t>
  </si>
  <si>
    <t>人工费用</t>
  </si>
  <si>
    <t>当季贷款</t>
  </si>
  <si>
    <t>现金流出</t>
  </si>
  <si>
    <t>现金费用支出</t>
  </si>
  <si>
    <t>原材料耗用</t>
  </si>
  <si>
    <t>购料支出</t>
  </si>
  <si>
    <t>原材料订购成本</t>
  </si>
  <si>
    <t>设备支出</t>
  </si>
  <si>
    <t>设备订购成本</t>
  </si>
  <si>
    <t>还款</t>
  </si>
  <si>
    <t>维护费用</t>
  </si>
  <si>
    <t>发放红利</t>
  </si>
  <si>
    <t>研发成本</t>
  </si>
  <si>
    <t>现金数据</t>
  </si>
  <si>
    <t>当前季度现金余量</t>
  </si>
  <si>
    <t>设备折旧</t>
  </si>
  <si>
    <t>当季现金流量</t>
  </si>
  <si>
    <t>销售费用</t>
  </si>
  <si>
    <t>营销费用</t>
  </si>
  <si>
    <t>目前负债</t>
  </si>
  <si>
    <t>运输费用</t>
  </si>
  <si>
    <t>管理费用</t>
  </si>
  <si>
    <t>招聘费用</t>
  </si>
  <si>
    <t>培训费用</t>
  </si>
  <si>
    <t>季末现金余额</t>
  </si>
  <si>
    <t>员工工资</t>
  </si>
  <si>
    <t>当季设备价值</t>
  </si>
  <si>
    <t>原材料仓储</t>
  </si>
  <si>
    <t>所有者权益</t>
  </si>
  <si>
    <t>产成品存贮费</t>
  </si>
  <si>
    <t>财务费用</t>
  </si>
  <si>
    <t>利息</t>
  </si>
  <si>
    <t>税费</t>
  </si>
  <si>
    <t>增值税</t>
  </si>
  <si>
    <t>附加税</t>
  </si>
  <si>
    <t>企业所得税</t>
  </si>
  <si>
    <t>当季产能</t>
  </si>
  <si>
    <t>当季理论最大</t>
  </si>
  <si>
    <t>下季产能</t>
  </si>
  <si>
    <t>当季生产线总数</t>
  </si>
  <si>
    <t>下季理论最大产能</t>
  </si>
  <si>
    <t>市场</t>
  </si>
  <si>
    <t>价格</t>
  </si>
  <si>
    <t>产品数</t>
  </si>
  <si>
    <t>客服数</t>
  </si>
  <si>
    <t>营销投入</t>
  </si>
  <si>
    <t>销售产品数</t>
  </si>
  <si>
    <t>华北</t>
  </si>
  <si>
    <t>华中</t>
  </si>
  <si>
    <t>华南</t>
  </si>
  <si>
    <t>华东</t>
  </si>
  <si>
    <t>上季度现金余量</t>
  </si>
  <si>
    <t>上季度产成品价值</t>
  </si>
  <si>
    <t>产成品存货价值修正</t>
  </si>
  <si>
    <t>净利润</t>
  </si>
  <si>
    <t>总成本</t>
  </si>
  <si>
    <t>非正常负债</t>
  </si>
  <si>
    <t>当季生产设备价值</t>
  </si>
  <si>
    <t>贷款矫正</t>
  </si>
  <si>
    <t>原材料存贮费</t>
  </si>
  <si>
    <t>产成品仓储</t>
  </si>
  <si>
    <t>产成品存货价值</t>
  </si>
  <si>
    <t>设备支出</t>
    <phoneticPr fontId="10" type="noConversion"/>
  </si>
  <si>
    <t>净利</t>
    <phoneticPr fontId="10" type="noConversion"/>
  </si>
  <si>
    <t>应购买材料总数</t>
    <phoneticPr fontId="10" type="noConversion"/>
  </si>
  <si>
    <t>人力</t>
    <phoneticPr fontId="10" type="noConversion"/>
  </si>
  <si>
    <t>采购</t>
    <phoneticPr fontId="10" type="noConversion"/>
  </si>
  <si>
    <t>财务</t>
    <phoneticPr fontId="10" type="noConversion"/>
  </si>
  <si>
    <t>借款</t>
    <phoneticPr fontId="10" type="noConversion"/>
  </si>
  <si>
    <t>还款</t>
    <phoneticPr fontId="10" type="noConversion"/>
  </si>
  <si>
    <t>发放红利</t>
    <phoneticPr fontId="10" type="noConversion"/>
  </si>
  <si>
    <t>生产线</t>
    <phoneticPr fontId="10" type="noConversion"/>
  </si>
  <si>
    <t>工人</t>
    <phoneticPr fontId="10" type="noConversion"/>
  </si>
  <si>
    <t>华北</t>
    <phoneticPr fontId="10" type="noConversion"/>
  </si>
  <si>
    <t>华中</t>
    <phoneticPr fontId="10" type="noConversion"/>
  </si>
  <si>
    <t>华南</t>
    <phoneticPr fontId="10" type="noConversion"/>
  </si>
  <si>
    <t>华东</t>
    <phoneticPr fontId="10" type="noConversion"/>
  </si>
  <si>
    <t>公司筹建</t>
    <phoneticPr fontId="10" type="noConversion"/>
  </si>
  <si>
    <t>生产线条数</t>
    <phoneticPr fontId="10" type="noConversion"/>
  </si>
  <si>
    <t>研发投入</t>
    <phoneticPr fontId="10" type="noConversion"/>
  </si>
  <si>
    <t>技术工人</t>
    <phoneticPr fontId="10" type="noConversion"/>
  </si>
  <si>
    <t>产品研发投入</t>
    <phoneticPr fontId="10" type="noConversion"/>
  </si>
  <si>
    <t>客服人员</t>
    <phoneticPr fontId="10" type="noConversion"/>
  </si>
  <si>
    <t>实际购买原材料</t>
    <phoneticPr fontId="10" type="noConversion"/>
  </si>
  <si>
    <t>计划生产量</t>
    <phoneticPr fontId="10" type="noConversion"/>
  </si>
  <si>
    <t>物流和销售</t>
    <phoneticPr fontId="10" type="noConversion"/>
  </si>
  <si>
    <t>生产</t>
    <phoneticPr fontId="10" type="noConversion"/>
  </si>
  <si>
    <t>原材料价格</t>
    <phoneticPr fontId="10" type="noConversion"/>
  </si>
  <si>
    <t>班次</t>
    <phoneticPr fontId="10" type="noConversion"/>
  </si>
  <si>
    <t>辅助信息</t>
    <phoneticPr fontId="10" type="noConversion"/>
  </si>
  <si>
    <t>非正常采购</t>
    <phoneticPr fontId="10" type="noConversion"/>
  </si>
  <si>
    <t>应正常采购</t>
    <phoneticPr fontId="10" type="noConversion"/>
  </si>
  <si>
    <t>实正常采购</t>
    <phoneticPr fontId="10" type="noConversion"/>
  </si>
  <si>
    <t>雇佣客服数</t>
    <phoneticPr fontId="10" type="noConversion"/>
  </si>
  <si>
    <t>当季工人数</t>
    <phoneticPr fontId="10" type="noConversion"/>
  </si>
  <si>
    <t>当季客服数</t>
    <phoneticPr fontId="10" type="noConversion"/>
  </si>
  <si>
    <t>正常负债利息</t>
    <phoneticPr fontId="10" type="noConversion"/>
  </si>
  <si>
    <t>非正常负债利息</t>
    <phoneticPr fontId="10" type="noConversion"/>
  </si>
  <si>
    <t>非正常采购费用</t>
    <phoneticPr fontId="10" type="noConversion"/>
  </si>
  <si>
    <t>合计</t>
    <phoneticPr fontId="10" type="noConversion"/>
  </si>
  <si>
    <t>当季库存</t>
    <phoneticPr fontId="10" type="noConversion"/>
  </si>
  <si>
    <t>现金流出</t>
    <phoneticPr fontId="10" type="noConversion"/>
  </si>
  <si>
    <t>当季原材料库存</t>
    <phoneticPr fontId="10" type="noConversion"/>
  </si>
  <si>
    <t>当即原材料库存</t>
    <phoneticPr fontId="10" type="noConversion"/>
  </si>
  <si>
    <t>当季原材料存货</t>
    <phoneticPr fontId="10" type="noConversion"/>
  </si>
  <si>
    <t>复盘</t>
    <phoneticPr fontId="10" type="noConversion"/>
  </si>
  <si>
    <t>下季工人总数</t>
    <phoneticPr fontId="10" type="noConversion"/>
  </si>
  <si>
    <t>下季客服总数</t>
    <phoneticPr fontId="10" type="noConversion"/>
  </si>
  <si>
    <t>下季生产线总数</t>
    <phoneticPr fontId="10" type="noConversion"/>
  </si>
  <si>
    <t>运营状况表</t>
    <phoneticPr fontId="10" type="noConversion"/>
  </si>
  <si>
    <t>售渠道</t>
  </si>
  <si>
    <t>市场需求量</t>
  </si>
  <si>
    <t>销售量</t>
  </si>
  <si>
    <t>市场占有率（%）</t>
  </si>
  <si>
    <t>产成品库存</t>
  </si>
  <si>
    <t>客服人员</t>
  </si>
  <si>
    <t>华北市场</t>
  </si>
  <si>
    <t>华中市场</t>
  </si>
  <si>
    <t>华南市场</t>
  </si>
  <si>
    <t>华东市场</t>
  </si>
  <si>
    <t>本季市场需求量</t>
  </si>
  <si>
    <t>本季生产量</t>
  </si>
  <si>
    <t>本季销售量</t>
  </si>
  <si>
    <t>原材料库存</t>
  </si>
  <si>
    <t>总市场占有率（%）</t>
  </si>
  <si>
    <t>下季实际产能</t>
  </si>
  <si>
    <t>生产线数量</t>
  </si>
  <si>
    <t>员工总数</t>
  </si>
  <si>
    <t>技术工人</t>
  </si>
  <si>
    <t>零售渠道</t>
  </si>
  <si>
    <t>实际库存</t>
    <phoneticPr fontId="10" type="noConversion"/>
  </si>
  <si>
    <t>上季库存</t>
    <phoneticPr fontId="10" type="noConversion"/>
  </si>
  <si>
    <t>下季工人</t>
    <phoneticPr fontId="10" type="noConversion"/>
  </si>
  <si>
    <t>下季销售</t>
    <phoneticPr fontId="10" type="noConversion"/>
  </si>
  <si>
    <t>下季生产线</t>
    <phoneticPr fontId="10" type="noConversion"/>
  </si>
  <si>
    <t>下季库存</t>
    <phoneticPr fontId="10" type="noConversion"/>
  </si>
  <si>
    <t>下季客服·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</si>
</sst>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2" borderId="3" xfId="0" applyFill="1" applyBorder="1"/>
    <xf numFmtId="0" fontId="0" fillId="3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4" borderId="3" xfId="0" applyFill="1" applyBorder="1"/>
    <xf numFmtId="0" fontId="0" fillId="4" borderId="5" xfId="0" applyFill="1" applyBorder="1"/>
    <xf numFmtId="0" fontId="0" fillId="2" borderId="7" xfId="0" applyFill="1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7" xfId="0" applyBorder="1"/>
    <xf numFmtId="0" fontId="0" fillId="0" borderId="5" xfId="0" applyBorder="1"/>
    <xf numFmtId="0" fontId="0" fillId="8" borderId="3" xfId="0" applyFill="1" applyBorder="1"/>
    <xf numFmtId="0" fontId="4" fillId="8" borderId="3" xfId="0" applyFont="1" applyFill="1" applyBorder="1"/>
    <xf numFmtId="0" fontId="0" fillId="3" borderId="3" xfId="0" applyFill="1" applyBorder="1" applyAlignment="1">
      <alignment horizontal="right"/>
    </xf>
    <xf numFmtId="0" fontId="0" fillId="6" borderId="3" xfId="0" applyFill="1" applyBorder="1"/>
    <xf numFmtId="0" fontId="0" fillId="0" borderId="3" xfId="0" applyBorder="1" applyAlignment="1">
      <alignment horizontal="right" vertical="justify"/>
    </xf>
    <xf numFmtId="0" fontId="0" fillId="0" borderId="3" xfId="0" applyBorder="1" applyAlignment="1">
      <alignment vertical="justify"/>
    </xf>
    <xf numFmtId="0" fontId="0" fillId="0" borderId="3" xfId="0" applyFill="1" applyBorder="1"/>
    <xf numFmtId="0" fontId="1" fillId="6" borderId="3" xfId="0" applyFont="1" applyFill="1" applyBorder="1"/>
    <xf numFmtId="0" fontId="5" fillId="0" borderId="3" xfId="0" applyFont="1" applyBorder="1"/>
    <xf numFmtId="0" fontId="5" fillId="0" borderId="7" xfId="0" applyFont="1" applyBorder="1"/>
    <xf numFmtId="0" fontId="0" fillId="0" borderId="26" xfId="0" applyBorder="1"/>
    <xf numFmtId="0" fontId="0" fillId="0" borderId="7" xfId="0" applyBorder="1" applyAlignment="1">
      <alignment horizontal="right"/>
    </xf>
    <xf numFmtId="0" fontId="0" fillId="4" borderId="31" xfId="0" applyFill="1" applyBorder="1"/>
    <xf numFmtId="0" fontId="0" fillId="4" borderId="26" xfId="0" applyFill="1" applyBorder="1"/>
    <xf numFmtId="0" fontId="0" fillId="4" borderId="32" xfId="0" applyFill="1" applyBorder="1"/>
    <xf numFmtId="0" fontId="0" fillId="2" borderId="31" xfId="0" applyFill="1" applyBorder="1"/>
    <xf numFmtId="0" fontId="0" fillId="0" borderId="25" xfId="0" applyBorder="1"/>
    <xf numFmtId="0" fontId="0" fillId="0" borderId="32" xfId="0" applyBorder="1"/>
    <xf numFmtId="0" fontId="0" fillId="0" borderId="6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9" borderId="4" xfId="0" applyFill="1" applyBorder="1"/>
    <xf numFmtId="0" fontId="0" fillId="9" borderId="3" xfId="0" applyFill="1" applyBorder="1"/>
    <xf numFmtId="0" fontId="0" fillId="11" borderId="26" xfId="0" applyFill="1" applyBorder="1"/>
    <xf numFmtId="0" fontId="0" fillId="9" borderId="6" xfId="0" applyFill="1" applyBorder="1"/>
    <xf numFmtId="0" fontId="0" fillId="0" borderId="2" xfId="0" applyBorder="1"/>
    <xf numFmtId="0" fontId="0" fillId="10" borderId="31" xfId="0" applyFill="1" applyBorder="1"/>
    <xf numFmtId="0" fontId="0" fillId="12" borderId="3" xfId="0" applyFill="1" applyBorder="1"/>
    <xf numFmtId="0" fontId="0" fillId="0" borderId="26" xfId="0" applyBorder="1" applyAlignment="1">
      <alignment vertical="justify"/>
    </xf>
    <xf numFmtId="0" fontId="3" fillId="0" borderId="4" xfId="0" applyFont="1" applyBorder="1" applyAlignment="1">
      <alignment vertical="center"/>
    </xf>
    <xf numFmtId="0" fontId="11" fillId="9" borderId="3" xfId="0" applyFont="1" applyFill="1" applyBorder="1"/>
    <xf numFmtId="0" fontId="11" fillId="0" borderId="0" xfId="0" applyFont="1"/>
    <xf numFmtId="0" fontId="1" fillId="0" borderId="0" xfId="0" applyFont="1"/>
    <xf numFmtId="0" fontId="11" fillId="0" borderId="3" xfId="0" applyFont="1" applyBorder="1"/>
    <xf numFmtId="0" fontId="11" fillId="13" borderId="1" xfId="0" applyFont="1" applyFill="1" applyBorder="1"/>
    <xf numFmtId="0" fontId="11" fillId="13" borderId="6" xfId="0" applyFont="1" applyFill="1" applyBorder="1"/>
    <xf numFmtId="0" fontId="11" fillId="13" borderId="4" xfId="0" applyFont="1" applyFill="1" applyBorder="1"/>
    <xf numFmtId="0" fontId="11" fillId="13" borderId="38" xfId="0" applyFont="1" applyFill="1" applyBorder="1"/>
    <xf numFmtId="0" fontId="1" fillId="13" borderId="4" xfId="0" applyFont="1" applyFill="1" applyBorder="1"/>
    <xf numFmtId="0" fontId="1" fillId="13" borderId="1" xfId="0" applyFont="1" applyFill="1" applyBorder="1"/>
    <xf numFmtId="0" fontId="0" fillId="14" borderId="39" xfId="0" applyFill="1" applyBorder="1"/>
    <xf numFmtId="0" fontId="1" fillId="14" borderId="39" xfId="0" applyFont="1" applyFill="1" applyBorder="1"/>
    <xf numFmtId="0" fontId="0" fillId="14" borderId="41" xfId="0" applyFill="1" applyBorder="1"/>
    <xf numFmtId="0" fontId="0" fillId="0" borderId="0" xfId="0" applyFill="1" applyBorder="1"/>
    <xf numFmtId="0" fontId="1" fillId="13" borderId="6" xfId="0" applyFont="1" applyFill="1" applyBorder="1"/>
    <xf numFmtId="0" fontId="1" fillId="9" borderId="3" xfId="0" applyFont="1" applyFill="1" applyBorder="1"/>
    <xf numFmtId="0" fontId="13" fillId="7" borderId="3" xfId="0" applyFont="1" applyFill="1" applyBorder="1" applyAlignment="1">
      <alignment horizontal="center" vertical="center"/>
    </xf>
    <xf numFmtId="0" fontId="0" fillId="15" borderId="31" xfId="0" applyFill="1" applyBorder="1"/>
    <xf numFmtId="0" fontId="0" fillId="15" borderId="26" xfId="0" applyFill="1" applyBorder="1"/>
    <xf numFmtId="0" fontId="1" fillId="9" borderId="1" xfId="0" applyFont="1" applyFill="1" applyBorder="1"/>
    <xf numFmtId="0" fontId="1" fillId="9" borderId="6" xfId="0" applyFont="1" applyFill="1" applyBorder="1"/>
    <xf numFmtId="0" fontId="0" fillId="10" borderId="32" xfId="0" applyFill="1" applyBorder="1"/>
    <xf numFmtId="0" fontId="1" fillId="14" borderId="40" xfId="0" applyFont="1" applyFill="1" applyBorder="1"/>
    <xf numFmtId="0" fontId="0" fillId="10" borderId="45" xfId="0" applyFill="1" applyBorder="1"/>
    <xf numFmtId="0" fontId="6" fillId="9" borderId="15" xfId="0" applyFont="1" applyFill="1" applyBorder="1"/>
    <xf numFmtId="0" fontId="1" fillId="7" borderId="35" xfId="0" applyFont="1" applyFill="1" applyBorder="1"/>
    <xf numFmtId="0" fontId="0" fillId="11" borderId="32" xfId="0" applyFill="1" applyBorder="1"/>
    <xf numFmtId="0" fontId="0" fillId="0" borderId="26" xfId="0" applyBorder="1" applyAlignment="1">
      <alignment horizontal="right" vertical="justify"/>
    </xf>
    <xf numFmtId="0" fontId="1" fillId="0" borderId="1" xfId="0" applyFont="1" applyBorder="1"/>
    <xf numFmtId="0" fontId="2" fillId="4" borderId="26" xfId="0" applyFont="1" applyFill="1" applyBorder="1"/>
    <xf numFmtId="0" fontId="0" fillId="4" borderId="24" xfId="0" applyFill="1" applyBorder="1"/>
    <xf numFmtId="0" fontId="0" fillId="3" borderId="26" xfId="0" applyFill="1" applyBorder="1"/>
    <xf numFmtId="0" fontId="1" fillId="3" borderId="26" xfId="0" applyFont="1" applyFill="1" applyBorder="1"/>
    <xf numFmtId="0" fontId="0" fillId="0" borderId="42" xfId="0" applyBorder="1"/>
    <xf numFmtId="0" fontId="0" fillId="2" borderId="20" xfId="0" applyFill="1" applyBorder="1"/>
    <xf numFmtId="0" fontId="7" fillId="5" borderId="4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16" borderId="3" xfId="0" applyFill="1" applyBorder="1"/>
    <xf numFmtId="0" fontId="0" fillId="16" borderId="7" xfId="0" applyFill="1" applyBorder="1"/>
    <xf numFmtId="0" fontId="0" fillId="0" borderId="26" xfId="0" applyBorder="1" applyAlignment="1">
      <alignment horizontal="right"/>
    </xf>
    <xf numFmtId="0" fontId="4" fillId="8" borderId="3" xfId="0" applyNumberFormat="1" applyFont="1" applyFill="1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3" borderId="3" xfId="0" applyNumberFormat="1" applyFill="1" applyBorder="1" applyAlignment="1">
      <alignment horizontal="right"/>
    </xf>
    <xf numFmtId="0" fontId="5" fillId="0" borderId="3" xfId="0" applyNumberFormat="1" applyFont="1" applyBorder="1" applyAlignment="1">
      <alignment horizontal="right"/>
    </xf>
    <xf numFmtId="0" fontId="1" fillId="0" borderId="3" xfId="0" applyNumberFormat="1" applyFont="1" applyBorder="1" applyAlignment="1">
      <alignment horizontal="right"/>
    </xf>
    <xf numFmtId="0" fontId="0" fillId="0" borderId="7" xfId="0" applyNumberFormat="1" applyBorder="1" applyAlignment="1">
      <alignment horizontal="right"/>
    </xf>
    <xf numFmtId="0" fontId="0" fillId="4" borderId="26" xfId="0" applyFill="1" applyBorder="1" applyAlignment="1">
      <alignment horizontal="right"/>
    </xf>
    <xf numFmtId="0" fontId="0" fillId="15" borderId="3" xfId="0" applyNumberFormat="1" applyFill="1" applyBorder="1" applyAlignment="1">
      <alignment horizontal="right"/>
    </xf>
    <xf numFmtId="0" fontId="11" fillId="13" borderId="0" xfId="0" applyFont="1" applyFill="1"/>
    <xf numFmtId="0" fontId="1" fillId="4" borderId="0" xfId="0" applyFont="1" applyFill="1"/>
    <xf numFmtId="0" fontId="5" fillId="13" borderId="4" xfId="0" applyFont="1" applyFill="1" applyBorder="1"/>
    <xf numFmtId="0" fontId="0" fillId="0" borderId="43" xfId="0" applyBorder="1"/>
    <xf numFmtId="0" fontId="5" fillId="3" borderId="41" xfId="0" applyFont="1" applyFill="1" applyBorder="1"/>
    <xf numFmtId="0" fontId="1" fillId="3" borderId="41" xfId="0" applyFont="1" applyFill="1" applyBorder="1"/>
    <xf numFmtId="0" fontId="0" fillId="3" borderId="41" xfId="0" applyFill="1" applyBorder="1"/>
    <xf numFmtId="0" fontId="1" fillId="13" borderId="42" xfId="0" applyFont="1" applyFill="1" applyBorder="1"/>
    <xf numFmtId="0" fontId="11" fillId="13" borderId="42" xfId="0" applyFont="1" applyFill="1" applyBorder="1"/>
    <xf numFmtId="0" fontId="11" fillId="15" borderId="4" xfId="0" applyFont="1" applyFill="1" applyBorder="1"/>
    <xf numFmtId="0" fontId="0" fillId="0" borderId="22" xfId="0" applyBorder="1"/>
    <xf numFmtId="0" fontId="11" fillId="13" borderId="22" xfId="0" applyFont="1" applyFill="1" applyBorder="1"/>
    <xf numFmtId="0" fontId="0" fillId="3" borderId="19" xfId="0" applyFill="1" applyBorder="1"/>
    <xf numFmtId="0" fontId="11" fillId="15" borderId="22" xfId="0" applyFont="1" applyFill="1" applyBorder="1"/>
    <xf numFmtId="0" fontId="0" fillId="2" borderId="22" xfId="0" applyFill="1" applyBorder="1"/>
    <xf numFmtId="0" fontId="0" fillId="4" borderId="25" xfId="0" applyFill="1" applyBorder="1"/>
    <xf numFmtId="0" fontId="5" fillId="2" borderId="2" xfId="0" applyFont="1" applyFill="1" applyBorder="1"/>
    <xf numFmtId="0" fontId="1" fillId="0" borderId="3" xfId="0" applyFont="1" applyBorder="1"/>
    <xf numFmtId="0" fontId="12" fillId="0" borderId="3" xfId="0" applyNumberFormat="1" applyFont="1" applyBorder="1" applyAlignment="1">
      <alignment horizontal="right"/>
    </xf>
    <xf numFmtId="0" fontId="12" fillId="6" borderId="3" xfId="0" applyFont="1" applyFill="1" applyBorder="1"/>
    <xf numFmtId="0" fontId="1" fillId="0" borderId="26" xfId="0" applyFont="1" applyBorder="1" applyAlignment="1">
      <alignment horizontal="right"/>
    </xf>
    <xf numFmtId="0" fontId="2" fillId="4" borderId="41" xfId="0" applyFont="1" applyFill="1" applyBorder="1"/>
    <xf numFmtId="0" fontId="0" fillId="4" borderId="21" xfId="0" applyFill="1" applyBorder="1"/>
    <xf numFmtId="0" fontId="0" fillId="4" borderId="41" xfId="0" applyFill="1" applyBorder="1"/>
    <xf numFmtId="0" fontId="11" fillId="0" borderId="4" xfId="0" applyFont="1" applyBorder="1"/>
    <xf numFmtId="0" fontId="0" fillId="4" borderId="23" xfId="0" applyFill="1" applyBorder="1"/>
    <xf numFmtId="0" fontId="0" fillId="2" borderId="39" xfId="0" applyFill="1" applyBorder="1"/>
    <xf numFmtId="0" fontId="0" fillId="0" borderId="41" xfId="0" applyBorder="1"/>
    <xf numFmtId="0" fontId="0" fillId="0" borderId="40" xfId="0" applyBorder="1"/>
    <xf numFmtId="0" fontId="11" fillId="0" borderId="22" xfId="0" applyFont="1" applyBorder="1"/>
    <xf numFmtId="3" fontId="0" fillId="0" borderId="3" xfId="0" applyNumberFormat="1" applyBorder="1"/>
    <xf numFmtId="0" fontId="0" fillId="0" borderId="20" xfId="0" applyBorder="1"/>
    <xf numFmtId="0" fontId="0" fillId="0" borderId="24" xfId="0" applyBorder="1"/>
    <xf numFmtId="3" fontId="0" fillId="0" borderId="4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1" fillId="2" borderId="46" xfId="0" applyFont="1" applyFill="1" applyBorder="1"/>
    <xf numFmtId="0" fontId="0" fillId="4" borderId="42" xfId="0" applyFill="1" applyBorder="1"/>
    <xf numFmtId="3" fontId="0" fillId="4" borderId="42" xfId="0" applyNumberFormat="1" applyFill="1" applyBorder="1"/>
    <xf numFmtId="0" fontId="0" fillId="15" borderId="3" xfId="0" applyFill="1" applyBorder="1" applyAlignment="1">
      <alignment horizontal="right"/>
    </xf>
    <xf numFmtId="0" fontId="0" fillId="15" borderId="3" xfId="0" applyFill="1" applyBorder="1"/>
    <xf numFmtId="3" fontId="0" fillId="0" borderId="26" xfId="0" applyNumberFormat="1" applyBorder="1"/>
    <xf numFmtId="0" fontId="11" fillId="0" borderId="1" xfId="0" applyFont="1" applyBorder="1"/>
    <xf numFmtId="0" fontId="0" fillId="0" borderId="3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49" xfId="0" applyBorder="1"/>
    <xf numFmtId="3" fontId="0" fillId="0" borderId="0" xfId="0" applyNumberFormat="1" applyBorder="1"/>
    <xf numFmtId="0" fontId="0" fillId="0" borderId="55" xfId="0" applyBorder="1"/>
    <xf numFmtId="3" fontId="0" fillId="0" borderId="49" xfId="0" applyNumberFormat="1" applyBorder="1"/>
    <xf numFmtId="3" fontId="0" fillId="0" borderId="37" xfId="0" applyNumberFormat="1" applyBorder="1"/>
    <xf numFmtId="3" fontId="0" fillId="0" borderId="8" xfId="0" applyNumberFormat="1" applyBorder="1"/>
    <xf numFmtId="0" fontId="0" fillId="0" borderId="8" xfId="0" applyBorder="1"/>
    <xf numFmtId="0" fontId="0" fillId="0" borderId="56" xfId="0" applyBorder="1"/>
    <xf numFmtId="0" fontId="5" fillId="0" borderId="1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3" fillId="7" borderId="3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/>
    </xf>
    <xf numFmtId="0" fontId="11" fillId="17" borderId="50" xfId="0" applyFont="1" applyFill="1" applyBorder="1" applyAlignment="1">
      <alignment horizontal="center"/>
    </xf>
    <xf numFmtId="0" fontId="11" fillId="17" borderId="5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6" borderId="2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7" borderId="43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11" fillId="7" borderId="43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7" zoomScale="130" zoomScaleNormal="130" workbookViewId="0">
      <selection activeCell="C14" sqref="C14"/>
    </sheetView>
  </sheetViews>
  <sheetFormatPr defaultColWidth="9" defaultRowHeight="13.8" x14ac:dyDescent="0.25"/>
  <cols>
    <col min="1" max="1" width="14" customWidth="1"/>
    <col min="2" max="2" width="11.44140625" customWidth="1"/>
    <col min="3" max="3" width="13.6640625" customWidth="1"/>
    <col min="4" max="4" width="9.5546875" customWidth="1"/>
    <col min="5" max="5" width="15" customWidth="1"/>
    <col min="6" max="6" width="16" customWidth="1"/>
    <col min="7" max="7" width="8.77734375" customWidth="1"/>
    <col min="8" max="8" width="9" customWidth="1"/>
    <col min="9" max="9" width="9.44140625" customWidth="1"/>
    <col min="10" max="10" width="17.33203125" customWidth="1"/>
  </cols>
  <sheetData>
    <row r="1" spans="1:9" ht="14.4" thickBot="1" x14ac:dyDescent="0.3">
      <c r="A1" s="146" t="s">
        <v>94</v>
      </c>
      <c r="B1" s="147"/>
      <c r="C1" s="62" t="s">
        <v>0</v>
      </c>
      <c r="D1" s="39">
        <v>1.5</v>
      </c>
    </row>
    <row r="2" spans="1:9" ht="14.4" thickBot="1" x14ac:dyDescent="0.3">
      <c r="A2" s="47" t="s">
        <v>95</v>
      </c>
      <c r="B2" s="53">
        <v>8</v>
      </c>
      <c r="C2" s="63" t="s">
        <v>8</v>
      </c>
      <c r="D2" s="64">
        <v>1200000</v>
      </c>
    </row>
    <row r="3" spans="1:9" ht="14.4" thickBot="1" x14ac:dyDescent="0.3">
      <c r="A3" s="57" t="s">
        <v>100</v>
      </c>
      <c r="B3" s="65">
        <v>0</v>
      </c>
      <c r="C3" s="67" t="s">
        <v>81</v>
      </c>
      <c r="D3" s="68">
        <f>D2*1.35</f>
        <v>1620000</v>
      </c>
    </row>
    <row r="4" spans="1:9" x14ac:dyDescent="0.25">
      <c r="A4" s="52" t="s">
        <v>97</v>
      </c>
      <c r="B4" s="54">
        <v>24</v>
      </c>
      <c r="C4" s="34" t="s">
        <v>4</v>
      </c>
      <c r="D4" s="26">
        <f>B2*50000</f>
        <v>400000</v>
      </c>
    </row>
    <row r="5" spans="1:9" x14ac:dyDescent="0.25">
      <c r="A5" s="51" t="s">
        <v>99</v>
      </c>
      <c r="B5" s="55"/>
      <c r="C5" s="34" t="s">
        <v>6</v>
      </c>
      <c r="D5" s="26">
        <f>D4*3</f>
        <v>1200000</v>
      </c>
    </row>
    <row r="6" spans="1:9" x14ac:dyDescent="0.25">
      <c r="A6" s="49" t="s">
        <v>90</v>
      </c>
      <c r="B6" s="55">
        <v>3</v>
      </c>
      <c r="C6" s="34" t="s">
        <v>1</v>
      </c>
      <c r="D6" s="36">
        <v>0.03</v>
      </c>
      <c r="F6" s="32"/>
      <c r="G6" s="32"/>
      <c r="H6" s="32"/>
      <c r="I6" s="56"/>
    </row>
    <row r="7" spans="1:9" x14ac:dyDescent="0.25">
      <c r="A7" s="49" t="s">
        <v>91</v>
      </c>
      <c r="B7" s="55">
        <v>3</v>
      </c>
      <c r="C7" s="34" t="s">
        <v>2</v>
      </c>
      <c r="D7" s="36">
        <v>0.1</v>
      </c>
      <c r="F7" s="56"/>
      <c r="G7" s="56"/>
      <c r="H7" s="32"/>
    </row>
    <row r="8" spans="1:9" x14ac:dyDescent="0.25">
      <c r="A8" s="49" t="s">
        <v>92</v>
      </c>
      <c r="B8" s="55">
        <v>3</v>
      </c>
      <c r="C8" s="34" t="s">
        <v>3</v>
      </c>
      <c r="D8" s="36">
        <v>0.03</v>
      </c>
      <c r="F8" s="56"/>
      <c r="G8" s="56"/>
      <c r="H8" s="32"/>
    </row>
    <row r="9" spans="1:9" ht="14.4" thickBot="1" x14ac:dyDescent="0.3">
      <c r="A9" s="48" t="s">
        <v>93</v>
      </c>
      <c r="B9" s="55">
        <v>3</v>
      </c>
      <c r="C9" s="34" t="s">
        <v>5</v>
      </c>
      <c r="D9" s="36">
        <v>0.11</v>
      </c>
      <c r="F9" s="56"/>
      <c r="G9" s="56"/>
      <c r="H9" s="32"/>
    </row>
    <row r="10" spans="1:9" ht="14.4" thickBot="1" x14ac:dyDescent="0.3">
      <c r="A10" s="50" t="s">
        <v>98</v>
      </c>
      <c r="B10" s="66">
        <v>1502000</v>
      </c>
      <c r="C10" s="37" t="s">
        <v>7</v>
      </c>
      <c r="D10" s="69">
        <v>0.02</v>
      </c>
      <c r="F10" s="32"/>
      <c r="G10" s="32"/>
      <c r="H10" s="32"/>
    </row>
    <row r="11" spans="1:9" ht="14.4" thickBot="1" x14ac:dyDescent="0.3"/>
    <row r="12" spans="1:9" ht="14.4" thickBot="1" x14ac:dyDescent="0.3">
      <c r="A12" s="153" t="s">
        <v>10</v>
      </c>
      <c r="B12" s="154"/>
      <c r="C12" s="155"/>
      <c r="D12" s="156" t="s">
        <v>11</v>
      </c>
      <c r="E12" s="156"/>
      <c r="F12" s="156"/>
      <c r="G12" s="156"/>
      <c r="H12" s="156"/>
    </row>
    <row r="13" spans="1:9" ht="13.95" customHeight="1" x14ac:dyDescent="0.25">
      <c r="A13" s="157" t="s">
        <v>12</v>
      </c>
      <c r="B13" s="38" t="s">
        <v>13</v>
      </c>
      <c r="C13" s="60">
        <v>0</v>
      </c>
      <c r="D13" s="59" t="s">
        <v>14</v>
      </c>
      <c r="E13" s="13" t="s">
        <v>15</v>
      </c>
      <c r="F13" s="14"/>
      <c r="G13" s="40" t="s">
        <v>16</v>
      </c>
      <c r="H13" s="40">
        <f>F13</f>
        <v>0</v>
      </c>
    </row>
    <row r="14" spans="1:9" ht="13.95" customHeight="1" x14ac:dyDescent="0.25">
      <c r="A14" s="152"/>
      <c r="B14" s="9" t="s">
        <v>17</v>
      </c>
      <c r="C14" s="61">
        <v>0</v>
      </c>
      <c r="D14" s="148" t="s">
        <v>19</v>
      </c>
      <c r="E14" s="35" t="s">
        <v>20</v>
      </c>
      <c r="F14" s="9">
        <f>C17+C18+C20+C24+C25+C26</f>
        <v>2500000</v>
      </c>
      <c r="G14" s="40" t="s">
        <v>16</v>
      </c>
      <c r="H14" s="40">
        <f>F14+F15+F16</f>
        <v>6500000</v>
      </c>
    </row>
    <row r="15" spans="1:9" ht="13.95" customHeight="1" x14ac:dyDescent="0.25">
      <c r="A15" s="152"/>
      <c r="B15" s="9" t="s">
        <v>13</v>
      </c>
      <c r="C15" s="23">
        <v>0</v>
      </c>
      <c r="D15" s="148"/>
      <c r="E15" s="35" t="s">
        <v>22</v>
      </c>
      <c r="F15" s="9">
        <f>D1*B3</f>
        <v>0</v>
      </c>
      <c r="G15" s="9"/>
      <c r="H15" s="9"/>
    </row>
    <row r="16" spans="1:9" ht="13.95" customHeight="1" x14ac:dyDescent="0.25">
      <c r="A16" s="152"/>
      <c r="B16" s="9" t="s">
        <v>21</v>
      </c>
      <c r="C16" s="23">
        <v>0</v>
      </c>
      <c r="D16" s="148"/>
      <c r="E16" s="43" t="s">
        <v>79</v>
      </c>
      <c r="F16" s="9">
        <f>B2*500000</f>
        <v>4000000</v>
      </c>
      <c r="G16" s="9"/>
      <c r="H16" s="9"/>
    </row>
    <row r="17" spans="1:8" ht="13.95" customHeight="1" x14ac:dyDescent="0.25">
      <c r="A17" s="152"/>
      <c r="B17" s="9" t="s">
        <v>23</v>
      </c>
      <c r="C17" s="70">
        <f>IF(B3&lt;2000001,ROUNDUP(B3/500000,0),5)*40000</f>
        <v>0</v>
      </c>
      <c r="D17" s="149" t="s">
        <v>30</v>
      </c>
      <c r="E17" s="35" t="s">
        <v>31</v>
      </c>
      <c r="F17" s="9">
        <f>6500000</f>
        <v>6500000</v>
      </c>
      <c r="G17" s="9"/>
      <c r="H17" s="9"/>
    </row>
    <row r="18" spans="1:8" ht="13.95" customHeight="1" x14ac:dyDescent="0.25">
      <c r="A18" s="152"/>
      <c r="B18" s="9" t="s">
        <v>25</v>
      </c>
      <c r="C18" s="41">
        <f>B2*100000</f>
        <v>800000</v>
      </c>
      <c r="D18" s="150"/>
      <c r="E18" s="35" t="s">
        <v>33</v>
      </c>
      <c r="F18" s="9">
        <f>H13-H14</f>
        <v>-6500000</v>
      </c>
      <c r="G18" s="9"/>
      <c r="H18" s="9"/>
    </row>
    <row r="19" spans="1:8" ht="13.95" customHeight="1" x14ac:dyDescent="0.25">
      <c r="A19" s="152"/>
      <c r="B19" s="9" t="s">
        <v>27</v>
      </c>
      <c r="C19" s="23">
        <v>0</v>
      </c>
      <c r="D19" s="150"/>
      <c r="E19" s="35" t="s">
        <v>9</v>
      </c>
      <c r="F19" s="131">
        <f>B3*D1</f>
        <v>0</v>
      </c>
      <c r="G19" s="9"/>
      <c r="H19" s="9"/>
    </row>
    <row r="20" spans="1:8" ht="13.95" customHeight="1" x14ac:dyDescent="0.25">
      <c r="A20" s="152"/>
      <c r="B20" s="9" t="s">
        <v>29</v>
      </c>
      <c r="C20" s="23">
        <f>B10</f>
        <v>1502000</v>
      </c>
      <c r="D20" s="150"/>
      <c r="E20" s="9" t="s">
        <v>43</v>
      </c>
      <c r="F20" s="46">
        <f>500000*B2</f>
        <v>4000000</v>
      </c>
      <c r="G20" s="9"/>
      <c r="H20" s="9"/>
    </row>
    <row r="21" spans="1:8" ht="13.95" customHeight="1" x14ac:dyDescent="0.25">
      <c r="A21" s="152"/>
      <c r="B21" s="9" t="s">
        <v>32</v>
      </c>
      <c r="C21" s="23">
        <v>0</v>
      </c>
      <c r="D21" s="150"/>
      <c r="E21" s="108" t="s">
        <v>45</v>
      </c>
      <c r="F21" s="108">
        <f>F19+F23+F20</f>
        <v>4000000</v>
      </c>
      <c r="G21" s="9">
        <f>F21/1500000</f>
        <v>2.6666666666666665</v>
      </c>
      <c r="H21" s="9"/>
    </row>
    <row r="22" spans="1:8" ht="13.95" customHeight="1" x14ac:dyDescent="0.25">
      <c r="A22" s="152" t="s">
        <v>34</v>
      </c>
      <c r="B22" s="9" t="s">
        <v>35</v>
      </c>
      <c r="C22" s="23">
        <v>0</v>
      </c>
      <c r="D22" s="150"/>
      <c r="E22" s="46" t="s">
        <v>80</v>
      </c>
      <c r="F22" s="9">
        <f>-C17-C18-C20-C24-C25-C26</f>
        <v>-2500000</v>
      </c>
      <c r="G22" s="9"/>
      <c r="H22" s="9"/>
    </row>
    <row r="23" spans="1:8" ht="13.95" customHeight="1" x14ac:dyDescent="0.25">
      <c r="A23" s="152"/>
      <c r="B23" s="9" t="s">
        <v>37</v>
      </c>
      <c r="C23" s="23">
        <v>0</v>
      </c>
      <c r="D23" s="151"/>
      <c r="E23" s="58" t="s">
        <v>41</v>
      </c>
      <c r="F23" s="21">
        <f>IF(B3=0,6500000-H14+C17,6500000-H14)</f>
        <v>0</v>
      </c>
      <c r="G23" s="9"/>
      <c r="H23" s="9"/>
    </row>
    <row r="24" spans="1:8" ht="13.95" customHeight="1" x14ac:dyDescent="0.25">
      <c r="A24" s="152" t="s">
        <v>38</v>
      </c>
      <c r="B24" s="9" t="s">
        <v>39</v>
      </c>
      <c r="C24" s="23">
        <f>(B4+B6+B7+B8+B9)*500</f>
        <v>18000</v>
      </c>
      <c r="D24" s="32"/>
      <c r="E24" s="32"/>
    </row>
    <row r="25" spans="1:8" ht="13.95" customHeight="1" x14ac:dyDescent="0.25">
      <c r="A25" s="152"/>
      <c r="B25" s="9" t="s">
        <v>40</v>
      </c>
      <c r="C25" s="23">
        <f>(B4+B6+B7+B8+B9)*1000</f>
        <v>36000</v>
      </c>
      <c r="D25" s="32"/>
      <c r="E25" s="32"/>
    </row>
    <row r="26" spans="1:8" x14ac:dyDescent="0.25">
      <c r="A26" s="152"/>
      <c r="B26" s="9" t="s">
        <v>42</v>
      </c>
      <c r="C26" s="23">
        <f>B4*1250*3+(B6+B7+B8+B9)*1500*3</f>
        <v>144000</v>
      </c>
      <c r="D26" s="32"/>
      <c r="E26" s="32"/>
    </row>
    <row r="27" spans="1:8" x14ac:dyDescent="0.25">
      <c r="A27" s="152"/>
      <c r="B27" s="9" t="s">
        <v>44</v>
      </c>
      <c r="C27" s="23"/>
      <c r="D27" s="32"/>
      <c r="E27" s="32"/>
    </row>
    <row r="28" spans="1:8" x14ac:dyDescent="0.25">
      <c r="A28" s="152"/>
      <c r="B28" s="9" t="s">
        <v>46</v>
      </c>
      <c r="C28" s="23"/>
      <c r="D28" s="32"/>
      <c r="E28" s="32"/>
    </row>
    <row r="29" spans="1:8" ht="20.399999999999999" x14ac:dyDescent="0.25">
      <c r="A29" s="42" t="s">
        <v>47</v>
      </c>
      <c r="B29" s="9" t="s">
        <v>48</v>
      </c>
      <c r="C29" s="23">
        <v>0</v>
      </c>
      <c r="D29" s="32"/>
    </row>
    <row r="30" spans="1:8" x14ac:dyDescent="0.25">
      <c r="A30" s="152" t="s">
        <v>49</v>
      </c>
      <c r="B30" s="9" t="s">
        <v>50</v>
      </c>
      <c r="C30" s="23">
        <f>C32/(1+0.03)*0.03</f>
        <v>0</v>
      </c>
      <c r="D30" s="32"/>
    </row>
    <row r="31" spans="1:8" x14ac:dyDescent="0.25">
      <c r="A31" s="152"/>
      <c r="B31" s="9" t="s">
        <v>51</v>
      </c>
      <c r="C31" s="23">
        <f>C30*0.11</f>
        <v>0</v>
      </c>
      <c r="D31" s="32"/>
    </row>
    <row r="32" spans="1:8" x14ac:dyDescent="0.25">
      <c r="A32" s="152"/>
      <c r="B32" s="9" t="s">
        <v>52</v>
      </c>
      <c r="C32" s="23">
        <v>0</v>
      </c>
    </row>
    <row r="33" spans="1:3" x14ac:dyDescent="0.25">
      <c r="A33" s="8"/>
      <c r="B33" s="9"/>
      <c r="C33" s="23"/>
    </row>
    <row r="34" spans="1:3" ht="14.4" thickBot="1" x14ac:dyDescent="0.3">
      <c r="A34" s="31"/>
      <c r="B34" s="11"/>
      <c r="C34" s="30"/>
    </row>
    <row r="35" spans="1:3" x14ac:dyDescent="0.25">
      <c r="A35" s="32"/>
    </row>
    <row r="37" spans="1:3" x14ac:dyDescent="0.25">
      <c r="C37" s="45"/>
    </row>
    <row r="40" spans="1:3" ht="14.55" customHeight="1" x14ac:dyDescent="0.25"/>
    <row r="41" spans="1:3" ht="13.95" customHeight="1" x14ac:dyDescent="0.25"/>
  </sheetData>
  <mergeCells count="9">
    <mergeCell ref="A1:B1"/>
    <mergeCell ref="D14:D16"/>
    <mergeCell ref="D17:D23"/>
    <mergeCell ref="A24:A28"/>
    <mergeCell ref="A30:A32"/>
    <mergeCell ref="A12:C12"/>
    <mergeCell ref="D12:H12"/>
    <mergeCell ref="A13:A21"/>
    <mergeCell ref="A22:A23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8"/>
  <sheetViews>
    <sheetView zoomScale="120" zoomScaleNormal="120" workbookViewId="0">
      <selection activeCell="J37" sqref="J37"/>
    </sheetView>
  </sheetViews>
  <sheetFormatPr defaultColWidth="9" defaultRowHeight="13.8" x14ac:dyDescent="0.25"/>
  <cols>
    <col min="1" max="1" width="11.44140625" customWidth="1"/>
    <col min="2" max="2" width="15.77734375" customWidth="1"/>
    <col min="3" max="3" width="11.44140625" customWidth="1"/>
    <col min="4" max="4" width="10.77734375" customWidth="1"/>
    <col min="5" max="5" width="11.6640625" customWidth="1"/>
    <col min="6" max="6" width="10.109375" customWidth="1"/>
    <col min="7" max="7" width="16.77734375" customWidth="1"/>
    <col min="8" max="8" width="11" customWidth="1"/>
    <col min="9" max="9" width="8.88671875" customWidth="1"/>
    <col min="10" max="10" width="9.77734375" customWidth="1"/>
    <col min="11" max="11" width="12.21875" customWidth="1"/>
    <col min="13" max="13" width="11.21875" customWidth="1"/>
  </cols>
  <sheetData>
    <row r="1" spans="1:26" x14ac:dyDescent="0.25">
      <c r="A1" s="170" t="s">
        <v>84</v>
      </c>
      <c r="B1" s="169"/>
      <c r="C1" s="170" t="s">
        <v>83</v>
      </c>
      <c r="D1" s="168"/>
      <c r="E1" s="170" t="s">
        <v>82</v>
      </c>
      <c r="F1" s="169"/>
      <c r="G1" s="168" t="s">
        <v>103</v>
      </c>
      <c r="H1" s="169"/>
      <c r="I1" s="170" t="s">
        <v>106</v>
      </c>
      <c r="J1" s="168"/>
      <c r="K1" s="166" t="s">
        <v>122</v>
      </c>
      <c r="L1" s="167"/>
      <c r="Y1" s="3" t="s">
        <v>1</v>
      </c>
      <c r="Z1" s="25">
        <v>0.02</v>
      </c>
    </row>
    <row r="2" spans="1:26" x14ac:dyDescent="0.25">
      <c r="A2" s="49" t="s">
        <v>85</v>
      </c>
      <c r="B2" s="74">
        <v>12400000</v>
      </c>
      <c r="C2" s="91" t="s">
        <v>108</v>
      </c>
      <c r="D2" s="92">
        <f>J6*1.35</f>
        <v>1984500.0000000002</v>
      </c>
      <c r="E2" s="49" t="s">
        <v>89</v>
      </c>
      <c r="F2" s="26">
        <f>D5*3</f>
        <v>6</v>
      </c>
      <c r="G2" s="98" t="s">
        <v>101</v>
      </c>
      <c r="H2" s="75">
        <v>1200000</v>
      </c>
      <c r="I2" s="4" t="s">
        <v>56</v>
      </c>
      <c r="J2" s="112">
        <f>'0季度'!B2</f>
        <v>8</v>
      </c>
      <c r="K2" s="115" t="s">
        <v>123</v>
      </c>
      <c r="L2" s="23">
        <f>F2+F3</f>
        <v>30</v>
      </c>
      <c r="Y2" s="1" t="s">
        <v>2</v>
      </c>
      <c r="Z2" s="26">
        <v>0.25</v>
      </c>
    </row>
    <row r="3" spans="1:26" x14ac:dyDescent="0.25">
      <c r="A3" s="49" t="s">
        <v>86</v>
      </c>
      <c r="B3" s="74"/>
      <c r="C3" s="93" t="s">
        <v>109</v>
      </c>
      <c r="D3" s="95">
        <v>3984500</v>
      </c>
      <c r="E3" s="49" t="s">
        <v>111</v>
      </c>
      <c r="F3" s="6">
        <f>'0季度'!B4</f>
        <v>24</v>
      </c>
      <c r="G3" s="99" t="s">
        <v>96</v>
      </c>
      <c r="H3" s="74">
        <v>1500000</v>
      </c>
      <c r="I3" s="77" t="s">
        <v>53</v>
      </c>
      <c r="J3" s="113">
        <f>'0季度'!D4</f>
        <v>400000</v>
      </c>
      <c r="K3" s="115" t="s">
        <v>124</v>
      </c>
      <c r="L3" s="23">
        <f>F4+F12</f>
        <v>16</v>
      </c>
      <c r="Y3" s="1" t="s">
        <v>3</v>
      </c>
      <c r="Z3" s="26">
        <v>0.06</v>
      </c>
    </row>
    <row r="4" spans="1:26" x14ac:dyDescent="0.25">
      <c r="A4" s="49" t="s">
        <v>87</v>
      </c>
      <c r="B4" s="74"/>
      <c r="C4" s="49" t="s">
        <v>107</v>
      </c>
      <c r="D4" s="96">
        <v>1620000</v>
      </c>
      <c r="E4" s="49" t="s">
        <v>112</v>
      </c>
      <c r="F4" s="5">
        <f>'0季度'!B6+'0季度'!B7+'0季度'!B8+'0季度'!B9</f>
        <v>12</v>
      </c>
      <c r="G4" s="99" t="s">
        <v>105</v>
      </c>
      <c r="H4" s="89" t="str">
        <f>IF(0&lt;H2&lt;=1.5*J3,"1",IF(H2&gt;2.5*J3,"3",IF(H2=0,"0","2")))</f>
        <v>3</v>
      </c>
      <c r="I4" s="4" t="s">
        <v>54</v>
      </c>
      <c r="J4" s="114">
        <f>J3*3</f>
        <v>1200000</v>
      </c>
      <c r="K4" s="115" t="s">
        <v>125</v>
      </c>
      <c r="L4" s="23">
        <f>J2+D5</f>
        <v>10</v>
      </c>
      <c r="Y4" s="1" t="s">
        <v>5</v>
      </c>
      <c r="Z4" s="26">
        <v>7.0000000000000007E-2</v>
      </c>
    </row>
    <row r="5" spans="1:26" ht="14.4" thickBot="1" x14ac:dyDescent="0.3">
      <c r="A5" s="8"/>
      <c r="B5" s="23"/>
      <c r="C5" s="49" t="s">
        <v>88</v>
      </c>
      <c r="D5" s="97">
        <v>2</v>
      </c>
      <c r="E5" s="100"/>
      <c r="F5" s="23"/>
      <c r="I5" s="4" t="s">
        <v>55</v>
      </c>
      <c r="J5" s="114">
        <f>ROUNDDOWN(J3*0.975+D5*50000,0)</f>
        <v>490000</v>
      </c>
      <c r="K5" s="120" t="s">
        <v>119</v>
      </c>
      <c r="L5" s="29">
        <f>D3</f>
        <v>3984500</v>
      </c>
      <c r="Y5" s="7" t="s">
        <v>7</v>
      </c>
      <c r="Z5" s="27">
        <v>0.04</v>
      </c>
    </row>
    <row r="6" spans="1:26" ht="14.4" thickBot="1" x14ac:dyDescent="0.3">
      <c r="A6" s="101"/>
      <c r="B6" s="29"/>
      <c r="C6" s="102" t="s">
        <v>104</v>
      </c>
      <c r="D6" s="103">
        <v>1.33</v>
      </c>
      <c r="E6" s="104"/>
      <c r="F6" s="29"/>
      <c r="G6" s="94"/>
      <c r="H6" s="29"/>
      <c r="I6" s="105" t="s">
        <v>57</v>
      </c>
      <c r="J6" s="116">
        <f>J5*3</f>
        <v>1470000</v>
      </c>
      <c r="K6" s="163" t="s">
        <v>126</v>
      </c>
      <c r="L6" s="164"/>
      <c r="M6" s="164"/>
      <c r="N6" s="164"/>
      <c r="O6" s="164"/>
      <c r="P6" s="165"/>
    </row>
    <row r="7" spans="1:26" x14ac:dyDescent="0.25">
      <c r="A7" s="71" t="s">
        <v>102</v>
      </c>
      <c r="B7" s="3" t="s">
        <v>58</v>
      </c>
      <c r="C7" s="3" t="s">
        <v>59</v>
      </c>
      <c r="D7" s="3" t="s">
        <v>60</v>
      </c>
      <c r="E7" s="3" t="s">
        <v>61</v>
      </c>
      <c r="F7" s="107" t="s">
        <v>110</v>
      </c>
      <c r="G7" s="127" t="s">
        <v>148</v>
      </c>
      <c r="H7" s="127" t="s">
        <v>147</v>
      </c>
      <c r="I7" s="3" t="s">
        <v>62</v>
      </c>
      <c r="J7" s="117" t="s">
        <v>63</v>
      </c>
      <c r="K7" s="122" t="s">
        <v>127</v>
      </c>
      <c r="L7" s="12" t="s">
        <v>128</v>
      </c>
      <c r="M7" s="12" t="s">
        <v>129</v>
      </c>
      <c r="N7" s="12" t="s">
        <v>130</v>
      </c>
      <c r="O7" s="12" t="s">
        <v>131</v>
      </c>
      <c r="P7" s="123" t="s">
        <v>132</v>
      </c>
    </row>
    <row r="8" spans="1:26" x14ac:dyDescent="0.25">
      <c r="A8" s="8"/>
      <c r="B8" s="1" t="s">
        <v>64</v>
      </c>
      <c r="C8" s="2">
        <v>7.6</v>
      </c>
      <c r="D8" s="2">
        <v>300000</v>
      </c>
      <c r="E8" s="2">
        <f>'0季度'!B6</f>
        <v>3</v>
      </c>
      <c r="F8" s="2">
        <v>1</v>
      </c>
      <c r="G8" s="128"/>
      <c r="H8" s="128">
        <f>O8</f>
        <v>0</v>
      </c>
      <c r="I8" s="2">
        <v>500000</v>
      </c>
      <c r="J8" s="118">
        <f>D8-H8</f>
        <v>300000</v>
      </c>
      <c r="K8" s="8" t="s">
        <v>133</v>
      </c>
      <c r="L8" s="121">
        <v>524545</v>
      </c>
      <c r="M8" s="121">
        <v>300000</v>
      </c>
      <c r="N8" s="9">
        <v>11.19</v>
      </c>
      <c r="O8" s="9">
        <v>0</v>
      </c>
      <c r="P8" s="23">
        <v>4</v>
      </c>
    </row>
    <row r="9" spans="1:26" x14ac:dyDescent="0.25">
      <c r="A9" s="8"/>
      <c r="B9" s="1" t="s">
        <v>65</v>
      </c>
      <c r="C9" s="2">
        <v>7.6</v>
      </c>
      <c r="D9" s="2">
        <v>300000</v>
      </c>
      <c r="E9" s="2">
        <f>'0季度'!B7</f>
        <v>3</v>
      </c>
      <c r="F9" s="2">
        <v>1</v>
      </c>
      <c r="G9" s="128"/>
      <c r="H9" s="128">
        <f>O9</f>
        <v>0</v>
      </c>
      <c r="I9" s="2">
        <v>500000</v>
      </c>
      <c r="J9" s="118">
        <f>D9-H9</f>
        <v>300000</v>
      </c>
      <c r="K9" s="8" t="s">
        <v>134</v>
      </c>
      <c r="L9" s="121">
        <v>522334</v>
      </c>
      <c r="M9" s="121">
        <v>300000</v>
      </c>
      <c r="N9" s="9">
        <v>11.34</v>
      </c>
      <c r="O9" s="9">
        <v>0</v>
      </c>
      <c r="P9" s="23">
        <v>4</v>
      </c>
    </row>
    <row r="10" spans="1:26" x14ac:dyDescent="0.25">
      <c r="A10" s="8"/>
      <c r="B10" s="1" t="s">
        <v>66</v>
      </c>
      <c r="C10" s="2">
        <v>7.6</v>
      </c>
      <c r="D10" s="2">
        <v>300000</v>
      </c>
      <c r="E10" s="2">
        <f>'0季度'!B8</f>
        <v>3</v>
      </c>
      <c r="F10" s="2">
        <v>1</v>
      </c>
      <c r="G10" s="128"/>
      <c r="H10" s="128">
        <f>O10</f>
        <v>0</v>
      </c>
      <c r="I10" s="2">
        <v>500000</v>
      </c>
      <c r="J10" s="118">
        <f>D10-H10</f>
        <v>300000</v>
      </c>
      <c r="K10" s="8" t="s">
        <v>135</v>
      </c>
      <c r="L10" s="121">
        <v>468422</v>
      </c>
      <c r="M10" s="121">
        <v>300000</v>
      </c>
      <c r="N10" s="9">
        <v>10.31</v>
      </c>
      <c r="O10" s="9">
        <v>0</v>
      </c>
      <c r="P10" s="23">
        <v>4</v>
      </c>
    </row>
    <row r="11" spans="1:26" x14ac:dyDescent="0.25">
      <c r="A11" s="8"/>
      <c r="B11" s="1" t="s">
        <v>67</v>
      </c>
      <c r="C11" s="2">
        <v>7.6</v>
      </c>
      <c r="D11" s="2">
        <v>300000</v>
      </c>
      <c r="E11" s="2">
        <f>'0季度'!B9</f>
        <v>3</v>
      </c>
      <c r="F11" s="2">
        <v>1</v>
      </c>
      <c r="G11" s="128"/>
      <c r="H11" s="128">
        <f>O11</f>
        <v>0</v>
      </c>
      <c r="I11" s="2">
        <v>500000</v>
      </c>
      <c r="J11" s="118">
        <f>D11-H11</f>
        <v>300000</v>
      </c>
      <c r="K11" s="8" t="s">
        <v>136</v>
      </c>
      <c r="L11" s="121">
        <v>435885</v>
      </c>
      <c r="M11" s="121">
        <v>300000</v>
      </c>
      <c r="N11" s="9">
        <v>9.9</v>
      </c>
      <c r="O11" s="9">
        <v>0</v>
      </c>
      <c r="P11" s="23">
        <v>4</v>
      </c>
    </row>
    <row r="12" spans="1:26" x14ac:dyDescent="0.25">
      <c r="A12" s="8"/>
      <c r="B12" s="9"/>
      <c r="C12" s="9"/>
      <c r="D12" s="9">
        <f t="shared" ref="D12:E12" si="0">D8+D9+D10+D11</f>
        <v>1200000</v>
      </c>
      <c r="E12" s="9">
        <f t="shared" si="0"/>
        <v>12</v>
      </c>
      <c r="F12" s="9">
        <f>F8+F9+F10+F11</f>
        <v>4</v>
      </c>
      <c r="G12" s="76">
        <f>G8+G9+G10+G11</f>
        <v>0</v>
      </c>
      <c r="H12" s="76">
        <f>H8+H9+H10+H11</f>
        <v>0</v>
      </c>
      <c r="I12" s="9">
        <f>I8+I9+I10+I11</f>
        <v>2000000</v>
      </c>
      <c r="J12" s="118"/>
      <c r="K12" s="8" t="s">
        <v>137</v>
      </c>
      <c r="L12" s="9" t="s">
        <v>138</v>
      </c>
      <c r="M12" s="9" t="s">
        <v>139</v>
      </c>
      <c r="N12" s="9" t="s">
        <v>131</v>
      </c>
      <c r="O12" s="9" t="s">
        <v>140</v>
      </c>
      <c r="P12" s="23" t="s">
        <v>141</v>
      </c>
    </row>
    <row r="13" spans="1:26" ht="14.4" thickBot="1" x14ac:dyDescent="0.3">
      <c r="A13" s="31"/>
      <c r="B13" s="11"/>
      <c r="C13" s="11"/>
      <c r="D13" s="11">
        <f>H2</f>
        <v>1200000</v>
      </c>
      <c r="E13" s="11"/>
      <c r="F13" s="11"/>
      <c r="G13" s="10"/>
      <c r="H13" s="11"/>
      <c r="I13" s="11"/>
      <c r="J13" s="119"/>
      <c r="K13" s="124">
        <v>1951186</v>
      </c>
      <c r="L13" s="121">
        <v>1200000</v>
      </c>
      <c r="M13" s="121">
        <v>1200000</v>
      </c>
      <c r="N13" s="9">
        <v>0</v>
      </c>
      <c r="O13" s="121">
        <v>3984500</v>
      </c>
      <c r="P13" s="23">
        <v>10.69</v>
      </c>
    </row>
    <row r="14" spans="1:26" ht="14.4" thickBot="1" x14ac:dyDescent="0.3">
      <c r="A14" s="171" t="s">
        <v>10</v>
      </c>
      <c r="B14" s="172"/>
      <c r="C14" s="172"/>
      <c r="D14" s="172"/>
      <c r="E14" s="172"/>
      <c r="F14" s="173" t="s">
        <v>11</v>
      </c>
      <c r="G14" s="174"/>
      <c r="H14" s="174"/>
      <c r="I14" s="174"/>
      <c r="J14" s="175"/>
      <c r="K14" s="8" t="s">
        <v>55</v>
      </c>
      <c r="L14" s="9" t="s">
        <v>142</v>
      </c>
      <c r="M14" s="9" t="s">
        <v>143</v>
      </c>
      <c r="N14" s="9" t="s">
        <v>144</v>
      </c>
      <c r="O14" s="9" t="s">
        <v>145</v>
      </c>
      <c r="P14" s="23" t="s">
        <v>132</v>
      </c>
    </row>
    <row r="15" spans="1:26" ht="14.55" customHeight="1" thickBot="1" x14ac:dyDescent="0.3">
      <c r="A15" s="195" t="s">
        <v>12</v>
      </c>
      <c r="B15" s="12" t="s">
        <v>29</v>
      </c>
      <c r="C15" s="12">
        <f>H3</f>
        <v>1500000</v>
      </c>
      <c r="D15" s="188" t="s">
        <v>16</v>
      </c>
      <c r="E15" s="190">
        <f>C15+C16+C17+C18+C19+C21+C22+C23+C25+C20</f>
        <v>7570600</v>
      </c>
      <c r="F15" s="158" t="s">
        <v>14</v>
      </c>
      <c r="G15" s="13" t="s">
        <v>15</v>
      </c>
      <c r="H15" s="83">
        <f>J8*C8+J9*C9+J10*C10+J11*C11</f>
        <v>9120000</v>
      </c>
      <c r="I15" s="176" t="s">
        <v>16</v>
      </c>
      <c r="J15" s="177">
        <f>H15+H16</f>
        <v>21520000</v>
      </c>
      <c r="K15" s="125">
        <v>490000</v>
      </c>
      <c r="L15" s="126">
        <v>490000</v>
      </c>
      <c r="M15" s="11">
        <v>10</v>
      </c>
      <c r="N15" s="11">
        <v>46</v>
      </c>
      <c r="O15" s="11">
        <v>30</v>
      </c>
      <c r="P15" s="30">
        <v>16</v>
      </c>
    </row>
    <row r="16" spans="1:26" ht="13.95" customHeight="1" x14ac:dyDescent="0.25">
      <c r="A16" s="186"/>
      <c r="B16" s="9" t="s">
        <v>13</v>
      </c>
      <c r="C16" s="130" t="str">
        <f>IF(H4=1,"10000",IF(H4=2,"15000","20000"))</f>
        <v>20000</v>
      </c>
      <c r="D16" s="181"/>
      <c r="E16" s="191"/>
      <c r="F16" s="179"/>
      <c r="G16" s="16" t="s">
        <v>18</v>
      </c>
      <c r="H16" s="84">
        <f>B2</f>
        <v>12400000</v>
      </c>
      <c r="I16" s="176"/>
      <c r="J16" s="178"/>
    </row>
    <row r="17" spans="1:10" ht="13.95" customHeight="1" x14ac:dyDescent="0.25">
      <c r="A17" s="186"/>
      <c r="B17" s="9" t="s">
        <v>17</v>
      </c>
      <c r="C17" s="131">
        <f>1.2*J3+1.4*J3+1.6*J3</f>
        <v>1680000</v>
      </c>
      <c r="D17" s="181"/>
      <c r="E17" s="191"/>
      <c r="F17" s="158" t="s">
        <v>19</v>
      </c>
      <c r="G17" s="16" t="s">
        <v>20</v>
      </c>
      <c r="H17" s="84">
        <f>E15+E26+E28+E33+E34-C18-C25-C23</f>
        <v>8436350.485436894</v>
      </c>
      <c r="I17" s="180" t="s">
        <v>16</v>
      </c>
      <c r="J17" s="183">
        <f>H17+H18+H19+H20+H21</f>
        <v>16890335.485436894</v>
      </c>
    </row>
    <row r="18" spans="1:10" ht="13.95" customHeight="1" x14ac:dyDescent="0.25">
      <c r="A18" s="186"/>
      <c r="B18" s="9" t="s">
        <v>21</v>
      </c>
      <c r="C18" s="9">
        <f>H2*1.35*('1季度'!H18+'0季度'!F19)/('0季度'!D3+'1季度'!D3)</f>
        <v>2154600</v>
      </c>
      <c r="D18" s="181"/>
      <c r="E18" s="191"/>
      <c r="F18" s="159"/>
      <c r="G18" s="16" t="s">
        <v>22</v>
      </c>
      <c r="H18" s="84">
        <f>D6*(D3+D4)</f>
        <v>7453985</v>
      </c>
      <c r="I18" s="181"/>
      <c r="J18" s="184"/>
    </row>
    <row r="19" spans="1:10" ht="13.95" customHeight="1" x14ac:dyDescent="0.25">
      <c r="A19" s="186"/>
      <c r="B19" s="9" t="s">
        <v>23</v>
      </c>
      <c r="C19" s="17">
        <f>IF(D3&lt;2000001,ROUNDUP(D3/500000,0),5)*40000</f>
        <v>200000</v>
      </c>
      <c r="D19" s="181"/>
      <c r="E19" s="191"/>
      <c r="F19" s="159"/>
      <c r="G19" s="16" t="s">
        <v>24</v>
      </c>
      <c r="H19" s="84">
        <f>D5*500000</f>
        <v>1000000</v>
      </c>
      <c r="I19" s="181"/>
      <c r="J19" s="184"/>
    </row>
    <row r="20" spans="1:10" ht="13.95" customHeight="1" x14ac:dyDescent="0.25">
      <c r="A20" s="186"/>
      <c r="B20" s="46" t="s">
        <v>115</v>
      </c>
      <c r="C20" s="17">
        <f>D4*1</f>
        <v>1620000</v>
      </c>
      <c r="D20" s="181"/>
      <c r="E20" s="191"/>
      <c r="F20" s="159"/>
      <c r="G20" s="16" t="s">
        <v>26</v>
      </c>
      <c r="H20" s="90">
        <f>B3</f>
        <v>0</v>
      </c>
      <c r="I20" s="181"/>
      <c r="J20" s="184"/>
    </row>
    <row r="21" spans="1:10" ht="13.95" customHeight="1" x14ac:dyDescent="0.25">
      <c r="A21" s="186"/>
      <c r="B21" s="9" t="s">
        <v>27</v>
      </c>
      <c r="C21" s="9">
        <f>J2*12000</f>
        <v>96000</v>
      </c>
      <c r="D21" s="181"/>
      <c r="E21" s="191"/>
      <c r="F21" s="179"/>
      <c r="G21" s="16" t="s">
        <v>28</v>
      </c>
      <c r="H21" s="90">
        <f>B4</f>
        <v>0</v>
      </c>
      <c r="I21" s="182"/>
      <c r="J21" s="185"/>
    </row>
    <row r="22" spans="1:10" ht="13.95" customHeight="1" x14ac:dyDescent="0.25">
      <c r="A22" s="186"/>
      <c r="B22" s="9" t="s">
        <v>25</v>
      </c>
      <c r="C22" s="18">
        <f>D5*100000</f>
        <v>200000</v>
      </c>
      <c r="D22" s="181"/>
      <c r="E22" s="191"/>
      <c r="F22" s="158" t="s">
        <v>30</v>
      </c>
      <c r="G22" s="16" t="s">
        <v>68</v>
      </c>
      <c r="H22" s="84">
        <f>'0季度'!F23</f>
        <v>0</v>
      </c>
      <c r="I22" s="9"/>
      <c r="J22" s="23"/>
    </row>
    <row r="23" spans="1:10" ht="13.95" customHeight="1" x14ac:dyDescent="0.25">
      <c r="A23" s="186"/>
      <c r="B23" s="9" t="s">
        <v>32</v>
      </c>
      <c r="C23" s="9">
        <f>'0季度'!F20*0.025</f>
        <v>100000</v>
      </c>
      <c r="D23" s="181"/>
      <c r="E23" s="191"/>
      <c r="F23" s="159"/>
      <c r="G23" s="20" t="s">
        <v>33</v>
      </c>
      <c r="H23" s="86">
        <f>J15-J17</f>
        <v>4629664.514563106</v>
      </c>
      <c r="I23" s="9"/>
      <c r="J23" s="23"/>
    </row>
    <row r="24" spans="1:10" ht="13.95" customHeight="1" x14ac:dyDescent="0.25">
      <c r="A24" s="186"/>
      <c r="B24" s="19" t="s">
        <v>69</v>
      </c>
      <c r="C24" s="9">
        <v>0</v>
      </c>
      <c r="D24" s="181"/>
      <c r="E24" s="191"/>
      <c r="F24" s="159"/>
      <c r="G24" s="16" t="s">
        <v>71</v>
      </c>
      <c r="H24" s="84">
        <f>H15-E15-E26-E28-E33-E34</f>
        <v>-1570950.4854368931</v>
      </c>
      <c r="I24" s="9"/>
      <c r="J24" s="23"/>
    </row>
    <row r="25" spans="1:10" ht="13.95" customHeight="1" x14ac:dyDescent="0.25">
      <c r="A25" s="162"/>
      <c r="B25" s="9" t="s">
        <v>70</v>
      </c>
      <c r="C25" s="18">
        <f>C24-H12*4</f>
        <v>0</v>
      </c>
      <c r="D25" s="182"/>
      <c r="E25" s="192"/>
      <c r="F25" s="159"/>
      <c r="G25" s="16" t="s">
        <v>72</v>
      </c>
      <c r="H25" s="84">
        <f>C15+C16+C17+C18+C19+C21+C22+C23+C24+C25+C26+C27+C28+C29+C30+C31+C32+C33</f>
        <v>8776100</v>
      </c>
      <c r="I25" s="9"/>
      <c r="J25" s="23"/>
    </row>
    <row r="26" spans="1:10" ht="13.95" customHeight="1" x14ac:dyDescent="0.25">
      <c r="A26" s="161" t="s">
        <v>34</v>
      </c>
      <c r="B26" s="9" t="s">
        <v>35</v>
      </c>
      <c r="C26" s="9">
        <f>I12</f>
        <v>2000000</v>
      </c>
      <c r="D26" s="180" t="s">
        <v>16</v>
      </c>
      <c r="E26" s="193">
        <f>C26+C27</f>
        <v>2420000</v>
      </c>
      <c r="F26" s="159"/>
      <c r="G26" s="16" t="s">
        <v>36</v>
      </c>
      <c r="H26" s="84">
        <f>B2</f>
        <v>12400000</v>
      </c>
      <c r="I26" s="9" t="s">
        <v>73</v>
      </c>
      <c r="J26" s="82" t="str">
        <f>IF(H29&gt;0,"0",-H29)</f>
        <v>0</v>
      </c>
    </row>
    <row r="27" spans="1:10" ht="13.95" customHeight="1" x14ac:dyDescent="0.25">
      <c r="A27" s="162"/>
      <c r="B27" s="9" t="s">
        <v>37</v>
      </c>
      <c r="C27" s="9">
        <f>D8*0.4+D9*0.1+D10*0.4+D11*0.5</f>
        <v>420000</v>
      </c>
      <c r="D27" s="182"/>
      <c r="E27" s="192"/>
      <c r="F27" s="159"/>
      <c r="G27" s="16" t="s">
        <v>9</v>
      </c>
      <c r="H27" s="90">
        <f>('1季度'!H18+'0季度'!F19)/('0季度'!D3+'1季度'!D3)*D3</f>
        <v>5299385</v>
      </c>
      <c r="I27" s="9"/>
      <c r="J27" s="23"/>
    </row>
    <row r="28" spans="1:10" ht="13.95" customHeight="1" x14ac:dyDescent="0.25">
      <c r="A28" s="161" t="s">
        <v>38</v>
      </c>
      <c r="B28" s="9" t="s">
        <v>39</v>
      </c>
      <c r="C28" s="9">
        <f>(F2+F8+F9+F10+F11)*500</f>
        <v>5000</v>
      </c>
      <c r="D28" s="180" t="s">
        <v>16</v>
      </c>
      <c r="E28" s="183">
        <f>C28+C29+C30+C31+C32</f>
        <v>343500</v>
      </c>
      <c r="F28" s="159"/>
      <c r="G28" s="16" t="s">
        <v>74</v>
      </c>
      <c r="H28" s="90">
        <f>'0季度'!F20*0.975+'1季度'!D5*500000</f>
        <v>4900000</v>
      </c>
      <c r="I28" s="9"/>
      <c r="J28" s="23"/>
    </row>
    <row r="29" spans="1:10" ht="13.95" customHeight="1" x14ac:dyDescent="0.25">
      <c r="A29" s="186"/>
      <c r="B29" s="9" t="s">
        <v>40</v>
      </c>
      <c r="C29" s="9">
        <f>(F2+F8+F9+F10+F11)*1000</f>
        <v>10000</v>
      </c>
      <c r="D29" s="181"/>
      <c r="E29" s="184"/>
      <c r="F29" s="159"/>
      <c r="G29" s="20" t="s">
        <v>75</v>
      </c>
      <c r="H29" s="87">
        <f>H22+H15*0.5+H16-J17</f>
        <v>69664.514563106</v>
      </c>
      <c r="I29" s="9"/>
      <c r="J29" s="23"/>
    </row>
    <row r="30" spans="1:10" ht="13.95" customHeight="1" x14ac:dyDescent="0.25">
      <c r="A30" s="186"/>
      <c r="B30" s="9" t="s">
        <v>42</v>
      </c>
      <c r="C30" s="9">
        <f>F2*1250*3+F12*1500*3+F4*9000+F3*7500</f>
        <v>328500</v>
      </c>
      <c r="D30" s="181"/>
      <c r="E30" s="184"/>
      <c r="F30" s="159"/>
      <c r="G30" s="20" t="s">
        <v>41</v>
      </c>
      <c r="H30" s="84">
        <f>IF(H29&gt;0,I30,H15*0.5)</f>
        <v>4629664.514563106</v>
      </c>
      <c r="I30" s="21">
        <f>H15+H16-J17+H22</f>
        <v>4629664.514563106</v>
      </c>
      <c r="J30" s="23"/>
    </row>
    <row r="31" spans="1:10" ht="13.95" customHeight="1" x14ac:dyDescent="0.25">
      <c r="A31" s="186"/>
      <c r="B31" s="9" t="s">
        <v>76</v>
      </c>
      <c r="C31" s="9">
        <f>'0季度'!F19*0.1</f>
        <v>0</v>
      </c>
      <c r="D31" s="181"/>
      <c r="E31" s="184"/>
      <c r="F31" s="159"/>
      <c r="G31" s="80" t="s">
        <v>78</v>
      </c>
      <c r="H31" s="84">
        <f>H12*4</f>
        <v>0</v>
      </c>
      <c r="I31" s="9"/>
      <c r="J31" s="23"/>
    </row>
    <row r="32" spans="1:10" ht="14.55" customHeight="1" thickBot="1" x14ac:dyDescent="0.3">
      <c r="A32" s="162"/>
      <c r="B32" s="9" t="s">
        <v>77</v>
      </c>
      <c r="C32" s="9">
        <f>0.5*H12</f>
        <v>0</v>
      </c>
      <c r="D32" s="182"/>
      <c r="E32" s="185"/>
      <c r="F32" s="160"/>
      <c r="G32" s="81" t="s">
        <v>45</v>
      </c>
      <c r="H32" s="88">
        <f>H24+'0季度'!F21</f>
        <v>2429049.5145631069</v>
      </c>
      <c r="I32" s="22">
        <f>ROUNDDOWN(H32/1500000,0)</f>
        <v>1</v>
      </c>
      <c r="J32" s="30"/>
    </row>
    <row r="33" spans="1:14" ht="17.55" customHeight="1" x14ac:dyDescent="0.25">
      <c r="A33" s="78" t="s">
        <v>47</v>
      </c>
      <c r="B33" s="9" t="s">
        <v>48</v>
      </c>
      <c r="C33" s="9">
        <f>B2*'0季度'!D10/4</f>
        <v>62000</v>
      </c>
      <c r="D33" s="33" t="s">
        <v>16</v>
      </c>
      <c r="E33" s="79">
        <f>C33</f>
        <v>62000</v>
      </c>
      <c r="N33">
        <f>H19*0.5+4199663-H26</f>
        <v>-7700337</v>
      </c>
    </row>
    <row r="34" spans="1:14" x14ac:dyDescent="0.25">
      <c r="A34" s="161" t="s">
        <v>49</v>
      </c>
      <c r="B34" s="9" t="s">
        <v>50</v>
      </c>
      <c r="C34" s="9">
        <f>H15/(1+'0季度'!D8)*'0季度'!D8</f>
        <v>265631.06796116504</v>
      </c>
      <c r="D34" s="180" t="s">
        <v>16</v>
      </c>
      <c r="E34" s="183">
        <f>C34+C35+C36</f>
        <v>294850.48543689318</v>
      </c>
    </row>
    <row r="35" spans="1:14" ht="13.95" customHeight="1" x14ac:dyDescent="0.25">
      <c r="A35" s="186"/>
      <c r="B35" s="9" t="s">
        <v>51</v>
      </c>
      <c r="C35" s="9">
        <f>C34*'0季度'!D9</f>
        <v>29219.417475728154</v>
      </c>
      <c r="D35" s="181"/>
      <c r="E35" s="184"/>
    </row>
    <row r="36" spans="1:14" ht="13.95" customHeight="1" thickBot="1" x14ac:dyDescent="0.3">
      <c r="A36" s="187"/>
      <c r="B36" s="11" t="s">
        <v>52</v>
      </c>
      <c r="C36" s="24">
        <f>IF((H15/(1+'0季度'!D8)-H25)*'0季度'!D7&lt;0,"0",C40)</f>
        <v>0</v>
      </c>
      <c r="D36" s="189"/>
      <c r="E36" s="194"/>
    </row>
    <row r="37" spans="1:14" ht="14.55" customHeight="1" x14ac:dyDescent="0.25">
      <c r="A37" s="32"/>
      <c r="B37" s="32"/>
      <c r="D37" s="32"/>
      <c r="E37" s="32"/>
    </row>
    <row r="38" spans="1:14" x14ac:dyDescent="0.25">
      <c r="A38" s="32"/>
      <c r="B38" s="32"/>
      <c r="E38" s="32"/>
    </row>
    <row r="39" spans="1:14" x14ac:dyDescent="0.25">
      <c r="A39" s="32"/>
      <c r="E39" s="32"/>
    </row>
    <row r="41" spans="1:14" x14ac:dyDescent="0.25">
      <c r="F41" s="44"/>
    </row>
    <row r="54" spans="2:5" x14ac:dyDescent="0.25">
      <c r="E54" s="44"/>
    </row>
    <row r="58" spans="2:5" x14ac:dyDescent="0.25">
      <c r="B58" s="44"/>
    </row>
    <row r="59" spans="2:5" x14ac:dyDescent="0.25">
      <c r="B59" s="44"/>
    </row>
    <row r="60" spans="2:5" x14ac:dyDescent="0.25">
      <c r="B60" s="44"/>
    </row>
    <row r="61" spans="2:5" x14ac:dyDescent="0.25">
      <c r="B61" s="44"/>
    </row>
    <row r="62" spans="2:5" x14ac:dyDescent="0.25">
      <c r="B62" s="44"/>
    </row>
    <row r="63" spans="2:5" x14ac:dyDescent="0.25">
      <c r="B63" s="44"/>
    </row>
    <row r="64" spans="2:5" x14ac:dyDescent="0.25">
      <c r="B64" s="44"/>
      <c r="C64" s="44"/>
      <c r="D64" s="44"/>
      <c r="E64" s="44"/>
    </row>
    <row r="65" spans="2:2" x14ac:dyDescent="0.25">
      <c r="B65" s="44"/>
    </row>
    <row r="66" spans="2:2" x14ac:dyDescent="0.25">
      <c r="B66" s="44"/>
    </row>
    <row r="67" spans="2:2" x14ac:dyDescent="0.25">
      <c r="B67" s="44"/>
    </row>
    <row r="68" spans="2:2" x14ac:dyDescent="0.25">
      <c r="B68" s="44"/>
    </row>
  </sheetData>
  <mergeCells count="28">
    <mergeCell ref="F15:F16"/>
    <mergeCell ref="A34:A36"/>
    <mergeCell ref="D15:D25"/>
    <mergeCell ref="D26:D27"/>
    <mergeCell ref="D34:D36"/>
    <mergeCell ref="E15:E25"/>
    <mergeCell ref="E26:E27"/>
    <mergeCell ref="E34:E36"/>
    <mergeCell ref="D28:D32"/>
    <mergeCell ref="E28:E32"/>
    <mergeCell ref="A28:A32"/>
    <mergeCell ref="A15:A25"/>
    <mergeCell ref="F22:F32"/>
    <mergeCell ref="A26:A27"/>
    <mergeCell ref="K6:P6"/>
    <mergeCell ref="K1:L1"/>
    <mergeCell ref="G1:H1"/>
    <mergeCell ref="I1:J1"/>
    <mergeCell ref="A14:E14"/>
    <mergeCell ref="F14:J14"/>
    <mergeCell ref="A1:B1"/>
    <mergeCell ref="C1:D1"/>
    <mergeCell ref="E1:F1"/>
    <mergeCell ref="I15:I16"/>
    <mergeCell ref="J15:J16"/>
    <mergeCell ref="F17:F21"/>
    <mergeCell ref="I17:I21"/>
    <mergeCell ref="J17:J2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zoomScale="130" zoomScaleNormal="130" workbookViewId="0">
      <selection activeCell="C20" sqref="C20"/>
    </sheetView>
  </sheetViews>
  <sheetFormatPr defaultRowHeight="13.8" x14ac:dyDescent="0.25"/>
  <cols>
    <col min="1" max="1" width="9.77734375" customWidth="1"/>
    <col min="2" max="2" width="18.21875" bestFit="1" customWidth="1"/>
    <col min="3" max="3" width="10.109375" customWidth="1"/>
    <col min="5" max="5" width="9.44140625" customWidth="1"/>
    <col min="6" max="6" width="10.21875" customWidth="1"/>
    <col min="7" max="7" width="12.77734375" customWidth="1"/>
    <col min="8" max="8" width="11" customWidth="1"/>
    <col min="9" max="9" width="13.77734375" customWidth="1"/>
    <col min="10" max="10" width="9.44140625" customWidth="1"/>
    <col min="11" max="11" width="8.6640625" hidden="1" customWidth="1"/>
    <col min="12" max="12" width="14" customWidth="1"/>
  </cols>
  <sheetData>
    <row r="1" spans="1:17" x14ac:dyDescent="0.25">
      <c r="A1" s="170" t="s">
        <v>84</v>
      </c>
      <c r="B1" s="169"/>
      <c r="C1" s="170" t="s">
        <v>83</v>
      </c>
      <c r="D1" s="168"/>
      <c r="E1" s="170" t="s">
        <v>82</v>
      </c>
      <c r="F1" s="169"/>
      <c r="G1" s="168" t="s">
        <v>103</v>
      </c>
      <c r="H1" s="169"/>
      <c r="I1" s="170" t="s">
        <v>106</v>
      </c>
      <c r="J1" s="169"/>
      <c r="L1" s="166" t="s">
        <v>122</v>
      </c>
      <c r="M1" s="167"/>
    </row>
    <row r="2" spans="1:17" x14ac:dyDescent="0.25">
      <c r="A2" s="49" t="s">
        <v>85</v>
      </c>
      <c r="B2" s="74"/>
      <c r="C2" s="91" t="s">
        <v>108</v>
      </c>
      <c r="D2" s="92">
        <f>J6*1.35</f>
        <v>2137387.5</v>
      </c>
      <c r="E2" s="49" t="s">
        <v>89</v>
      </c>
      <c r="F2" s="26">
        <f>D5*3</f>
        <v>3</v>
      </c>
      <c r="G2" s="98" t="s">
        <v>101</v>
      </c>
      <c r="H2" s="75">
        <v>1470000</v>
      </c>
      <c r="I2" s="4" t="s">
        <v>56</v>
      </c>
      <c r="J2" s="72">
        <f>'0季度'!B2+'1季度'!D5</f>
        <v>10</v>
      </c>
      <c r="L2" s="115" t="s">
        <v>123</v>
      </c>
      <c r="M2" s="23">
        <f>F2+F3</f>
        <v>33</v>
      </c>
    </row>
    <row r="3" spans="1:17" x14ac:dyDescent="0.25">
      <c r="A3" s="49" t="s">
        <v>86</v>
      </c>
      <c r="B3" s="74"/>
      <c r="C3" s="93" t="s">
        <v>109</v>
      </c>
      <c r="D3" s="95">
        <v>137388</v>
      </c>
      <c r="E3" s="49" t="s">
        <v>111</v>
      </c>
      <c r="F3" s="6">
        <f>'1季度'!F3+'1季度'!F2</f>
        <v>30</v>
      </c>
      <c r="G3" s="99" t="s">
        <v>96</v>
      </c>
      <c r="H3" s="74">
        <v>1000000</v>
      </c>
      <c r="I3" s="77" t="s">
        <v>53</v>
      </c>
      <c r="J3" s="73">
        <f>'1季度'!J5</f>
        <v>490000</v>
      </c>
      <c r="L3" s="115" t="s">
        <v>124</v>
      </c>
      <c r="M3" s="23">
        <f>F4+F12</f>
        <v>18</v>
      </c>
    </row>
    <row r="4" spans="1:17" x14ac:dyDescent="0.25">
      <c r="A4" s="49" t="s">
        <v>87</v>
      </c>
      <c r="B4" s="74"/>
      <c r="C4" s="49" t="s">
        <v>107</v>
      </c>
      <c r="D4" s="96"/>
      <c r="E4" s="49" t="s">
        <v>112</v>
      </c>
      <c r="F4" s="5">
        <f>'1季度'!F4+'1季度'!F12</f>
        <v>16</v>
      </c>
      <c r="G4" s="99" t="s">
        <v>105</v>
      </c>
      <c r="H4" s="89" t="str">
        <f>IF(0&lt;H2&lt;=1.5*J3,"1",IF(H2&gt;2.5*J3,"3",IF(H2=0,"0","2")))</f>
        <v>3</v>
      </c>
      <c r="I4" s="4" t="s">
        <v>54</v>
      </c>
      <c r="J4" s="26">
        <f>J3*3</f>
        <v>1470000</v>
      </c>
      <c r="L4" s="115" t="s">
        <v>125</v>
      </c>
      <c r="M4" s="23">
        <f>J2+D5</f>
        <v>11</v>
      </c>
    </row>
    <row r="5" spans="1:17" ht="14.4" thickBot="1" x14ac:dyDescent="0.3">
      <c r="A5" s="8"/>
      <c r="B5" s="23"/>
      <c r="C5" s="49" t="s">
        <v>88</v>
      </c>
      <c r="D5" s="97">
        <v>1</v>
      </c>
      <c r="E5" s="100"/>
      <c r="F5" s="23"/>
      <c r="I5" s="4" t="s">
        <v>55</v>
      </c>
      <c r="J5" s="26">
        <f>ROUNDDOWN(J3*0.975+D5*50000,0)</f>
        <v>527750</v>
      </c>
      <c r="L5" s="120" t="s">
        <v>119</v>
      </c>
      <c r="M5" s="29">
        <f>'1季度'!L5-'2季度'!H2*1.35+D3</f>
        <v>2137388</v>
      </c>
    </row>
    <row r="6" spans="1:17" ht="14.4" thickBot="1" x14ac:dyDescent="0.3">
      <c r="A6" s="101"/>
      <c r="B6" s="29"/>
      <c r="C6" s="102" t="s">
        <v>104</v>
      </c>
      <c r="D6" s="103">
        <v>1.98</v>
      </c>
      <c r="E6" s="104"/>
      <c r="F6" s="29"/>
      <c r="G6" s="94"/>
      <c r="H6" s="29"/>
      <c r="I6" s="105" t="s">
        <v>57</v>
      </c>
      <c r="J6" s="106">
        <f>J5*3</f>
        <v>1583250</v>
      </c>
      <c r="L6" s="163" t="s">
        <v>126</v>
      </c>
      <c r="M6" s="164"/>
      <c r="N6" s="164"/>
      <c r="O6" s="164"/>
      <c r="P6" s="164"/>
      <c r="Q6" s="165"/>
    </row>
    <row r="7" spans="1:17" x14ac:dyDescent="0.25">
      <c r="A7" s="71" t="s">
        <v>102</v>
      </c>
      <c r="B7" s="3" t="s">
        <v>58</v>
      </c>
      <c r="C7" s="3" t="s">
        <v>59</v>
      </c>
      <c r="D7" s="3" t="s">
        <v>60</v>
      </c>
      <c r="E7" s="3" t="s">
        <v>61</v>
      </c>
      <c r="F7" s="107" t="s">
        <v>110</v>
      </c>
      <c r="G7" s="127" t="s">
        <v>148</v>
      </c>
      <c r="H7" s="127" t="s">
        <v>147</v>
      </c>
      <c r="I7" s="3" t="s">
        <v>62</v>
      </c>
      <c r="J7" s="28" t="s">
        <v>63</v>
      </c>
      <c r="L7" s="122" t="s">
        <v>146</v>
      </c>
      <c r="M7" s="12" t="s">
        <v>128</v>
      </c>
      <c r="N7" s="12" t="s">
        <v>129</v>
      </c>
      <c r="O7" s="12" t="s">
        <v>130</v>
      </c>
      <c r="P7" s="12" t="s">
        <v>131</v>
      </c>
      <c r="Q7" s="123" t="s">
        <v>132</v>
      </c>
    </row>
    <row r="8" spans="1:17" x14ac:dyDescent="0.25">
      <c r="A8" s="8"/>
      <c r="B8" s="1" t="s">
        <v>64</v>
      </c>
      <c r="C8" s="2">
        <v>8.6</v>
      </c>
      <c r="D8" s="2">
        <v>400000</v>
      </c>
      <c r="E8" s="2">
        <f>'1季度'!E8+'1季度'!F8</f>
        <v>4</v>
      </c>
      <c r="F8" s="2">
        <v>1</v>
      </c>
      <c r="G8" s="128">
        <f>'1季度'!H8</f>
        <v>0</v>
      </c>
      <c r="H8" s="129">
        <f>P8</f>
        <v>42632</v>
      </c>
      <c r="I8" s="2">
        <v>500000</v>
      </c>
      <c r="J8" s="132">
        <f>D8-H8+G8</f>
        <v>357368</v>
      </c>
      <c r="L8" s="8" t="s">
        <v>133</v>
      </c>
      <c r="M8" s="121">
        <v>357368</v>
      </c>
      <c r="N8" s="121">
        <v>357368</v>
      </c>
      <c r="O8" s="9">
        <v>11.89</v>
      </c>
      <c r="P8" s="121">
        <v>42632</v>
      </c>
      <c r="Q8" s="23">
        <v>5</v>
      </c>
    </row>
    <row r="9" spans="1:17" x14ac:dyDescent="0.25">
      <c r="A9" s="8"/>
      <c r="B9" s="1" t="s">
        <v>65</v>
      </c>
      <c r="C9" s="2">
        <v>8.6</v>
      </c>
      <c r="D9" s="2">
        <v>400000</v>
      </c>
      <c r="E9" s="2">
        <f>'1季度'!E9+'1季度'!F9</f>
        <v>4</v>
      </c>
      <c r="F9" s="2">
        <v>1</v>
      </c>
      <c r="G9" s="128">
        <f>'1季度'!H9</f>
        <v>0</v>
      </c>
      <c r="H9" s="129">
        <f t="shared" ref="H9:H11" si="0">P9</f>
        <v>50658</v>
      </c>
      <c r="I9" s="2">
        <v>500000</v>
      </c>
      <c r="J9" s="132">
        <f t="shared" ref="J9:J11" si="1">D9-H9+G9</f>
        <v>349342</v>
      </c>
      <c r="L9" s="8" t="s">
        <v>134</v>
      </c>
      <c r="M9" s="121">
        <v>349342</v>
      </c>
      <c r="N9" s="121">
        <v>349342</v>
      </c>
      <c r="O9" s="9">
        <v>12.1</v>
      </c>
      <c r="P9" s="121">
        <v>50658</v>
      </c>
      <c r="Q9" s="23">
        <v>5</v>
      </c>
    </row>
    <row r="10" spans="1:17" x14ac:dyDescent="0.25">
      <c r="A10" s="8"/>
      <c r="B10" s="1" t="s">
        <v>66</v>
      </c>
      <c r="C10" s="2">
        <v>8.6</v>
      </c>
      <c r="D10" s="2">
        <v>350000</v>
      </c>
      <c r="E10" s="2">
        <f>'1季度'!E10+'1季度'!F10</f>
        <v>4</v>
      </c>
      <c r="F10" s="2">
        <v>0</v>
      </c>
      <c r="G10" s="128">
        <f>'1季度'!H10</f>
        <v>0</v>
      </c>
      <c r="H10" s="129">
        <f t="shared" si="0"/>
        <v>0</v>
      </c>
      <c r="I10" s="2">
        <v>500000</v>
      </c>
      <c r="J10" s="132">
        <f t="shared" si="1"/>
        <v>350000</v>
      </c>
      <c r="L10" s="8" t="s">
        <v>135</v>
      </c>
      <c r="M10" s="121">
        <v>370891</v>
      </c>
      <c r="N10" s="121">
        <v>350000</v>
      </c>
      <c r="O10" s="9">
        <v>9.99</v>
      </c>
      <c r="P10" s="9">
        <v>0</v>
      </c>
      <c r="Q10" s="23">
        <v>4</v>
      </c>
    </row>
    <row r="11" spans="1:17" x14ac:dyDescent="0.25">
      <c r="A11" s="8"/>
      <c r="B11" s="1" t="s">
        <v>67</v>
      </c>
      <c r="C11" s="2">
        <v>8.6</v>
      </c>
      <c r="D11" s="2">
        <v>320000</v>
      </c>
      <c r="E11" s="2">
        <f>'1季度'!E11+'1季度'!F11</f>
        <v>4</v>
      </c>
      <c r="F11" s="2">
        <v>0</v>
      </c>
      <c r="G11" s="128">
        <f>'1季度'!H11</f>
        <v>0</v>
      </c>
      <c r="H11" s="129">
        <f t="shared" si="0"/>
        <v>0</v>
      </c>
      <c r="I11" s="2">
        <v>500000</v>
      </c>
      <c r="J11" s="132">
        <f t="shared" si="1"/>
        <v>320000</v>
      </c>
      <c r="L11" s="8" t="s">
        <v>136</v>
      </c>
      <c r="M11" s="121">
        <v>328722</v>
      </c>
      <c r="N11" s="121">
        <v>320000</v>
      </c>
      <c r="O11" s="9">
        <v>8.73</v>
      </c>
      <c r="P11" s="9">
        <v>0</v>
      </c>
      <c r="Q11" s="23">
        <v>4</v>
      </c>
    </row>
    <row r="12" spans="1:17" x14ac:dyDescent="0.25">
      <c r="A12" s="8"/>
      <c r="B12" s="9"/>
      <c r="C12" s="9"/>
      <c r="D12" s="9">
        <f t="shared" ref="D12:F12" si="2">D8+D9+D10+D11</f>
        <v>1470000</v>
      </c>
      <c r="E12" s="9">
        <f t="shared" si="2"/>
        <v>16</v>
      </c>
      <c r="F12" s="9">
        <f t="shared" si="2"/>
        <v>2</v>
      </c>
      <c r="G12" s="76">
        <f>G8+G9+G10+G11</f>
        <v>0</v>
      </c>
      <c r="H12" s="76">
        <f>H8+H9+H10+H11</f>
        <v>93290</v>
      </c>
      <c r="I12" s="9">
        <f>I8+I9+I10+I11</f>
        <v>2000000</v>
      </c>
      <c r="J12" s="23"/>
      <c r="L12" s="8" t="s">
        <v>137</v>
      </c>
      <c r="M12" s="9" t="s">
        <v>138</v>
      </c>
      <c r="N12" s="9" t="s">
        <v>139</v>
      </c>
      <c r="O12" s="9" t="s">
        <v>131</v>
      </c>
      <c r="P12" s="9" t="s">
        <v>140</v>
      </c>
      <c r="Q12" s="23" t="s">
        <v>141</v>
      </c>
    </row>
    <row r="13" spans="1:17" ht="14.4" thickBot="1" x14ac:dyDescent="0.3">
      <c r="A13" s="31"/>
      <c r="B13" s="11"/>
      <c r="C13" s="11"/>
      <c r="D13" s="11">
        <f>H2</f>
        <v>1470000</v>
      </c>
      <c r="E13" s="11"/>
      <c r="F13" s="11"/>
      <c r="G13" s="10"/>
      <c r="H13" s="11"/>
      <c r="I13" s="11"/>
      <c r="J13" s="30"/>
      <c r="L13" s="124">
        <v>1406323</v>
      </c>
      <c r="M13" s="121">
        <v>1470000</v>
      </c>
      <c r="N13" s="121">
        <v>1376710</v>
      </c>
      <c r="O13" s="121">
        <v>93290</v>
      </c>
      <c r="P13" s="121">
        <v>2137388</v>
      </c>
      <c r="Q13" s="23">
        <v>10.68</v>
      </c>
    </row>
    <row r="14" spans="1:17" ht="14.4" thickBot="1" x14ac:dyDescent="0.3">
      <c r="A14" s="171" t="s">
        <v>10</v>
      </c>
      <c r="B14" s="172"/>
      <c r="C14" s="172"/>
      <c r="D14" s="172"/>
      <c r="E14" s="172"/>
      <c r="F14" s="173" t="s">
        <v>11</v>
      </c>
      <c r="G14" s="174"/>
      <c r="H14" s="174"/>
      <c r="I14" s="174"/>
      <c r="J14" s="198"/>
      <c r="L14" s="8" t="s">
        <v>55</v>
      </c>
      <c r="M14" s="9" t="s">
        <v>142</v>
      </c>
      <c r="N14" s="9" t="s">
        <v>143</v>
      </c>
      <c r="O14" s="9" t="s">
        <v>144</v>
      </c>
      <c r="P14" s="9" t="s">
        <v>145</v>
      </c>
      <c r="Q14" s="23" t="s">
        <v>132</v>
      </c>
    </row>
    <row r="15" spans="1:17" ht="14.4" thickBot="1" x14ac:dyDescent="0.3">
      <c r="A15" s="195" t="s">
        <v>12</v>
      </c>
      <c r="B15" s="38" t="s">
        <v>29</v>
      </c>
      <c r="C15" s="38">
        <f>H3</f>
        <v>1000000</v>
      </c>
      <c r="D15" s="196" t="s">
        <v>116</v>
      </c>
      <c r="E15" s="197">
        <f>IF(D3=0,C15+C16+C17+C18+C21+C22+C23+C25,C15+C16+C17+C18+C20+C21+C22+C23+C25+C19)</f>
        <v>5769719.912986476</v>
      </c>
      <c r="F15" s="203" t="s">
        <v>14</v>
      </c>
      <c r="G15" s="13" t="s">
        <v>15</v>
      </c>
      <c r="H15" s="83">
        <f>J8*C8+J9*C9+J10*C10+J11*C11</f>
        <v>11839706</v>
      </c>
      <c r="I15" s="176" t="s">
        <v>16</v>
      </c>
      <c r="J15" s="178">
        <f>H15+H16</f>
        <v>11839706</v>
      </c>
      <c r="L15" s="125">
        <v>527750</v>
      </c>
      <c r="M15" s="126">
        <v>527750</v>
      </c>
      <c r="N15" s="11">
        <v>11</v>
      </c>
      <c r="O15" s="11">
        <v>51</v>
      </c>
      <c r="P15" s="11">
        <v>33</v>
      </c>
      <c r="Q15" s="30">
        <v>18</v>
      </c>
    </row>
    <row r="16" spans="1:17" x14ac:dyDescent="0.25">
      <c r="A16" s="186"/>
      <c r="B16" s="9" t="s">
        <v>13</v>
      </c>
      <c r="C16" s="15" t="str">
        <f>IF(H4=1,"10000",IF(H4=2,"15000","20000"))</f>
        <v>20000</v>
      </c>
      <c r="D16" s="181"/>
      <c r="E16" s="184"/>
      <c r="F16" s="204"/>
      <c r="G16" s="16" t="s">
        <v>18</v>
      </c>
      <c r="H16" s="84">
        <f>B2</f>
        <v>0</v>
      </c>
      <c r="I16" s="176"/>
      <c r="J16" s="178"/>
    </row>
    <row r="17" spans="1:12" x14ac:dyDescent="0.25">
      <c r="A17" s="186"/>
      <c r="B17" s="9" t="s">
        <v>17</v>
      </c>
      <c r="C17" s="2">
        <f>1.2*J3+1.4*J3+1.6*J3</f>
        <v>2058000</v>
      </c>
      <c r="D17" s="181"/>
      <c r="E17" s="184"/>
      <c r="F17" s="203" t="s">
        <v>19</v>
      </c>
      <c r="G17" s="16" t="s">
        <v>20</v>
      </c>
      <c r="H17" s="84">
        <f>E15+E26+E28+E33+E35-C18-C25-C23</f>
        <v>7471299.7187207695</v>
      </c>
      <c r="I17" s="176" t="s">
        <v>16</v>
      </c>
      <c r="J17" s="178">
        <f>H17+H18+H19+H21+H22</f>
        <v>8243327.9587207697</v>
      </c>
      <c r="L17" s="44"/>
    </row>
    <row r="18" spans="1:12" x14ac:dyDescent="0.25">
      <c r="A18" s="186"/>
      <c r="B18" s="9" t="s">
        <v>21</v>
      </c>
      <c r="C18" s="9">
        <f>('2季度'!H18+'1季度'!H27)/('2季度'!D3+'1季度'!D3)*'2季度'!H2*1.35</f>
        <v>2682379.9129864764</v>
      </c>
      <c r="D18" s="181"/>
      <c r="E18" s="184"/>
      <c r="F18" s="205"/>
      <c r="G18" s="16" t="s">
        <v>22</v>
      </c>
      <c r="H18" s="84">
        <f>D6*D3+D4*(1+D6)</f>
        <v>272028.24</v>
      </c>
      <c r="I18" s="176"/>
      <c r="J18" s="178"/>
    </row>
    <row r="19" spans="1:12" x14ac:dyDescent="0.25">
      <c r="A19" s="186"/>
      <c r="B19" s="9" t="s">
        <v>23</v>
      </c>
      <c r="C19" s="17">
        <f>IF(D3&lt;2000001,ROUNDUP(D3/500000,0),5)*40000</f>
        <v>40000</v>
      </c>
      <c r="D19" s="181"/>
      <c r="E19" s="184"/>
      <c r="F19" s="205"/>
      <c r="G19" s="16" t="s">
        <v>24</v>
      </c>
      <c r="H19" s="84">
        <f>D5*500000</f>
        <v>500000</v>
      </c>
      <c r="I19" s="176"/>
      <c r="J19" s="178"/>
    </row>
    <row r="20" spans="1:12" x14ac:dyDescent="0.25">
      <c r="A20" s="186"/>
      <c r="B20" s="46" t="s">
        <v>115</v>
      </c>
      <c r="C20" s="17">
        <f>D4</f>
        <v>0</v>
      </c>
      <c r="D20" s="181"/>
      <c r="E20" s="184"/>
      <c r="F20" s="205"/>
      <c r="G20" s="16"/>
      <c r="H20" s="84"/>
      <c r="I20" s="176"/>
      <c r="J20" s="178"/>
    </row>
    <row r="21" spans="1:12" x14ac:dyDescent="0.25">
      <c r="A21" s="186"/>
      <c r="B21" s="9" t="s">
        <v>27</v>
      </c>
      <c r="C21" s="9">
        <f>J2*12000</f>
        <v>120000</v>
      </c>
      <c r="D21" s="181"/>
      <c r="E21" s="184"/>
      <c r="F21" s="205"/>
      <c r="G21" s="16" t="s">
        <v>26</v>
      </c>
      <c r="H21" s="90">
        <f>B3</f>
        <v>0</v>
      </c>
      <c r="I21" s="176"/>
      <c r="J21" s="178"/>
    </row>
    <row r="22" spans="1:12" x14ac:dyDescent="0.25">
      <c r="A22" s="186"/>
      <c r="B22" s="9" t="s">
        <v>25</v>
      </c>
      <c r="C22" s="18">
        <f>D5*100000</f>
        <v>100000</v>
      </c>
      <c r="D22" s="181"/>
      <c r="E22" s="184"/>
      <c r="F22" s="204"/>
      <c r="G22" s="16" t="s">
        <v>28</v>
      </c>
      <c r="H22" s="90">
        <f>B4</f>
        <v>0</v>
      </c>
      <c r="I22" s="176"/>
      <c r="J22" s="178"/>
    </row>
    <row r="23" spans="1:12" x14ac:dyDescent="0.25">
      <c r="A23" s="186"/>
      <c r="B23" s="9" t="s">
        <v>32</v>
      </c>
      <c r="C23" s="9">
        <f>'1季度'!H28*0.025</f>
        <v>122500</v>
      </c>
      <c r="D23" s="181"/>
      <c r="E23" s="184"/>
      <c r="F23" s="203" t="s">
        <v>30</v>
      </c>
      <c r="G23" s="16" t="s">
        <v>68</v>
      </c>
      <c r="H23" s="84">
        <f>'1季度'!H30</f>
        <v>4629664.514563106</v>
      </c>
      <c r="I23" s="9"/>
      <c r="J23" s="23"/>
    </row>
    <row r="24" spans="1:12" x14ac:dyDescent="0.25">
      <c r="A24" s="186"/>
      <c r="B24" s="19" t="s">
        <v>69</v>
      </c>
      <c r="C24" s="9">
        <f>'1季度'!H31</f>
        <v>0</v>
      </c>
      <c r="D24" s="181"/>
      <c r="E24" s="184"/>
      <c r="F24" s="205"/>
      <c r="G24" s="20" t="s">
        <v>33</v>
      </c>
      <c r="H24" s="86">
        <f>J15-J17</f>
        <v>3596378.0412792303</v>
      </c>
      <c r="I24" s="9"/>
      <c r="J24" s="23"/>
    </row>
    <row r="25" spans="1:12" x14ac:dyDescent="0.25">
      <c r="A25" s="162"/>
      <c r="B25" s="9" t="s">
        <v>70</v>
      </c>
      <c r="C25" s="18">
        <f>C24-H12*4</f>
        <v>-373160</v>
      </c>
      <c r="D25" s="182"/>
      <c r="E25" s="185"/>
      <c r="F25" s="205"/>
      <c r="G25" s="16" t="s">
        <v>71</v>
      </c>
      <c r="H25" s="84">
        <f>H15-E15-E26-E28-E33-E35</f>
        <v>1936686.3682927541</v>
      </c>
      <c r="I25" s="9"/>
      <c r="J25" s="23"/>
    </row>
    <row r="26" spans="1:12" x14ac:dyDescent="0.25">
      <c r="A26" s="161" t="s">
        <v>34</v>
      </c>
      <c r="B26" s="9" t="s">
        <v>35</v>
      </c>
      <c r="C26" s="9">
        <f>I12</f>
        <v>2000000</v>
      </c>
      <c r="D26" s="180" t="s">
        <v>16</v>
      </c>
      <c r="E26" s="183">
        <f>C26+C27</f>
        <v>2500000</v>
      </c>
      <c r="F26" s="205"/>
      <c r="G26" s="16" t="s">
        <v>72</v>
      </c>
      <c r="H26" s="84">
        <f>C15+C16+C17+C18+C19+C21+C22+C23+C24+C25+C26+C27+C28+C29+C30+C31+C32+C34+C36</f>
        <v>9342986.4516272526</v>
      </c>
      <c r="I26" s="9"/>
      <c r="J26" s="23"/>
    </row>
    <row r="27" spans="1:12" x14ac:dyDescent="0.25">
      <c r="A27" s="162"/>
      <c r="B27" s="9" t="s">
        <v>37</v>
      </c>
      <c r="C27" s="9">
        <f>D8*0.4+D9*0.1+D10*0.4+D11*0.5</f>
        <v>500000</v>
      </c>
      <c r="D27" s="182"/>
      <c r="E27" s="185"/>
      <c r="F27" s="205"/>
      <c r="G27" s="16" t="s">
        <v>36</v>
      </c>
      <c r="H27" s="84">
        <f>B2+'1季度'!H26+'1季度'!J26</f>
        <v>12400000</v>
      </c>
      <c r="I27" s="108" t="s">
        <v>73</v>
      </c>
      <c r="J27" s="111" t="str">
        <f>IF(H30&gt;0,"0",-H30)</f>
        <v>0</v>
      </c>
    </row>
    <row r="28" spans="1:12" x14ac:dyDescent="0.25">
      <c r="A28" s="161" t="s">
        <v>38</v>
      </c>
      <c r="B28" s="9" t="s">
        <v>39</v>
      </c>
      <c r="C28" s="9">
        <f>(F2+F12)*500</f>
        <v>2500</v>
      </c>
      <c r="D28" s="180" t="s">
        <v>16</v>
      </c>
      <c r="E28" s="183">
        <f>C28+C29+C30+C31+C32</f>
        <v>973333.5</v>
      </c>
      <c r="F28" s="205"/>
      <c r="G28" s="16" t="s">
        <v>9</v>
      </c>
      <c r="H28" s="85">
        <f>('2季度'!H18+'1季度'!H27)/('2季度'!D3+'1季度'!L5)*M5</f>
        <v>2889033.3270135238</v>
      </c>
      <c r="I28" s="9"/>
      <c r="J28" s="23"/>
    </row>
    <row r="29" spans="1:12" x14ac:dyDescent="0.25">
      <c r="A29" s="186"/>
      <c r="B29" s="9" t="s">
        <v>40</v>
      </c>
      <c r="C29" s="9">
        <f>(F2+F12)*1000</f>
        <v>5000</v>
      </c>
      <c r="D29" s="181"/>
      <c r="E29" s="184"/>
      <c r="F29" s="205"/>
      <c r="G29" s="16" t="s">
        <v>74</v>
      </c>
      <c r="H29" s="85">
        <f>'1季度'!H28*0.975+'2季度'!D5*500000</f>
        <v>5277500</v>
      </c>
      <c r="I29" s="9"/>
      <c r="J29" s="23"/>
    </row>
    <row r="30" spans="1:12" x14ac:dyDescent="0.25">
      <c r="A30" s="186"/>
      <c r="B30" s="9" t="s">
        <v>42</v>
      </c>
      <c r="C30" s="9">
        <f>F2*1250*3+F12*1500*3+F4*9000+F3*7500</f>
        <v>389250</v>
      </c>
      <c r="D30" s="181"/>
      <c r="E30" s="184"/>
      <c r="F30" s="205"/>
      <c r="G30" s="20" t="s">
        <v>75</v>
      </c>
      <c r="H30" s="87">
        <f>H23+H15*0.5+H16-J17</f>
        <v>2306189.5558423363</v>
      </c>
      <c r="I30" s="9"/>
      <c r="J30" s="23"/>
    </row>
    <row r="31" spans="1:12" x14ac:dyDescent="0.25">
      <c r="A31" s="186"/>
      <c r="B31" s="9" t="s">
        <v>76</v>
      </c>
      <c r="C31" s="9">
        <f>'1季度'!H27*0.1</f>
        <v>529938.5</v>
      </c>
      <c r="D31" s="181"/>
      <c r="E31" s="184"/>
      <c r="F31" s="205"/>
      <c r="G31" s="110" t="s">
        <v>41</v>
      </c>
      <c r="H31" s="109">
        <f>IF(H30&gt;0,I31,H15*0.5)</f>
        <v>8226042.5558423363</v>
      </c>
      <c r="I31" s="21">
        <f>H15+H16-J17+H23</f>
        <v>8226042.5558423363</v>
      </c>
      <c r="J31" s="23"/>
    </row>
    <row r="32" spans="1:12" x14ac:dyDescent="0.25">
      <c r="A32" s="162"/>
      <c r="B32" s="9" t="s">
        <v>77</v>
      </c>
      <c r="C32" s="9">
        <f>0.5*H12</f>
        <v>46645</v>
      </c>
      <c r="D32" s="182"/>
      <c r="E32" s="185"/>
      <c r="F32" s="205"/>
      <c r="G32" s="80" t="s">
        <v>78</v>
      </c>
      <c r="H32" s="84">
        <f>H12*4</f>
        <v>373160</v>
      </c>
      <c r="I32" s="9"/>
      <c r="J32" s="23"/>
    </row>
    <row r="33" spans="1:10" ht="14.4" thickBot="1" x14ac:dyDescent="0.3">
      <c r="A33" s="161" t="s">
        <v>47</v>
      </c>
      <c r="B33" s="46" t="s">
        <v>114</v>
      </c>
      <c r="C33" s="9">
        <f>'1季度'!J26*'0季度'!D10</f>
        <v>0</v>
      </c>
      <c r="D33" s="199" t="s">
        <v>16</v>
      </c>
      <c r="E33" s="201">
        <f>C34+C33</f>
        <v>62000</v>
      </c>
      <c r="F33" s="206"/>
      <c r="G33" s="81" t="s">
        <v>45</v>
      </c>
      <c r="H33" s="88">
        <f>H25+'1季度'!H32</f>
        <v>4365735.8828558605</v>
      </c>
      <c r="I33" s="22">
        <f>ROUNDDOWN(H33/1500000,0)</f>
        <v>2</v>
      </c>
      <c r="J33" s="30"/>
    </row>
    <row r="34" spans="1:10" x14ac:dyDescent="0.25">
      <c r="A34" s="162"/>
      <c r="B34" s="46" t="s">
        <v>113</v>
      </c>
      <c r="C34" s="9">
        <f>('1季度'!H26+'2季度'!B2-'2季度'!B3)*'0季度'!D10/4</f>
        <v>62000</v>
      </c>
      <c r="D34" s="200"/>
      <c r="E34" s="202"/>
    </row>
    <row r="35" spans="1:10" x14ac:dyDescent="0.25">
      <c r="A35" s="161" t="s">
        <v>49</v>
      </c>
      <c r="B35" s="9" t="s">
        <v>50</v>
      </c>
      <c r="C35" s="9">
        <f>H15/(1+'0季度'!D8)*'0季度'!D8</f>
        <v>344845.80582524271</v>
      </c>
      <c r="D35" s="180" t="s">
        <v>16</v>
      </c>
      <c r="E35" s="183">
        <f>C35+C36+C37</f>
        <v>597966.21872076986</v>
      </c>
    </row>
    <row r="36" spans="1:10" x14ac:dyDescent="0.25">
      <c r="A36" s="186"/>
      <c r="B36" s="9" t="s">
        <v>51</v>
      </c>
      <c r="C36" s="9">
        <f>C35*'0季度'!D9</f>
        <v>37933.0386407767</v>
      </c>
      <c r="D36" s="181"/>
      <c r="E36" s="184"/>
    </row>
    <row r="37" spans="1:10" ht="14.4" thickBot="1" x14ac:dyDescent="0.3">
      <c r="A37" s="187"/>
      <c r="B37" s="11" t="s">
        <v>52</v>
      </c>
      <c r="C37" s="24">
        <f>IF((H15/(1+'0季度'!D8)-H26)*'0季度'!D7&lt;0,"0",(H15/(1+'0季度'!D8)-H26)*'0季度'!D7)</f>
        <v>215187.37425475047</v>
      </c>
      <c r="D37" s="189"/>
      <c r="E37" s="194"/>
    </row>
    <row r="38" spans="1:10" x14ac:dyDescent="0.25">
      <c r="A38" s="32"/>
      <c r="B38" s="32"/>
      <c r="D38" s="32"/>
      <c r="E38" s="32"/>
    </row>
    <row r="39" spans="1:10" x14ac:dyDescent="0.25">
      <c r="A39" s="32"/>
      <c r="B39" s="32"/>
      <c r="E39" s="32"/>
    </row>
    <row r="40" spans="1:10" x14ac:dyDescent="0.25">
      <c r="A40" s="32"/>
      <c r="E40" s="32"/>
    </row>
  </sheetData>
  <mergeCells count="31">
    <mergeCell ref="F14:J14"/>
    <mergeCell ref="D33:D34"/>
    <mergeCell ref="E33:E34"/>
    <mergeCell ref="A1:B1"/>
    <mergeCell ref="C1:D1"/>
    <mergeCell ref="E1:F1"/>
    <mergeCell ref="G1:H1"/>
    <mergeCell ref="I1:J1"/>
    <mergeCell ref="F15:F16"/>
    <mergeCell ref="I15:I16"/>
    <mergeCell ref="J15:J16"/>
    <mergeCell ref="F17:F22"/>
    <mergeCell ref="I17:I22"/>
    <mergeCell ref="J17:J22"/>
    <mergeCell ref="F23:F33"/>
    <mergeCell ref="L1:M1"/>
    <mergeCell ref="L6:Q6"/>
    <mergeCell ref="A35:A37"/>
    <mergeCell ref="D35:D37"/>
    <mergeCell ref="E35:E37"/>
    <mergeCell ref="A33:A34"/>
    <mergeCell ref="A15:A25"/>
    <mergeCell ref="D15:D25"/>
    <mergeCell ref="E15:E25"/>
    <mergeCell ref="E28:E32"/>
    <mergeCell ref="A26:A27"/>
    <mergeCell ref="D26:D27"/>
    <mergeCell ref="E26:E27"/>
    <mergeCell ref="A28:A32"/>
    <mergeCell ref="D28:D32"/>
    <mergeCell ref="A14:E1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zoomScale="130" zoomScaleNormal="130" workbookViewId="0">
      <selection activeCell="C20" sqref="C20"/>
    </sheetView>
  </sheetViews>
  <sheetFormatPr defaultRowHeight="13.8" x14ac:dyDescent="0.25"/>
  <cols>
    <col min="3" max="3" width="9.88671875" customWidth="1"/>
    <col min="7" max="7" width="11.21875" customWidth="1"/>
    <col min="8" max="8" width="9.109375" bestFit="1" customWidth="1"/>
    <col min="9" max="9" width="10.44140625" customWidth="1"/>
  </cols>
  <sheetData>
    <row r="1" spans="1:16" x14ac:dyDescent="0.25">
      <c r="A1" s="170" t="s">
        <v>84</v>
      </c>
      <c r="B1" s="169"/>
      <c r="C1" s="170" t="s">
        <v>83</v>
      </c>
      <c r="D1" s="168"/>
      <c r="E1" s="170" t="s">
        <v>82</v>
      </c>
      <c r="F1" s="169"/>
      <c r="G1" s="168" t="s">
        <v>103</v>
      </c>
      <c r="H1" s="169"/>
      <c r="I1" s="170" t="s">
        <v>106</v>
      </c>
      <c r="J1" s="169"/>
      <c r="K1" s="166" t="s">
        <v>122</v>
      </c>
      <c r="L1" s="167"/>
    </row>
    <row r="2" spans="1:16" x14ac:dyDescent="0.25">
      <c r="A2" s="49" t="s">
        <v>85</v>
      </c>
      <c r="B2" s="74"/>
      <c r="C2" s="91" t="s">
        <v>108</v>
      </c>
      <c r="D2" s="92">
        <f>J6*1.35</f>
        <v>2488951.8000000003</v>
      </c>
      <c r="E2" s="49" t="s">
        <v>89</v>
      </c>
      <c r="F2" s="26">
        <f>D5*3</f>
        <v>6</v>
      </c>
      <c r="G2" s="98" t="s">
        <v>101</v>
      </c>
      <c r="H2" s="75">
        <v>1583250</v>
      </c>
      <c r="I2" s="4" t="s">
        <v>56</v>
      </c>
      <c r="J2" s="72">
        <f>'2季度'!J2+'2季度'!D5</f>
        <v>11</v>
      </c>
      <c r="K2" s="115" t="s">
        <v>123</v>
      </c>
      <c r="L2" s="23">
        <f>F2+F3</f>
        <v>39</v>
      </c>
    </row>
    <row r="3" spans="1:16" x14ac:dyDescent="0.25">
      <c r="A3" s="49" t="s">
        <v>86</v>
      </c>
      <c r="B3" s="74"/>
      <c r="C3" s="93" t="s">
        <v>109</v>
      </c>
      <c r="D3" s="95">
        <v>2988952</v>
      </c>
      <c r="E3" s="49" t="s">
        <v>111</v>
      </c>
      <c r="F3" s="6">
        <f>'2季度'!F3+'2季度'!F2</f>
        <v>33</v>
      </c>
      <c r="G3" s="99" t="s">
        <v>96</v>
      </c>
      <c r="H3" s="74">
        <v>1200000</v>
      </c>
      <c r="I3" s="77" t="s">
        <v>53</v>
      </c>
      <c r="J3" s="73">
        <f>'2季度'!J5</f>
        <v>527750</v>
      </c>
      <c r="K3" s="115" t="s">
        <v>124</v>
      </c>
      <c r="L3" s="23">
        <f>F4+F12</f>
        <v>22</v>
      </c>
    </row>
    <row r="4" spans="1:16" x14ac:dyDescent="0.25">
      <c r="A4" s="49" t="s">
        <v>87</v>
      </c>
      <c r="B4" s="74"/>
      <c r="C4" s="49" t="s">
        <v>107</v>
      </c>
      <c r="D4" s="96"/>
      <c r="E4" s="49" t="s">
        <v>112</v>
      </c>
      <c r="F4" s="5">
        <f>'2季度'!F4+'2季度'!F12</f>
        <v>18</v>
      </c>
      <c r="G4" s="99" t="s">
        <v>105</v>
      </c>
      <c r="H4" s="89" t="str">
        <f>IF(0&lt;H2&lt;=1.5*J3,"1",IF(H2&gt;2.5*J3,"3",IF(H2=0,"0","2")))</f>
        <v>3</v>
      </c>
      <c r="I4" s="4" t="s">
        <v>54</v>
      </c>
      <c r="J4" s="26">
        <f>J3*3</f>
        <v>1583250</v>
      </c>
      <c r="K4" s="115" t="s">
        <v>125</v>
      </c>
      <c r="L4" s="23">
        <f>J2+D5</f>
        <v>13</v>
      </c>
    </row>
    <row r="5" spans="1:16" ht="14.4" thickBot="1" x14ac:dyDescent="0.3">
      <c r="A5" s="8"/>
      <c r="B5" s="23"/>
      <c r="C5" s="49" t="s">
        <v>88</v>
      </c>
      <c r="D5" s="97">
        <v>2</v>
      </c>
      <c r="E5" s="100"/>
      <c r="F5" s="23"/>
      <c r="I5" s="4" t="s">
        <v>55</v>
      </c>
      <c r="J5" s="26">
        <f>ROUNDDOWN(J3*0.975+D5*50000,0)</f>
        <v>614556</v>
      </c>
      <c r="K5" s="120" t="s">
        <v>119</v>
      </c>
      <c r="L5" s="29">
        <f>'2季度'!M5-'3季度'!H2*1.35+'3季度'!D3</f>
        <v>2988952.5</v>
      </c>
    </row>
    <row r="6" spans="1:16" ht="14.4" thickBot="1" x14ac:dyDescent="0.3">
      <c r="A6" s="101"/>
      <c r="B6" s="29"/>
      <c r="C6" s="102" t="s">
        <v>104</v>
      </c>
      <c r="D6" s="103">
        <v>1.52</v>
      </c>
      <c r="E6" s="104"/>
      <c r="F6" s="29"/>
      <c r="G6" s="94"/>
      <c r="H6" s="29"/>
      <c r="I6" s="105" t="s">
        <v>57</v>
      </c>
      <c r="J6" s="106">
        <f>J5*3</f>
        <v>1843668</v>
      </c>
      <c r="K6" s="163" t="s">
        <v>126</v>
      </c>
      <c r="L6" s="164"/>
      <c r="M6" s="164"/>
      <c r="N6" s="164"/>
      <c r="O6" s="164"/>
      <c r="P6" s="165"/>
    </row>
    <row r="7" spans="1:16" x14ac:dyDescent="0.25">
      <c r="A7" s="71" t="s">
        <v>102</v>
      </c>
      <c r="B7" s="3" t="s">
        <v>58</v>
      </c>
      <c r="C7" s="3" t="s">
        <v>59</v>
      </c>
      <c r="D7" s="3" t="s">
        <v>60</v>
      </c>
      <c r="E7" s="3" t="s">
        <v>61</v>
      </c>
      <c r="F7" s="107" t="s">
        <v>110</v>
      </c>
      <c r="G7" s="127" t="s">
        <v>148</v>
      </c>
      <c r="H7" s="127" t="s">
        <v>147</v>
      </c>
      <c r="I7" s="3" t="s">
        <v>62</v>
      </c>
      <c r="J7" s="28" t="s">
        <v>63</v>
      </c>
      <c r="K7" s="122" t="s">
        <v>146</v>
      </c>
      <c r="L7" s="12" t="s">
        <v>128</v>
      </c>
      <c r="M7" s="12" t="s">
        <v>129</v>
      </c>
      <c r="N7" s="12" t="s">
        <v>130</v>
      </c>
      <c r="O7" s="12" t="s">
        <v>131</v>
      </c>
      <c r="P7" s="123" t="s">
        <v>132</v>
      </c>
    </row>
    <row r="8" spans="1:16" x14ac:dyDescent="0.25">
      <c r="A8" s="8"/>
      <c r="B8" s="1" t="s">
        <v>64</v>
      </c>
      <c r="C8" s="2">
        <v>8.9</v>
      </c>
      <c r="D8" s="2">
        <v>393250</v>
      </c>
      <c r="E8" s="2">
        <f>'2季度'!E8+'2季度'!F8</f>
        <v>5</v>
      </c>
      <c r="F8" s="2">
        <v>1</v>
      </c>
      <c r="G8" s="129">
        <f>'2季度'!H8</f>
        <v>42632</v>
      </c>
      <c r="H8" s="129">
        <f>O8</f>
        <v>0</v>
      </c>
      <c r="I8" s="2">
        <v>550000</v>
      </c>
      <c r="J8" s="132">
        <f>D8-H8+G8</f>
        <v>435882</v>
      </c>
      <c r="K8" s="8" t="s">
        <v>133</v>
      </c>
      <c r="L8" s="121">
        <v>576331</v>
      </c>
      <c r="M8" s="121">
        <v>435882</v>
      </c>
      <c r="N8" s="9">
        <v>13.84</v>
      </c>
      <c r="O8" s="121">
        <v>0</v>
      </c>
      <c r="P8" s="23">
        <v>6</v>
      </c>
    </row>
    <row r="9" spans="1:16" x14ac:dyDescent="0.25">
      <c r="A9" s="8"/>
      <c r="B9" s="1" t="s">
        <v>65</v>
      </c>
      <c r="C9" s="2">
        <v>8.9</v>
      </c>
      <c r="D9" s="2">
        <v>390000</v>
      </c>
      <c r="E9" s="2">
        <f>'2季度'!E9+'2季度'!F9</f>
        <v>5</v>
      </c>
      <c r="F9" s="2">
        <v>1</v>
      </c>
      <c r="G9" s="129">
        <f>'2季度'!H9</f>
        <v>50658</v>
      </c>
      <c r="H9" s="129">
        <f>O9</f>
        <v>0</v>
      </c>
      <c r="I9" s="2">
        <v>550000</v>
      </c>
      <c r="J9" s="132">
        <f t="shared" ref="J9:J11" si="0">D9-H9+G9</f>
        <v>440658</v>
      </c>
      <c r="K9" s="8" t="s">
        <v>134</v>
      </c>
      <c r="L9" s="121">
        <v>548930</v>
      </c>
      <c r="M9" s="121">
        <v>440658</v>
      </c>
      <c r="N9" s="9">
        <v>12.65</v>
      </c>
      <c r="O9" s="121">
        <v>0</v>
      </c>
      <c r="P9" s="23">
        <v>6</v>
      </c>
    </row>
    <row r="10" spans="1:16" x14ac:dyDescent="0.25">
      <c r="A10" s="8"/>
      <c r="B10" s="1" t="s">
        <v>66</v>
      </c>
      <c r="C10" s="2">
        <v>8.9</v>
      </c>
      <c r="D10" s="2">
        <v>400000</v>
      </c>
      <c r="E10" s="2">
        <f>'2季度'!E10+'2季度'!F10</f>
        <v>4</v>
      </c>
      <c r="F10" s="2">
        <v>1</v>
      </c>
      <c r="G10" s="129">
        <f>'2季度'!H10</f>
        <v>0</v>
      </c>
      <c r="H10" s="128">
        <f>O10</f>
        <v>0</v>
      </c>
      <c r="I10" s="2">
        <v>550000</v>
      </c>
      <c r="J10" s="132">
        <f t="shared" si="0"/>
        <v>400000</v>
      </c>
      <c r="K10" s="8" t="s">
        <v>135</v>
      </c>
      <c r="L10" s="121">
        <v>569387</v>
      </c>
      <c r="M10" s="121">
        <v>400000</v>
      </c>
      <c r="N10" s="9">
        <v>10.029999999999999</v>
      </c>
      <c r="O10" s="9">
        <v>0</v>
      </c>
      <c r="P10" s="23">
        <v>5</v>
      </c>
    </row>
    <row r="11" spans="1:16" x14ac:dyDescent="0.25">
      <c r="A11" s="8"/>
      <c r="B11" s="1" t="s">
        <v>67</v>
      </c>
      <c r="C11" s="2">
        <v>8.9</v>
      </c>
      <c r="D11" s="2">
        <v>400000</v>
      </c>
      <c r="E11" s="2">
        <f>'2季度'!E11+'2季度'!F11</f>
        <v>4</v>
      </c>
      <c r="F11" s="2">
        <v>1</v>
      </c>
      <c r="G11" s="129">
        <f>'2季度'!H11</f>
        <v>0</v>
      </c>
      <c r="H11" s="128">
        <f>O11</f>
        <v>0</v>
      </c>
      <c r="I11" s="2">
        <v>550000</v>
      </c>
      <c r="J11" s="132">
        <f t="shared" si="0"/>
        <v>400000</v>
      </c>
      <c r="K11" s="8" t="s">
        <v>136</v>
      </c>
      <c r="L11" s="121">
        <v>470275</v>
      </c>
      <c r="M11" s="121">
        <v>400000</v>
      </c>
      <c r="N11" s="9">
        <v>10.01</v>
      </c>
      <c r="O11" s="9">
        <v>0</v>
      </c>
      <c r="P11" s="23">
        <v>5</v>
      </c>
    </row>
    <row r="12" spans="1:16" x14ac:dyDescent="0.25">
      <c r="A12" s="8"/>
      <c r="B12" s="9"/>
      <c r="C12" s="9"/>
      <c r="D12" s="9">
        <f t="shared" ref="D12:F12" si="1">D8+D9+D10+D11</f>
        <v>1583250</v>
      </c>
      <c r="E12" s="9">
        <f t="shared" si="1"/>
        <v>18</v>
      </c>
      <c r="F12" s="9">
        <f t="shared" si="1"/>
        <v>4</v>
      </c>
      <c r="G12" s="76">
        <f>G8+G9+G10+G11</f>
        <v>93290</v>
      </c>
      <c r="H12" s="76">
        <f>H8+H9+H10+H11</f>
        <v>0</v>
      </c>
      <c r="I12" s="9">
        <f>I8+I9+I10+I11</f>
        <v>2200000</v>
      </c>
      <c r="J12" s="23"/>
      <c r="K12" s="8" t="s">
        <v>137</v>
      </c>
      <c r="L12" s="9" t="s">
        <v>138</v>
      </c>
      <c r="M12" s="9" t="s">
        <v>139</v>
      </c>
      <c r="N12" s="9" t="s">
        <v>131</v>
      </c>
      <c r="O12" s="9" t="s">
        <v>140</v>
      </c>
      <c r="P12" s="23" t="s">
        <v>141</v>
      </c>
    </row>
    <row r="13" spans="1:16" ht="14.4" thickBot="1" x14ac:dyDescent="0.3">
      <c r="A13" s="31"/>
      <c r="B13" s="11"/>
      <c r="C13" s="11"/>
      <c r="D13" s="11">
        <f>H2</f>
        <v>1583250</v>
      </c>
      <c r="E13" s="11"/>
      <c r="F13" s="11"/>
      <c r="G13" s="10"/>
      <c r="H13" s="11"/>
      <c r="I13" s="11"/>
      <c r="J13" s="30"/>
      <c r="K13" s="124">
        <v>2164923</v>
      </c>
      <c r="L13" s="121">
        <v>1583250</v>
      </c>
      <c r="M13" s="121">
        <v>1676540</v>
      </c>
      <c r="N13" s="121">
        <v>0</v>
      </c>
      <c r="O13" s="121">
        <v>2988952</v>
      </c>
      <c r="P13" s="23">
        <v>11.63</v>
      </c>
    </row>
    <row r="14" spans="1:16" ht="14.4" thickBot="1" x14ac:dyDescent="0.3">
      <c r="A14" s="171" t="s">
        <v>10</v>
      </c>
      <c r="B14" s="172"/>
      <c r="C14" s="172"/>
      <c r="D14" s="172"/>
      <c r="E14" s="172"/>
      <c r="F14" s="173" t="s">
        <v>11</v>
      </c>
      <c r="G14" s="174"/>
      <c r="H14" s="174"/>
      <c r="I14" s="174"/>
      <c r="J14" s="198"/>
      <c r="K14" s="8" t="s">
        <v>55</v>
      </c>
      <c r="L14" s="9" t="s">
        <v>142</v>
      </c>
      <c r="M14" s="9" t="s">
        <v>143</v>
      </c>
      <c r="N14" s="9" t="s">
        <v>144</v>
      </c>
      <c r="O14" s="9" t="s">
        <v>145</v>
      </c>
      <c r="P14" s="23" t="s">
        <v>132</v>
      </c>
    </row>
    <row r="15" spans="1:16" ht="14.4" thickBot="1" x14ac:dyDescent="0.3">
      <c r="A15" s="195" t="s">
        <v>12</v>
      </c>
      <c r="B15" s="38" t="s">
        <v>29</v>
      </c>
      <c r="C15" s="38">
        <f>H3</f>
        <v>1200000</v>
      </c>
      <c r="D15" s="196" t="s">
        <v>116</v>
      </c>
      <c r="E15" s="197">
        <f>IF(D3=0,C15+C16+C17+C18+C21+C22+C23+C25,C15+C16+C17+C18+C20+C21+C22+C23+C25+C19)</f>
        <v>7572462.1821026541</v>
      </c>
      <c r="F15" s="203" t="s">
        <v>14</v>
      </c>
      <c r="G15" s="13" t="s">
        <v>15</v>
      </c>
      <c r="H15" s="83">
        <f>J8*C8+J9*C9+J10*C10+J11*C11</f>
        <v>14921206</v>
      </c>
      <c r="I15" s="176" t="s">
        <v>16</v>
      </c>
      <c r="J15" s="178">
        <f>H15+H16</f>
        <v>14921206</v>
      </c>
      <c r="K15" s="125">
        <v>614556</v>
      </c>
      <c r="L15" s="126">
        <v>614556</v>
      </c>
      <c r="M15" s="11">
        <v>13</v>
      </c>
      <c r="N15" s="11">
        <v>61</v>
      </c>
      <c r="O15" s="11">
        <v>39</v>
      </c>
      <c r="P15" s="30">
        <v>22</v>
      </c>
    </row>
    <row r="16" spans="1:16" x14ac:dyDescent="0.25">
      <c r="A16" s="186"/>
      <c r="B16" s="9" t="s">
        <v>13</v>
      </c>
      <c r="C16" s="15" t="str">
        <f>IF(H4=1,"10000",IF(H4=2,"15000","20000"))</f>
        <v>20000</v>
      </c>
      <c r="D16" s="181"/>
      <c r="E16" s="184"/>
      <c r="F16" s="204"/>
      <c r="G16" s="16" t="s">
        <v>18</v>
      </c>
      <c r="H16" s="84">
        <f>B2</f>
        <v>0</v>
      </c>
      <c r="I16" s="176"/>
      <c r="J16" s="178"/>
    </row>
    <row r="17" spans="1:10" x14ac:dyDescent="0.25">
      <c r="A17" s="186"/>
      <c r="B17" s="9" t="s">
        <v>17</v>
      </c>
      <c r="C17" s="2">
        <f>1.2*J3+1.4*J3+1.6*J3</f>
        <v>2216550</v>
      </c>
      <c r="D17" s="181"/>
      <c r="E17" s="184"/>
      <c r="F17" s="207" t="s">
        <v>118</v>
      </c>
      <c r="G17" s="16" t="s">
        <v>20</v>
      </c>
      <c r="H17" s="84">
        <f>E15+E26+E28+E33+E35-C18-C25-C23</f>
        <v>8352571.0159976501</v>
      </c>
      <c r="I17" s="176" t="s">
        <v>16</v>
      </c>
      <c r="J17" s="178">
        <f>H17+H18+H19+H21+H22</f>
        <v>13895778.055997651</v>
      </c>
    </row>
    <row r="18" spans="1:10" x14ac:dyDescent="0.25">
      <c r="A18" s="186"/>
      <c r="B18" s="9" t="s">
        <v>21</v>
      </c>
      <c r="C18" s="9">
        <f>H2*1.35*('3季度'!H18+'2季度'!H28)/('3季度'!D3+'2季度'!M5)</f>
        <v>3098814.6821026537</v>
      </c>
      <c r="D18" s="181"/>
      <c r="E18" s="184"/>
      <c r="F18" s="205"/>
      <c r="G18" s="16" t="s">
        <v>22</v>
      </c>
      <c r="H18" s="84">
        <f>D6*D3+D4*(1+D6)</f>
        <v>4543207.04</v>
      </c>
      <c r="I18" s="176"/>
      <c r="J18" s="178"/>
    </row>
    <row r="19" spans="1:10" x14ac:dyDescent="0.25">
      <c r="A19" s="186"/>
      <c r="B19" s="9" t="s">
        <v>23</v>
      </c>
      <c r="C19" s="17">
        <f>IF(D3&lt;2000001,ROUNDUP(D3/500000,0),5)*40000</f>
        <v>200000</v>
      </c>
      <c r="D19" s="181"/>
      <c r="E19" s="184"/>
      <c r="F19" s="205"/>
      <c r="G19" s="16" t="s">
        <v>24</v>
      </c>
      <c r="H19" s="84">
        <f>D5*500000</f>
        <v>1000000</v>
      </c>
      <c r="I19" s="176"/>
      <c r="J19" s="178"/>
    </row>
    <row r="20" spans="1:10" x14ac:dyDescent="0.25">
      <c r="A20" s="186"/>
      <c r="B20" s="46" t="s">
        <v>115</v>
      </c>
      <c r="C20" s="17">
        <f>D4</f>
        <v>0</v>
      </c>
      <c r="D20" s="181"/>
      <c r="E20" s="184"/>
      <c r="F20" s="205"/>
      <c r="G20" s="16"/>
      <c r="H20" s="84"/>
      <c r="I20" s="176"/>
      <c r="J20" s="178"/>
    </row>
    <row r="21" spans="1:10" x14ac:dyDescent="0.25">
      <c r="A21" s="186"/>
      <c r="B21" s="9" t="s">
        <v>27</v>
      </c>
      <c r="C21" s="9">
        <f>J2*12000</f>
        <v>132000</v>
      </c>
      <c r="D21" s="181"/>
      <c r="E21" s="184"/>
      <c r="F21" s="205"/>
      <c r="G21" s="16" t="s">
        <v>26</v>
      </c>
      <c r="H21" s="90">
        <f>B3</f>
        <v>0</v>
      </c>
      <c r="I21" s="176"/>
      <c r="J21" s="178"/>
    </row>
    <row r="22" spans="1:10" x14ac:dyDescent="0.25">
      <c r="A22" s="186"/>
      <c r="B22" s="9" t="s">
        <v>25</v>
      </c>
      <c r="C22" s="18">
        <f>D5*100000</f>
        <v>200000</v>
      </c>
      <c r="D22" s="181"/>
      <c r="E22" s="184"/>
      <c r="F22" s="204"/>
      <c r="G22" s="16" t="s">
        <v>28</v>
      </c>
      <c r="H22" s="90">
        <f>B4</f>
        <v>0</v>
      </c>
      <c r="I22" s="176"/>
      <c r="J22" s="178"/>
    </row>
    <row r="23" spans="1:10" x14ac:dyDescent="0.25">
      <c r="A23" s="186"/>
      <c r="B23" s="9" t="s">
        <v>32</v>
      </c>
      <c r="C23" s="9">
        <f>'2季度'!H29*0.025</f>
        <v>131937.5</v>
      </c>
      <c r="D23" s="181"/>
      <c r="E23" s="184"/>
      <c r="F23" s="203" t="s">
        <v>30</v>
      </c>
      <c r="G23" s="16" t="s">
        <v>68</v>
      </c>
      <c r="H23" s="84">
        <f>'2季度'!H31</f>
        <v>8226042.5558423363</v>
      </c>
      <c r="I23" s="9"/>
      <c r="J23" s="23"/>
    </row>
    <row r="24" spans="1:10" x14ac:dyDescent="0.25">
      <c r="A24" s="186"/>
      <c r="B24" s="19" t="s">
        <v>69</v>
      </c>
      <c r="C24" s="9">
        <f>'2季度'!H32</f>
        <v>373160</v>
      </c>
      <c r="D24" s="181"/>
      <c r="E24" s="184"/>
      <c r="F24" s="205"/>
      <c r="G24" s="20" t="s">
        <v>33</v>
      </c>
      <c r="H24" s="86">
        <f>J15-J17</f>
        <v>1025427.9440023489</v>
      </c>
      <c r="I24" s="9"/>
      <c r="J24" s="23"/>
    </row>
    <row r="25" spans="1:10" x14ac:dyDescent="0.25">
      <c r="A25" s="162"/>
      <c r="B25" s="9" t="s">
        <v>70</v>
      </c>
      <c r="C25" s="18">
        <f>C24-H12*4</f>
        <v>373160</v>
      </c>
      <c r="D25" s="182"/>
      <c r="E25" s="185"/>
      <c r="F25" s="205"/>
      <c r="G25" s="16" t="s">
        <v>71</v>
      </c>
      <c r="H25" s="84">
        <f>H15-E15-E26-E28-E33-E35</f>
        <v>2964722.8018996948</v>
      </c>
      <c r="I25" s="9"/>
      <c r="J25" s="23"/>
    </row>
    <row r="26" spans="1:10" x14ac:dyDescent="0.25">
      <c r="A26" s="161" t="s">
        <v>34</v>
      </c>
      <c r="B26" s="9" t="s">
        <v>35</v>
      </c>
      <c r="C26" s="9">
        <f>I12</f>
        <v>2200000</v>
      </c>
      <c r="D26" s="180" t="s">
        <v>16</v>
      </c>
      <c r="E26" s="183">
        <f>C26+C27</f>
        <v>2756300</v>
      </c>
      <c r="F26" s="205"/>
      <c r="G26" s="16" t="s">
        <v>72</v>
      </c>
      <c r="H26" s="84">
        <f>E15+E26+E28+E33</f>
        <v>11144665.514804006</v>
      </c>
      <c r="I26" s="9"/>
      <c r="J26" s="23"/>
    </row>
    <row r="27" spans="1:10" x14ac:dyDescent="0.25">
      <c r="A27" s="162"/>
      <c r="B27" s="9" t="s">
        <v>37</v>
      </c>
      <c r="C27" s="9">
        <f>D8*0.4+D9*0.1+D10*0.4+D11*0.5</f>
        <v>556300</v>
      </c>
      <c r="D27" s="182"/>
      <c r="E27" s="185"/>
      <c r="F27" s="205"/>
      <c r="G27" s="16" t="s">
        <v>36</v>
      </c>
      <c r="H27" s="84">
        <f>B2+'2季度'!H27+'2季度'!J27</f>
        <v>12400000</v>
      </c>
      <c r="I27" s="108" t="s">
        <v>73</v>
      </c>
      <c r="J27" s="111" t="str">
        <f>IF(H30&gt;0,"0",-H30)</f>
        <v>0</v>
      </c>
    </row>
    <row r="28" spans="1:10" x14ac:dyDescent="0.25">
      <c r="A28" s="161" t="s">
        <v>38</v>
      </c>
      <c r="B28" s="9" t="s">
        <v>39</v>
      </c>
      <c r="C28" s="9">
        <f>(F2+F12)*500</f>
        <v>5000</v>
      </c>
      <c r="D28" s="180" t="s">
        <v>16</v>
      </c>
      <c r="E28" s="183">
        <f>C28+C29+C30+C31+C32</f>
        <v>753903.33270135242</v>
      </c>
      <c r="F28" s="205"/>
      <c r="G28" s="16" t="s">
        <v>9</v>
      </c>
      <c r="H28" s="85">
        <f>('3季度'!H18+'2季度'!H28)/('3季度'!D3+'2季度'!M5)*D3</f>
        <v>4333424.9600037858</v>
      </c>
      <c r="I28" s="9"/>
      <c r="J28" s="23"/>
    </row>
    <row r="29" spans="1:10" x14ac:dyDescent="0.25">
      <c r="A29" s="186"/>
      <c r="B29" s="9" t="s">
        <v>40</v>
      </c>
      <c r="C29" s="9">
        <f>(F2+F12)*1000</f>
        <v>10000</v>
      </c>
      <c r="D29" s="181"/>
      <c r="E29" s="184"/>
      <c r="F29" s="205"/>
      <c r="G29" s="16" t="s">
        <v>74</v>
      </c>
      <c r="H29" s="85">
        <f>'2季度'!H29*0.975+'3季度'!D5*500000</f>
        <v>6145562.5</v>
      </c>
      <c r="I29" s="9"/>
      <c r="J29" s="23"/>
    </row>
    <row r="30" spans="1:10" x14ac:dyDescent="0.25">
      <c r="A30" s="186"/>
      <c r="B30" s="9" t="s">
        <v>42</v>
      </c>
      <c r="C30" s="9">
        <f>F2*1250*3+F12*1500*3+F4*9000+F3*7500</f>
        <v>450000</v>
      </c>
      <c r="D30" s="181"/>
      <c r="E30" s="184"/>
      <c r="F30" s="205"/>
      <c r="G30" s="20" t="s">
        <v>75</v>
      </c>
      <c r="H30" s="87">
        <f>H23+H15*0.5+H16-J17</f>
        <v>1790867.4998446852</v>
      </c>
      <c r="I30" s="9"/>
      <c r="J30" s="23"/>
    </row>
    <row r="31" spans="1:10" x14ac:dyDescent="0.25">
      <c r="A31" s="186"/>
      <c r="B31" s="9" t="s">
        <v>76</v>
      </c>
      <c r="C31" s="9">
        <f>'2季度'!H28*0.1</f>
        <v>288903.33270135237</v>
      </c>
      <c r="D31" s="181"/>
      <c r="E31" s="184"/>
      <c r="F31" s="205"/>
      <c r="G31" s="110" t="s">
        <v>41</v>
      </c>
      <c r="H31" s="109">
        <f>IF(H30&gt;0,I31,H15*0.5)</f>
        <v>9251470.4998446852</v>
      </c>
      <c r="I31" s="21">
        <f>H15+H16-J17+H23</f>
        <v>9251470.4998446852</v>
      </c>
      <c r="J31" s="23"/>
    </row>
    <row r="32" spans="1:10" x14ac:dyDescent="0.25">
      <c r="A32" s="162"/>
      <c r="B32" s="9" t="s">
        <v>77</v>
      </c>
      <c r="C32" s="9">
        <f>0.5*H12</f>
        <v>0</v>
      </c>
      <c r="D32" s="182"/>
      <c r="E32" s="185"/>
      <c r="F32" s="205"/>
      <c r="G32" s="80" t="s">
        <v>78</v>
      </c>
      <c r="H32" s="84">
        <f>H12*4</f>
        <v>0</v>
      </c>
      <c r="I32" s="9"/>
      <c r="J32" s="23"/>
    </row>
    <row r="33" spans="1:10" ht="14.4" thickBot="1" x14ac:dyDescent="0.3">
      <c r="A33" s="161" t="s">
        <v>47</v>
      </c>
      <c r="B33" s="46" t="s">
        <v>114</v>
      </c>
      <c r="C33" s="9">
        <f>'2季度'!J27*'0季度'!D10</f>
        <v>0</v>
      </c>
      <c r="D33" s="199" t="s">
        <v>16</v>
      </c>
      <c r="E33" s="201">
        <f>C34+C33</f>
        <v>62000</v>
      </c>
      <c r="F33" s="206"/>
      <c r="G33" s="81" t="s">
        <v>45</v>
      </c>
      <c r="H33" s="88">
        <f>H31+H29+H28-H16+H32-H27-J27</f>
        <v>7330457.959848471</v>
      </c>
      <c r="I33" s="22">
        <f>ROUNDDOWN(H33/1500000,0)</f>
        <v>4</v>
      </c>
      <c r="J33" s="30"/>
    </row>
    <row r="34" spans="1:10" x14ac:dyDescent="0.25">
      <c r="A34" s="162"/>
      <c r="B34" s="46" t="s">
        <v>113</v>
      </c>
      <c r="C34" s="9">
        <f>('2季度'!H27+B2-B3)*'0季度'!D10/4</f>
        <v>62000</v>
      </c>
      <c r="D34" s="200"/>
      <c r="E34" s="202"/>
    </row>
    <row r="35" spans="1:10" x14ac:dyDescent="0.25">
      <c r="A35" s="161" t="s">
        <v>49</v>
      </c>
      <c r="B35" s="9" t="s">
        <v>50</v>
      </c>
      <c r="C35" s="9">
        <f>H15/(1+'0季度'!D8)*'0季度'!D8</f>
        <v>434598.2330097087</v>
      </c>
      <c r="D35" s="180" t="s">
        <v>16</v>
      </c>
      <c r="E35" s="183">
        <f>C35+C36+C37</f>
        <v>811817.68329629838</v>
      </c>
    </row>
    <row r="36" spans="1:10" x14ac:dyDescent="0.25">
      <c r="A36" s="186"/>
      <c r="B36" s="9" t="s">
        <v>51</v>
      </c>
      <c r="C36" s="9">
        <f>C35*'0季度'!D9</f>
        <v>47805.80563106796</v>
      </c>
      <c r="D36" s="181"/>
      <c r="E36" s="184"/>
    </row>
    <row r="37" spans="1:10" ht="14.4" thickBot="1" x14ac:dyDescent="0.3">
      <c r="A37" s="187"/>
      <c r="B37" s="11" t="s">
        <v>52</v>
      </c>
      <c r="C37" s="24">
        <f>IF((H15/(1+'0季度'!D8)-H26-'3季度'!C36)*'0季度'!D7&lt;0,"0",H15/(1+'0季度'!D8)-H26-C36)*'0季度'!D7</f>
        <v>329413.64465552173</v>
      </c>
      <c r="D37" s="189"/>
      <c r="E37" s="194"/>
    </row>
  </sheetData>
  <mergeCells count="31">
    <mergeCell ref="A33:A34"/>
    <mergeCell ref="D33:D34"/>
    <mergeCell ref="E33:E34"/>
    <mergeCell ref="A35:A37"/>
    <mergeCell ref="D35:D37"/>
    <mergeCell ref="E35:E37"/>
    <mergeCell ref="A26:A27"/>
    <mergeCell ref="D26:D27"/>
    <mergeCell ref="E26:E27"/>
    <mergeCell ref="A28:A32"/>
    <mergeCell ref="D28:D32"/>
    <mergeCell ref="E28:E32"/>
    <mergeCell ref="A15:A25"/>
    <mergeCell ref="D15:D25"/>
    <mergeCell ref="E15:E25"/>
    <mergeCell ref="F15:F16"/>
    <mergeCell ref="I15:I16"/>
    <mergeCell ref="J15:J16"/>
    <mergeCell ref="F17:F22"/>
    <mergeCell ref="I17:I22"/>
    <mergeCell ref="J17:J22"/>
    <mergeCell ref="F23:F33"/>
    <mergeCell ref="K1:L1"/>
    <mergeCell ref="K6:P6"/>
    <mergeCell ref="A14:E14"/>
    <mergeCell ref="F14:J14"/>
    <mergeCell ref="A1:B1"/>
    <mergeCell ref="C1:D1"/>
    <mergeCell ref="E1:F1"/>
    <mergeCell ref="G1:H1"/>
    <mergeCell ref="I1:J1"/>
  </mergeCells>
  <phoneticPr fontId="10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zoomScale="130" zoomScaleNormal="130" workbookViewId="0">
      <selection activeCell="C20" sqref="C20"/>
    </sheetView>
  </sheetViews>
  <sheetFormatPr defaultRowHeight="13.8" x14ac:dyDescent="0.25"/>
  <cols>
    <col min="3" max="3" width="10.109375" customWidth="1"/>
    <col min="7" max="7" width="11" customWidth="1"/>
    <col min="8" max="8" width="9.109375" bestFit="1" customWidth="1"/>
  </cols>
  <sheetData>
    <row r="1" spans="1:16" ht="14.4" thickBot="1" x14ac:dyDescent="0.3">
      <c r="A1" s="170" t="s">
        <v>84</v>
      </c>
      <c r="B1" s="169"/>
      <c r="C1" s="170" t="s">
        <v>83</v>
      </c>
      <c r="D1" s="168"/>
      <c r="E1" s="170" t="s">
        <v>82</v>
      </c>
      <c r="F1" s="169"/>
      <c r="G1" s="168" t="s">
        <v>103</v>
      </c>
      <c r="H1" s="169"/>
      <c r="I1" s="170" t="s">
        <v>106</v>
      </c>
      <c r="J1" s="168"/>
      <c r="K1" s="208" t="s">
        <v>122</v>
      </c>
      <c r="L1" s="209"/>
    </row>
    <row r="2" spans="1:16" x14ac:dyDescent="0.25">
      <c r="A2" s="49" t="s">
        <v>85</v>
      </c>
      <c r="B2" s="74"/>
      <c r="C2" s="91" t="s">
        <v>108</v>
      </c>
      <c r="D2" s="92">
        <f>J6*1.35</f>
        <v>3236727.6</v>
      </c>
      <c r="E2" s="49" t="s">
        <v>89</v>
      </c>
      <c r="F2" s="26">
        <f>D5*3</f>
        <v>12</v>
      </c>
      <c r="G2" s="98" t="s">
        <v>101</v>
      </c>
      <c r="H2" s="75">
        <v>1843668</v>
      </c>
      <c r="I2" s="4" t="s">
        <v>56</v>
      </c>
      <c r="J2" s="112">
        <f>'3季度'!J2+'3季度'!D5</f>
        <v>13</v>
      </c>
      <c r="K2" s="133" t="s">
        <v>149</v>
      </c>
      <c r="L2" s="134">
        <f>F2+F3</f>
        <v>51</v>
      </c>
    </row>
    <row r="3" spans="1:16" x14ac:dyDescent="0.25">
      <c r="A3" s="49" t="s">
        <v>86</v>
      </c>
      <c r="B3" s="74"/>
      <c r="C3" s="93" t="s">
        <v>109</v>
      </c>
      <c r="D3" s="95">
        <v>3436728</v>
      </c>
      <c r="E3" s="49" t="s">
        <v>111</v>
      </c>
      <c r="F3" s="6">
        <f>'3季度'!F3+'3季度'!F2</f>
        <v>39</v>
      </c>
      <c r="G3" s="99" t="s">
        <v>96</v>
      </c>
      <c r="H3" s="74">
        <v>1500000</v>
      </c>
      <c r="I3" s="77" t="s">
        <v>53</v>
      </c>
      <c r="J3" s="113">
        <f>'3季度'!J5</f>
        <v>614556</v>
      </c>
      <c r="K3" s="115" t="s">
        <v>150</v>
      </c>
      <c r="L3" s="23">
        <f>F4+F12</f>
        <v>26</v>
      </c>
    </row>
    <row r="4" spans="1:16" x14ac:dyDescent="0.25">
      <c r="A4" s="49" t="s">
        <v>87</v>
      </c>
      <c r="B4" s="74"/>
      <c r="C4" s="49" t="s">
        <v>107</v>
      </c>
      <c r="D4" s="96"/>
      <c r="E4" s="49" t="s">
        <v>112</v>
      </c>
      <c r="F4" s="5">
        <f>'3季度'!F4+'3季度'!F12</f>
        <v>22</v>
      </c>
      <c r="G4" s="99" t="s">
        <v>105</v>
      </c>
      <c r="H4" s="89" t="str">
        <f>IF(0&lt;H2&lt;=1.5*J3,"1",IF(H2&gt;2.5*J3,"3",IF(H2=0,"0","2")))</f>
        <v>3</v>
      </c>
      <c r="I4" s="4" t="s">
        <v>54</v>
      </c>
      <c r="J4" s="114">
        <f>J3*3</f>
        <v>1843668</v>
      </c>
      <c r="K4" s="115" t="s">
        <v>151</v>
      </c>
      <c r="L4" s="23">
        <f>J2+D5</f>
        <v>17</v>
      </c>
    </row>
    <row r="5" spans="1:16" ht="14.4" thickBot="1" x14ac:dyDescent="0.3">
      <c r="A5" s="8"/>
      <c r="B5" s="23"/>
      <c r="C5" s="49" t="s">
        <v>88</v>
      </c>
      <c r="D5" s="97">
        <v>4</v>
      </c>
      <c r="E5" s="100"/>
      <c r="F5" s="23"/>
      <c r="I5" s="4" t="s">
        <v>55</v>
      </c>
      <c r="J5" s="114">
        <f>ROUNDDOWN(J3*0.975+D5*50000,0)</f>
        <v>799192</v>
      </c>
      <c r="K5" s="120" t="s">
        <v>119</v>
      </c>
      <c r="L5" s="29">
        <f>'3季度'!L5-'4季度'!H2*1.35+'4季度'!D3</f>
        <v>3936728.6999999997</v>
      </c>
    </row>
    <row r="6" spans="1:16" ht="14.4" thickBot="1" x14ac:dyDescent="0.3">
      <c r="A6" s="101"/>
      <c r="B6" s="29"/>
      <c r="C6" s="102" t="s">
        <v>104</v>
      </c>
      <c r="D6" s="103">
        <v>1.58</v>
      </c>
      <c r="E6" s="104"/>
      <c r="F6" s="29"/>
      <c r="G6" s="94"/>
      <c r="H6" s="29"/>
      <c r="I6" s="105" t="s">
        <v>57</v>
      </c>
      <c r="J6" s="106">
        <f>J5*3</f>
        <v>2397576</v>
      </c>
      <c r="K6" s="208" t="s">
        <v>126</v>
      </c>
      <c r="L6" s="210"/>
      <c r="M6" s="210"/>
      <c r="N6" s="210"/>
      <c r="O6" s="210"/>
      <c r="P6" s="209"/>
    </row>
    <row r="7" spans="1:16" x14ac:dyDescent="0.25">
      <c r="A7" s="71" t="s">
        <v>102</v>
      </c>
      <c r="B7" s="3" t="s">
        <v>58</v>
      </c>
      <c r="C7" s="3" t="s">
        <v>59</v>
      </c>
      <c r="D7" s="3" t="s">
        <v>60</v>
      </c>
      <c r="E7" s="3" t="s">
        <v>61</v>
      </c>
      <c r="F7" s="107" t="s">
        <v>110</v>
      </c>
      <c r="G7" s="127" t="s">
        <v>148</v>
      </c>
      <c r="H7" s="127" t="s">
        <v>117</v>
      </c>
      <c r="I7" s="3" t="s">
        <v>62</v>
      </c>
      <c r="J7" s="28" t="s">
        <v>63</v>
      </c>
      <c r="K7" s="135" t="s">
        <v>146</v>
      </c>
      <c r="L7" s="136" t="s">
        <v>128</v>
      </c>
      <c r="M7" s="136" t="s">
        <v>129</v>
      </c>
      <c r="N7" s="136" t="s">
        <v>130</v>
      </c>
      <c r="O7" s="136" t="s">
        <v>131</v>
      </c>
      <c r="P7" s="137" t="s">
        <v>132</v>
      </c>
    </row>
    <row r="8" spans="1:16" x14ac:dyDescent="0.25">
      <c r="A8" s="8"/>
      <c r="B8" s="1" t="s">
        <v>64</v>
      </c>
      <c r="C8" s="2">
        <v>9</v>
      </c>
      <c r="D8" s="2">
        <v>549994</v>
      </c>
      <c r="E8" s="2">
        <f>'3季度'!E8+'3季度'!F8</f>
        <v>6</v>
      </c>
      <c r="F8" s="2">
        <v>1</v>
      </c>
      <c r="G8" s="129">
        <f>'3季度'!H8</f>
        <v>0</v>
      </c>
      <c r="H8" s="128">
        <f>O8</f>
        <v>0</v>
      </c>
      <c r="I8" s="2">
        <v>550000</v>
      </c>
      <c r="J8" s="132">
        <f>D8-H8+G8</f>
        <v>549994</v>
      </c>
      <c r="K8" s="138" t="s">
        <v>133</v>
      </c>
      <c r="L8" s="139">
        <v>775989</v>
      </c>
      <c r="M8" s="139">
        <v>549994</v>
      </c>
      <c r="N8" s="32">
        <v>15.69</v>
      </c>
      <c r="O8" s="32">
        <v>0</v>
      </c>
      <c r="P8" s="140">
        <v>7</v>
      </c>
    </row>
    <row r="9" spans="1:16" x14ac:dyDescent="0.25">
      <c r="A9" s="8"/>
      <c r="B9" s="1" t="s">
        <v>65</v>
      </c>
      <c r="C9" s="2">
        <v>9</v>
      </c>
      <c r="D9" s="2">
        <v>413683</v>
      </c>
      <c r="E9" s="2">
        <f>'3季度'!E9+'3季度'!F9</f>
        <v>6</v>
      </c>
      <c r="F9" s="2">
        <v>1</v>
      </c>
      <c r="G9" s="129">
        <f>'3季度'!H9</f>
        <v>0</v>
      </c>
      <c r="H9" s="128">
        <f t="shared" ref="H9:H11" si="0">O9</f>
        <v>0</v>
      </c>
      <c r="I9" s="2">
        <v>550000</v>
      </c>
      <c r="J9" s="132">
        <f t="shared" ref="J9:J11" si="1">D9-H9+G9</f>
        <v>413683</v>
      </c>
      <c r="K9" s="138" t="s">
        <v>134</v>
      </c>
      <c r="L9" s="139">
        <v>676764</v>
      </c>
      <c r="M9" s="139">
        <v>413683</v>
      </c>
      <c r="N9" s="32">
        <v>11.21</v>
      </c>
      <c r="O9" s="32">
        <v>0</v>
      </c>
      <c r="P9" s="140">
        <v>7</v>
      </c>
    </row>
    <row r="10" spans="1:16" x14ac:dyDescent="0.25">
      <c r="A10" s="8"/>
      <c r="B10" s="1" t="s">
        <v>66</v>
      </c>
      <c r="C10" s="2">
        <v>9</v>
      </c>
      <c r="D10" s="2">
        <v>479994</v>
      </c>
      <c r="E10" s="2">
        <f>'3季度'!E10+'3季度'!F10</f>
        <v>5</v>
      </c>
      <c r="F10" s="2">
        <v>1</v>
      </c>
      <c r="G10" s="129">
        <f>'3季度'!H10</f>
        <v>0</v>
      </c>
      <c r="H10" s="128">
        <f t="shared" si="0"/>
        <v>0</v>
      </c>
      <c r="I10" s="2">
        <v>550000</v>
      </c>
      <c r="J10" s="132">
        <f t="shared" si="1"/>
        <v>479994</v>
      </c>
      <c r="K10" s="138" t="s">
        <v>135</v>
      </c>
      <c r="L10" s="139">
        <v>673587</v>
      </c>
      <c r="M10" s="139">
        <v>479994</v>
      </c>
      <c r="N10" s="32">
        <v>10.27</v>
      </c>
      <c r="O10" s="32">
        <v>0</v>
      </c>
      <c r="P10" s="140">
        <v>6</v>
      </c>
    </row>
    <row r="11" spans="1:16" x14ac:dyDescent="0.25">
      <c r="A11" s="8"/>
      <c r="B11" s="1" t="s">
        <v>67</v>
      </c>
      <c r="C11" s="2">
        <v>9</v>
      </c>
      <c r="D11" s="2">
        <v>399995</v>
      </c>
      <c r="E11" s="2">
        <f>'3季度'!E11+'3季度'!F11</f>
        <v>5</v>
      </c>
      <c r="F11" s="2">
        <v>1</v>
      </c>
      <c r="G11" s="129">
        <f>'3季度'!H11</f>
        <v>0</v>
      </c>
      <c r="H11" s="128">
        <f t="shared" si="0"/>
        <v>0</v>
      </c>
      <c r="I11" s="2">
        <v>500000</v>
      </c>
      <c r="J11" s="132">
        <f t="shared" si="1"/>
        <v>399995</v>
      </c>
      <c r="K11" s="138" t="s">
        <v>136</v>
      </c>
      <c r="L11" s="139">
        <v>645729</v>
      </c>
      <c r="M11" s="139">
        <v>399995</v>
      </c>
      <c r="N11" s="32">
        <v>10</v>
      </c>
      <c r="O11" s="32">
        <v>0</v>
      </c>
      <c r="P11" s="140">
        <v>6</v>
      </c>
    </row>
    <row r="12" spans="1:16" x14ac:dyDescent="0.25">
      <c r="A12" s="8"/>
      <c r="B12" s="9"/>
      <c r="C12" s="9"/>
      <c r="D12" s="9">
        <f t="shared" ref="D12:F12" si="2">D8+D9+D10+D11</f>
        <v>1843666</v>
      </c>
      <c r="E12" s="9">
        <f t="shared" si="2"/>
        <v>22</v>
      </c>
      <c r="F12" s="9">
        <f t="shared" si="2"/>
        <v>4</v>
      </c>
      <c r="G12" s="76">
        <f>G8+G9+G10+G11</f>
        <v>0</v>
      </c>
      <c r="H12" s="76">
        <f>H8+H9+H10+H11</f>
        <v>0</v>
      </c>
      <c r="I12" s="9">
        <f>I8+I9+I10+I11</f>
        <v>2150000</v>
      </c>
      <c r="J12" s="23"/>
      <c r="K12" s="138" t="s">
        <v>137</v>
      </c>
      <c r="L12" s="32" t="s">
        <v>138</v>
      </c>
      <c r="M12" s="32" t="s">
        <v>139</v>
      </c>
      <c r="N12" s="32" t="s">
        <v>131</v>
      </c>
      <c r="O12" s="32" t="s">
        <v>140</v>
      </c>
      <c r="P12" s="140" t="s">
        <v>141</v>
      </c>
    </row>
    <row r="13" spans="1:16" ht="14.4" thickBot="1" x14ac:dyDescent="0.3">
      <c r="A13" s="31"/>
      <c r="B13" s="11"/>
      <c r="C13" s="11"/>
      <c r="D13" s="11">
        <f>H2</f>
        <v>1843668</v>
      </c>
      <c r="E13" s="11"/>
      <c r="F13" s="11"/>
      <c r="G13" s="10"/>
      <c r="H13" s="11"/>
      <c r="I13" s="11"/>
      <c r="J13" s="30"/>
      <c r="K13" s="141">
        <v>2772069</v>
      </c>
      <c r="L13" s="139">
        <v>1843666</v>
      </c>
      <c r="M13" s="139">
        <v>1843666</v>
      </c>
      <c r="N13" s="32">
        <v>0</v>
      </c>
      <c r="O13" s="139">
        <v>3936730</v>
      </c>
      <c r="P13" s="140">
        <v>11.79</v>
      </c>
    </row>
    <row r="14" spans="1:16" ht="14.4" thickBot="1" x14ac:dyDescent="0.3">
      <c r="A14" s="171" t="s">
        <v>10</v>
      </c>
      <c r="B14" s="172"/>
      <c r="C14" s="172"/>
      <c r="D14" s="172"/>
      <c r="E14" s="172"/>
      <c r="F14" s="173" t="s">
        <v>11</v>
      </c>
      <c r="G14" s="174"/>
      <c r="H14" s="174"/>
      <c r="I14" s="174"/>
      <c r="J14" s="198"/>
      <c r="K14" s="138" t="s">
        <v>55</v>
      </c>
      <c r="L14" s="32" t="s">
        <v>142</v>
      </c>
      <c r="M14" s="32" t="s">
        <v>143</v>
      </c>
      <c r="N14" s="32" t="s">
        <v>144</v>
      </c>
      <c r="O14" s="32" t="s">
        <v>145</v>
      </c>
      <c r="P14" s="140" t="s">
        <v>132</v>
      </c>
    </row>
    <row r="15" spans="1:16" ht="14.4" thickBot="1" x14ac:dyDescent="0.3">
      <c r="A15" s="195" t="s">
        <v>12</v>
      </c>
      <c r="B15" s="38" t="s">
        <v>29</v>
      </c>
      <c r="C15" s="38">
        <f>H3</f>
        <v>1500000</v>
      </c>
      <c r="D15" s="196" t="s">
        <v>116</v>
      </c>
      <c r="E15" s="197">
        <f>IF(D3=0,C15+C16+C17+C18+C21+C22+C23+C25,C15+C16+C17+C18+C20+C21+C22+C23+C25+C19)</f>
        <v>8792594.9249464311</v>
      </c>
      <c r="F15" s="203" t="s">
        <v>14</v>
      </c>
      <c r="G15" s="13" t="s">
        <v>15</v>
      </c>
      <c r="H15" s="83">
        <f>J8*C8+J9*C9+J10*C10+J11*C11+'3季度'!H8*'4季度'!C8+'4季度'!C9*'3季度'!H9+'3季度'!H10*'4季度'!C10+'4季度'!C11*'3季度'!H11</f>
        <v>16592994</v>
      </c>
      <c r="I15" s="176" t="s">
        <v>16</v>
      </c>
      <c r="J15" s="178">
        <f>H15+H16</f>
        <v>16592994</v>
      </c>
      <c r="K15" s="142">
        <v>799192</v>
      </c>
      <c r="L15" s="143">
        <v>799192</v>
      </c>
      <c r="M15" s="144">
        <v>17</v>
      </c>
      <c r="N15" s="144">
        <v>77</v>
      </c>
      <c r="O15" s="144">
        <v>51</v>
      </c>
      <c r="P15" s="145">
        <v>26</v>
      </c>
    </row>
    <row r="16" spans="1:16" x14ac:dyDescent="0.25">
      <c r="A16" s="186"/>
      <c r="B16" s="9" t="s">
        <v>13</v>
      </c>
      <c r="C16" s="15" t="str">
        <f>IF(H4=1,"10000",IF(H4=2,"15000","20000"))</f>
        <v>20000</v>
      </c>
      <c r="D16" s="181"/>
      <c r="E16" s="184"/>
      <c r="F16" s="204"/>
      <c r="G16" s="16" t="s">
        <v>18</v>
      </c>
      <c r="H16" s="84">
        <f>B2</f>
        <v>0</v>
      </c>
      <c r="I16" s="176"/>
      <c r="J16" s="178"/>
    </row>
    <row r="17" spans="1:10" x14ac:dyDescent="0.25">
      <c r="A17" s="186"/>
      <c r="B17" s="9" t="s">
        <v>17</v>
      </c>
      <c r="C17" s="2">
        <f>1.2*J3+1.4*J3+1.6*J3</f>
        <v>2581135.2000000002</v>
      </c>
      <c r="D17" s="181"/>
      <c r="E17" s="184"/>
      <c r="F17" s="207" t="s">
        <v>118</v>
      </c>
      <c r="G17" s="16" t="s">
        <v>20</v>
      </c>
      <c r="H17" s="84">
        <f>E15+E26+E28+E33+E35-C18-C25-C23</f>
        <v>9608566.0501969587</v>
      </c>
      <c r="I17" s="176" t="s">
        <v>16</v>
      </c>
      <c r="J17" s="178">
        <f>H17+H18+H19+H21+H22</f>
        <v>17038596.290196959</v>
      </c>
    </row>
    <row r="18" spans="1:10" x14ac:dyDescent="0.25">
      <c r="A18" s="186"/>
      <c r="B18" s="9" t="s">
        <v>21</v>
      </c>
      <c r="C18" s="9">
        <f>H2*1.35*('4季度'!H18+'3季度'!H28)/('4季度'!D3+'3季度'!D3+'3季度'!M2)</f>
        <v>3781820.6624464313</v>
      </c>
      <c r="D18" s="181"/>
      <c r="E18" s="184"/>
      <c r="F18" s="205"/>
      <c r="G18" s="16" t="s">
        <v>22</v>
      </c>
      <c r="H18" s="84">
        <f>D6*D3+D4*(1+D6)</f>
        <v>5430030.2400000002</v>
      </c>
      <c r="I18" s="176"/>
      <c r="J18" s="178"/>
    </row>
    <row r="19" spans="1:10" x14ac:dyDescent="0.25">
      <c r="A19" s="186"/>
      <c r="B19" s="9" t="s">
        <v>23</v>
      </c>
      <c r="C19" s="17">
        <f>IF(D3&lt;2000001,ROUNDUP(D3/500000,0),5)*40000</f>
        <v>200000</v>
      </c>
      <c r="D19" s="181"/>
      <c r="E19" s="184"/>
      <c r="F19" s="205"/>
      <c r="G19" s="16" t="s">
        <v>24</v>
      </c>
      <c r="H19" s="84">
        <f>D5*500000</f>
        <v>2000000</v>
      </c>
      <c r="I19" s="176"/>
      <c r="J19" s="178"/>
    </row>
    <row r="20" spans="1:10" x14ac:dyDescent="0.25">
      <c r="A20" s="186"/>
      <c r="B20" s="46" t="s">
        <v>115</v>
      </c>
      <c r="C20" s="17">
        <f>D4</f>
        <v>0</v>
      </c>
      <c r="D20" s="181"/>
      <c r="E20" s="184"/>
      <c r="F20" s="205"/>
      <c r="G20" s="16"/>
      <c r="H20" s="84"/>
      <c r="I20" s="176"/>
      <c r="J20" s="178"/>
    </row>
    <row r="21" spans="1:10" x14ac:dyDescent="0.25">
      <c r="A21" s="186"/>
      <c r="B21" s="9" t="s">
        <v>27</v>
      </c>
      <c r="C21" s="9">
        <f>J2*12000</f>
        <v>156000</v>
      </c>
      <c r="D21" s="181"/>
      <c r="E21" s="184"/>
      <c r="F21" s="205"/>
      <c r="G21" s="16" t="s">
        <v>26</v>
      </c>
      <c r="H21" s="90">
        <f>B3</f>
        <v>0</v>
      </c>
      <c r="I21" s="176"/>
      <c r="J21" s="178"/>
    </row>
    <row r="22" spans="1:10" x14ac:dyDescent="0.25">
      <c r="A22" s="186"/>
      <c r="B22" s="9" t="s">
        <v>25</v>
      </c>
      <c r="C22" s="18">
        <f>D5*100000</f>
        <v>400000</v>
      </c>
      <c r="D22" s="181"/>
      <c r="E22" s="184"/>
      <c r="F22" s="204"/>
      <c r="G22" s="16" t="s">
        <v>28</v>
      </c>
      <c r="H22" s="90">
        <f>B4</f>
        <v>0</v>
      </c>
      <c r="I22" s="176"/>
      <c r="J22" s="178"/>
    </row>
    <row r="23" spans="1:10" x14ac:dyDescent="0.25">
      <c r="A23" s="186"/>
      <c r="B23" s="9" t="s">
        <v>32</v>
      </c>
      <c r="C23" s="9">
        <f>'3季度'!H29*0.025</f>
        <v>153639.0625</v>
      </c>
      <c r="D23" s="181"/>
      <c r="E23" s="184"/>
      <c r="F23" s="203" t="s">
        <v>30</v>
      </c>
      <c r="G23" s="16" t="s">
        <v>68</v>
      </c>
      <c r="H23" s="84">
        <f>'3季度'!H31</f>
        <v>9251470.4998446852</v>
      </c>
      <c r="I23" s="9"/>
      <c r="J23" s="23"/>
    </row>
    <row r="24" spans="1:10" x14ac:dyDescent="0.25">
      <c r="A24" s="186"/>
      <c r="B24" s="19" t="s">
        <v>69</v>
      </c>
      <c r="C24" s="9">
        <f>'3季度'!H32</f>
        <v>0</v>
      </c>
      <c r="D24" s="181"/>
      <c r="E24" s="184"/>
      <c r="F24" s="205"/>
      <c r="G24" s="20" t="s">
        <v>33</v>
      </c>
      <c r="H24" s="86">
        <f>J15-J17</f>
        <v>-445602.29019695893</v>
      </c>
      <c r="I24" s="9"/>
      <c r="J24" s="23"/>
    </row>
    <row r="25" spans="1:10" x14ac:dyDescent="0.25">
      <c r="A25" s="162"/>
      <c r="B25" s="9" t="s">
        <v>70</v>
      </c>
      <c r="C25" s="18">
        <f>C24-H12*4</f>
        <v>0</v>
      </c>
      <c r="D25" s="182"/>
      <c r="E25" s="185"/>
      <c r="F25" s="205"/>
      <c r="G25" s="16" t="s">
        <v>71</v>
      </c>
      <c r="H25" s="84">
        <f>H15-E15-E26-E28-E33-E35</f>
        <v>3048968.2248566095</v>
      </c>
      <c r="I25" s="9"/>
      <c r="J25" s="23"/>
    </row>
    <row r="26" spans="1:10" x14ac:dyDescent="0.25">
      <c r="A26" s="161" t="s">
        <v>34</v>
      </c>
      <c r="B26" s="9" t="s">
        <v>35</v>
      </c>
      <c r="C26" s="9">
        <f>I12</f>
        <v>2150000</v>
      </c>
      <c r="D26" s="180" t="s">
        <v>16</v>
      </c>
      <c r="E26" s="183">
        <f>C26+C27</f>
        <v>2803361</v>
      </c>
      <c r="F26" s="205"/>
      <c r="G26" s="16" t="s">
        <v>72</v>
      </c>
      <c r="H26" s="84">
        <f>E15+E26+E28+E33</f>
        <v>12668798.42094681</v>
      </c>
      <c r="I26" s="9"/>
      <c r="J26" s="23"/>
    </row>
    <row r="27" spans="1:10" x14ac:dyDescent="0.25">
      <c r="A27" s="162"/>
      <c r="B27" s="9" t="s">
        <v>37</v>
      </c>
      <c r="C27" s="9">
        <f>D8*0.4+D9*0.1+D10*0.4+D11*0.5</f>
        <v>653361</v>
      </c>
      <c r="D27" s="182"/>
      <c r="E27" s="185"/>
      <c r="F27" s="205"/>
      <c r="G27" s="16" t="s">
        <v>36</v>
      </c>
      <c r="H27" s="84">
        <f>B2+'3季度'!H27+'3季度'!J27</f>
        <v>12400000</v>
      </c>
      <c r="I27" s="108" t="s">
        <v>73</v>
      </c>
      <c r="J27" s="111" t="str">
        <f>IF(H30&gt;0,"0",-H30)</f>
        <v>0</v>
      </c>
    </row>
    <row r="28" spans="1:10" x14ac:dyDescent="0.25">
      <c r="A28" s="161" t="s">
        <v>38</v>
      </c>
      <c r="B28" s="9" t="s">
        <v>39</v>
      </c>
      <c r="C28" s="9">
        <f>(F2+F12)*500</f>
        <v>8000</v>
      </c>
      <c r="D28" s="180" t="s">
        <v>16</v>
      </c>
      <c r="E28" s="183">
        <f>C28+C29+C30+C31+C32</f>
        <v>1010842.4960003786</v>
      </c>
      <c r="F28" s="205"/>
      <c r="G28" s="16" t="s">
        <v>9</v>
      </c>
      <c r="H28" s="85">
        <f>('4季度'!H18+'3季度'!H28)/('4季度'!D3+'3季度'!D3+'3季度'!M2)*L5</f>
        <v>5981635.297278909</v>
      </c>
      <c r="I28" s="9"/>
      <c r="J28" s="23"/>
    </row>
    <row r="29" spans="1:10" x14ac:dyDescent="0.25">
      <c r="A29" s="186"/>
      <c r="B29" s="9" t="s">
        <v>40</v>
      </c>
      <c r="C29" s="9">
        <f>(F2+F12)*1000</f>
        <v>16000</v>
      </c>
      <c r="D29" s="181"/>
      <c r="E29" s="184"/>
      <c r="F29" s="205"/>
      <c r="G29" s="16" t="s">
        <v>74</v>
      </c>
      <c r="H29" s="85">
        <f>'3季度'!H29*0.975+'4季度'!D5*500000</f>
        <v>7991923.4375</v>
      </c>
      <c r="I29" s="9"/>
      <c r="J29" s="23"/>
    </row>
    <row r="30" spans="1:10" x14ac:dyDescent="0.25">
      <c r="A30" s="186"/>
      <c r="B30" s="9" t="s">
        <v>42</v>
      </c>
      <c r="C30" s="9">
        <f>F2*1250*3+F12*1500*3+F4*9000+F3*7500</f>
        <v>553500</v>
      </c>
      <c r="D30" s="181"/>
      <c r="E30" s="184"/>
      <c r="F30" s="205"/>
      <c r="G30" s="20" t="s">
        <v>75</v>
      </c>
      <c r="H30" s="87">
        <f>H23+H15*0.5+H16-J17</f>
        <v>509371.20964772627</v>
      </c>
      <c r="I30" s="9"/>
      <c r="J30" s="23"/>
    </row>
    <row r="31" spans="1:10" x14ac:dyDescent="0.25">
      <c r="A31" s="186"/>
      <c r="B31" s="9" t="s">
        <v>76</v>
      </c>
      <c r="C31" s="9">
        <f>'3季度'!H28*0.1</f>
        <v>433342.49600037863</v>
      </c>
      <c r="D31" s="181"/>
      <c r="E31" s="184"/>
      <c r="F31" s="205"/>
      <c r="G31" s="110" t="s">
        <v>41</v>
      </c>
      <c r="H31" s="109">
        <f>IF(H30&gt;0,I31,H15*0.5)</f>
        <v>8805868.2096477263</v>
      </c>
      <c r="I31" s="21">
        <f>H15+H16-J17+H23</f>
        <v>8805868.2096477263</v>
      </c>
      <c r="J31" s="23"/>
    </row>
    <row r="32" spans="1:10" x14ac:dyDescent="0.25">
      <c r="A32" s="162"/>
      <c r="B32" s="9" t="s">
        <v>77</v>
      </c>
      <c r="C32" s="9">
        <f>0.5*H12</f>
        <v>0</v>
      </c>
      <c r="D32" s="182"/>
      <c r="E32" s="185"/>
      <c r="F32" s="205"/>
      <c r="G32" s="80" t="s">
        <v>78</v>
      </c>
      <c r="H32" s="84">
        <f>H12*4</f>
        <v>0</v>
      </c>
      <c r="I32" s="9"/>
      <c r="J32" s="23"/>
    </row>
    <row r="33" spans="1:10" ht="14.4" thickBot="1" x14ac:dyDescent="0.3">
      <c r="A33" s="161" t="s">
        <v>47</v>
      </c>
      <c r="B33" s="46" t="s">
        <v>114</v>
      </c>
      <c r="C33" s="9">
        <f>'3季度'!J27*'0季度'!D10</f>
        <v>0</v>
      </c>
      <c r="D33" s="199" t="s">
        <v>16</v>
      </c>
      <c r="E33" s="201">
        <f>C34+C33</f>
        <v>62000</v>
      </c>
      <c r="F33" s="206"/>
      <c r="G33" s="81" t="s">
        <v>45</v>
      </c>
      <c r="H33" s="88">
        <f>H31+H29+H28-H16+H32-H27-J27</f>
        <v>10379426.944426633</v>
      </c>
      <c r="I33" s="22">
        <f>ROUNDDOWN(H33/1500000,0)</f>
        <v>6</v>
      </c>
      <c r="J33" s="30"/>
    </row>
    <row r="34" spans="1:10" x14ac:dyDescent="0.25">
      <c r="A34" s="162"/>
      <c r="B34" s="46" t="s">
        <v>113</v>
      </c>
      <c r="C34" s="9">
        <f>('3季度'!H27+B2-B3)*'0季度'!D10/4</f>
        <v>62000</v>
      </c>
      <c r="D34" s="200"/>
      <c r="E34" s="202"/>
    </row>
    <row r="35" spans="1:10" x14ac:dyDescent="0.25">
      <c r="A35" s="161" t="s">
        <v>49</v>
      </c>
      <c r="B35" s="9" t="s">
        <v>50</v>
      </c>
      <c r="C35" s="9">
        <f>H15/(1+'0季度'!D8)*'0季度'!D8</f>
        <v>483291.08737864072</v>
      </c>
      <c r="D35" s="180" t="s">
        <v>16</v>
      </c>
      <c r="E35" s="183">
        <f>C35+C36+C37</f>
        <v>875227.35419658094</v>
      </c>
    </row>
    <row r="36" spans="1:10" x14ac:dyDescent="0.25">
      <c r="A36" s="186"/>
      <c r="B36" s="9" t="s">
        <v>51</v>
      </c>
      <c r="C36" s="9">
        <f>C35*'0季度'!D9</f>
        <v>53162.019611650481</v>
      </c>
      <c r="D36" s="181"/>
      <c r="E36" s="184"/>
    </row>
    <row r="37" spans="1:10" ht="14.4" thickBot="1" x14ac:dyDescent="0.3">
      <c r="A37" s="187"/>
      <c r="B37" s="11" t="s">
        <v>52</v>
      </c>
      <c r="C37" s="24">
        <f>IF((H15/(1+'0季度'!D8)-H26-'4季度'!C36)*'0季度'!D7&lt;0,"0",H15/(1+'0季度'!D8)-H26-C36)*'0季度'!D7</f>
        <v>338774.24720628979</v>
      </c>
      <c r="D37" s="189"/>
      <c r="E37" s="194"/>
    </row>
  </sheetData>
  <mergeCells count="31">
    <mergeCell ref="A33:A34"/>
    <mergeCell ref="D33:D34"/>
    <mergeCell ref="E33:E34"/>
    <mergeCell ref="A35:A37"/>
    <mergeCell ref="D35:D37"/>
    <mergeCell ref="E35:E37"/>
    <mergeCell ref="A26:A27"/>
    <mergeCell ref="D26:D27"/>
    <mergeCell ref="E26:E27"/>
    <mergeCell ref="A28:A32"/>
    <mergeCell ref="D28:D32"/>
    <mergeCell ref="E28:E32"/>
    <mergeCell ref="A15:A25"/>
    <mergeCell ref="D15:D25"/>
    <mergeCell ref="E15:E25"/>
    <mergeCell ref="F15:F16"/>
    <mergeCell ref="I15:I16"/>
    <mergeCell ref="J15:J16"/>
    <mergeCell ref="F17:F22"/>
    <mergeCell ref="I17:I22"/>
    <mergeCell ref="J17:J22"/>
    <mergeCell ref="F23:F33"/>
    <mergeCell ref="K1:L1"/>
    <mergeCell ref="K6:P6"/>
    <mergeCell ref="A14:E14"/>
    <mergeCell ref="F14:J14"/>
    <mergeCell ref="A1:B1"/>
    <mergeCell ref="C1:D1"/>
    <mergeCell ref="E1:F1"/>
    <mergeCell ref="G1:H1"/>
    <mergeCell ref="I1:J1"/>
  </mergeCells>
  <phoneticPr fontId="10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zoomScale="140" zoomScaleNormal="140" workbookViewId="0">
      <selection activeCell="C20" sqref="C20"/>
    </sheetView>
  </sheetViews>
  <sheetFormatPr defaultRowHeight="13.8" x14ac:dyDescent="0.25"/>
  <cols>
    <col min="3" max="3" width="10.109375" customWidth="1"/>
    <col min="7" max="7" width="13.33203125" customWidth="1"/>
    <col min="8" max="8" width="9.109375" bestFit="1" customWidth="1"/>
    <col min="9" max="9" width="9.77734375" customWidth="1"/>
  </cols>
  <sheetData>
    <row r="1" spans="1:16" ht="14.4" thickBot="1" x14ac:dyDescent="0.3">
      <c r="A1" s="170" t="s">
        <v>84</v>
      </c>
      <c r="B1" s="169"/>
      <c r="C1" s="170" t="s">
        <v>83</v>
      </c>
      <c r="D1" s="168"/>
      <c r="E1" s="170" t="s">
        <v>82</v>
      </c>
      <c r="F1" s="169"/>
      <c r="G1" s="168" t="s">
        <v>103</v>
      </c>
      <c r="H1" s="169"/>
      <c r="I1" s="170" t="s">
        <v>106</v>
      </c>
      <c r="J1" s="169"/>
      <c r="K1" s="208" t="s">
        <v>122</v>
      </c>
      <c r="L1" s="209"/>
    </row>
    <row r="2" spans="1:16" x14ac:dyDescent="0.25">
      <c r="A2" s="49" t="s">
        <v>85</v>
      </c>
      <c r="B2" s="74"/>
      <c r="C2" s="91" t="s">
        <v>108</v>
      </c>
      <c r="D2" s="92">
        <f>J6*1.35</f>
        <v>4370808.6000000006</v>
      </c>
      <c r="E2" s="49" t="s">
        <v>89</v>
      </c>
      <c r="F2" s="26">
        <f>D5*3</f>
        <v>18</v>
      </c>
      <c r="G2" s="98" t="s">
        <v>101</v>
      </c>
      <c r="H2" s="75">
        <v>2397576</v>
      </c>
      <c r="I2" s="4" t="s">
        <v>56</v>
      </c>
      <c r="J2" s="72">
        <f>'4季度'!J2+'4季度'!D5</f>
        <v>17</v>
      </c>
      <c r="K2" s="133" t="s">
        <v>149</v>
      </c>
      <c r="L2" s="134">
        <f>F2+F3</f>
        <v>69</v>
      </c>
    </row>
    <row r="3" spans="1:16" x14ac:dyDescent="0.25">
      <c r="A3" s="49" t="s">
        <v>86</v>
      </c>
      <c r="B3" s="74"/>
      <c r="C3" s="93" t="s">
        <v>109</v>
      </c>
      <c r="D3" s="95">
        <v>3670809</v>
      </c>
      <c r="E3" s="49" t="s">
        <v>111</v>
      </c>
      <c r="F3" s="6">
        <f>'4季度'!F3+'4季度'!F2</f>
        <v>51</v>
      </c>
      <c r="G3" s="99" t="s">
        <v>96</v>
      </c>
      <c r="H3" s="74">
        <v>1500000</v>
      </c>
      <c r="I3" s="77" t="s">
        <v>53</v>
      </c>
      <c r="J3" s="73">
        <f>'4季度'!J5</f>
        <v>799192</v>
      </c>
      <c r="K3" s="115" t="s">
        <v>150</v>
      </c>
      <c r="L3" s="23">
        <f>F4+F12</f>
        <v>32</v>
      </c>
    </row>
    <row r="4" spans="1:16" x14ac:dyDescent="0.25">
      <c r="A4" s="49" t="s">
        <v>87</v>
      </c>
      <c r="B4" s="74"/>
      <c r="C4" s="49" t="s">
        <v>107</v>
      </c>
      <c r="D4" s="96"/>
      <c r="E4" s="49" t="s">
        <v>112</v>
      </c>
      <c r="F4" s="5">
        <f>'4季度'!F4+'4季度'!F12</f>
        <v>26</v>
      </c>
      <c r="G4" s="99" t="s">
        <v>105</v>
      </c>
      <c r="H4" s="89" t="str">
        <f>IF(0&lt;H2&lt;=1.5*J3,"1",IF(H2&gt;2.5*J3,"3",IF(H2=0,"0","2")))</f>
        <v>3</v>
      </c>
      <c r="I4" s="4" t="s">
        <v>54</v>
      </c>
      <c r="J4" s="26">
        <f>J3*3</f>
        <v>2397576</v>
      </c>
      <c r="K4" s="115" t="s">
        <v>151</v>
      </c>
      <c r="L4" s="23">
        <f>J2+D5</f>
        <v>23</v>
      </c>
    </row>
    <row r="5" spans="1:16" ht="14.4" thickBot="1" x14ac:dyDescent="0.3">
      <c r="A5" s="8"/>
      <c r="B5" s="23"/>
      <c r="C5" s="49" t="s">
        <v>88</v>
      </c>
      <c r="D5" s="97">
        <v>6</v>
      </c>
      <c r="E5" s="100"/>
      <c r="F5" s="23"/>
      <c r="I5" s="4" t="s">
        <v>55</v>
      </c>
      <c r="J5" s="26">
        <f>ROUNDDOWN(J3*0.975+D5*50000,0)</f>
        <v>1079212</v>
      </c>
      <c r="K5" s="120" t="s">
        <v>119</v>
      </c>
      <c r="L5" s="29">
        <f>'4季度'!L5-'4季度'!D2+'5季度'!D3</f>
        <v>4370810.0999999996</v>
      </c>
    </row>
    <row r="6" spans="1:16" ht="14.4" thickBot="1" x14ac:dyDescent="0.3">
      <c r="A6" s="101"/>
      <c r="B6" s="29"/>
      <c r="C6" s="102" t="s">
        <v>104</v>
      </c>
      <c r="D6" s="103">
        <v>1.67</v>
      </c>
      <c r="E6" s="104"/>
      <c r="F6" s="29"/>
      <c r="G6" s="94"/>
      <c r="H6" s="29"/>
      <c r="I6" s="105" t="s">
        <v>57</v>
      </c>
      <c r="J6" s="106">
        <f>J5*3</f>
        <v>3237636</v>
      </c>
      <c r="K6" s="208" t="s">
        <v>126</v>
      </c>
      <c r="L6" s="210"/>
      <c r="M6" s="210"/>
      <c r="N6" s="210"/>
      <c r="O6" s="210"/>
      <c r="P6" s="209"/>
    </row>
    <row r="7" spans="1:16" x14ac:dyDescent="0.25">
      <c r="A7" s="71" t="s">
        <v>102</v>
      </c>
      <c r="B7" s="3" t="s">
        <v>58</v>
      </c>
      <c r="C7" s="3" t="s">
        <v>59</v>
      </c>
      <c r="D7" s="3" t="s">
        <v>60</v>
      </c>
      <c r="E7" s="3" t="s">
        <v>61</v>
      </c>
      <c r="F7" s="107" t="s">
        <v>110</v>
      </c>
      <c r="G7" s="127" t="s">
        <v>148</v>
      </c>
      <c r="H7" s="127" t="s">
        <v>117</v>
      </c>
      <c r="I7" s="3" t="s">
        <v>62</v>
      </c>
      <c r="J7" s="28" t="s">
        <v>63</v>
      </c>
      <c r="K7" s="135" t="s">
        <v>146</v>
      </c>
      <c r="L7" s="136" t="s">
        <v>128</v>
      </c>
      <c r="M7" s="136" t="s">
        <v>129</v>
      </c>
      <c r="N7" s="136" t="s">
        <v>130</v>
      </c>
      <c r="O7" s="136" t="s">
        <v>131</v>
      </c>
      <c r="P7" s="137" t="s">
        <v>132</v>
      </c>
    </row>
    <row r="8" spans="1:16" x14ac:dyDescent="0.25">
      <c r="A8" s="8"/>
      <c r="B8" s="1" t="s">
        <v>64</v>
      </c>
      <c r="C8" s="2">
        <v>9</v>
      </c>
      <c r="D8" s="2">
        <v>700000</v>
      </c>
      <c r="E8" s="2">
        <f>'4季度'!E8+'4季度'!F8</f>
        <v>7</v>
      </c>
      <c r="F8" s="2">
        <v>2</v>
      </c>
      <c r="G8" s="128">
        <f>'4季度'!H8</f>
        <v>0</v>
      </c>
      <c r="H8" s="128">
        <f>O8</f>
        <v>0</v>
      </c>
      <c r="I8" s="2">
        <v>550000</v>
      </c>
      <c r="J8" s="23">
        <f>D8-H8+G8</f>
        <v>700000</v>
      </c>
      <c r="K8" s="138" t="s">
        <v>133</v>
      </c>
      <c r="L8" s="139">
        <v>962808</v>
      </c>
      <c r="M8" s="139">
        <v>700000</v>
      </c>
      <c r="N8" s="32">
        <v>16.48</v>
      </c>
      <c r="O8" s="32">
        <v>0</v>
      </c>
      <c r="P8" s="140">
        <v>9</v>
      </c>
    </row>
    <row r="9" spans="1:16" x14ac:dyDescent="0.25">
      <c r="A9" s="8"/>
      <c r="B9" s="1" t="s">
        <v>65</v>
      </c>
      <c r="C9" s="2">
        <v>9</v>
      </c>
      <c r="D9" s="2">
        <v>590000</v>
      </c>
      <c r="E9" s="2">
        <f>'4季度'!E9+'4季度'!F9</f>
        <v>7</v>
      </c>
      <c r="F9" s="2">
        <v>1</v>
      </c>
      <c r="G9" s="128">
        <f>'4季度'!H9</f>
        <v>0</v>
      </c>
      <c r="H9" s="128">
        <f t="shared" ref="H9:H11" si="0">O9</f>
        <v>0</v>
      </c>
      <c r="I9" s="2">
        <v>550000</v>
      </c>
      <c r="J9" s="23">
        <f t="shared" ref="J9:J11" si="1">D9-H9+G9</f>
        <v>590000</v>
      </c>
      <c r="K9" s="138" t="s">
        <v>134</v>
      </c>
      <c r="L9" s="139">
        <v>726535</v>
      </c>
      <c r="M9" s="139">
        <v>590000</v>
      </c>
      <c r="N9" s="32">
        <v>12.76</v>
      </c>
      <c r="O9" s="32">
        <v>0</v>
      </c>
      <c r="P9" s="140">
        <v>8</v>
      </c>
    </row>
    <row r="10" spans="1:16" x14ac:dyDescent="0.25">
      <c r="A10" s="8"/>
      <c r="B10" s="1" t="s">
        <v>66</v>
      </c>
      <c r="C10" s="2">
        <v>9</v>
      </c>
      <c r="D10" s="2">
        <v>600000</v>
      </c>
      <c r="E10" s="2">
        <f>'4季度'!E10+'4季度'!F10</f>
        <v>6</v>
      </c>
      <c r="F10" s="2">
        <v>2</v>
      </c>
      <c r="G10" s="128">
        <f>'4季度'!H10</f>
        <v>0</v>
      </c>
      <c r="H10" s="128">
        <f t="shared" si="0"/>
        <v>0</v>
      </c>
      <c r="I10" s="2">
        <v>550000</v>
      </c>
      <c r="J10" s="23">
        <f t="shared" si="1"/>
        <v>600000</v>
      </c>
      <c r="K10" s="138" t="s">
        <v>135</v>
      </c>
      <c r="L10" s="139">
        <v>708011</v>
      </c>
      <c r="M10" s="139">
        <v>600000</v>
      </c>
      <c r="N10" s="32">
        <v>11.75</v>
      </c>
      <c r="O10" s="32">
        <v>0</v>
      </c>
      <c r="P10" s="140">
        <v>8</v>
      </c>
    </row>
    <row r="11" spans="1:16" x14ac:dyDescent="0.25">
      <c r="A11" s="8"/>
      <c r="B11" s="1" t="s">
        <v>67</v>
      </c>
      <c r="C11" s="2">
        <v>9</v>
      </c>
      <c r="D11" s="2">
        <v>507576</v>
      </c>
      <c r="E11" s="2">
        <f>'4季度'!E11+'4季度'!F11</f>
        <v>6</v>
      </c>
      <c r="F11" s="2">
        <v>1</v>
      </c>
      <c r="G11" s="128">
        <f>'4季度'!H11</f>
        <v>0</v>
      </c>
      <c r="H11" s="128">
        <f t="shared" si="0"/>
        <v>0</v>
      </c>
      <c r="I11" s="2">
        <v>500000</v>
      </c>
      <c r="J11" s="23">
        <f t="shared" si="1"/>
        <v>507576</v>
      </c>
      <c r="K11" s="138" t="s">
        <v>136</v>
      </c>
      <c r="L11" s="139">
        <v>684548</v>
      </c>
      <c r="M11" s="139">
        <v>507576</v>
      </c>
      <c r="N11" s="32">
        <v>12.58</v>
      </c>
      <c r="O11" s="32">
        <v>0</v>
      </c>
      <c r="P11" s="140">
        <v>7</v>
      </c>
    </row>
    <row r="12" spans="1:16" x14ac:dyDescent="0.25">
      <c r="A12" s="8"/>
      <c r="B12" s="9"/>
      <c r="C12" s="9"/>
      <c r="D12" s="9">
        <f t="shared" ref="D12:F12" si="2">D8+D9+D10+D11</f>
        <v>2397576</v>
      </c>
      <c r="E12" s="9">
        <f t="shared" si="2"/>
        <v>26</v>
      </c>
      <c r="F12" s="9">
        <f t="shared" si="2"/>
        <v>6</v>
      </c>
      <c r="G12" s="76">
        <f>G8+G9+G10+G11</f>
        <v>0</v>
      </c>
      <c r="H12" s="76">
        <f>H8+H9+H10+H11</f>
        <v>0</v>
      </c>
      <c r="I12" s="9">
        <f>I8+I9+I10+I11</f>
        <v>2150000</v>
      </c>
      <c r="J12" s="23"/>
      <c r="K12" s="138" t="s">
        <v>137</v>
      </c>
      <c r="L12" s="32" t="s">
        <v>138</v>
      </c>
      <c r="M12" s="32" t="s">
        <v>139</v>
      </c>
      <c r="N12" s="32" t="s">
        <v>131</v>
      </c>
      <c r="O12" s="32" t="s">
        <v>140</v>
      </c>
      <c r="P12" s="140" t="s">
        <v>141</v>
      </c>
    </row>
    <row r="13" spans="1:16" ht="14.4" thickBot="1" x14ac:dyDescent="0.3">
      <c r="A13" s="31"/>
      <c r="B13" s="11"/>
      <c r="C13" s="11"/>
      <c r="D13" s="11">
        <f>H2</f>
        <v>2397576</v>
      </c>
      <c r="E13" s="11"/>
      <c r="F13" s="11"/>
      <c r="G13" s="10"/>
      <c r="H13" s="11"/>
      <c r="I13" s="11"/>
      <c r="J13" s="30"/>
      <c r="K13" s="141">
        <v>3081902</v>
      </c>
      <c r="L13" s="139">
        <v>2397576</v>
      </c>
      <c r="M13" s="139">
        <v>2397576</v>
      </c>
      <c r="N13" s="32">
        <v>0</v>
      </c>
      <c r="O13" s="139">
        <v>4370811</v>
      </c>
      <c r="P13" s="140">
        <v>13.39</v>
      </c>
    </row>
    <row r="14" spans="1:16" ht="14.4" thickBot="1" x14ac:dyDescent="0.3">
      <c r="A14" s="171" t="s">
        <v>10</v>
      </c>
      <c r="B14" s="172"/>
      <c r="C14" s="172"/>
      <c r="D14" s="172"/>
      <c r="E14" s="172"/>
      <c r="F14" s="173" t="s">
        <v>11</v>
      </c>
      <c r="G14" s="174"/>
      <c r="H14" s="174"/>
      <c r="I14" s="174"/>
      <c r="J14" s="198"/>
      <c r="K14" s="138" t="s">
        <v>55</v>
      </c>
      <c r="L14" s="32" t="s">
        <v>142</v>
      </c>
      <c r="M14" s="32" t="s">
        <v>143</v>
      </c>
      <c r="N14" s="32" t="s">
        <v>144</v>
      </c>
      <c r="O14" s="32" t="s">
        <v>145</v>
      </c>
      <c r="P14" s="140" t="s">
        <v>132</v>
      </c>
    </row>
    <row r="15" spans="1:16" ht="14.4" thickBot="1" x14ac:dyDescent="0.3">
      <c r="A15" s="195" t="s">
        <v>12</v>
      </c>
      <c r="B15" s="38" t="s">
        <v>29</v>
      </c>
      <c r="C15" s="38">
        <f>H3</f>
        <v>1500000</v>
      </c>
      <c r="D15" s="196" t="s">
        <v>116</v>
      </c>
      <c r="E15" s="197">
        <f>IF(D3=0,C15+C16+C17+C18+C21+C22+C23+C25,C15+C16+C17+C18+C20+C21+C22+C23+C25+C19)</f>
        <v>11233566.82433331</v>
      </c>
      <c r="F15" s="203" t="s">
        <v>14</v>
      </c>
      <c r="G15" s="13" t="s">
        <v>15</v>
      </c>
      <c r="H15" s="83">
        <f>J8*C8+J9*C9+J10*C10+J11*C11+'4季度'!H8*'5季度'!C8+'5季度'!C9*'4季度'!H9+'4季度'!H10*'5季度'!C10+'5季度'!C11*'4季度'!H11</f>
        <v>21578184</v>
      </c>
      <c r="I15" s="176" t="s">
        <v>16</v>
      </c>
      <c r="J15" s="178">
        <f>H15+H16</f>
        <v>21578184</v>
      </c>
      <c r="K15" s="142">
        <v>1079212</v>
      </c>
      <c r="L15" s="143">
        <v>1079212</v>
      </c>
      <c r="M15" s="144">
        <v>23</v>
      </c>
      <c r="N15" s="144">
        <v>101</v>
      </c>
      <c r="O15" s="144">
        <v>69</v>
      </c>
      <c r="P15" s="145">
        <v>32</v>
      </c>
    </row>
    <row r="16" spans="1:16" x14ac:dyDescent="0.25">
      <c r="A16" s="186"/>
      <c r="B16" s="9" t="s">
        <v>13</v>
      </c>
      <c r="C16" s="15" t="str">
        <f>IF(H4=1,"10000",IF(H4=2,"15000","20000"))</f>
        <v>20000</v>
      </c>
      <c r="D16" s="181"/>
      <c r="E16" s="184"/>
      <c r="F16" s="204"/>
      <c r="G16" s="16" t="s">
        <v>18</v>
      </c>
      <c r="H16" s="84">
        <f>B2</f>
        <v>0</v>
      </c>
      <c r="I16" s="176"/>
      <c r="J16" s="178"/>
    </row>
    <row r="17" spans="1:10" x14ac:dyDescent="0.25">
      <c r="A17" s="186"/>
      <c r="B17" s="9" t="s">
        <v>17</v>
      </c>
      <c r="C17" s="2">
        <f>IF(H2=J4,4.2*J3,2.6*J3+(H2-J3*2)*1.6)</f>
        <v>3356606.4000000004</v>
      </c>
      <c r="D17" s="181"/>
      <c r="E17" s="184"/>
      <c r="F17" s="207" t="s">
        <v>118</v>
      </c>
      <c r="G17" s="16" t="s">
        <v>20</v>
      </c>
      <c r="H17" s="84">
        <f>E15+E26+E28+E33+E35-C18-C25-C23</f>
        <v>11493886.799642159</v>
      </c>
      <c r="I17" s="176" t="s">
        <v>16</v>
      </c>
      <c r="J17" s="178">
        <f>H17+H18+H19+H21+H22</f>
        <v>20624137.829642158</v>
      </c>
    </row>
    <row r="18" spans="1:10" x14ac:dyDescent="0.25">
      <c r="A18" s="186"/>
      <c r="B18" s="9" t="s">
        <v>21</v>
      </c>
      <c r="C18" s="9">
        <f>H2*1.35*('5季度'!H18+'4季度'!H28)/('5季度'!D3+'4季度'!L5)</f>
        <v>5153162.3383958098</v>
      </c>
      <c r="D18" s="181"/>
      <c r="E18" s="184"/>
      <c r="F18" s="205"/>
      <c r="G18" s="16" t="s">
        <v>22</v>
      </c>
      <c r="H18" s="84">
        <f>D6*D3+D4*(1+D6)</f>
        <v>6130251.0299999993</v>
      </c>
      <c r="I18" s="176"/>
      <c r="J18" s="178"/>
    </row>
    <row r="19" spans="1:10" x14ac:dyDescent="0.25">
      <c r="A19" s="186"/>
      <c r="B19" s="9" t="s">
        <v>23</v>
      </c>
      <c r="C19" s="17">
        <f>IF(D3&lt;2000001,ROUNDUP(D3/500000,0),5)*40000</f>
        <v>200000</v>
      </c>
      <c r="D19" s="181"/>
      <c r="E19" s="184"/>
      <c r="F19" s="205"/>
      <c r="G19" s="16" t="s">
        <v>24</v>
      </c>
      <c r="H19" s="84">
        <f>D5*500000</f>
        <v>3000000</v>
      </c>
      <c r="I19" s="176"/>
      <c r="J19" s="178"/>
    </row>
    <row r="20" spans="1:10" x14ac:dyDescent="0.25">
      <c r="A20" s="186"/>
      <c r="B20" s="46" t="s">
        <v>115</v>
      </c>
      <c r="C20" s="17">
        <f>D4</f>
        <v>0</v>
      </c>
      <c r="D20" s="181"/>
      <c r="E20" s="184"/>
      <c r="F20" s="205"/>
      <c r="G20" s="16"/>
      <c r="H20" s="84"/>
      <c r="I20" s="176"/>
      <c r="J20" s="178"/>
    </row>
    <row r="21" spans="1:10" x14ac:dyDescent="0.25">
      <c r="A21" s="186"/>
      <c r="B21" s="9" t="s">
        <v>27</v>
      </c>
      <c r="C21" s="9">
        <f>J2*12000</f>
        <v>204000</v>
      </c>
      <c r="D21" s="181"/>
      <c r="E21" s="184"/>
      <c r="F21" s="205"/>
      <c r="G21" s="16" t="s">
        <v>26</v>
      </c>
      <c r="H21" s="90">
        <f>B3</f>
        <v>0</v>
      </c>
      <c r="I21" s="176"/>
      <c r="J21" s="178"/>
    </row>
    <row r="22" spans="1:10" x14ac:dyDescent="0.25">
      <c r="A22" s="186"/>
      <c r="B22" s="9" t="s">
        <v>25</v>
      </c>
      <c r="C22" s="18">
        <f>D5*100000</f>
        <v>600000</v>
      </c>
      <c r="D22" s="181"/>
      <c r="E22" s="184"/>
      <c r="F22" s="204"/>
      <c r="G22" s="16" t="s">
        <v>28</v>
      </c>
      <c r="H22" s="90">
        <f>B4</f>
        <v>0</v>
      </c>
      <c r="I22" s="176"/>
      <c r="J22" s="178"/>
    </row>
    <row r="23" spans="1:10" x14ac:dyDescent="0.25">
      <c r="A23" s="186"/>
      <c r="B23" s="9" t="s">
        <v>32</v>
      </c>
      <c r="C23" s="9">
        <f>'4季度'!H29*0.025</f>
        <v>199798.0859375</v>
      </c>
      <c r="D23" s="181"/>
      <c r="E23" s="184"/>
      <c r="F23" s="203" t="s">
        <v>30</v>
      </c>
      <c r="G23" s="16" t="s">
        <v>68</v>
      </c>
      <c r="H23" s="84">
        <f>'4季度'!H31</f>
        <v>8805868.2096477263</v>
      </c>
      <c r="I23" s="9"/>
      <c r="J23" s="23"/>
    </row>
    <row r="24" spans="1:10" x14ac:dyDescent="0.25">
      <c r="A24" s="186"/>
      <c r="B24" s="19" t="s">
        <v>69</v>
      </c>
      <c r="C24" s="9">
        <f>'4季度'!H32</f>
        <v>0</v>
      </c>
      <c r="D24" s="181"/>
      <c r="E24" s="184"/>
      <c r="F24" s="205"/>
      <c r="G24" s="20" t="s">
        <v>33</v>
      </c>
      <c r="H24" s="86">
        <f>J15-J17</f>
        <v>954046.170357842</v>
      </c>
      <c r="I24" s="9"/>
      <c r="J24" s="23"/>
    </row>
    <row r="25" spans="1:10" x14ac:dyDescent="0.25">
      <c r="A25" s="162"/>
      <c r="B25" s="9" t="s">
        <v>70</v>
      </c>
      <c r="C25" s="18">
        <f>C24-H12*4</f>
        <v>0</v>
      </c>
      <c r="D25" s="182"/>
      <c r="E25" s="185"/>
      <c r="F25" s="205"/>
      <c r="G25" s="16" t="s">
        <v>71</v>
      </c>
      <c r="H25" s="84">
        <f>H15-E15-E26-E28-E33-E35</f>
        <v>4731336.7760245306</v>
      </c>
      <c r="I25" s="9"/>
      <c r="J25" s="23"/>
    </row>
    <row r="26" spans="1:10" x14ac:dyDescent="0.25">
      <c r="A26" s="161" t="s">
        <v>34</v>
      </c>
      <c r="B26" s="9" t="s">
        <v>35</v>
      </c>
      <c r="C26" s="9">
        <f>I12</f>
        <v>2150000</v>
      </c>
      <c r="D26" s="180" t="s">
        <v>16</v>
      </c>
      <c r="E26" s="183">
        <f>C26+C27</f>
        <v>2982788</v>
      </c>
      <c r="F26" s="205"/>
      <c r="G26" s="16" t="s">
        <v>72</v>
      </c>
      <c r="H26" s="84">
        <f>E15+E26+E28+E33</f>
        <v>15623518.354061201</v>
      </c>
      <c r="I26" s="9"/>
      <c r="J26" s="23"/>
    </row>
    <row r="27" spans="1:10" x14ac:dyDescent="0.25">
      <c r="A27" s="162"/>
      <c r="B27" s="9" t="s">
        <v>37</v>
      </c>
      <c r="C27" s="9">
        <f>D8*0.4+D9*0.1+D10*0.4+D11*0.5</f>
        <v>832788</v>
      </c>
      <c r="D27" s="182"/>
      <c r="E27" s="185"/>
      <c r="F27" s="205"/>
      <c r="G27" s="16" t="s">
        <v>36</v>
      </c>
      <c r="H27" s="84">
        <f>B2+'4季度'!H27+'4季度'!J27</f>
        <v>12400000</v>
      </c>
      <c r="I27" s="108" t="s">
        <v>73</v>
      </c>
      <c r="J27" s="111">
        <f>IF(H30&gt;0,"0",-H30)</f>
        <v>1029177.6199944317</v>
      </c>
    </row>
    <row r="28" spans="1:10" x14ac:dyDescent="0.25">
      <c r="A28" s="161" t="s">
        <v>38</v>
      </c>
      <c r="B28" s="9" t="s">
        <v>39</v>
      </c>
      <c r="C28" s="9">
        <f>(F2+F12)*500</f>
        <v>12000</v>
      </c>
      <c r="D28" s="180" t="s">
        <v>16</v>
      </c>
      <c r="E28" s="183">
        <f>C28+C29+C30+C31+C32</f>
        <v>1345163.5297278911</v>
      </c>
      <c r="F28" s="205"/>
      <c r="G28" s="16" t="s">
        <v>9</v>
      </c>
      <c r="H28" s="85">
        <f>('5季度'!H18+'4季度'!H28)/('5季度'!D3+'4季度'!L5)*L5</f>
        <v>6958723.9888830995</v>
      </c>
      <c r="I28" s="9"/>
      <c r="J28" s="23"/>
    </row>
    <row r="29" spans="1:10" x14ac:dyDescent="0.25">
      <c r="A29" s="186"/>
      <c r="B29" s="9" t="s">
        <v>40</v>
      </c>
      <c r="C29" s="9">
        <f>(F2+F12)*1000</f>
        <v>24000</v>
      </c>
      <c r="D29" s="181"/>
      <c r="E29" s="184"/>
      <c r="F29" s="205"/>
      <c r="G29" s="16" t="s">
        <v>74</v>
      </c>
      <c r="H29" s="85">
        <f>'4季度'!H29*0.975+'5季度'!D5*500000</f>
        <v>10792125.3515625</v>
      </c>
      <c r="I29" s="9"/>
      <c r="J29" s="23"/>
    </row>
    <row r="30" spans="1:10" x14ac:dyDescent="0.25">
      <c r="A30" s="186"/>
      <c r="B30" s="9" t="s">
        <v>42</v>
      </c>
      <c r="C30" s="9">
        <f>F2*1250*3+F12*1500*3+F4*9000+F3*7500</f>
        <v>711000</v>
      </c>
      <c r="D30" s="181"/>
      <c r="E30" s="184"/>
      <c r="F30" s="205"/>
      <c r="G30" s="20" t="s">
        <v>75</v>
      </c>
      <c r="H30" s="87">
        <f>H23+H15*0.5+H16-J17</f>
        <v>-1029177.6199944317</v>
      </c>
      <c r="I30" s="9"/>
      <c r="J30" s="23"/>
    </row>
    <row r="31" spans="1:10" x14ac:dyDescent="0.25">
      <c r="A31" s="186"/>
      <c r="B31" s="9" t="s">
        <v>76</v>
      </c>
      <c r="C31" s="9">
        <f>'4季度'!H28*0.1</f>
        <v>598163.52972789097</v>
      </c>
      <c r="D31" s="181"/>
      <c r="E31" s="184"/>
      <c r="F31" s="205"/>
      <c r="G31" s="110" t="s">
        <v>41</v>
      </c>
      <c r="H31" s="109">
        <f>IF(H30&gt;0,I31,H15*0.5)</f>
        <v>10789092</v>
      </c>
      <c r="I31" s="21">
        <f>H15+H16-J17+H23</f>
        <v>9759914.3800055683</v>
      </c>
      <c r="J31" s="23"/>
    </row>
    <row r="32" spans="1:10" x14ac:dyDescent="0.25">
      <c r="A32" s="162"/>
      <c r="B32" s="9" t="s">
        <v>77</v>
      </c>
      <c r="C32" s="9">
        <f>0.5*H12</f>
        <v>0</v>
      </c>
      <c r="D32" s="182"/>
      <c r="E32" s="185"/>
      <c r="F32" s="205"/>
      <c r="G32" s="80" t="s">
        <v>78</v>
      </c>
      <c r="H32" s="84">
        <f>H12*4</f>
        <v>0</v>
      </c>
      <c r="I32" s="9"/>
      <c r="J32" s="23"/>
    </row>
    <row r="33" spans="1:10" ht="14.4" thickBot="1" x14ac:dyDescent="0.3">
      <c r="A33" s="161" t="s">
        <v>47</v>
      </c>
      <c r="B33" s="46" t="s">
        <v>114</v>
      </c>
      <c r="C33" s="9">
        <f>'4季度'!J27*'0季度'!D10</f>
        <v>0</v>
      </c>
      <c r="D33" s="199" t="s">
        <v>16</v>
      </c>
      <c r="E33" s="201">
        <f>C34+C33</f>
        <v>62000</v>
      </c>
      <c r="F33" s="206"/>
      <c r="G33" s="81" t="s">
        <v>45</v>
      </c>
      <c r="H33" s="88">
        <f>'4季度'!H33+'5季度'!H25-'5季度'!B4</f>
        <v>15110763.720451165</v>
      </c>
      <c r="I33" s="22">
        <f>ROUNDDOWN(H33/1500000,0)</f>
        <v>10</v>
      </c>
      <c r="J33" s="30"/>
    </row>
    <row r="34" spans="1:10" x14ac:dyDescent="0.25">
      <c r="A34" s="162"/>
      <c r="B34" s="46" t="s">
        <v>113</v>
      </c>
      <c r="C34" s="9">
        <f>('4季度'!H27+B2-B3)*'0季度'!D10/4</f>
        <v>62000</v>
      </c>
      <c r="D34" s="200"/>
      <c r="E34" s="202"/>
    </row>
    <row r="35" spans="1:10" x14ac:dyDescent="0.25">
      <c r="A35" s="161" t="s">
        <v>49</v>
      </c>
      <c r="B35" s="9" t="s">
        <v>50</v>
      </c>
      <c r="C35" s="9">
        <f>H15/(1+'0季度'!D8)*'0季度'!D8</f>
        <v>628490.79611650482</v>
      </c>
      <c r="D35" s="180" t="s">
        <v>16</v>
      </c>
      <c r="E35" s="183">
        <f>C35+C36+C37</f>
        <v>1223328.8699142681</v>
      </c>
    </row>
    <row r="36" spans="1:10" x14ac:dyDescent="0.25">
      <c r="A36" s="186"/>
      <c r="B36" s="9" t="s">
        <v>51</v>
      </c>
      <c r="C36" s="9">
        <f>C35*'0季度'!D9</f>
        <v>69133.987572815531</v>
      </c>
      <c r="D36" s="181"/>
      <c r="E36" s="184"/>
    </row>
    <row r="37" spans="1:10" ht="14.4" thickBot="1" x14ac:dyDescent="0.3">
      <c r="A37" s="187"/>
      <c r="B37" s="11" t="s">
        <v>52</v>
      </c>
      <c r="C37" s="24">
        <f>IF((H15/(1+'0季度'!D8)-H26-'5季度'!C36)*'0季度'!D7&lt;0,"0",H15/(1+'0季度'!D8)-H26-C36)*'0季度'!D7</f>
        <v>525704.08622494794</v>
      </c>
      <c r="D37" s="189"/>
      <c r="E37" s="194"/>
    </row>
  </sheetData>
  <mergeCells count="31">
    <mergeCell ref="A33:A34"/>
    <mergeCell ref="D33:D34"/>
    <mergeCell ref="E33:E34"/>
    <mergeCell ref="A35:A37"/>
    <mergeCell ref="D35:D37"/>
    <mergeCell ref="E35:E37"/>
    <mergeCell ref="A26:A27"/>
    <mergeCell ref="D26:D27"/>
    <mergeCell ref="E26:E27"/>
    <mergeCell ref="A28:A32"/>
    <mergeCell ref="D28:D32"/>
    <mergeCell ref="E28:E32"/>
    <mergeCell ref="A15:A25"/>
    <mergeCell ref="D15:D25"/>
    <mergeCell ref="E15:E25"/>
    <mergeCell ref="F15:F16"/>
    <mergeCell ref="I15:I16"/>
    <mergeCell ref="J15:J16"/>
    <mergeCell ref="F17:F22"/>
    <mergeCell ref="I17:I22"/>
    <mergeCell ref="J17:J22"/>
    <mergeCell ref="F23:F33"/>
    <mergeCell ref="K1:L1"/>
    <mergeCell ref="K6:P6"/>
    <mergeCell ref="A14:E14"/>
    <mergeCell ref="F14:J14"/>
    <mergeCell ref="A1:B1"/>
    <mergeCell ref="C1:D1"/>
    <mergeCell ref="E1:F1"/>
    <mergeCell ref="G1:H1"/>
    <mergeCell ref="I1:J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zoomScale="140" zoomScaleNormal="140" workbookViewId="0">
      <selection activeCell="C20" sqref="C20"/>
    </sheetView>
  </sheetViews>
  <sheetFormatPr defaultRowHeight="13.8" x14ac:dyDescent="0.25"/>
  <cols>
    <col min="4" max="4" width="9.109375" bestFit="1" customWidth="1"/>
    <col min="8" max="8" width="9.109375" bestFit="1" customWidth="1"/>
    <col min="9" max="9" width="9.5546875" customWidth="1"/>
  </cols>
  <sheetData>
    <row r="1" spans="1:20" ht="14.4" thickBot="1" x14ac:dyDescent="0.3">
      <c r="A1" s="170" t="s">
        <v>84</v>
      </c>
      <c r="B1" s="169"/>
      <c r="C1" s="170" t="s">
        <v>83</v>
      </c>
      <c r="D1" s="168"/>
      <c r="E1" s="170" t="s">
        <v>82</v>
      </c>
      <c r="F1" s="169"/>
      <c r="G1" s="168" t="s">
        <v>103</v>
      </c>
      <c r="H1" s="169"/>
      <c r="I1" s="170" t="s">
        <v>106</v>
      </c>
      <c r="J1" s="169"/>
      <c r="K1" s="208" t="s">
        <v>122</v>
      </c>
      <c r="L1" s="209"/>
    </row>
    <row r="2" spans="1:20" x14ac:dyDescent="0.25">
      <c r="A2" s="49" t="s">
        <v>85</v>
      </c>
      <c r="B2" s="74">
        <v>7000000</v>
      </c>
      <c r="C2" s="91" t="s">
        <v>108</v>
      </c>
      <c r="D2" s="92">
        <f>J6*1.35</f>
        <v>6286535.5500000007</v>
      </c>
      <c r="E2" s="49" t="s">
        <v>89</v>
      </c>
      <c r="F2" s="26">
        <f>D5*3</f>
        <v>30</v>
      </c>
      <c r="G2" s="98" t="s">
        <v>101</v>
      </c>
      <c r="H2" s="75">
        <v>3237636</v>
      </c>
      <c r="I2" s="4" t="s">
        <v>56</v>
      </c>
      <c r="J2" s="72">
        <f>'5季度'!J2+'5季度'!D5</f>
        <v>23</v>
      </c>
      <c r="K2" s="133" t="s">
        <v>149</v>
      </c>
      <c r="L2" s="134">
        <f>F2+F3</f>
        <v>99</v>
      </c>
    </row>
    <row r="3" spans="1:20" x14ac:dyDescent="0.25">
      <c r="A3" s="49" t="s">
        <v>86</v>
      </c>
      <c r="B3" s="74"/>
      <c r="C3" s="93" t="s">
        <v>109</v>
      </c>
      <c r="D3" s="95">
        <v>6286536</v>
      </c>
      <c r="E3" s="49" t="s">
        <v>111</v>
      </c>
      <c r="F3" s="6">
        <f>'5季度'!F3+'5季度'!F2</f>
        <v>69</v>
      </c>
      <c r="G3" s="99" t="s">
        <v>96</v>
      </c>
      <c r="H3" s="74">
        <v>1500000</v>
      </c>
      <c r="I3" s="77" t="s">
        <v>53</v>
      </c>
      <c r="J3" s="73">
        <f>'5季度'!J5</f>
        <v>1079212</v>
      </c>
      <c r="K3" s="115" t="s">
        <v>150</v>
      </c>
      <c r="L3" s="23">
        <f>F4+F12</f>
        <v>48</v>
      </c>
      <c r="S3" s="44" t="s">
        <v>120</v>
      </c>
      <c r="T3">
        <f>D3</f>
        <v>6286536</v>
      </c>
    </row>
    <row r="4" spans="1:20" x14ac:dyDescent="0.25">
      <c r="A4" s="49" t="s">
        <v>87</v>
      </c>
      <c r="B4" s="74"/>
      <c r="C4" s="49" t="s">
        <v>107</v>
      </c>
      <c r="D4" s="96"/>
      <c r="E4" s="49" t="s">
        <v>112</v>
      </c>
      <c r="F4" s="5">
        <f>'5季度'!F4+'5季度'!F12</f>
        <v>32</v>
      </c>
      <c r="G4" s="99" t="s">
        <v>105</v>
      </c>
      <c r="H4" s="89" t="str">
        <f>IF(0&lt;H2&lt;=1.5*J3,"1",IF(H2&gt;2.5*J3,"3",IF(H2=0,"0","2")))</f>
        <v>3</v>
      </c>
      <c r="I4" s="4" t="s">
        <v>54</v>
      </c>
      <c r="J4" s="26">
        <f>J3*3</f>
        <v>3237636</v>
      </c>
      <c r="K4" s="115" t="s">
        <v>151</v>
      </c>
      <c r="L4" s="23">
        <f>J2+D5</f>
        <v>33</v>
      </c>
    </row>
    <row r="5" spans="1:20" ht="14.4" thickBot="1" x14ac:dyDescent="0.3">
      <c r="A5" s="8"/>
      <c r="B5" s="23"/>
      <c r="C5" s="49" t="s">
        <v>88</v>
      </c>
      <c r="D5" s="97">
        <v>10</v>
      </c>
      <c r="E5" s="100"/>
      <c r="F5" s="23"/>
      <c r="I5" s="4" t="s">
        <v>55</v>
      </c>
      <c r="J5" s="26">
        <f>ROUNDDOWN(J3*0.975+D5*50000,0)</f>
        <v>1552231</v>
      </c>
      <c r="K5" s="120" t="s">
        <v>119</v>
      </c>
      <c r="L5" s="29">
        <f>'5季度'!L5-'6季度'!H2*1.35+'6季度'!D3</f>
        <v>6286537.4999999991</v>
      </c>
    </row>
    <row r="6" spans="1:20" ht="14.4" thickBot="1" x14ac:dyDescent="0.3">
      <c r="A6" s="101"/>
      <c r="B6" s="29"/>
      <c r="C6" s="102" t="s">
        <v>104</v>
      </c>
      <c r="D6" s="103">
        <v>1.89</v>
      </c>
      <c r="E6" s="104"/>
      <c r="F6" s="29"/>
      <c r="G6" s="94"/>
      <c r="H6" s="29"/>
      <c r="I6" s="105" t="s">
        <v>57</v>
      </c>
      <c r="J6" s="106">
        <f>J5*3</f>
        <v>4656693</v>
      </c>
      <c r="K6" s="208" t="s">
        <v>126</v>
      </c>
      <c r="L6" s="210"/>
      <c r="M6" s="210"/>
      <c r="N6" s="210"/>
      <c r="O6" s="210"/>
      <c r="P6" s="209"/>
    </row>
    <row r="7" spans="1:20" x14ac:dyDescent="0.25">
      <c r="A7" s="71" t="s">
        <v>102</v>
      </c>
      <c r="B7" s="3" t="s">
        <v>58</v>
      </c>
      <c r="C7" s="3" t="s">
        <v>59</v>
      </c>
      <c r="D7" s="3" t="s">
        <v>60</v>
      </c>
      <c r="E7" s="3" t="s">
        <v>61</v>
      </c>
      <c r="F7" s="107" t="s">
        <v>110</v>
      </c>
      <c r="G7" s="127" t="s">
        <v>148</v>
      </c>
      <c r="H7" s="127" t="s">
        <v>117</v>
      </c>
      <c r="I7" s="3" t="s">
        <v>62</v>
      </c>
      <c r="J7" s="28" t="s">
        <v>63</v>
      </c>
      <c r="K7" s="135" t="s">
        <v>146</v>
      </c>
      <c r="L7" s="136" t="s">
        <v>128</v>
      </c>
      <c r="M7" s="136" t="s">
        <v>129</v>
      </c>
      <c r="N7" s="136" t="s">
        <v>130</v>
      </c>
      <c r="O7" s="136" t="s">
        <v>131</v>
      </c>
      <c r="P7" s="137" t="s">
        <v>132</v>
      </c>
    </row>
    <row r="8" spans="1:20" x14ac:dyDescent="0.25">
      <c r="A8" s="8"/>
      <c r="B8" s="1" t="s">
        <v>64</v>
      </c>
      <c r="C8" s="2">
        <v>8.9</v>
      </c>
      <c r="D8" s="2">
        <v>917636</v>
      </c>
      <c r="E8" s="2">
        <f>'5季度'!E8+'5季度'!F8</f>
        <v>9</v>
      </c>
      <c r="F8" s="2">
        <v>4</v>
      </c>
      <c r="G8" s="128">
        <f>'5季度'!H8</f>
        <v>0</v>
      </c>
      <c r="H8" s="129">
        <f>O8</f>
        <v>17636</v>
      </c>
      <c r="I8" s="2">
        <v>550000</v>
      </c>
      <c r="J8" s="132">
        <f>D8-H8+G8</f>
        <v>900000</v>
      </c>
      <c r="K8" s="138" t="s">
        <v>133</v>
      </c>
      <c r="L8" s="139">
        <v>905913</v>
      </c>
      <c r="M8" s="139">
        <v>900000</v>
      </c>
      <c r="N8" s="32">
        <v>16.899999999999999</v>
      </c>
      <c r="O8" s="139">
        <v>17636</v>
      </c>
      <c r="P8" s="140">
        <v>13</v>
      </c>
    </row>
    <row r="9" spans="1:20" x14ac:dyDescent="0.25">
      <c r="A9" s="8"/>
      <c r="B9" s="1" t="s">
        <v>65</v>
      </c>
      <c r="C9" s="2">
        <v>8.9</v>
      </c>
      <c r="D9" s="2">
        <v>810000</v>
      </c>
      <c r="E9" s="2">
        <f>'5季度'!E9+'5季度'!F9</f>
        <v>8</v>
      </c>
      <c r="F9" s="2">
        <v>4</v>
      </c>
      <c r="G9" s="128">
        <f>'5季度'!H9</f>
        <v>0</v>
      </c>
      <c r="H9" s="129">
        <f t="shared" ref="H9:H11" si="0">O9</f>
        <v>125788</v>
      </c>
      <c r="I9" s="2">
        <v>550000</v>
      </c>
      <c r="J9" s="132">
        <f t="shared" ref="J9:J11" si="1">D9-H9+G9</f>
        <v>684212</v>
      </c>
      <c r="K9" s="138" t="s">
        <v>134</v>
      </c>
      <c r="L9" s="139">
        <v>684212</v>
      </c>
      <c r="M9" s="139">
        <v>684212</v>
      </c>
      <c r="N9" s="32">
        <v>10.36</v>
      </c>
      <c r="O9" s="139">
        <v>125788</v>
      </c>
      <c r="P9" s="140">
        <v>12</v>
      </c>
    </row>
    <row r="10" spans="1:20" x14ac:dyDescent="0.25">
      <c r="A10" s="8"/>
      <c r="B10" s="1" t="s">
        <v>66</v>
      </c>
      <c r="C10" s="2">
        <v>8.9</v>
      </c>
      <c r="D10" s="2">
        <v>810000</v>
      </c>
      <c r="E10" s="2">
        <f>'5季度'!E10+'5季度'!F10</f>
        <v>8</v>
      </c>
      <c r="F10" s="2">
        <v>4</v>
      </c>
      <c r="G10" s="128">
        <f>'5季度'!H10</f>
        <v>0</v>
      </c>
      <c r="H10" s="129">
        <f t="shared" si="0"/>
        <v>193908</v>
      </c>
      <c r="I10" s="2">
        <v>550000</v>
      </c>
      <c r="J10" s="132">
        <f t="shared" si="1"/>
        <v>616092</v>
      </c>
      <c r="K10" s="138" t="s">
        <v>135</v>
      </c>
      <c r="L10" s="139">
        <v>616092</v>
      </c>
      <c r="M10" s="139">
        <v>616092</v>
      </c>
      <c r="N10" s="32">
        <v>10.17</v>
      </c>
      <c r="O10" s="139">
        <v>193908</v>
      </c>
      <c r="P10" s="140">
        <v>12</v>
      </c>
    </row>
    <row r="11" spans="1:20" x14ac:dyDescent="0.25">
      <c r="A11" s="8"/>
      <c r="B11" s="1" t="s">
        <v>67</v>
      </c>
      <c r="C11" s="2">
        <v>8.9</v>
      </c>
      <c r="D11" s="2">
        <v>700000</v>
      </c>
      <c r="E11" s="2">
        <f>'5季度'!E11+'5季度'!F11</f>
        <v>7</v>
      </c>
      <c r="F11" s="2">
        <v>4</v>
      </c>
      <c r="G11" s="128">
        <f>'5季度'!H11</f>
        <v>0</v>
      </c>
      <c r="H11" s="129">
        <f t="shared" si="0"/>
        <v>26671</v>
      </c>
      <c r="I11" s="2">
        <v>550000</v>
      </c>
      <c r="J11" s="132">
        <f t="shared" si="1"/>
        <v>673329</v>
      </c>
      <c r="K11" s="138" t="s">
        <v>136</v>
      </c>
      <c r="L11" s="139">
        <v>673329</v>
      </c>
      <c r="M11" s="139">
        <v>673329</v>
      </c>
      <c r="N11" s="32">
        <v>12.16</v>
      </c>
      <c r="O11" s="139">
        <v>26671</v>
      </c>
      <c r="P11" s="140">
        <v>11</v>
      </c>
    </row>
    <row r="12" spans="1:20" x14ac:dyDescent="0.25">
      <c r="A12" s="8"/>
      <c r="B12" s="9"/>
      <c r="C12" s="9"/>
      <c r="D12" s="9">
        <f t="shared" ref="D12:F12" si="2">D8+D9+D10+D11</f>
        <v>3237636</v>
      </c>
      <c r="E12" s="9">
        <f t="shared" si="2"/>
        <v>32</v>
      </c>
      <c r="F12" s="9">
        <f t="shared" si="2"/>
        <v>16</v>
      </c>
      <c r="G12" s="76">
        <f>G8+G9+G10+G11</f>
        <v>0</v>
      </c>
      <c r="H12" s="76">
        <f>H8+H9+H10+H11</f>
        <v>364003</v>
      </c>
      <c r="I12" s="9">
        <f>I8+I9+I10+I11</f>
        <v>2200000</v>
      </c>
      <c r="J12" s="23"/>
      <c r="K12" s="138" t="s">
        <v>137</v>
      </c>
      <c r="L12" s="32" t="s">
        <v>138</v>
      </c>
      <c r="M12" s="32" t="s">
        <v>139</v>
      </c>
      <c r="N12" s="32" t="s">
        <v>131</v>
      </c>
      <c r="O12" s="32" t="s">
        <v>140</v>
      </c>
      <c r="P12" s="140" t="s">
        <v>141</v>
      </c>
    </row>
    <row r="13" spans="1:20" ht="14.4" thickBot="1" x14ac:dyDescent="0.3">
      <c r="A13" s="31"/>
      <c r="B13" s="11"/>
      <c r="C13" s="11"/>
      <c r="D13" s="11">
        <f>H2</f>
        <v>3237636</v>
      </c>
      <c r="E13" s="11"/>
      <c r="F13" s="11"/>
      <c r="G13" s="10"/>
      <c r="H13" s="11"/>
      <c r="I13" s="11"/>
      <c r="J13" s="30"/>
      <c r="K13" s="141">
        <v>2879546</v>
      </c>
      <c r="L13" s="139">
        <v>3237636</v>
      </c>
      <c r="M13" s="139">
        <v>2873633</v>
      </c>
      <c r="N13" s="139">
        <v>364003</v>
      </c>
      <c r="O13" s="139">
        <v>6286538</v>
      </c>
      <c r="P13" s="140">
        <v>12.4</v>
      </c>
    </row>
    <row r="14" spans="1:20" ht="14.4" thickBot="1" x14ac:dyDescent="0.3">
      <c r="A14" s="171" t="s">
        <v>10</v>
      </c>
      <c r="B14" s="172"/>
      <c r="C14" s="172"/>
      <c r="D14" s="172"/>
      <c r="E14" s="172"/>
      <c r="F14" s="173" t="s">
        <v>11</v>
      </c>
      <c r="G14" s="174"/>
      <c r="H14" s="174"/>
      <c r="I14" s="174"/>
      <c r="J14" s="198"/>
      <c r="K14" s="138" t="s">
        <v>55</v>
      </c>
      <c r="L14" s="32" t="s">
        <v>142</v>
      </c>
      <c r="M14" s="32" t="s">
        <v>143</v>
      </c>
      <c r="N14" s="32" t="s">
        <v>144</v>
      </c>
      <c r="O14" s="32" t="s">
        <v>145</v>
      </c>
      <c r="P14" s="140" t="s">
        <v>132</v>
      </c>
    </row>
    <row r="15" spans="1:20" ht="14.4" thickBot="1" x14ac:dyDescent="0.3">
      <c r="A15" s="195" t="s">
        <v>12</v>
      </c>
      <c r="B15" s="38" t="s">
        <v>29</v>
      </c>
      <c r="C15" s="38">
        <f>H3</f>
        <v>1500000</v>
      </c>
      <c r="D15" s="196" t="s">
        <v>116</v>
      </c>
      <c r="E15" s="197">
        <f>IF(D3=0,C15+C16+C17+C18+C21+C22+C23+C25,C15+C16+C17+C18+C20+C21+C22+C23+C25+C19)</f>
        <v>14069287.446963329</v>
      </c>
      <c r="F15" s="203" t="s">
        <v>14</v>
      </c>
      <c r="G15" s="13" t="s">
        <v>15</v>
      </c>
      <c r="H15" s="83">
        <f>J8*C8+J9*C9+J10*C10+J11*C11</f>
        <v>25575333.700000003</v>
      </c>
      <c r="I15" s="176" t="s">
        <v>16</v>
      </c>
      <c r="J15" s="178">
        <f>H15+H16</f>
        <v>32575333.700000003</v>
      </c>
      <c r="K15" s="142">
        <v>1552231</v>
      </c>
      <c r="L15" s="143">
        <v>1552231</v>
      </c>
      <c r="M15" s="144">
        <v>33</v>
      </c>
      <c r="N15" s="144">
        <v>147</v>
      </c>
      <c r="O15" s="144">
        <v>99</v>
      </c>
      <c r="P15" s="145">
        <v>48</v>
      </c>
    </row>
    <row r="16" spans="1:20" x14ac:dyDescent="0.25">
      <c r="A16" s="186"/>
      <c r="B16" s="9" t="s">
        <v>13</v>
      </c>
      <c r="C16" s="15" t="str">
        <f>IF(H4=1,"10000",IF(H4=2,"15000","20000"))</f>
        <v>20000</v>
      </c>
      <c r="D16" s="181"/>
      <c r="E16" s="184"/>
      <c r="F16" s="204"/>
      <c r="G16" s="16" t="s">
        <v>18</v>
      </c>
      <c r="H16" s="84">
        <f>B2</f>
        <v>7000000</v>
      </c>
      <c r="I16" s="176"/>
      <c r="J16" s="178"/>
    </row>
    <row r="17" spans="1:10" x14ac:dyDescent="0.25">
      <c r="A17" s="186"/>
      <c r="B17" s="9" t="s">
        <v>17</v>
      </c>
      <c r="C17" s="2">
        <f>IF(H2=J4,4.2*J3,2.6*J3+(H2-J3*2)*1.6)</f>
        <v>4532690.4000000004</v>
      </c>
      <c r="D17" s="181"/>
      <c r="E17" s="184"/>
      <c r="F17" s="207" t="s">
        <v>118</v>
      </c>
      <c r="G17" s="16" t="s">
        <v>20</v>
      </c>
      <c r="H17" s="84">
        <f>E15+E26+E28+E33+E35-C18-C25-C23</f>
        <v>14262323.410869839</v>
      </c>
      <c r="I17" s="176" t="s">
        <v>16</v>
      </c>
      <c r="J17" s="178">
        <f>H17+H18+H19+H21+H22</f>
        <v>31143876.450869836</v>
      </c>
    </row>
    <row r="18" spans="1:10" x14ac:dyDescent="0.25">
      <c r="A18" s="186"/>
      <c r="B18" s="9" t="s">
        <v>21</v>
      </c>
      <c r="C18" s="9">
        <f>H2*1.35*('6季度'!H18+'5季度'!H28)/('6季度'!D3+'5季度'!L5)</f>
        <v>7726805.913174266</v>
      </c>
      <c r="D18" s="181"/>
      <c r="E18" s="184"/>
      <c r="F18" s="205"/>
      <c r="G18" s="16" t="s">
        <v>22</v>
      </c>
      <c r="H18" s="84">
        <f>D6*D3+D4*(1+D6)</f>
        <v>11881553.039999999</v>
      </c>
      <c r="I18" s="176"/>
      <c r="J18" s="178"/>
    </row>
    <row r="19" spans="1:10" x14ac:dyDescent="0.25">
      <c r="A19" s="186"/>
      <c r="B19" s="9" t="s">
        <v>23</v>
      </c>
      <c r="C19" s="17">
        <f>IF(D3&lt;2000001,ROUNDUP(D3/500000,0),5)*40000</f>
        <v>200000</v>
      </c>
      <c r="D19" s="181"/>
      <c r="E19" s="184"/>
      <c r="F19" s="205"/>
      <c r="G19" s="16" t="s">
        <v>24</v>
      </c>
      <c r="H19" s="84">
        <f>D5*500000</f>
        <v>5000000</v>
      </c>
      <c r="I19" s="176"/>
      <c r="J19" s="178"/>
    </row>
    <row r="20" spans="1:10" x14ac:dyDescent="0.25">
      <c r="A20" s="186"/>
      <c r="B20" s="46" t="s">
        <v>115</v>
      </c>
      <c r="C20" s="17">
        <f>D4</f>
        <v>0</v>
      </c>
      <c r="D20" s="181"/>
      <c r="E20" s="184"/>
      <c r="F20" s="205"/>
      <c r="G20" s="16"/>
      <c r="H20" s="84"/>
      <c r="I20" s="176"/>
      <c r="J20" s="178"/>
    </row>
    <row r="21" spans="1:10" x14ac:dyDescent="0.25">
      <c r="A21" s="186"/>
      <c r="B21" s="9" t="s">
        <v>27</v>
      </c>
      <c r="C21" s="9">
        <f>J2*12000</f>
        <v>276000</v>
      </c>
      <c r="D21" s="181"/>
      <c r="E21" s="184"/>
      <c r="F21" s="205"/>
      <c r="G21" s="16" t="s">
        <v>26</v>
      </c>
      <c r="H21" s="90">
        <f>B3</f>
        <v>0</v>
      </c>
      <c r="I21" s="176"/>
      <c r="J21" s="178"/>
    </row>
    <row r="22" spans="1:10" x14ac:dyDescent="0.25">
      <c r="A22" s="186"/>
      <c r="B22" s="9" t="s">
        <v>25</v>
      </c>
      <c r="C22" s="18">
        <f>D5*100000</f>
        <v>1000000</v>
      </c>
      <c r="D22" s="181"/>
      <c r="E22" s="184"/>
      <c r="F22" s="204"/>
      <c r="G22" s="16" t="s">
        <v>28</v>
      </c>
      <c r="H22" s="90">
        <f>B4</f>
        <v>0</v>
      </c>
      <c r="I22" s="176"/>
      <c r="J22" s="178"/>
    </row>
    <row r="23" spans="1:10" x14ac:dyDescent="0.25">
      <c r="A23" s="186"/>
      <c r="B23" s="9" t="s">
        <v>32</v>
      </c>
      <c r="C23" s="9">
        <f>'5季度'!H29*0.025</f>
        <v>269803.1337890625</v>
      </c>
      <c r="D23" s="181"/>
      <c r="E23" s="184"/>
      <c r="F23" s="203" t="s">
        <v>30</v>
      </c>
      <c r="G23" s="16" t="s">
        <v>68</v>
      </c>
      <c r="H23" s="84">
        <f>'5季度'!H31</f>
        <v>10789092</v>
      </c>
      <c r="I23" s="9"/>
      <c r="J23" s="23"/>
    </row>
    <row r="24" spans="1:10" x14ac:dyDescent="0.25">
      <c r="A24" s="186"/>
      <c r="B24" s="19" t="s">
        <v>69</v>
      </c>
      <c r="C24" s="9">
        <f>'5季度'!H32</f>
        <v>0</v>
      </c>
      <c r="D24" s="181"/>
      <c r="E24" s="184"/>
      <c r="F24" s="205"/>
      <c r="G24" s="20" t="s">
        <v>33</v>
      </c>
      <c r="H24" s="86">
        <f>J15-J17</f>
        <v>1431457.2491301671</v>
      </c>
      <c r="I24" s="9"/>
      <c r="J24" s="23"/>
    </row>
    <row r="25" spans="1:10" x14ac:dyDescent="0.25">
      <c r="A25" s="162"/>
      <c r="B25" s="9" t="s">
        <v>70</v>
      </c>
      <c r="C25" s="18">
        <f>C24-H12*4</f>
        <v>-1456012</v>
      </c>
      <c r="D25" s="182"/>
      <c r="E25" s="185"/>
      <c r="F25" s="205"/>
      <c r="G25" s="16" t="s">
        <v>71</v>
      </c>
      <c r="H25" s="84">
        <f>H15-E15-E26-E28-E33-E35</f>
        <v>4772413.2421668302</v>
      </c>
      <c r="I25" s="9"/>
      <c r="J25" s="23"/>
    </row>
    <row r="26" spans="1:10" x14ac:dyDescent="0.25">
      <c r="A26" s="161" t="s">
        <v>34</v>
      </c>
      <c r="B26" s="9" t="s">
        <v>35</v>
      </c>
      <c r="C26" s="9">
        <f>I12</f>
        <v>2200000</v>
      </c>
      <c r="D26" s="180" t="s">
        <v>16</v>
      </c>
      <c r="E26" s="183">
        <f>C26+C27</f>
        <v>3322054.4</v>
      </c>
      <c r="F26" s="205"/>
      <c r="G26" s="16" t="s">
        <v>72</v>
      </c>
      <c r="H26" s="84">
        <f>E15+E26+E28+E33</f>
        <v>19445799.298251525</v>
      </c>
      <c r="I26" s="9"/>
      <c r="J26" s="23"/>
    </row>
    <row r="27" spans="1:10" x14ac:dyDescent="0.25">
      <c r="A27" s="162"/>
      <c r="B27" s="9" t="s">
        <v>37</v>
      </c>
      <c r="C27" s="9">
        <f>D8*0.4+D9*0.1+D10*0.4+D11*0.5</f>
        <v>1122054.3999999999</v>
      </c>
      <c r="D27" s="182"/>
      <c r="E27" s="185"/>
      <c r="F27" s="205"/>
      <c r="G27" s="16" t="s">
        <v>36</v>
      </c>
      <c r="H27" s="84">
        <f>B2+'5季度'!H27+'5季度'!J27</f>
        <v>20429177.619994432</v>
      </c>
      <c r="I27" s="108" t="s">
        <v>73</v>
      </c>
      <c r="J27" s="111">
        <f>IF(H30&gt;0,"0",-H30)</f>
        <v>567117.60086983442</v>
      </c>
    </row>
    <row r="28" spans="1:10" x14ac:dyDescent="0.25">
      <c r="A28" s="161" t="s">
        <v>38</v>
      </c>
      <c r="B28" s="9" t="s">
        <v>39</v>
      </c>
      <c r="C28" s="9">
        <f>(F2+F12)*500</f>
        <v>23000</v>
      </c>
      <c r="D28" s="180" t="s">
        <v>16</v>
      </c>
      <c r="E28" s="183">
        <f>C28+C29+C30+C31+C32</f>
        <v>1936873.89888831</v>
      </c>
      <c r="F28" s="205"/>
      <c r="G28" s="16" t="s">
        <v>9</v>
      </c>
      <c r="H28" s="85">
        <f>('6季度'!H18+'5季度'!H28)/('6季度'!D3+'5季度'!L5)*T3</f>
        <v>11113468.463977786</v>
      </c>
      <c r="I28" s="9"/>
      <c r="J28" s="23"/>
    </row>
    <row r="29" spans="1:10" x14ac:dyDescent="0.25">
      <c r="A29" s="186"/>
      <c r="B29" s="9" t="s">
        <v>40</v>
      </c>
      <c r="C29" s="9">
        <f>(F2+F12)*1000</f>
        <v>46000</v>
      </c>
      <c r="D29" s="181"/>
      <c r="E29" s="184"/>
      <c r="F29" s="205"/>
      <c r="G29" s="16" t="s">
        <v>74</v>
      </c>
      <c r="H29" s="85">
        <f>'5季度'!H29*0.975+'6季度'!D5*500000</f>
        <v>15522322.217773437</v>
      </c>
      <c r="I29" s="9"/>
      <c r="J29" s="23"/>
    </row>
    <row r="30" spans="1:10" x14ac:dyDescent="0.25">
      <c r="A30" s="186"/>
      <c r="B30" s="9" t="s">
        <v>42</v>
      </c>
      <c r="C30" s="9">
        <f>F2*1250*3+F12*1500*3+F4*9000+F3*7500</f>
        <v>990000</v>
      </c>
      <c r="D30" s="181"/>
      <c r="E30" s="184"/>
      <c r="F30" s="205"/>
      <c r="G30" s="20" t="s">
        <v>75</v>
      </c>
      <c r="H30" s="87">
        <f>H23+H15*0.5+H16-J17</f>
        <v>-567117.60086983442</v>
      </c>
      <c r="I30" s="9"/>
      <c r="J30" s="23"/>
    </row>
    <row r="31" spans="1:10" x14ac:dyDescent="0.25">
      <c r="A31" s="186"/>
      <c r="B31" s="9" t="s">
        <v>76</v>
      </c>
      <c r="C31" s="9">
        <f>'5季度'!H28*0.1</f>
        <v>695872.39888830995</v>
      </c>
      <c r="D31" s="181"/>
      <c r="E31" s="184"/>
      <c r="F31" s="205"/>
      <c r="G31" s="110" t="s">
        <v>41</v>
      </c>
      <c r="H31" s="109">
        <f>IF(H30&gt;0,I31,H15*0.5)</f>
        <v>12787666.850000001</v>
      </c>
      <c r="I31" s="21">
        <f>H15+H16-J17+H23</f>
        <v>12220549.249130167</v>
      </c>
      <c r="J31" s="23"/>
    </row>
    <row r="32" spans="1:10" x14ac:dyDescent="0.25">
      <c r="A32" s="162"/>
      <c r="B32" s="9" t="s">
        <v>77</v>
      </c>
      <c r="C32" s="9">
        <f>0.5*H12</f>
        <v>182001.5</v>
      </c>
      <c r="D32" s="182"/>
      <c r="E32" s="185"/>
      <c r="F32" s="205"/>
      <c r="G32" s="80" t="s">
        <v>78</v>
      </c>
      <c r="H32" s="84">
        <f>H12*4</f>
        <v>1456012</v>
      </c>
      <c r="I32" s="9"/>
      <c r="J32" s="23"/>
    </row>
    <row r="33" spans="1:10" ht="14.4" thickBot="1" x14ac:dyDescent="0.3">
      <c r="A33" s="161" t="s">
        <v>47</v>
      </c>
      <c r="B33" s="46" t="s">
        <v>114</v>
      </c>
      <c r="C33" s="9">
        <f>'5季度'!J27*'0季度'!D10</f>
        <v>20583.552399888635</v>
      </c>
      <c r="D33" s="199" t="s">
        <v>16</v>
      </c>
      <c r="E33" s="201">
        <f>C34+C33</f>
        <v>117583.55239988863</v>
      </c>
      <c r="F33" s="206"/>
      <c r="G33" s="81" t="s">
        <v>45</v>
      </c>
      <c r="H33" s="88">
        <f>'5季度'!H33+'6季度'!H25-'6季度'!B4</f>
        <v>19883176.962617993</v>
      </c>
      <c r="I33" s="22">
        <f>ROUNDDOWN(H33/1500000,0)</f>
        <v>13</v>
      </c>
      <c r="J33" s="30"/>
    </row>
    <row r="34" spans="1:10" x14ac:dyDescent="0.25">
      <c r="A34" s="162"/>
      <c r="B34" s="46" t="s">
        <v>113</v>
      </c>
      <c r="C34" s="9">
        <f>('5季度'!H27+B2-B3)*'0季度'!D10/4</f>
        <v>97000</v>
      </c>
      <c r="D34" s="200"/>
      <c r="E34" s="202"/>
    </row>
    <row r="35" spans="1:10" x14ac:dyDescent="0.25">
      <c r="A35" s="161" t="s">
        <v>49</v>
      </c>
      <c r="B35" s="9" t="s">
        <v>50</v>
      </c>
      <c r="C35" s="9">
        <f>H15/(1+'0季度'!D8)*'0季度'!D8</f>
        <v>744912.63203883497</v>
      </c>
      <c r="D35" s="180" t="s">
        <v>16</v>
      </c>
      <c r="E35" s="183">
        <f>C35+C36+C37</f>
        <v>1357121.159581644</v>
      </c>
    </row>
    <row r="36" spans="1:10" x14ac:dyDescent="0.25">
      <c r="A36" s="186"/>
      <c r="B36" s="9" t="s">
        <v>51</v>
      </c>
      <c r="C36" s="9">
        <f>C35*'0季度'!D9</f>
        <v>81940.389524271843</v>
      </c>
      <c r="D36" s="181"/>
      <c r="E36" s="184"/>
    </row>
    <row r="37" spans="1:10" ht="14.4" thickBot="1" x14ac:dyDescent="0.3">
      <c r="A37" s="187"/>
      <c r="B37" s="11" t="s">
        <v>52</v>
      </c>
      <c r="C37" s="24">
        <f>IF((H15/(1+'0季度'!D8)-H26-'6季度'!C36)*'0季度'!D7&lt;0,"0",H15/(1+'0季度'!D8)-H26-C36)*'0季度'!D7</f>
        <v>530268.1380185372</v>
      </c>
      <c r="D37" s="189"/>
      <c r="E37" s="194"/>
    </row>
  </sheetData>
  <mergeCells count="31">
    <mergeCell ref="A33:A34"/>
    <mergeCell ref="D33:D34"/>
    <mergeCell ref="E33:E34"/>
    <mergeCell ref="A35:A37"/>
    <mergeCell ref="D35:D37"/>
    <mergeCell ref="E35:E37"/>
    <mergeCell ref="A26:A27"/>
    <mergeCell ref="D26:D27"/>
    <mergeCell ref="E26:E27"/>
    <mergeCell ref="A28:A32"/>
    <mergeCell ref="D28:D32"/>
    <mergeCell ref="E28:E32"/>
    <mergeCell ref="A15:A25"/>
    <mergeCell ref="D15:D25"/>
    <mergeCell ref="E15:E25"/>
    <mergeCell ref="F15:F16"/>
    <mergeCell ref="I15:I16"/>
    <mergeCell ref="J15:J16"/>
    <mergeCell ref="F17:F22"/>
    <mergeCell ref="I17:I22"/>
    <mergeCell ref="J17:J22"/>
    <mergeCell ref="F23:F33"/>
    <mergeCell ref="K1:L1"/>
    <mergeCell ref="K6:P6"/>
    <mergeCell ref="A14:E14"/>
    <mergeCell ref="F14:J14"/>
    <mergeCell ref="A1:B1"/>
    <mergeCell ref="C1:D1"/>
    <mergeCell ref="E1:F1"/>
    <mergeCell ref="G1:H1"/>
    <mergeCell ref="I1:J1"/>
  </mergeCells>
  <phoneticPr fontId="10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7"/>
  <sheetViews>
    <sheetView zoomScale="150" zoomScaleNormal="150" workbookViewId="0">
      <selection activeCell="C20" sqref="C20"/>
    </sheetView>
  </sheetViews>
  <sheetFormatPr defaultRowHeight="13.8" x14ac:dyDescent="0.25"/>
  <cols>
    <col min="3" max="3" width="10" customWidth="1"/>
    <col min="4" max="4" width="9.109375" bestFit="1" customWidth="1"/>
    <col min="8" max="8" width="9.109375" bestFit="1" customWidth="1"/>
    <col min="9" max="9" width="11.44140625" customWidth="1"/>
    <col min="10" max="10" width="10.21875" customWidth="1"/>
  </cols>
  <sheetData>
    <row r="1" spans="1:21" ht="14.4" thickBot="1" x14ac:dyDescent="0.3">
      <c r="A1" s="170" t="s">
        <v>84</v>
      </c>
      <c r="B1" s="169"/>
      <c r="C1" s="170" t="s">
        <v>83</v>
      </c>
      <c r="D1" s="168"/>
      <c r="E1" s="170" t="s">
        <v>82</v>
      </c>
      <c r="F1" s="169"/>
      <c r="G1" s="168" t="s">
        <v>103</v>
      </c>
      <c r="H1" s="169"/>
      <c r="I1" s="170" t="s">
        <v>106</v>
      </c>
      <c r="J1" s="169"/>
      <c r="K1" s="208" t="s">
        <v>122</v>
      </c>
      <c r="L1" s="209"/>
    </row>
    <row r="2" spans="1:21" x14ac:dyDescent="0.25">
      <c r="A2" s="49" t="s">
        <v>85</v>
      </c>
      <c r="B2" s="74">
        <v>6500000</v>
      </c>
      <c r="C2" s="91" t="s">
        <v>108</v>
      </c>
      <c r="D2" s="92">
        <f>J6*1.35</f>
        <v>7141871.2500000009</v>
      </c>
      <c r="E2" s="49" t="s">
        <v>89</v>
      </c>
      <c r="F2" s="26">
        <f>D5*3</f>
        <v>15</v>
      </c>
      <c r="G2" s="98" t="s">
        <v>101</v>
      </c>
      <c r="H2" s="75">
        <v>4656693</v>
      </c>
      <c r="I2" s="4" t="s">
        <v>56</v>
      </c>
      <c r="J2" s="72">
        <f>'6季度'!J2+'6季度'!D5</f>
        <v>33</v>
      </c>
      <c r="K2" s="133" t="s">
        <v>149</v>
      </c>
      <c r="L2" s="134">
        <f>F2+F3</f>
        <v>114</v>
      </c>
    </row>
    <row r="3" spans="1:21" x14ac:dyDescent="0.25">
      <c r="A3" s="49" t="s">
        <v>86</v>
      </c>
      <c r="B3" s="74"/>
      <c r="C3" s="93" t="s">
        <v>109</v>
      </c>
      <c r="D3" s="95">
        <v>7141872</v>
      </c>
      <c r="E3" s="49" t="s">
        <v>111</v>
      </c>
      <c r="F3" s="6">
        <f>'6季度'!F3+'6季度'!F2</f>
        <v>99</v>
      </c>
      <c r="G3" s="99" t="s">
        <v>96</v>
      </c>
      <c r="H3" s="74">
        <v>1800000</v>
      </c>
      <c r="I3" s="77" t="s">
        <v>53</v>
      </c>
      <c r="J3" s="73">
        <f>'6季度'!J5</f>
        <v>1552231</v>
      </c>
      <c r="K3" s="115" t="s">
        <v>153</v>
      </c>
      <c r="L3" s="23">
        <f>F4+F12</f>
        <v>53</v>
      </c>
      <c r="T3" s="44" t="s">
        <v>121</v>
      </c>
      <c r="U3">
        <f>D3</f>
        <v>7141872</v>
      </c>
    </row>
    <row r="4" spans="1:21" x14ac:dyDescent="0.25">
      <c r="A4" s="49" t="s">
        <v>87</v>
      </c>
      <c r="B4" s="74"/>
      <c r="C4" s="49" t="s">
        <v>107</v>
      </c>
      <c r="D4" s="96"/>
      <c r="E4" s="49" t="s">
        <v>112</v>
      </c>
      <c r="F4" s="5">
        <f>'6季度'!F4+'6季度'!F12</f>
        <v>48</v>
      </c>
      <c r="G4" s="99" t="s">
        <v>105</v>
      </c>
      <c r="H4" s="89" t="str">
        <f>IF(0&lt;H2&lt;=1.5*J3,"1",IF(H2&gt;2.5*J3,"3",IF(H2=0,"0","2")))</f>
        <v>3</v>
      </c>
      <c r="I4" s="4" t="s">
        <v>54</v>
      </c>
      <c r="J4" s="26">
        <f>J3*3</f>
        <v>4656693</v>
      </c>
      <c r="K4" s="115" t="s">
        <v>151</v>
      </c>
      <c r="L4" s="23">
        <f>J2+D5</f>
        <v>38</v>
      </c>
    </row>
    <row r="5" spans="1:21" ht="14.4" thickBot="1" x14ac:dyDescent="0.3">
      <c r="A5" s="8"/>
      <c r="B5" s="23"/>
      <c r="C5" s="49" t="s">
        <v>88</v>
      </c>
      <c r="D5" s="97">
        <v>5</v>
      </c>
      <c r="E5" s="100"/>
      <c r="F5" s="23"/>
      <c r="I5" s="4" t="s">
        <v>55</v>
      </c>
      <c r="J5" s="26">
        <f>ROUNDDOWN(J3*0.975+D5*50000,0)</f>
        <v>1763425</v>
      </c>
      <c r="K5" s="120" t="s">
        <v>119</v>
      </c>
      <c r="L5" s="29">
        <f>'6季度'!L5-'7季度'!H2*1.35+'7季度'!D3</f>
        <v>7141873.9499999983</v>
      </c>
    </row>
    <row r="6" spans="1:21" ht="14.4" thickBot="1" x14ac:dyDescent="0.3">
      <c r="A6" s="101"/>
      <c r="B6" s="29"/>
      <c r="C6" s="102" t="s">
        <v>104</v>
      </c>
      <c r="D6" s="103">
        <v>2.25</v>
      </c>
      <c r="E6" s="104"/>
      <c r="F6" s="29"/>
      <c r="G6" s="94"/>
      <c r="H6" s="29"/>
      <c r="I6" s="105" t="s">
        <v>57</v>
      </c>
      <c r="J6" s="106">
        <f>J5*3</f>
        <v>5290275</v>
      </c>
      <c r="K6" s="208" t="s">
        <v>126</v>
      </c>
      <c r="L6" s="210"/>
      <c r="M6" s="210"/>
      <c r="N6" s="210"/>
      <c r="O6" s="210"/>
      <c r="P6" s="209"/>
    </row>
    <row r="7" spans="1:21" x14ac:dyDescent="0.25">
      <c r="A7" s="71" t="s">
        <v>102</v>
      </c>
      <c r="B7" s="3" t="s">
        <v>58</v>
      </c>
      <c r="C7" s="3" t="s">
        <v>59</v>
      </c>
      <c r="D7" s="3" t="s">
        <v>60</v>
      </c>
      <c r="E7" s="3" t="s">
        <v>61</v>
      </c>
      <c r="F7" s="107" t="s">
        <v>110</v>
      </c>
      <c r="G7" s="127" t="s">
        <v>148</v>
      </c>
      <c r="H7" s="127" t="s">
        <v>152</v>
      </c>
      <c r="I7" s="3" t="s">
        <v>62</v>
      </c>
      <c r="J7" s="28" t="s">
        <v>63</v>
      </c>
      <c r="K7" s="135" t="s">
        <v>146</v>
      </c>
      <c r="L7" s="136" t="s">
        <v>128</v>
      </c>
      <c r="M7" s="136" t="s">
        <v>129</v>
      </c>
      <c r="N7" s="136" t="s">
        <v>130</v>
      </c>
      <c r="O7" s="136" t="s">
        <v>131</v>
      </c>
      <c r="P7" s="137" t="s">
        <v>132</v>
      </c>
    </row>
    <row r="8" spans="1:21" x14ac:dyDescent="0.25">
      <c r="A8" s="8"/>
      <c r="B8" s="1" t="s">
        <v>64</v>
      </c>
      <c r="C8" s="2">
        <v>7.5</v>
      </c>
      <c r="D8" s="2">
        <v>1300000</v>
      </c>
      <c r="E8" s="2">
        <f>'6季度'!E8+'6季度'!F8</f>
        <v>13</v>
      </c>
      <c r="F8" s="2">
        <v>2</v>
      </c>
      <c r="G8" s="129">
        <f>'6季度'!H8</f>
        <v>17636</v>
      </c>
      <c r="H8" s="129">
        <f>O8</f>
        <v>17636</v>
      </c>
      <c r="I8" s="2">
        <v>600000</v>
      </c>
      <c r="J8" s="132">
        <f>D8-H8+G8</f>
        <v>1300000</v>
      </c>
      <c r="K8" s="138" t="s">
        <v>133</v>
      </c>
      <c r="L8" s="139">
        <v>1407278</v>
      </c>
      <c r="M8" s="139">
        <v>1300000</v>
      </c>
      <c r="N8" s="32">
        <v>20.29</v>
      </c>
      <c r="O8" s="139">
        <v>17636</v>
      </c>
      <c r="P8" s="140">
        <v>15</v>
      </c>
    </row>
    <row r="9" spans="1:21" x14ac:dyDescent="0.25">
      <c r="A9" s="8"/>
      <c r="B9" s="1" t="s">
        <v>65</v>
      </c>
      <c r="C9" s="2">
        <v>7.5</v>
      </c>
      <c r="D9" s="2">
        <v>1200000</v>
      </c>
      <c r="E9" s="2">
        <f>'6季度'!E9+'6季度'!F9</f>
        <v>12</v>
      </c>
      <c r="F9" s="2">
        <v>1</v>
      </c>
      <c r="G9" s="129">
        <f>'6季度'!H9</f>
        <v>125788</v>
      </c>
      <c r="H9" s="129">
        <f t="shared" ref="H9:H11" si="0">O9</f>
        <v>377828</v>
      </c>
      <c r="I9" s="2">
        <v>600000</v>
      </c>
      <c r="J9" s="132">
        <f t="shared" ref="J9:J11" si="1">D9-H9+G9</f>
        <v>947960</v>
      </c>
      <c r="K9" s="138" t="s">
        <v>134</v>
      </c>
      <c r="L9" s="139">
        <v>947960</v>
      </c>
      <c r="M9" s="139">
        <v>947960</v>
      </c>
      <c r="N9" s="32">
        <v>13.26</v>
      </c>
      <c r="O9" s="139">
        <v>377828</v>
      </c>
      <c r="P9" s="140">
        <v>13</v>
      </c>
    </row>
    <row r="10" spans="1:21" x14ac:dyDescent="0.25">
      <c r="A10" s="8"/>
      <c r="B10" s="1" t="s">
        <v>66</v>
      </c>
      <c r="C10" s="2">
        <v>7.5</v>
      </c>
      <c r="D10" s="2">
        <v>1056693</v>
      </c>
      <c r="E10" s="2">
        <f>'6季度'!E10+'6季度'!F10</f>
        <v>12</v>
      </c>
      <c r="F10" s="2">
        <v>1</v>
      </c>
      <c r="G10" s="129">
        <f>'6季度'!H10</f>
        <v>193908</v>
      </c>
      <c r="H10" s="129">
        <f t="shared" si="0"/>
        <v>325255</v>
      </c>
      <c r="I10" s="2">
        <v>600000</v>
      </c>
      <c r="J10" s="132">
        <f t="shared" si="1"/>
        <v>925346</v>
      </c>
      <c r="K10" s="138" t="s">
        <v>135</v>
      </c>
      <c r="L10" s="139">
        <v>925346</v>
      </c>
      <c r="M10" s="139">
        <v>925346</v>
      </c>
      <c r="N10" s="32">
        <v>14.44</v>
      </c>
      <c r="O10" s="139">
        <v>325255</v>
      </c>
      <c r="P10" s="140">
        <v>13</v>
      </c>
    </row>
    <row r="11" spans="1:21" x14ac:dyDescent="0.25">
      <c r="A11" s="8"/>
      <c r="B11" s="1" t="s">
        <v>67</v>
      </c>
      <c r="C11" s="2">
        <v>7.5</v>
      </c>
      <c r="D11" s="2">
        <v>1100000</v>
      </c>
      <c r="E11" s="2">
        <f>'6季度'!E11+'6季度'!F11</f>
        <v>11</v>
      </c>
      <c r="F11" s="2">
        <v>1</v>
      </c>
      <c r="G11" s="129">
        <f>'6季度'!H11</f>
        <v>26671</v>
      </c>
      <c r="H11" s="129">
        <f t="shared" si="0"/>
        <v>53672</v>
      </c>
      <c r="I11" s="2">
        <v>600000</v>
      </c>
      <c r="J11" s="132">
        <f t="shared" si="1"/>
        <v>1072999</v>
      </c>
      <c r="K11" s="138" t="s">
        <v>136</v>
      </c>
      <c r="L11" s="139">
        <v>1072999</v>
      </c>
      <c r="M11" s="139">
        <v>1072999</v>
      </c>
      <c r="N11" s="32">
        <v>17.03</v>
      </c>
      <c r="O11" s="139">
        <v>53672</v>
      </c>
      <c r="P11" s="140">
        <v>12</v>
      </c>
    </row>
    <row r="12" spans="1:21" x14ac:dyDescent="0.25">
      <c r="A12" s="8"/>
      <c r="B12" s="9"/>
      <c r="C12" s="9"/>
      <c r="D12" s="9">
        <f t="shared" ref="D12:F12" si="2">D8+D9+D10+D11</f>
        <v>4656693</v>
      </c>
      <c r="E12" s="9">
        <f t="shared" si="2"/>
        <v>48</v>
      </c>
      <c r="F12" s="9">
        <f t="shared" si="2"/>
        <v>5</v>
      </c>
      <c r="G12" s="76">
        <f>G8+G9+G10+G11</f>
        <v>364003</v>
      </c>
      <c r="H12" s="76">
        <f>H8+H9+H10+H11</f>
        <v>774391</v>
      </c>
      <c r="I12" s="9">
        <f>I8+I9+I10+I11</f>
        <v>2400000</v>
      </c>
      <c r="J12" s="23"/>
      <c r="K12" s="138" t="s">
        <v>137</v>
      </c>
      <c r="L12" s="32" t="s">
        <v>138</v>
      </c>
      <c r="M12" s="32" t="s">
        <v>139</v>
      </c>
      <c r="N12" s="32" t="s">
        <v>131</v>
      </c>
      <c r="O12" s="32" t="s">
        <v>140</v>
      </c>
      <c r="P12" s="140" t="s">
        <v>141</v>
      </c>
    </row>
    <row r="13" spans="1:21" ht="14.4" thickBot="1" x14ac:dyDescent="0.3">
      <c r="A13" s="31"/>
      <c r="B13" s="11"/>
      <c r="C13" s="11"/>
      <c r="D13" s="11">
        <f>H2</f>
        <v>4656693</v>
      </c>
      <c r="E13" s="11"/>
      <c r="F13" s="11"/>
      <c r="G13" s="10"/>
      <c r="H13" s="11"/>
      <c r="I13" s="11"/>
      <c r="J13" s="30"/>
      <c r="K13" s="141">
        <v>4353583</v>
      </c>
      <c r="L13" s="139">
        <v>4656693</v>
      </c>
      <c r="M13" s="139">
        <v>4246305</v>
      </c>
      <c r="N13" s="139">
        <v>774391</v>
      </c>
      <c r="O13" s="139">
        <v>7141874</v>
      </c>
      <c r="P13" s="140">
        <v>16.25</v>
      </c>
    </row>
    <row r="14" spans="1:21" ht="14.4" thickBot="1" x14ac:dyDescent="0.3">
      <c r="A14" s="171" t="s">
        <v>10</v>
      </c>
      <c r="B14" s="172"/>
      <c r="C14" s="172"/>
      <c r="D14" s="172"/>
      <c r="E14" s="172"/>
      <c r="F14" s="173" t="s">
        <v>11</v>
      </c>
      <c r="G14" s="174"/>
      <c r="H14" s="174"/>
      <c r="I14" s="174"/>
      <c r="J14" s="198"/>
      <c r="K14" s="138" t="s">
        <v>55</v>
      </c>
      <c r="L14" s="32" t="s">
        <v>142</v>
      </c>
      <c r="M14" s="32" t="s">
        <v>143</v>
      </c>
      <c r="N14" s="32" t="s">
        <v>144</v>
      </c>
      <c r="O14" s="32" t="s">
        <v>145</v>
      </c>
      <c r="P14" s="140" t="s">
        <v>132</v>
      </c>
    </row>
    <row r="15" spans="1:21" ht="14.4" thickBot="1" x14ac:dyDescent="0.3">
      <c r="A15" s="195" t="s">
        <v>12</v>
      </c>
      <c r="B15" s="38" t="s">
        <v>29</v>
      </c>
      <c r="C15" s="38">
        <f>H3</f>
        <v>1800000</v>
      </c>
      <c r="D15" s="196" t="s">
        <v>116</v>
      </c>
      <c r="E15" s="197">
        <f>IF(D3=0,C15+C16+C17+C18+C21+C22+C23+C25,C15+C16+C17+C18+C20+C21+C22+C23+C25+C19)</f>
        <v>20907500.022062927</v>
      </c>
      <c r="F15" s="203" t="s">
        <v>14</v>
      </c>
      <c r="G15" s="13" t="s">
        <v>15</v>
      </c>
      <c r="H15" s="83">
        <f>J8*C8+J9*C9+J10*C10+J11*C11</f>
        <v>31847287.5</v>
      </c>
      <c r="I15" s="176" t="s">
        <v>16</v>
      </c>
      <c r="J15" s="178">
        <f>H15+H16</f>
        <v>38347287.5</v>
      </c>
      <c r="K15" s="142">
        <v>1763425</v>
      </c>
      <c r="L15" s="143">
        <v>1763425</v>
      </c>
      <c r="M15" s="144">
        <v>38</v>
      </c>
      <c r="N15" s="144">
        <v>167</v>
      </c>
      <c r="O15" s="144">
        <v>114</v>
      </c>
      <c r="P15" s="145">
        <v>53</v>
      </c>
    </row>
    <row r="16" spans="1:21" x14ac:dyDescent="0.25">
      <c r="A16" s="186"/>
      <c r="B16" s="9" t="s">
        <v>13</v>
      </c>
      <c r="C16" s="15" t="str">
        <f>IF(H4=1,"10000",IF(H4=2,"15000","20000"))</f>
        <v>20000</v>
      </c>
      <c r="D16" s="181"/>
      <c r="E16" s="184"/>
      <c r="F16" s="204"/>
      <c r="G16" s="16" t="s">
        <v>18</v>
      </c>
      <c r="H16" s="84">
        <f>B2</f>
        <v>6500000</v>
      </c>
      <c r="I16" s="176"/>
      <c r="J16" s="178"/>
    </row>
    <row r="17" spans="1:10" x14ac:dyDescent="0.25">
      <c r="A17" s="186"/>
      <c r="B17" s="9" t="s">
        <v>17</v>
      </c>
      <c r="C17" s="2">
        <f>IF(H2=J4,4.2*J3,2.6*J3+(H2-J3*2)*1.6)</f>
        <v>6519370.2000000002</v>
      </c>
      <c r="D17" s="181"/>
      <c r="E17" s="184"/>
      <c r="F17" s="207" t="s">
        <v>118</v>
      </c>
      <c r="G17" s="16" t="s">
        <v>20</v>
      </c>
      <c r="H17" s="84">
        <f>E15+E26+E28+E33+E35-C18-C25-C23</f>
        <v>17702424.262817532</v>
      </c>
      <c r="I17" s="176" t="s">
        <v>16</v>
      </c>
      <c r="J17" s="178">
        <f>H17+H18+H19+H21+H22</f>
        <v>36271636.262817532</v>
      </c>
    </row>
    <row r="18" spans="1:10" x14ac:dyDescent="0.25">
      <c r="A18" s="186"/>
      <c r="B18" s="9" t="s">
        <v>21</v>
      </c>
      <c r="C18" s="9">
        <f>H2*1.35*('7季度'!H18+'6季度'!H28)/('7季度'!D3+'6季度'!L5)</f>
        <v>12725623.766618589</v>
      </c>
      <c r="D18" s="181"/>
      <c r="E18" s="184"/>
      <c r="F18" s="205"/>
      <c r="G18" s="16" t="s">
        <v>22</v>
      </c>
      <c r="H18" s="84">
        <f>D6*D3+D4*(1+D6)</f>
        <v>16069212</v>
      </c>
      <c r="I18" s="176"/>
      <c r="J18" s="178"/>
    </row>
    <row r="19" spans="1:10" x14ac:dyDescent="0.25">
      <c r="A19" s="186"/>
      <c r="B19" s="9" t="s">
        <v>23</v>
      </c>
      <c r="C19" s="17">
        <f>IF(D3&lt;2000001,ROUNDUP(D3/500000,0),5)*40000</f>
        <v>200000</v>
      </c>
      <c r="D19" s="181"/>
      <c r="E19" s="184"/>
      <c r="F19" s="205"/>
      <c r="G19" s="16" t="s">
        <v>24</v>
      </c>
      <c r="H19" s="84">
        <f>D5*500000</f>
        <v>2500000</v>
      </c>
      <c r="I19" s="176"/>
      <c r="J19" s="178"/>
    </row>
    <row r="20" spans="1:10" x14ac:dyDescent="0.25">
      <c r="A20" s="186"/>
      <c r="B20" s="46" t="s">
        <v>115</v>
      </c>
      <c r="C20" s="17">
        <f>D4</f>
        <v>0</v>
      </c>
      <c r="D20" s="181"/>
      <c r="E20" s="184"/>
      <c r="F20" s="205"/>
      <c r="G20" s="16"/>
      <c r="H20" s="84"/>
      <c r="I20" s="176"/>
      <c r="J20" s="178"/>
    </row>
    <row r="21" spans="1:10" x14ac:dyDescent="0.25">
      <c r="A21" s="186"/>
      <c r="B21" s="9" t="s">
        <v>27</v>
      </c>
      <c r="C21" s="9">
        <f>J2*12000</f>
        <v>396000</v>
      </c>
      <c r="D21" s="181"/>
      <c r="E21" s="184"/>
      <c r="F21" s="205"/>
      <c r="G21" s="16" t="s">
        <v>26</v>
      </c>
      <c r="H21" s="90">
        <f>B3</f>
        <v>0</v>
      </c>
      <c r="I21" s="176"/>
      <c r="J21" s="178"/>
    </row>
    <row r="22" spans="1:10" x14ac:dyDescent="0.25">
      <c r="A22" s="186"/>
      <c r="B22" s="9" t="s">
        <v>25</v>
      </c>
      <c r="C22" s="18">
        <f>D5*100000</f>
        <v>500000</v>
      </c>
      <c r="D22" s="181"/>
      <c r="E22" s="184"/>
      <c r="F22" s="204"/>
      <c r="G22" s="16" t="s">
        <v>28</v>
      </c>
      <c r="H22" s="90">
        <f>B4</f>
        <v>0</v>
      </c>
      <c r="I22" s="176"/>
      <c r="J22" s="178"/>
    </row>
    <row r="23" spans="1:10" x14ac:dyDescent="0.25">
      <c r="A23" s="186"/>
      <c r="B23" s="9" t="s">
        <v>32</v>
      </c>
      <c r="C23" s="9">
        <f>'6季度'!H29*0.025</f>
        <v>388058.05544433597</v>
      </c>
      <c r="D23" s="181"/>
      <c r="E23" s="184"/>
      <c r="F23" s="203" t="s">
        <v>30</v>
      </c>
      <c r="G23" s="16" t="s">
        <v>68</v>
      </c>
      <c r="H23" s="84">
        <f>'6季度'!H31</f>
        <v>12787666.850000001</v>
      </c>
      <c r="I23" s="9"/>
      <c r="J23" s="23"/>
    </row>
    <row r="24" spans="1:10" x14ac:dyDescent="0.25">
      <c r="A24" s="186"/>
      <c r="B24" s="19" t="s">
        <v>69</v>
      </c>
      <c r="C24" s="9">
        <f>'6季度'!H32</f>
        <v>1456012</v>
      </c>
      <c r="D24" s="181"/>
      <c r="E24" s="184"/>
      <c r="F24" s="205"/>
      <c r="G24" s="20" t="s">
        <v>33</v>
      </c>
      <c r="H24" s="86">
        <f>J15-J17</f>
        <v>2075651.2371824682</v>
      </c>
      <c r="I24" s="9"/>
      <c r="J24" s="23"/>
    </row>
    <row r="25" spans="1:10" x14ac:dyDescent="0.25">
      <c r="A25" s="162"/>
      <c r="B25" s="9" t="s">
        <v>70</v>
      </c>
      <c r="C25" s="18">
        <f>C24-H12*4</f>
        <v>-1641552</v>
      </c>
      <c r="D25" s="182"/>
      <c r="E25" s="185"/>
      <c r="F25" s="205"/>
      <c r="G25" s="16" t="s">
        <v>71</v>
      </c>
      <c r="H25" s="84">
        <f>H15-E15-E26-E28-E33-E35</f>
        <v>2672733.4151195381</v>
      </c>
      <c r="I25" s="9"/>
      <c r="J25" s="23"/>
    </row>
    <row r="26" spans="1:10" x14ac:dyDescent="0.25">
      <c r="A26" s="161" t="s">
        <v>34</v>
      </c>
      <c r="B26" s="9" t="s">
        <v>35</v>
      </c>
      <c r="C26" s="9">
        <f>I12</f>
        <v>2400000</v>
      </c>
      <c r="D26" s="180" t="s">
        <v>16</v>
      </c>
      <c r="E26" s="183">
        <f>C26+C27</f>
        <v>4012677.2</v>
      </c>
      <c r="F26" s="205"/>
      <c r="G26" s="16" t="s">
        <v>72</v>
      </c>
      <c r="H26" s="84">
        <f>E15+E26+E28+E33</f>
        <v>27847957.808578074</v>
      </c>
      <c r="I26" s="9"/>
      <c r="J26" s="23"/>
    </row>
    <row r="27" spans="1:10" x14ac:dyDescent="0.25">
      <c r="A27" s="162"/>
      <c r="B27" s="9" t="s">
        <v>37</v>
      </c>
      <c r="C27" s="9">
        <f>D8*0.4+D9*0.1+D10*0.4+D11*0.5</f>
        <v>1612677.2</v>
      </c>
      <c r="D27" s="182"/>
      <c r="E27" s="185"/>
      <c r="F27" s="205"/>
      <c r="G27" s="16" t="s">
        <v>36</v>
      </c>
      <c r="H27" s="84">
        <f>B2+'6季度'!H27+'6季度'!J27</f>
        <v>27496295.220864266</v>
      </c>
      <c r="I27" s="108" t="s">
        <v>73</v>
      </c>
      <c r="J27" s="111">
        <f>IF(H30&gt;0,"0",-H30)</f>
        <v>1060325.6628175303</v>
      </c>
    </row>
    <row r="28" spans="1:10" x14ac:dyDescent="0.25">
      <c r="A28" s="161" t="s">
        <v>38</v>
      </c>
      <c r="B28" s="9" t="s">
        <v>39</v>
      </c>
      <c r="C28" s="9">
        <f>(F2+F12)*500</f>
        <v>10000</v>
      </c>
      <c r="D28" s="180" t="s">
        <v>16</v>
      </c>
      <c r="E28" s="183">
        <f>C28+C29+C30+C31+C32</f>
        <v>2781792.346397779</v>
      </c>
      <c r="F28" s="205"/>
      <c r="G28" s="16" t="s">
        <v>9</v>
      </c>
      <c r="H28" s="85">
        <f>('7季度'!H18+'6季度'!H28)/('7季度'!D3+'6季度'!L5)*U3</f>
        <v>14457052.75003938</v>
      </c>
      <c r="I28" s="9"/>
      <c r="J28" s="23"/>
    </row>
    <row r="29" spans="1:10" x14ac:dyDescent="0.25">
      <c r="A29" s="186"/>
      <c r="B29" s="9" t="s">
        <v>40</v>
      </c>
      <c r="C29" s="9">
        <f>(F2+F12)*1000</f>
        <v>20000</v>
      </c>
      <c r="D29" s="181"/>
      <c r="E29" s="184"/>
      <c r="F29" s="205"/>
      <c r="G29" s="16" t="s">
        <v>74</v>
      </c>
      <c r="H29" s="85">
        <f>'6季度'!H29*0.975+'7季度'!D5*500000</f>
        <v>17634264.1623291</v>
      </c>
      <c r="I29" s="9"/>
      <c r="J29" s="23"/>
    </row>
    <row r="30" spans="1:10" x14ac:dyDescent="0.25">
      <c r="A30" s="186"/>
      <c r="B30" s="9" t="s">
        <v>42</v>
      </c>
      <c r="C30" s="9">
        <f>F2*1250*3+F12*1500*3+F4*9000+F3*7500</f>
        <v>1253250</v>
      </c>
      <c r="D30" s="181"/>
      <c r="E30" s="184"/>
      <c r="F30" s="205"/>
      <c r="G30" s="20" t="s">
        <v>75</v>
      </c>
      <c r="H30" s="87">
        <f>H23+H15*0.5+H16-J17</f>
        <v>-1060325.6628175303</v>
      </c>
      <c r="I30" s="9"/>
      <c r="J30" s="23"/>
    </row>
    <row r="31" spans="1:10" x14ac:dyDescent="0.25">
      <c r="A31" s="186"/>
      <c r="B31" s="9" t="s">
        <v>76</v>
      </c>
      <c r="C31" s="9">
        <f>'6季度'!H28*0.1</f>
        <v>1111346.8463977787</v>
      </c>
      <c r="D31" s="181"/>
      <c r="E31" s="184"/>
      <c r="F31" s="205"/>
      <c r="G31" s="110" t="s">
        <v>41</v>
      </c>
      <c r="H31" s="109">
        <f>IF(H30&gt;0,I31,H15*0.5)</f>
        <v>15923643.75</v>
      </c>
      <c r="I31" s="21">
        <f>H15+H16-J17+H23</f>
        <v>14863318.08718247</v>
      </c>
      <c r="J31" s="23"/>
    </row>
    <row r="32" spans="1:10" x14ac:dyDescent="0.25">
      <c r="A32" s="162"/>
      <c r="B32" s="9" t="s">
        <v>77</v>
      </c>
      <c r="C32" s="9">
        <f>0.5*H12</f>
        <v>387195.5</v>
      </c>
      <c r="D32" s="182"/>
      <c r="E32" s="185"/>
      <c r="F32" s="205"/>
      <c r="G32" s="80" t="s">
        <v>78</v>
      </c>
      <c r="H32" s="84">
        <f>H12*4</f>
        <v>3097564</v>
      </c>
      <c r="I32" s="9"/>
      <c r="J32" s="23"/>
    </row>
    <row r="33" spans="1:10" ht="14.4" thickBot="1" x14ac:dyDescent="0.3">
      <c r="A33" s="161" t="s">
        <v>47</v>
      </c>
      <c r="B33" s="46" t="s">
        <v>114</v>
      </c>
      <c r="C33" s="9">
        <f>'6季度'!J27*'0季度'!D10</f>
        <v>11342.352017396688</v>
      </c>
      <c r="D33" s="199" t="s">
        <v>16</v>
      </c>
      <c r="E33" s="201">
        <f>C34+C33</f>
        <v>145988.24011736884</v>
      </c>
      <c r="F33" s="206"/>
      <c r="G33" s="81" t="s">
        <v>45</v>
      </c>
      <c r="H33" s="88">
        <f>'6季度'!H33+'7季度'!H25-'7季度'!B4</f>
        <v>22555910.37773753</v>
      </c>
      <c r="I33" s="22">
        <f>ROUNDDOWN(H33/1500000,0)</f>
        <v>15</v>
      </c>
      <c r="J33" s="30"/>
    </row>
    <row r="34" spans="1:10" x14ac:dyDescent="0.25">
      <c r="A34" s="162"/>
      <c r="B34" s="46" t="s">
        <v>113</v>
      </c>
      <c r="C34" s="9">
        <f>('6季度'!H27+B2-B3)*'0季度'!D10/4</f>
        <v>134645.88809997216</v>
      </c>
      <c r="D34" s="200"/>
      <c r="E34" s="202"/>
    </row>
    <row r="35" spans="1:10" x14ac:dyDescent="0.25">
      <c r="A35" s="161" t="s">
        <v>49</v>
      </c>
      <c r="B35" s="9" t="s">
        <v>50</v>
      </c>
      <c r="C35" s="9">
        <f>H15/(1+'0季度'!D8)*'0季度'!D8</f>
        <v>927590.89805825229</v>
      </c>
      <c r="D35" s="180" t="s">
        <v>16</v>
      </c>
      <c r="E35" s="183">
        <f>C35+C36+C37</f>
        <v>1326596.2763023865</v>
      </c>
    </row>
    <row r="36" spans="1:10" x14ac:dyDescent="0.25">
      <c r="A36" s="186"/>
      <c r="B36" s="9" t="s">
        <v>51</v>
      </c>
      <c r="C36" s="9">
        <f>C35*'0季度'!D9</f>
        <v>102034.99878640776</v>
      </c>
      <c r="D36" s="181"/>
      <c r="E36" s="184"/>
    </row>
    <row r="37" spans="1:10" ht="14.4" thickBot="1" x14ac:dyDescent="0.3">
      <c r="A37" s="187"/>
      <c r="B37" s="11" t="s">
        <v>52</v>
      </c>
      <c r="C37" s="24">
        <f>IF((H15/(1+'0季度'!D8)-H26-'7季度'!C36)*'0季度'!D7&lt;0,"0",H15/(1+'0季度'!D8)-H26-C36)*'0季度'!D7</f>
        <v>296970.37945772643</v>
      </c>
      <c r="D37" s="189"/>
      <c r="E37" s="194"/>
    </row>
  </sheetData>
  <mergeCells count="31">
    <mergeCell ref="A33:A34"/>
    <mergeCell ref="D33:D34"/>
    <mergeCell ref="E33:E34"/>
    <mergeCell ref="A35:A37"/>
    <mergeCell ref="D35:D37"/>
    <mergeCell ref="E35:E37"/>
    <mergeCell ref="A26:A27"/>
    <mergeCell ref="D26:D27"/>
    <mergeCell ref="E26:E27"/>
    <mergeCell ref="A28:A32"/>
    <mergeCell ref="D28:D32"/>
    <mergeCell ref="E28:E32"/>
    <mergeCell ref="A15:A25"/>
    <mergeCell ref="D15:D25"/>
    <mergeCell ref="E15:E25"/>
    <mergeCell ref="F15:F16"/>
    <mergeCell ref="I15:I16"/>
    <mergeCell ref="J15:J16"/>
    <mergeCell ref="F17:F22"/>
    <mergeCell ref="I17:I22"/>
    <mergeCell ref="J17:J22"/>
    <mergeCell ref="F23:F33"/>
    <mergeCell ref="K1:L1"/>
    <mergeCell ref="K6:P6"/>
    <mergeCell ref="A14:E14"/>
    <mergeCell ref="F14:J14"/>
    <mergeCell ref="A1:B1"/>
    <mergeCell ref="C1:D1"/>
    <mergeCell ref="E1:F1"/>
    <mergeCell ref="G1:H1"/>
    <mergeCell ref="I1:J1"/>
  </mergeCells>
  <phoneticPr fontId="10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tabSelected="1" topLeftCell="A16" zoomScale="140" zoomScaleNormal="140" workbookViewId="0">
      <selection activeCell="H27" sqref="H27"/>
    </sheetView>
  </sheetViews>
  <sheetFormatPr defaultRowHeight="13.8" x14ac:dyDescent="0.25"/>
  <cols>
    <col min="3" max="3" width="11.21875" bestFit="1" customWidth="1"/>
    <col min="8" max="8" width="12.88671875" customWidth="1"/>
    <col min="9" max="9" width="10.44140625" customWidth="1"/>
    <col min="10" max="10" width="9" bestFit="1" customWidth="1"/>
    <col min="11" max="11" width="13.44140625" customWidth="1"/>
  </cols>
  <sheetData>
    <row r="1" spans="1:22" ht="14.4" thickBot="1" x14ac:dyDescent="0.3">
      <c r="A1" s="170" t="s">
        <v>84</v>
      </c>
      <c r="B1" s="169"/>
      <c r="C1" s="170" t="s">
        <v>83</v>
      </c>
      <c r="D1" s="168"/>
      <c r="E1" s="170" t="s">
        <v>82</v>
      </c>
      <c r="F1" s="169"/>
      <c r="G1" s="168" t="s">
        <v>103</v>
      </c>
      <c r="H1" s="169"/>
      <c r="I1" s="170" t="s">
        <v>106</v>
      </c>
      <c r="J1" s="169"/>
      <c r="K1" s="208" t="s">
        <v>122</v>
      </c>
      <c r="L1" s="209"/>
    </row>
    <row r="2" spans="1:22" x14ac:dyDescent="0.25">
      <c r="A2" s="49" t="s">
        <v>85</v>
      </c>
      <c r="B2" s="74"/>
      <c r="C2" s="91" t="s">
        <v>108</v>
      </c>
      <c r="D2" s="92">
        <f>J6*1.35</f>
        <v>6963322.9500000002</v>
      </c>
      <c r="E2" s="49" t="s">
        <v>89</v>
      </c>
      <c r="F2" s="26">
        <f>D5*3</f>
        <v>0</v>
      </c>
      <c r="G2" s="98" t="s">
        <v>101</v>
      </c>
      <c r="H2" s="75">
        <v>5290275</v>
      </c>
      <c r="I2" s="4" t="s">
        <v>56</v>
      </c>
      <c r="J2" s="72">
        <f>'7季度'!J2+'7季度'!D5</f>
        <v>38</v>
      </c>
      <c r="K2" s="133" t="s">
        <v>149</v>
      </c>
      <c r="L2" s="134">
        <f>F2+F3</f>
        <v>114</v>
      </c>
    </row>
    <row r="3" spans="1:22" x14ac:dyDescent="0.25">
      <c r="A3" s="49" t="s">
        <v>86</v>
      </c>
      <c r="B3" s="74"/>
      <c r="C3" s="93" t="s">
        <v>109</v>
      </c>
      <c r="D3" s="95">
        <v>0</v>
      </c>
      <c r="E3" s="49" t="s">
        <v>111</v>
      </c>
      <c r="F3" s="6">
        <f>'7季度'!F3+'7季度'!F2</f>
        <v>114</v>
      </c>
      <c r="G3" s="99" t="s">
        <v>96</v>
      </c>
      <c r="H3" s="74"/>
      <c r="I3" s="77" t="s">
        <v>53</v>
      </c>
      <c r="J3" s="73">
        <f>'7季度'!J5</f>
        <v>1763425</v>
      </c>
      <c r="K3" s="115" t="s">
        <v>153</v>
      </c>
      <c r="L3" s="23">
        <f>F4+F12</f>
        <v>53</v>
      </c>
      <c r="U3" s="44" t="s">
        <v>121</v>
      </c>
      <c r="V3">
        <v>0</v>
      </c>
    </row>
    <row r="4" spans="1:22" x14ac:dyDescent="0.25">
      <c r="A4" s="49" t="s">
        <v>87</v>
      </c>
      <c r="B4" s="74"/>
      <c r="C4" s="49" t="s">
        <v>107</v>
      </c>
      <c r="D4" s="96"/>
      <c r="E4" s="49" t="s">
        <v>112</v>
      </c>
      <c r="F4" s="5">
        <f>'7季度'!F4+'7季度'!F12</f>
        <v>53</v>
      </c>
      <c r="G4" s="99" t="s">
        <v>105</v>
      </c>
      <c r="H4" s="89" t="str">
        <f>IF(0&lt;H2&lt;=1.5*J3,"1",IF(H2&gt;2.5*J3,"3",IF(H2=0,"0","2")))</f>
        <v>3</v>
      </c>
      <c r="I4" s="4" t="s">
        <v>54</v>
      </c>
      <c r="J4" s="26">
        <f>J3*3</f>
        <v>5290275</v>
      </c>
      <c r="K4" s="115" t="s">
        <v>151</v>
      </c>
      <c r="L4" s="23">
        <f>J2+D5</f>
        <v>38</v>
      </c>
    </row>
    <row r="5" spans="1:22" ht="14.4" thickBot="1" x14ac:dyDescent="0.3">
      <c r="A5" s="8"/>
      <c r="B5" s="23"/>
      <c r="C5" s="49" t="s">
        <v>88</v>
      </c>
      <c r="D5" s="97"/>
      <c r="E5" s="100"/>
      <c r="F5" s="23"/>
      <c r="I5" s="4" t="s">
        <v>55</v>
      </c>
      <c r="J5" s="26">
        <f>ROUNDDOWN(J3*0.975+D5*50000,0)</f>
        <v>1719339</v>
      </c>
      <c r="K5" s="120" t="s">
        <v>119</v>
      </c>
      <c r="L5" s="29">
        <f>'7季度'!L5-'8季度'!H2*1.35+'8季度'!D3</f>
        <v>2.6999999973922968</v>
      </c>
    </row>
    <row r="6" spans="1:22" ht="14.4" thickBot="1" x14ac:dyDescent="0.3">
      <c r="A6" s="101"/>
      <c r="B6" s="29"/>
      <c r="C6" s="102" t="s">
        <v>104</v>
      </c>
      <c r="D6" s="103">
        <v>2.25</v>
      </c>
      <c r="E6" s="104"/>
      <c r="F6" s="29"/>
      <c r="G6" s="94"/>
      <c r="H6" s="29"/>
      <c r="I6" s="105" t="s">
        <v>57</v>
      </c>
      <c r="J6" s="106">
        <f>J5*3</f>
        <v>5158017</v>
      </c>
      <c r="K6" s="208" t="s">
        <v>126</v>
      </c>
      <c r="L6" s="210"/>
      <c r="M6" s="210"/>
      <c r="N6" s="210"/>
      <c r="O6" s="210"/>
      <c r="P6" s="209"/>
    </row>
    <row r="7" spans="1:22" x14ac:dyDescent="0.25">
      <c r="A7" s="71" t="s">
        <v>102</v>
      </c>
      <c r="B7" s="3" t="s">
        <v>58</v>
      </c>
      <c r="C7" s="3" t="s">
        <v>59</v>
      </c>
      <c r="D7" s="3" t="s">
        <v>60</v>
      </c>
      <c r="E7" s="3" t="s">
        <v>61</v>
      </c>
      <c r="F7" s="107" t="s">
        <v>110</v>
      </c>
      <c r="G7" s="127" t="s">
        <v>148</v>
      </c>
      <c r="H7" s="127" t="s">
        <v>117</v>
      </c>
      <c r="I7" s="3" t="s">
        <v>62</v>
      </c>
      <c r="J7" s="28" t="s">
        <v>63</v>
      </c>
      <c r="K7" s="135" t="s">
        <v>146</v>
      </c>
      <c r="L7" s="136" t="s">
        <v>128</v>
      </c>
      <c r="M7" s="136" t="s">
        <v>129</v>
      </c>
      <c r="N7" s="136" t="s">
        <v>130</v>
      </c>
      <c r="O7" s="136" t="s">
        <v>131</v>
      </c>
      <c r="P7" s="137" t="s">
        <v>132</v>
      </c>
    </row>
    <row r="8" spans="1:22" x14ac:dyDescent="0.25">
      <c r="A8" s="8"/>
      <c r="B8" s="1" t="s">
        <v>64</v>
      </c>
      <c r="C8" s="2">
        <v>6.5</v>
      </c>
      <c r="D8" s="2">
        <v>1500000</v>
      </c>
      <c r="E8" s="2">
        <f>'7季度'!E8+'7季度'!F8</f>
        <v>15</v>
      </c>
      <c r="F8" s="2"/>
      <c r="G8" s="129">
        <f>'7季度'!H8</f>
        <v>17636</v>
      </c>
      <c r="H8" s="129">
        <f>O8</f>
        <v>145986</v>
      </c>
      <c r="I8" s="2">
        <v>1100000</v>
      </c>
      <c r="J8" s="132">
        <f>D8-H8+G8</f>
        <v>1371650</v>
      </c>
      <c r="K8" s="138" t="s">
        <v>133</v>
      </c>
      <c r="L8" s="139">
        <v>1371650</v>
      </c>
      <c r="M8" s="139">
        <v>1371650</v>
      </c>
      <c r="N8" s="32">
        <v>21.05</v>
      </c>
      <c r="O8" s="139">
        <v>145986</v>
      </c>
      <c r="P8" s="140">
        <v>15</v>
      </c>
    </row>
    <row r="9" spans="1:22" x14ac:dyDescent="0.25">
      <c r="A9" s="8"/>
      <c r="B9" s="1" t="s">
        <v>65</v>
      </c>
      <c r="C9" s="2">
        <v>6.5</v>
      </c>
      <c r="D9" s="2">
        <v>1290275</v>
      </c>
      <c r="E9" s="2">
        <f>'7季度'!E9+'7季度'!F9</f>
        <v>13</v>
      </c>
      <c r="F9" s="2"/>
      <c r="G9" s="129">
        <f>'7季度'!H9</f>
        <v>377828</v>
      </c>
      <c r="H9" s="129">
        <f t="shared" ref="H9:H11" si="0">O9</f>
        <v>646267</v>
      </c>
      <c r="I9" s="2">
        <v>1100000</v>
      </c>
      <c r="J9" s="132">
        <f t="shared" ref="J9:J11" si="1">D9-H9+G9</f>
        <v>1021836</v>
      </c>
      <c r="K9" s="138" t="s">
        <v>134</v>
      </c>
      <c r="L9" s="139">
        <v>1021836</v>
      </c>
      <c r="M9" s="139">
        <v>1021836</v>
      </c>
      <c r="N9" s="32">
        <v>14.52</v>
      </c>
      <c r="O9" s="139">
        <v>646267</v>
      </c>
      <c r="P9" s="140">
        <v>13</v>
      </c>
    </row>
    <row r="10" spans="1:22" x14ac:dyDescent="0.25">
      <c r="A10" s="8"/>
      <c r="B10" s="1" t="s">
        <v>66</v>
      </c>
      <c r="C10" s="2">
        <v>6.5</v>
      </c>
      <c r="D10" s="2">
        <v>1300000</v>
      </c>
      <c r="E10" s="2">
        <f>'7季度'!E10+'7季度'!F10</f>
        <v>13</v>
      </c>
      <c r="F10" s="2"/>
      <c r="G10" s="129">
        <f>'7季度'!H10</f>
        <v>325255</v>
      </c>
      <c r="H10" s="129">
        <f t="shared" si="0"/>
        <v>549614</v>
      </c>
      <c r="I10" s="2">
        <v>1100000</v>
      </c>
      <c r="J10" s="132">
        <f t="shared" si="1"/>
        <v>1075641</v>
      </c>
      <c r="K10" s="138" t="s">
        <v>135</v>
      </c>
      <c r="L10" s="139">
        <v>1075641</v>
      </c>
      <c r="M10" s="139">
        <v>1075641</v>
      </c>
      <c r="N10" s="32">
        <v>16.309999999999999</v>
      </c>
      <c r="O10" s="139">
        <v>549614</v>
      </c>
      <c r="P10" s="140">
        <v>13</v>
      </c>
    </row>
    <row r="11" spans="1:22" x14ac:dyDescent="0.25">
      <c r="A11" s="8"/>
      <c r="B11" s="1" t="s">
        <v>67</v>
      </c>
      <c r="C11" s="2">
        <v>6.5</v>
      </c>
      <c r="D11" s="2">
        <v>1200000</v>
      </c>
      <c r="E11" s="2">
        <f>'7季度'!E11+'7季度'!F11</f>
        <v>12</v>
      </c>
      <c r="F11" s="2"/>
      <c r="G11" s="129">
        <f>'7季度'!H11</f>
        <v>53672</v>
      </c>
      <c r="H11" s="129">
        <f t="shared" si="0"/>
        <v>53672</v>
      </c>
      <c r="I11" s="2">
        <v>1100000</v>
      </c>
      <c r="J11" s="132">
        <f t="shared" si="1"/>
        <v>1200000</v>
      </c>
      <c r="K11" s="138" t="s">
        <v>136</v>
      </c>
      <c r="L11" s="139">
        <v>1261141</v>
      </c>
      <c r="M11" s="139">
        <v>1200000</v>
      </c>
      <c r="N11" s="32">
        <v>18.54</v>
      </c>
      <c r="O11" s="139">
        <v>53672</v>
      </c>
      <c r="P11" s="140">
        <v>12</v>
      </c>
    </row>
    <row r="12" spans="1:22" x14ac:dyDescent="0.25">
      <c r="A12" s="8"/>
      <c r="B12" s="9"/>
      <c r="C12" s="9"/>
      <c r="D12" s="9">
        <f t="shared" ref="D12:F12" si="2">D8+D9+D10+D11</f>
        <v>5290275</v>
      </c>
      <c r="E12" s="9">
        <f t="shared" si="2"/>
        <v>53</v>
      </c>
      <c r="F12" s="9">
        <f t="shared" si="2"/>
        <v>0</v>
      </c>
      <c r="G12" s="76">
        <f>G8+G9+G10+G11</f>
        <v>774391</v>
      </c>
      <c r="H12" s="76">
        <f>H8+H9+H10+H11</f>
        <v>1395539</v>
      </c>
      <c r="I12" s="9">
        <f>I8+I9+I10+I11</f>
        <v>4400000</v>
      </c>
      <c r="J12" s="23"/>
      <c r="K12" s="138" t="s">
        <v>137</v>
      </c>
      <c r="L12" s="32" t="s">
        <v>138</v>
      </c>
      <c r="M12" s="32" t="s">
        <v>139</v>
      </c>
      <c r="N12" s="32" t="s">
        <v>131</v>
      </c>
      <c r="O12" s="32" t="s">
        <v>140</v>
      </c>
      <c r="P12" s="140" t="s">
        <v>141</v>
      </c>
    </row>
    <row r="13" spans="1:22" ht="14.4" thickBot="1" x14ac:dyDescent="0.3">
      <c r="A13" s="31"/>
      <c r="B13" s="11"/>
      <c r="C13" s="11"/>
      <c r="D13" s="11">
        <f>H2</f>
        <v>5290275</v>
      </c>
      <c r="E13" s="11"/>
      <c r="F13" s="11"/>
      <c r="G13" s="10"/>
      <c r="H13" s="11"/>
      <c r="I13" s="11"/>
      <c r="J13" s="30"/>
      <c r="K13" s="141">
        <v>4730268</v>
      </c>
      <c r="L13" s="139">
        <v>5290275</v>
      </c>
      <c r="M13" s="139">
        <v>4669127</v>
      </c>
      <c r="N13" s="139">
        <v>1395539</v>
      </c>
      <c r="O13" s="139">
        <v>2</v>
      </c>
      <c r="P13" s="140">
        <v>17.61</v>
      </c>
    </row>
    <row r="14" spans="1:22" ht="14.4" thickBot="1" x14ac:dyDescent="0.3">
      <c r="A14" s="171" t="s">
        <v>10</v>
      </c>
      <c r="B14" s="172"/>
      <c r="C14" s="172"/>
      <c r="D14" s="172"/>
      <c r="E14" s="172"/>
      <c r="F14" s="173" t="s">
        <v>11</v>
      </c>
      <c r="G14" s="174"/>
      <c r="H14" s="174"/>
      <c r="I14" s="174"/>
      <c r="J14" s="198"/>
      <c r="K14" s="138" t="s">
        <v>55</v>
      </c>
      <c r="L14" s="32" t="s">
        <v>142</v>
      </c>
      <c r="M14" s="32" t="s">
        <v>143</v>
      </c>
      <c r="N14" s="32" t="s">
        <v>144</v>
      </c>
      <c r="O14" s="32" t="s">
        <v>145</v>
      </c>
      <c r="P14" s="140" t="s">
        <v>132</v>
      </c>
    </row>
    <row r="15" spans="1:22" ht="14.4" thickBot="1" x14ac:dyDescent="0.3">
      <c r="A15" s="195" t="s">
        <v>12</v>
      </c>
      <c r="B15" s="38" t="s">
        <v>29</v>
      </c>
      <c r="C15" s="38">
        <f>H3</f>
        <v>0</v>
      </c>
      <c r="D15" s="196" t="s">
        <v>116</v>
      </c>
      <c r="E15" s="197">
        <f>IF(D3=0,C15+C16+C17+C18+C21+C22+C23+C25,C15+C16+C17+C18+C20+C21+C22+C23+C25+C19)</f>
        <v>20295696.888579361</v>
      </c>
      <c r="F15" s="203" t="s">
        <v>14</v>
      </c>
      <c r="G15" s="13" t="s">
        <v>15</v>
      </c>
      <c r="H15" s="83">
        <f>J8*C8+J9*C9+J10*C10+J11*C11</f>
        <v>30349325.5</v>
      </c>
      <c r="I15" s="176" t="s">
        <v>16</v>
      </c>
      <c r="J15" s="178">
        <f>H15+H16</f>
        <v>30349325.5</v>
      </c>
      <c r="K15" s="142">
        <v>1719339</v>
      </c>
      <c r="L15" s="143">
        <v>1719339</v>
      </c>
      <c r="M15" s="144">
        <v>38</v>
      </c>
      <c r="N15" s="144">
        <v>167</v>
      </c>
      <c r="O15" s="144">
        <v>114</v>
      </c>
      <c r="P15" s="145">
        <v>53</v>
      </c>
    </row>
    <row r="16" spans="1:22" x14ac:dyDescent="0.25">
      <c r="A16" s="186"/>
      <c r="B16" s="9" t="s">
        <v>13</v>
      </c>
      <c r="C16" s="15" t="str">
        <f>IF(H4=1,"10000",IF(H4=2,"15000","20000"))</f>
        <v>20000</v>
      </c>
      <c r="D16" s="181"/>
      <c r="E16" s="184"/>
      <c r="F16" s="204"/>
      <c r="G16" s="16" t="s">
        <v>18</v>
      </c>
      <c r="H16" s="84">
        <f>B2</f>
        <v>0</v>
      </c>
      <c r="I16" s="176"/>
      <c r="J16" s="178"/>
    </row>
    <row r="17" spans="1:10" x14ac:dyDescent="0.25">
      <c r="A17" s="186"/>
      <c r="B17" s="9" t="s">
        <v>17</v>
      </c>
      <c r="C17" s="2">
        <f>IF(H2=J4,4.2*J3,2.6*J3+(H2-J3*2)*1.6)</f>
        <v>7406385</v>
      </c>
      <c r="D17" s="181"/>
      <c r="E17" s="184"/>
      <c r="F17" s="207" t="s">
        <v>118</v>
      </c>
      <c r="G17" s="16" t="s">
        <v>20</v>
      </c>
      <c r="H17" s="84">
        <f>E15+E26+E28+E33+E35-C18-C25-C23</f>
        <v>18746771.904316068</v>
      </c>
      <c r="I17" s="176" t="s">
        <v>16</v>
      </c>
      <c r="J17" s="178">
        <f>H17+H18+H19+H21+H22</f>
        <v>18746771.904316068</v>
      </c>
    </row>
    <row r="18" spans="1:10" x14ac:dyDescent="0.25">
      <c r="A18" s="186"/>
      <c r="B18" s="9" t="s">
        <v>21</v>
      </c>
      <c r="C18" s="9">
        <f>H2*1.35*('8季度'!H18+'7季度'!H28)/('8季度'!D3+'7季度'!L5)</f>
        <v>14457047.284521135</v>
      </c>
      <c r="D18" s="181"/>
      <c r="E18" s="184"/>
      <c r="F18" s="205"/>
      <c r="G18" s="16" t="s">
        <v>22</v>
      </c>
      <c r="H18" s="84">
        <f>D6*D3+D4*(1+D6)</f>
        <v>0</v>
      </c>
      <c r="I18" s="176"/>
      <c r="J18" s="178"/>
    </row>
    <row r="19" spans="1:10" x14ac:dyDescent="0.25">
      <c r="A19" s="186"/>
      <c r="B19" s="9" t="s">
        <v>23</v>
      </c>
      <c r="C19" s="17">
        <f>IF(D3&lt;2000001,ROUNDUP(D3/500000,0),5)*40000</f>
        <v>0</v>
      </c>
      <c r="D19" s="181"/>
      <c r="E19" s="184"/>
      <c r="F19" s="205"/>
      <c r="G19" s="16" t="s">
        <v>24</v>
      </c>
      <c r="H19" s="84">
        <f>D5*500000</f>
        <v>0</v>
      </c>
      <c r="I19" s="176"/>
      <c r="J19" s="178"/>
    </row>
    <row r="20" spans="1:10" x14ac:dyDescent="0.25">
      <c r="A20" s="186"/>
      <c r="B20" s="46" t="s">
        <v>115</v>
      </c>
      <c r="C20" s="17">
        <f>D4</f>
        <v>0</v>
      </c>
      <c r="D20" s="181"/>
      <c r="E20" s="184"/>
      <c r="F20" s="205"/>
      <c r="G20" s="16"/>
      <c r="H20" s="84"/>
      <c r="I20" s="176"/>
      <c r="J20" s="178"/>
    </row>
    <row r="21" spans="1:10" x14ac:dyDescent="0.25">
      <c r="A21" s="186"/>
      <c r="B21" s="9" t="s">
        <v>27</v>
      </c>
      <c r="C21" s="9">
        <f>J2*12000</f>
        <v>456000</v>
      </c>
      <c r="D21" s="181"/>
      <c r="E21" s="184"/>
      <c r="F21" s="205"/>
      <c r="G21" s="16" t="s">
        <v>26</v>
      </c>
      <c r="H21" s="90">
        <f>B3</f>
        <v>0</v>
      </c>
      <c r="I21" s="176"/>
      <c r="J21" s="178"/>
    </row>
    <row r="22" spans="1:10" x14ac:dyDescent="0.25">
      <c r="A22" s="186"/>
      <c r="B22" s="9" t="s">
        <v>25</v>
      </c>
      <c r="C22" s="18">
        <f>D5*100000</f>
        <v>0</v>
      </c>
      <c r="D22" s="181"/>
      <c r="E22" s="184"/>
      <c r="F22" s="204"/>
      <c r="G22" s="16" t="s">
        <v>28</v>
      </c>
      <c r="H22" s="90">
        <f>B4</f>
        <v>0</v>
      </c>
      <c r="I22" s="176"/>
      <c r="J22" s="178"/>
    </row>
    <row r="23" spans="1:10" x14ac:dyDescent="0.25">
      <c r="A23" s="186"/>
      <c r="B23" s="9" t="s">
        <v>32</v>
      </c>
      <c r="C23" s="9">
        <f>'7季度'!H29*0.025</f>
        <v>440856.6040582275</v>
      </c>
      <c r="D23" s="181"/>
      <c r="E23" s="184"/>
      <c r="F23" s="203" t="s">
        <v>30</v>
      </c>
      <c r="G23" s="16" t="s">
        <v>68</v>
      </c>
      <c r="H23" s="84">
        <f>'7季度'!H31</f>
        <v>15923643.75</v>
      </c>
      <c r="I23" s="9"/>
      <c r="J23" s="23"/>
    </row>
    <row r="24" spans="1:10" x14ac:dyDescent="0.25">
      <c r="A24" s="186"/>
      <c r="B24" s="19" t="s">
        <v>69</v>
      </c>
      <c r="C24" s="9">
        <f>'7季度'!H32</f>
        <v>3097564</v>
      </c>
      <c r="D24" s="181"/>
      <c r="E24" s="184"/>
      <c r="F24" s="205"/>
      <c r="G24" s="20" t="s">
        <v>33</v>
      </c>
      <c r="H24" s="86">
        <f>J15-J17</f>
        <v>11602553.595683932</v>
      </c>
      <c r="I24" s="9"/>
      <c r="J24" s="23"/>
    </row>
    <row r="25" spans="1:10" x14ac:dyDescent="0.25">
      <c r="A25" s="162"/>
      <c r="B25" s="9" t="s">
        <v>70</v>
      </c>
      <c r="C25" s="18">
        <f>C24-H12*4</f>
        <v>-2484592</v>
      </c>
      <c r="D25" s="182"/>
      <c r="E25" s="185"/>
      <c r="F25" s="205"/>
      <c r="G25" s="16" t="s">
        <v>71</v>
      </c>
      <c r="H25" s="84">
        <f>H15-E15-E26-E28-E33-E35</f>
        <v>-810758.29289542732</v>
      </c>
      <c r="I25" s="9"/>
      <c r="J25" s="23"/>
    </row>
    <row r="26" spans="1:10" x14ac:dyDescent="0.25">
      <c r="A26" s="161" t="s">
        <v>34</v>
      </c>
      <c r="B26" s="9" t="s">
        <v>35</v>
      </c>
      <c r="C26" s="9">
        <f>I12</f>
        <v>4400000</v>
      </c>
      <c r="D26" s="180" t="s">
        <v>16</v>
      </c>
      <c r="E26" s="183">
        <f>C26+C27</f>
        <v>6249027.5</v>
      </c>
      <c r="F26" s="205"/>
      <c r="G26" s="16" t="s">
        <v>72</v>
      </c>
      <c r="H26" s="84">
        <f>E15+E26+E28+E33</f>
        <v>30178887.152943972</v>
      </c>
      <c r="I26" s="9"/>
      <c r="J26" s="23"/>
    </row>
    <row r="27" spans="1:10" x14ac:dyDescent="0.25">
      <c r="A27" s="162"/>
      <c r="B27" s="9" t="s">
        <v>37</v>
      </c>
      <c r="C27" s="9">
        <f>D8*0.4+D9*0.1+D10*0.4+D11*0.5</f>
        <v>1849027.5</v>
      </c>
      <c r="D27" s="182"/>
      <c r="E27" s="185"/>
      <c r="F27" s="205"/>
      <c r="G27" s="16" t="s">
        <v>36</v>
      </c>
      <c r="H27" s="84">
        <f>B2+'7季度'!H27+'7季度'!J27</f>
        <v>28556620.883681796</v>
      </c>
      <c r="I27" s="108" t="s">
        <v>73</v>
      </c>
      <c r="J27" s="111" t="str">
        <f>IF(H30&gt;0,"0",-H30)</f>
        <v>0</v>
      </c>
    </row>
    <row r="28" spans="1:10" x14ac:dyDescent="0.25">
      <c r="A28" s="161" t="s">
        <v>38</v>
      </c>
      <c r="B28" s="9" t="s">
        <v>39</v>
      </c>
      <c r="C28" s="9">
        <f>(F2+F12)*500</f>
        <v>0</v>
      </c>
      <c r="D28" s="180" t="s">
        <v>16</v>
      </c>
      <c r="E28" s="183">
        <f>C28+C29+C30+C31+C32</f>
        <v>3475474.775003938</v>
      </c>
      <c r="F28" s="205"/>
      <c r="G28" s="16" t="s">
        <v>9</v>
      </c>
      <c r="H28" s="85">
        <f>0</f>
        <v>0</v>
      </c>
      <c r="I28" s="9"/>
      <c r="J28" s="23"/>
    </row>
    <row r="29" spans="1:10" x14ac:dyDescent="0.25">
      <c r="A29" s="186"/>
      <c r="B29" s="9" t="s">
        <v>40</v>
      </c>
      <c r="C29" s="9">
        <f>(F2+F12)*1000</f>
        <v>0</v>
      </c>
      <c r="D29" s="181"/>
      <c r="E29" s="184"/>
      <c r="F29" s="205"/>
      <c r="G29" s="16" t="s">
        <v>74</v>
      </c>
      <c r="H29" s="85">
        <f>'4季度'!H29*0.975+'5季度'!D5*500000</f>
        <v>10792125.3515625</v>
      </c>
      <c r="I29" s="9"/>
      <c r="J29" s="23"/>
    </row>
    <row r="30" spans="1:10" x14ac:dyDescent="0.25">
      <c r="A30" s="186"/>
      <c r="B30" s="9" t="s">
        <v>42</v>
      </c>
      <c r="C30" s="9">
        <f>F2*1250*3+F12*1500*3+F4*9000+F3*7500</f>
        <v>1332000</v>
      </c>
      <c r="D30" s="181"/>
      <c r="E30" s="184"/>
      <c r="F30" s="205"/>
      <c r="G30" s="20" t="s">
        <v>75</v>
      </c>
      <c r="H30" s="87">
        <f>H23+H15*0.5+H16-J17</f>
        <v>12351534.595683932</v>
      </c>
      <c r="I30" s="9"/>
      <c r="J30" s="23"/>
    </row>
    <row r="31" spans="1:10" x14ac:dyDescent="0.25">
      <c r="A31" s="186"/>
      <c r="B31" s="9" t="s">
        <v>76</v>
      </c>
      <c r="C31" s="9">
        <f>'7季度'!H28*0.1</f>
        <v>1445705.275003938</v>
      </c>
      <c r="D31" s="181"/>
      <c r="E31" s="184"/>
      <c r="F31" s="205"/>
      <c r="G31" s="110" t="s">
        <v>41</v>
      </c>
      <c r="H31" s="109">
        <f>IF(H30&gt;0,I31,H15*0.5)</f>
        <v>27526197.345683932</v>
      </c>
      <c r="I31" s="21">
        <f>H15+H16-J17+H23</f>
        <v>27526197.345683932</v>
      </c>
      <c r="J31" s="23"/>
    </row>
    <row r="32" spans="1:10" x14ac:dyDescent="0.25">
      <c r="A32" s="162"/>
      <c r="B32" s="9" t="s">
        <v>77</v>
      </c>
      <c r="C32" s="9">
        <f>0.5*H12</f>
        <v>697769.5</v>
      </c>
      <c r="D32" s="182"/>
      <c r="E32" s="185"/>
      <c r="F32" s="205"/>
      <c r="G32" s="80" t="s">
        <v>78</v>
      </c>
      <c r="H32" s="84">
        <f>H12*4</f>
        <v>5582156</v>
      </c>
      <c r="I32" s="9"/>
      <c r="J32" s="23"/>
    </row>
    <row r="33" spans="1:10" ht="14.4" thickBot="1" x14ac:dyDescent="0.3">
      <c r="A33" s="161" t="s">
        <v>47</v>
      </c>
      <c r="B33" s="46" t="s">
        <v>114</v>
      </c>
      <c r="C33" s="9">
        <f>'7季度'!J27*'0季度'!D10</f>
        <v>21206.513256350609</v>
      </c>
      <c r="D33" s="199" t="s">
        <v>16</v>
      </c>
      <c r="E33" s="201">
        <f>C34+C33</f>
        <v>158687.98936067196</v>
      </c>
      <c r="F33" s="206"/>
      <c r="G33" s="81" t="s">
        <v>45</v>
      </c>
      <c r="H33" s="88">
        <f>'7季度'!H33+'8季度'!H25-'8季度'!B4</f>
        <v>21745152.084842101</v>
      </c>
      <c r="I33" s="22">
        <f>ROUNDDOWN(H33/1500000,0)</f>
        <v>14</v>
      </c>
      <c r="J33" s="30"/>
    </row>
    <row r="34" spans="1:10" x14ac:dyDescent="0.25">
      <c r="A34" s="162"/>
      <c r="B34" s="46" t="s">
        <v>113</v>
      </c>
      <c r="C34" s="9">
        <f>('7季度'!H27+B2-B3)*'0季度'!D10/4</f>
        <v>137481.47610432134</v>
      </c>
      <c r="D34" s="200"/>
      <c r="E34" s="202"/>
    </row>
    <row r="35" spans="1:10" x14ac:dyDescent="0.25">
      <c r="A35" s="161" t="s">
        <v>49</v>
      </c>
      <c r="B35" s="9" t="s">
        <v>50</v>
      </c>
      <c r="C35" s="9">
        <f>H15/(1+'0季度'!D8)*'0季度'!D8</f>
        <v>883960.93689320376</v>
      </c>
      <c r="D35" s="180" t="s">
        <v>16</v>
      </c>
      <c r="E35" s="183">
        <f>C35+C36+C37</f>
        <v>981196.63995145622</v>
      </c>
    </row>
    <row r="36" spans="1:10" x14ac:dyDescent="0.25">
      <c r="A36" s="186"/>
      <c r="B36" s="9" t="s">
        <v>51</v>
      </c>
      <c r="C36" s="9">
        <f>C35*'0季度'!D9</f>
        <v>97235.703058252417</v>
      </c>
      <c r="D36" s="181"/>
      <c r="E36" s="184"/>
    </row>
    <row r="37" spans="1:10" ht="14.4" thickBot="1" x14ac:dyDescent="0.3">
      <c r="A37" s="187"/>
      <c r="B37" s="11" t="s">
        <v>52</v>
      </c>
      <c r="C37" s="24">
        <f>IF((H15/(1+'0季度'!D8)-H26-'8季度'!C36)*'0季度'!D7&lt;0,"0",H15/(1+'0季度'!D8)-H26-C36)*'0季度'!D7</f>
        <v>0</v>
      </c>
      <c r="D37" s="189"/>
      <c r="E37" s="194"/>
    </row>
  </sheetData>
  <mergeCells count="31">
    <mergeCell ref="A33:A34"/>
    <mergeCell ref="D33:D34"/>
    <mergeCell ref="E33:E34"/>
    <mergeCell ref="A35:A37"/>
    <mergeCell ref="D35:D37"/>
    <mergeCell ref="E35:E37"/>
    <mergeCell ref="A26:A27"/>
    <mergeCell ref="D26:D27"/>
    <mergeCell ref="E26:E27"/>
    <mergeCell ref="A28:A32"/>
    <mergeCell ref="D28:D32"/>
    <mergeCell ref="E28:E32"/>
    <mergeCell ref="A15:A25"/>
    <mergeCell ref="D15:D25"/>
    <mergeCell ref="E15:E25"/>
    <mergeCell ref="F15:F16"/>
    <mergeCell ref="I15:I16"/>
    <mergeCell ref="J15:J16"/>
    <mergeCell ref="F17:F22"/>
    <mergeCell ref="I17:I22"/>
    <mergeCell ref="J17:J22"/>
    <mergeCell ref="F23:F33"/>
    <mergeCell ref="K1:L1"/>
    <mergeCell ref="K6:P6"/>
    <mergeCell ref="A14:E14"/>
    <mergeCell ref="F14:J14"/>
    <mergeCell ref="A1:B1"/>
    <mergeCell ref="C1:D1"/>
    <mergeCell ref="E1:F1"/>
    <mergeCell ref="G1:H1"/>
    <mergeCell ref="I1:J1"/>
  </mergeCells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0季度</vt:lpstr>
      <vt:lpstr>1季度</vt:lpstr>
      <vt:lpstr>2季度</vt:lpstr>
      <vt:lpstr>3季度</vt:lpstr>
      <vt:lpstr>4季度</vt:lpstr>
      <vt:lpstr>5季度</vt:lpstr>
      <vt:lpstr>6季度</vt:lpstr>
      <vt:lpstr>7季度</vt:lpstr>
      <vt:lpstr>8季度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绿色芒果冰</dc:creator>
  <cp:lastModifiedBy>lenovo</cp:lastModifiedBy>
  <dcterms:created xsi:type="dcterms:W3CDTF">2015-06-05T18:19:00Z</dcterms:created>
  <dcterms:modified xsi:type="dcterms:W3CDTF">2021-11-10T04:42:42Z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