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<sst xmlns="http://schemas.openxmlformats.org/spreadsheetml/2006/main" count="852" uniqueCount="98">
  <si>
    <t>增值税</t>
  </si>
  <si>
    <t>筹建期</t>
  </si>
  <si>
    <t>附加税</t>
  </si>
  <si>
    <t>运营状况表</t>
  </si>
  <si>
    <t>本季度原料价格</t>
  </si>
  <si>
    <t>利润表</t>
  </si>
  <si>
    <t>企业所得税</t>
  </si>
  <si>
    <t>市场</t>
  </si>
  <si>
    <t>市场需求量</t>
  </si>
  <si>
    <t>市场销售量</t>
  </si>
  <si>
    <t>市场销售额</t>
  </si>
  <si>
    <t>市场占有率</t>
  </si>
  <si>
    <t>产成品库存</t>
  </si>
  <si>
    <t>市场客服</t>
  </si>
  <si>
    <t>销售收入</t>
  </si>
  <si>
    <t>现金流量表</t>
  </si>
  <si>
    <t>贷款年利率</t>
  </si>
  <si>
    <t>东</t>
  </si>
  <si>
    <t>单位原料成本</t>
  </si>
  <si>
    <t>研发费用</t>
  </si>
  <si>
    <t>现金费用支出</t>
  </si>
  <si>
    <t>折现率</t>
  </si>
  <si>
    <t>西</t>
  </si>
  <si>
    <t>班次管理费</t>
  </si>
  <si>
    <t>购料支出</t>
  </si>
  <si>
    <t>南</t>
  </si>
  <si>
    <t>人工费用</t>
  </si>
  <si>
    <t>生产线投资支出</t>
  </si>
  <si>
    <t>北</t>
  </si>
  <si>
    <t>原材料耗用</t>
  </si>
  <si>
    <t>本季现金流量</t>
  </si>
  <si>
    <t>市场合计</t>
  </si>
  <si>
    <t>市场总需求量</t>
  </si>
  <si>
    <t>市场总销售额</t>
  </si>
  <si>
    <t>市场总占有率</t>
  </si>
  <si>
    <t>总库存</t>
  </si>
  <si>
    <t>总客服</t>
  </si>
  <si>
    <t>原材料订购成本</t>
  </si>
  <si>
    <t>季末现金余额</t>
  </si>
  <si>
    <t>原材料非正常采购费用</t>
  </si>
  <si>
    <t>下季产能</t>
  </si>
  <si>
    <t>下季实际产能</t>
  </si>
  <si>
    <t>本季产能</t>
  </si>
  <si>
    <t>季末生产线数量</t>
  </si>
  <si>
    <t>原料库存</t>
  </si>
  <si>
    <t>员工总数</t>
  </si>
  <si>
    <t>技术工人总数</t>
  </si>
  <si>
    <t>生产线维护费用</t>
  </si>
  <si>
    <t>现金流入</t>
  </si>
  <si>
    <t>生产线订购成本</t>
  </si>
  <si>
    <t>借款</t>
  </si>
  <si>
    <t>决策区</t>
  </si>
  <si>
    <t>生产线折旧</t>
  </si>
  <si>
    <t>还款</t>
  </si>
  <si>
    <t>定价</t>
  </si>
  <si>
    <t>营销</t>
  </si>
  <si>
    <t>投放量</t>
  </si>
  <si>
    <t>客服</t>
  </si>
  <si>
    <t>研发</t>
  </si>
  <si>
    <t>产成品存货价值修正</t>
  </si>
  <si>
    <t>现金流出</t>
  </si>
  <si>
    <t>计划生产量</t>
  </si>
  <si>
    <t>营销费用</t>
  </si>
  <si>
    <t>资产负债表</t>
  </si>
  <si>
    <t>正常采购</t>
  </si>
  <si>
    <t>运输费用</t>
  </si>
  <si>
    <t>现金</t>
  </si>
  <si>
    <t>非正常采购</t>
  </si>
  <si>
    <t>紧急调拨费用</t>
  </si>
  <si>
    <t>原材料存货价值</t>
  </si>
  <si>
    <t>生产线采购</t>
  </si>
  <si>
    <t>招聘费</t>
  </si>
  <si>
    <t>产成品存货价值</t>
  </si>
  <si>
    <t>技术工人</t>
  </si>
  <si>
    <t>培训费</t>
  </si>
  <si>
    <t>生产设备价值</t>
  </si>
  <si>
    <t>员工工资</t>
  </si>
  <si>
    <t>负债</t>
  </si>
  <si>
    <t>一次性生活安置费</t>
  </si>
  <si>
    <t>总资产</t>
  </si>
  <si>
    <t>原材料仓储费用</t>
  </si>
  <si>
    <t>正产负债</t>
  </si>
  <si>
    <t>产成品仓储费用</t>
  </si>
  <si>
    <t>非正常负债</t>
  </si>
  <si>
    <t>银行利息</t>
  </si>
  <si>
    <t>所有者权益</t>
  </si>
  <si>
    <t>总成本</t>
  </si>
  <si>
    <t>公司所得税</t>
  </si>
  <si>
    <t>净利润</t>
  </si>
  <si>
    <t>一季度</t>
  </si>
  <si>
    <t>1季度不交所得税</t>
  </si>
  <si>
    <t>二季度</t>
  </si>
  <si>
    <t>三季度</t>
  </si>
  <si>
    <t>四季度</t>
  </si>
  <si>
    <t>五季度</t>
  </si>
  <si>
    <t>六季度</t>
  </si>
  <si>
    <t>七季度</t>
  </si>
  <si>
    <t>八季度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</si>
</sst>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24"/>
      <color theme="1"/>
      <name val="等线"/>
      <charset val="134"/>
      <scheme val="minor"/>
    </font>
    <font>
      <b/>
      <sz val="11"/>
      <color rgb="FF4F4F4F"/>
      <name val="等线"/>
      <charset val="134"/>
      <scheme val="minor"/>
    </font>
    <font>
      <b/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11" applyNumberFormat="0" applyAlignment="0" applyProtection="0">
      <alignment vertical="center"/>
    </xf>
    <xf numFmtId="0" fontId="14" fillId="11" borderId="12" applyNumberFormat="0" applyAlignment="0" applyProtection="0">
      <alignment vertical="center"/>
    </xf>
    <xf numFmtId="0" fontId="15" fillId="11" borderId="11" applyNumberFormat="0" applyAlignment="0" applyProtection="0">
      <alignment vertical="center"/>
    </xf>
    <xf numFmtId="0" fontId="16" fillId="12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1" fillId="0" borderId="2" xfId="1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3" fontId="1" fillId="0" borderId="6" xfId="1" applyFont="1" applyBorder="1" applyAlignment="1">
      <alignment horizontal="center" vertical="center"/>
    </xf>
    <xf numFmtId="43" fontId="1" fillId="0" borderId="7" xfId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3" fontId="1" fillId="0" borderId="2" xfId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1"/>
  <sheetViews>
    <sheetView tabSelected="1" topLeftCell="A151" workbookViewId="0">
      <selection activeCell="H236" sqref="H236"/>
    </sheetView>
  </sheetViews>
  <sheetFormatPr defaultColWidth="9" defaultRowHeight="14"/>
  <cols>
    <col min="1" max="1" width="12.6666666666667" style="1" customWidth="1"/>
    <col min="2" max="3" width="12.75" style="1" customWidth="1"/>
    <col min="4" max="4" width="14.8333333333333" style="1" customWidth="1"/>
    <col min="5" max="5" width="12.75" style="1" customWidth="1"/>
    <col min="6" max="6" width="10.6666666666667" style="1" customWidth="1"/>
    <col min="7" max="7" width="12.75" style="1" customWidth="1"/>
    <col min="8" max="8" width="14.8333333333333" style="1" customWidth="1"/>
    <col min="9" max="9" width="20.9166666666667" style="1" customWidth="1"/>
    <col min="10" max="10" width="13.8333333333333" style="1" customWidth="1"/>
    <col min="11" max="11" width="15.9166666666667" style="1" customWidth="1"/>
    <col min="12" max="12" width="13.8333333333333" style="1" customWidth="1"/>
    <col min="13" max="13" width="8.66666666666667" style="1"/>
    <col min="14" max="14" width="10.6666666666667" style="1" customWidth="1"/>
    <col min="15" max="16" width="5.41666666666667" style="1" customWidth="1"/>
    <col min="17" max="16384" width="8.66666666666667" style="1"/>
  </cols>
  <sheetData>
    <row r="1" spans="14:16">
      <c r="N1" s="1" t="s">
        <v>0</v>
      </c>
      <c r="O1" s="1">
        <v>0.06</v>
      </c>
      <c r="P1" s="1">
        <f>1+O1</f>
        <v>1.06</v>
      </c>
    </row>
    <row r="2" ht="30" spans="1:1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N2" s="1" t="s">
        <v>2</v>
      </c>
      <c r="O2" s="1">
        <v>0.07</v>
      </c>
    </row>
    <row r="3" spans="1:15">
      <c r="A3" s="3" t="s">
        <v>3</v>
      </c>
      <c r="B3" s="3"/>
      <c r="C3" s="3"/>
      <c r="D3" s="3"/>
      <c r="E3" s="3"/>
      <c r="F3" s="3"/>
      <c r="G3" s="3"/>
      <c r="H3" s="3" t="s">
        <v>4</v>
      </c>
      <c r="I3" s="3" t="s">
        <v>5</v>
      </c>
      <c r="J3" s="3"/>
      <c r="K3" s="3"/>
      <c r="L3" s="3"/>
      <c r="N3" s="1" t="s">
        <v>6</v>
      </c>
      <c r="O3" s="1">
        <v>0.25</v>
      </c>
    </row>
    <row r="4" spans="1:1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4"/>
      <c r="I4" s="3" t="s">
        <v>14</v>
      </c>
      <c r="J4" s="3">
        <f>B15*C5+B16*C6+B17*C7+B18*C8</f>
        <v>0</v>
      </c>
      <c r="K4" s="17" t="s">
        <v>15</v>
      </c>
      <c r="L4" s="17"/>
      <c r="N4" s="1" t="s">
        <v>16</v>
      </c>
      <c r="O4" s="1">
        <v>0.01</v>
      </c>
    </row>
    <row r="5" spans="1:15">
      <c r="A5" s="3" t="s">
        <v>17</v>
      </c>
      <c r="B5" s="3"/>
      <c r="C5" s="5"/>
      <c r="D5" s="3"/>
      <c r="E5" s="3"/>
      <c r="F5" s="6"/>
      <c r="G5" s="6">
        <f>E15</f>
        <v>3</v>
      </c>
      <c r="H5" s="1" t="s">
        <v>18</v>
      </c>
      <c r="I5" s="3" t="s">
        <v>19</v>
      </c>
      <c r="J5" s="3">
        <f>G14</f>
        <v>1502000</v>
      </c>
      <c r="K5" s="18" t="s">
        <v>20</v>
      </c>
      <c r="L5" s="18">
        <f>J25+J26+J27+J28-J8-J13-J14</f>
        <v>2500000</v>
      </c>
      <c r="N5" s="1" t="s">
        <v>21</v>
      </c>
      <c r="O5" s="1">
        <v>0.02</v>
      </c>
    </row>
    <row r="6" spans="1:12">
      <c r="A6" s="3" t="s">
        <v>22</v>
      </c>
      <c r="B6" s="3"/>
      <c r="C6" s="5"/>
      <c r="D6" s="3"/>
      <c r="E6" s="3"/>
      <c r="F6" s="6"/>
      <c r="G6" s="6">
        <f>E16</f>
        <v>3</v>
      </c>
      <c r="H6" s="7"/>
      <c r="I6" s="3" t="s">
        <v>23</v>
      </c>
      <c r="J6" s="3">
        <f>IF(G15&gt;0,20000,0)</f>
        <v>0</v>
      </c>
      <c r="K6" s="18" t="s">
        <v>24</v>
      </c>
      <c r="L6" s="18">
        <f>(G17+G16)*H4</f>
        <v>0</v>
      </c>
    </row>
    <row r="7" spans="1:12">
      <c r="A7" s="3" t="s">
        <v>25</v>
      </c>
      <c r="B7" s="3"/>
      <c r="C7" s="5"/>
      <c r="D7" s="3"/>
      <c r="E7" s="3"/>
      <c r="F7" s="6"/>
      <c r="G7" s="6">
        <f>E17</f>
        <v>3</v>
      </c>
      <c r="I7" s="3" t="s">
        <v>26</v>
      </c>
      <c r="J7" s="3">
        <f>1.4*G15</f>
        <v>0</v>
      </c>
      <c r="K7" s="18" t="s">
        <v>27</v>
      </c>
      <c r="L7" s="18">
        <f>G18*500000</f>
        <v>4000000</v>
      </c>
    </row>
    <row r="8" spans="1:12">
      <c r="A8" s="3" t="s">
        <v>28</v>
      </c>
      <c r="B8" s="3"/>
      <c r="C8" s="5"/>
      <c r="D8" s="3"/>
      <c r="E8" s="3"/>
      <c r="F8" s="6"/>
      <c r="G8" s="6">
        <f>E18</f>
        <v>3</v>
      </c>
      <c r="I8" s="3" t="s">
        <v>29</v>
      </c>
      <c r="J8" s="3">
        <f>H6*G15*1.35</f>
        <v>0</v>
      </c>
      <c r="K8" s="18" t="s">
        <v>30</v>
      </c>
      <c r="L8" s="19">
        <f>L11-L14+650000</f>
        <v>-5850000</v>
      </c>
    </row>
    <row r="9" spans="1:12">
      <c r="A9" s="8" t="s">
        <v>31</v>
      </c>
      <c r="B9" s="3" t="s">
        <v>32</v>
      </c>
      <c r="C9" s="3" t="s">
        <v>33</v>
      </c>
      <c r="D9" s="3" t="s">
        <v>33</v>
      </c>
      <c r="E9" s="3" t="s">
        <v>34</v>
      </c>
      <c r="F9" s="3" t="s">
        <v>35</v>
      </c>
      <c r="G9" s="3" t="s">
        <v>36</v>
      </c>
      <c r="I9" s="3" t="s">
        <v>37</v>
      </c>
      <c r="J9" s="3">
        <f>IF(G17+G16&gt;0,200000,0)</f>
        <v>0</v>
      </c>
      <c r="K9" s="18" t="s">
        <v>38</v>
      </c>
      <c r="L9" s="6"/>
    </row>
    <row r="10" spans="1:12">
      <c r="A10" s="8"/>
      <c r="B10" s="3">
        <f t="shared" ref="B10:G10" si="0">B5+B6+B7+B8</f>
        <v>0</v>
      </c>
      <c r="C10" s="3">
        <f t="shared" si="0"/>
        <v>0</v>
      </c>
      <c r="D10" s="3">
        <f t="shared" si="0"/>
        <v>0</v>
      </c>
      <c r="E10" s="3">
        <f t="shared" si="0"/>
        <v>0</v>
      </c>
      <c r="F10" s="6">
        <f t="shared" si="0"/>
        <v>0</v>
      </c>
      <c r="G10" s="6">
        <f t="shared" si="0"/>
        <v>12</v>
      </c>
      <c r="I10" s="3" t="s">
        <v>39</v>
      </c>
      <c r="J10" s="3">
        <f>G17</f>
        <v>0</v>
      </c>
      <c r="K10" s="18" t="s">
        <v>14</v>
      </c>
      <c r="L10" s="3">
        <f>J4</f>
        <v>0</v>
      </c>
    </row>
    <row r="11" spans="1:12">
      <c r="A11" s="6" t="s">
        <v>40</v>
      </c>
      <c r="B11" s="3" t="s">
        <v>41</v>
      </c>
      <c r="C11" s="3" t="s">
        <v>42</v>
      </c>
      <c r="D11" s="3" t="s">
        <v>43</v>
      </c>
      <c r="E11" s="3" t="s">
        <v>44</v>
      </c>
      <c r="F11" s="3" t="s">
        <v>45</v>
      </c>
      <c r="G11" s="3" t="s">
        <v>46</v>
      </c>
      <c r="I11" s="3" t="s">
        <v>47</v>
      </c>
      <c r="J11" s="6"/>
      <c r="K11" s="18" t="s">
        <v>48</v>
      </c>
      <c r="L11" s="3">
        <f>L10+L12</f>
        <v>0</v>
      </c>
    </row>
    <row r="12" spans="1:12">
      <c r="A12" s="6">
        <f>G18*50000</f>
        <v>400000</v>
      </c>
      <c r="B12" s="3">
        <f>A12</f>
        <v>400000</v>
      </c>
      <c r="C12" s="3">
        <f>B12</f>
        <v>400000</v>
      </c>
      <c r="D12" s="6">
        <f>G18</f>
        <v>8</v>
      </c>
      <c r="E12" s="6">
        <f>G16+G17-G15*1.35</f>
        <v>0</v>
      </c>
      <c r="F12" s="6">
        <f>G10+G12</f>
        <v>36</v>
      </c>
      <c r="G12" s="6">
        <f>G19</f>
        <v>24</v>
      </c>
      <c r="I12" s="3" t="s">
        <v>49</v>
      </c>
      <c r="J12" s="3">
        <f>G18*100000</f>
        <v>800000</v>
      </c>
      <c r="K12" s="18" t="s">
        <v>50</v>
      </c>
      <c r="L12" s="3">
        <f>B19</f>
        <v>0</v>
      </c>
    </row>
    <row r="13" spans="1:12">
      <c r="A13" s="8" t="s">
        <v>51</v>
      </c>
      <c r="B13" s="8"/>
      <c r="C13" s="8"/>
      <c r="D13" s="8"/>
      <c r="E13" s="8"/>
      <c r="F13" s="8"/>
      <c r="G13" s="8"/>
      <c r="I13" s="3" t="s">
        <v>52</v>
      </c>
      <c r="J13" s="6"/>
      <c r="K13" s="18" t="s">
        <v>53</v>
      </c>
      <c r="L13" s="3">
        <f>D19</f>
        <v>0</v>
      </c>
    </row>
    <row r="14" spans="1:12">
      <c r="A14" s="3"/>
      <c r="B14" s="3" t="s">
        <v>54</v>
      </c>
      <c r="C14" s="3" t="s">
        <v>55</v>
      </c>
      <c r="D14" s="3" t="s">
        <v>56</v>
      </c>
      <c r="E14" s="3" t="s">
        <v>57</v>
      </c>
      <c r="F14" s="3" t="s">
        <v>58</v>
      </c>
      <c r="G14" s="9">
        <v>1502000</v>
      </c>
      <c r="I14" s="3" t="s">
        <v>59</v>
      </c>
      <c r="J14" s="6"/>
      <c r="K14" s="18" t="s">
        <v>60</v>
      </c>
      <c r="L14" s="3">
        <f>SUM(L5,L6,L13,L7)</f>
        <v>6500000</v>
      </c>
    </row>
    <row r="15" spans="1:12">
      <c r="A15" s="3" t="s">
        <v>17</v>
      </c>
      <c r="B15" s="10"/>
      <c r="C15" s="9"/>
      <c r="D15" s="9"/>
      <c r="E15" s="9">
        <v>3</v>
      </c>
      <c r="F15" s="3" t="s">
        <v>61</v>
      </c>
      <c r="G15" s="9">
        <v>0</v>
      </c>
      <c r="I15" s="3" t="s">
        <v>62</v>
      </c>
      <c r="J15" s="3">
        <f>C15+C16+C17+C18</f>
        <v>0</v>
      </c>
      <c r="K15" s="17" t="s">
        <v>63</v>
      </c>
      <c r="L15" s="17"/>
    </row>
    <row r="16" spans="1:12">
      <c r="A16" s="3" t="s">
        <v>22</v>
      </c>
      <c r="B16" s="10"/>
      <c r="C16" s="9"/>
      <c r="D16" s="9"/>
      <c r="E16" s="9">
        <v>3</v>
      </c>
      <c r="F16" s="6" t="s">
        <v>64</v>
      </c>
      <c r="G16" s="9"/>
      <c r="I16" s="3" t="s">
        <v>65</v>
      </c>
      <c r="J16" s="3">
        <f>0.5*D15+0.1*D16+0.4*D17+0.4*D18</f>
        <v>0</v>
      </c>
      <c r="K16" s="18" t="s">
        <v>66</v>
      </c>
      <c r="L16" s="18">
        <f>L9</f>
        <v>0</v>
      </c>
    </row>
    <row r="17" spans="1:12">
      <c r="A17" s="3" t="s">
        <v>25</v>
      </c>
      <c r="B17" s="10"/>
      <c r="C17" s="9"/>
      <c r="D17" s="9"/>
      <c r="E17" s="9">
        <v>3</v>
      </c>
      <c r="F17" s="6" t="s">
        <v>67</v>
      </c>
      <c r="G17" s="9"/>
      <c r="I17" s="3" t="s">
        <v>68</v>
      </c>
      <c r="J17" s="3"/>
      <c r="K17" s="18" t="s">
        <v>69</v>
      </c>
      <c r="L17" s="18">
        <f>H6*E12</f>
        <v>0</v>
      </c>
    </row>
    <row r="18" spans="1:12">
      <c r="A18" s="3" t="s">
        <v>28</v>
      </c>
      <c r="B18" s="10"/>
      <c r="C18" s="9"/>
      <c r="D18" s="9"/>
      <c r="E18" s="9">
        <v>3</v>
      </c>
      <c r="F18" s="6" t="s">
        <v>70</v>
      </c>
      <c r="G18" s="9">
        <v>8</v>
      </c>
      <c r="I18" s="3" t="s">
        <v>71</v>
      </c>
      <c r="J18" s="20">
        <f>1500*SUM(G19,E15,E16,E17,E18)</f>
        <v>54000</v>
      </c>
      <c r="K18" s="18" t="s">
        <v>72</v>
      </c>
      <c r="L18" s="18">
        <f>4*F10</f>
        <v>0</v>
      </c>
    </row>
    <row r="19" spans="1:12">
      <c r="A19" s="3" t="s">
        <v>50</v>
      </c>
      <c r="B19" s="9"/>
      <c r="C19" s="3" t="s">
        <v>53</v>
      </c>
      <c r="D19" s="9"/>
      <c r="E19" s="3"/>
      <c r="F19" s="6" t="s">
        <v>73</v>
      </c>
      <c r="G19" s="9">
        <f>G18*3</f>
        <v>24</v>
      </c>
      <c r="I19" s="3" t="s">
        <v>74</v>
      </c>
      <c r="J19" s="21"/>
      <c r="K19" s="18" t="s">
        <v>75</v>
      </c>
      <c r="L19" s="19">
        <f>G18*500000</f>
        <v>4000000</v>
      </c>
    </row>
    <row r="20" spans="9:12">
      <c r="I20" s="3" t="s">
        <v>76</v>
      </c>
      <c r="J20" s="6">
        <f>G19*3750+SUM(E15,E16,E17,E18)*4500</f>
        <v>144000</v>
      </c>
      <c r="K20" s="18" t="s">
        <v>77</v>
      </c>
      <c r="L20" s="18">
        <f>L22+L23</f>
        <v>0</v>
      </c>
    </row>
    <row r="21" spans="9:12">
      <c r="I21" s="3" t="s">
        <v>78</v>
      </c>
      <c r="J21" s="3"/>
      <c r="K21" s="18" t="s">
        <v>79</v>
      </c>
      <c r="L21" s="17">
        <f>SUM(L16,L17,L18,L19)</f>
        <v>4000000</v>
      </c>
    </row>
    <row r="22" spans="9:12">
      <c r="I22" s="3" t="s">
        <v>80</v>
      </c>
      <c r="J22" s="6"/>
      <c r="K22" s="18" t="s">
        <v>81</v>
      </c>
      <c r="L22" s="6"/>
    </row>
    <row r="23" spans="9:12">
      <c r="I23" s="3" t="s">
        <v>82</v>
      </c>
      <c r="J23" s="3">
        <f>F10*0.5</f>
        <v>0</v>
      </c>
      <c r="K23" s="18" t="s">
        <v>83</v>
      </c>
      <c r="L23" s="3"/>
    </row>
    <row r="24" spans="9:12">
      <c r="I24" s="3" t="s">
        <v>84</v>
      </c>
      <c r="J24" s="6"/>
      <c r="K24" s="18" t="s">
        <v>85</v>
      </c>
      <c r="L24" s="22">
        <f>L21-L20</f>
        <v>4000000</v>
      </c>
    </row>
    <row r="25" spans="9:12">
      <c r="I25" s="3" t="s">
        <v>86</v>
      </c>
      <c r="J25" s="3">
        <f>SUM(J5,J6,J7,J8,J9,J10,J11,J12,J13,J14,J15,J16,J17,J18,J20,J21,J22,J23,J24,)</f>
        <v>2500000</v>
      </c>
      <c r="K25" s="23"/>
      <c r="L25" s="23"/>
    </row>
    <row r="26" spans="9:12">
      <c r="I26" s="3" t="s">
        <v>0</v>
      </c>
      <c r="J26" s="3">
        <f>J4/$P$1*$O$1</f>
        <v>0</v>
      </c>
      <c r="K26" s="23"/>
      <c r="L26" s="23"/>
    </row>
    <row r="27" spans="9:12">
      <c r="I27" s="3" t="s">
        <v>2</v>
      </c>
      <c r="J27" s="3">
        <f>J26*$O$2</f>
        <v>0</v>
      </c>
      <c r="K27" s="23"/>
      <c r="L27" s="23"/>
    </row>
    <row r="28" spans="9:12">
      <c r="I28" s="3" t="s">
        <v>87</v>
      </c>
      <c r="J28" s="3">
        <v>0</v>
      </c>
      <c r="L28" s="23"/>
    </row>
    <row r="29" spans="9:12">
      <c r="I29" s="3" t="s">
        <v>88</v>
      </c>
      <c r="J29" s="22">
        <f>J4-J25-J26-J27-J28</f>
        <v>-2500000</v>
      </c>
      <c r="K29" s="23"/>
      <c r="L29" s="23"/>
    </row>
    <row r="30" spans="9:12">
      <c r="I30" s="23"/>
      <c r="J30" s="23"/>
      <c r="K30" s="23"/>
      <c r="L30" s="23"/>
    </row>
    <row r="31" ht="30" spans="1:12">
      <c r="A31" s="2" t="s">
        <v>89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11" t="s">
        <v>3</v>
      </c>
      <c r="B32" s="12"/>
      <c r="C32" s="12"/>
      <c r="D32" s="12"/>
      <c r="E32" s="12"/>
      <c r="F32" s="12"/>
      <c r="G32" s="13"/>
      <c r="H32" s="3" t="s">
        <v>4</v>
      </c>
      <c r="I32" s="11" t="s">
        <v>5</v>
      </c>
      <c r="J32" s="13"/>
      <c r="K32" s="3"/>
      <c r="L32" s="3"/>
    </row>
    <row r="33" spans="1:12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  <c r="H33" s="4">
        <v>1.25</v>
      </c>
      <c r="I33" s="3" t="s">
        <v>14</v>
      </c>
      <c r="J33" s="3">
        <f>B44*C34+B45*C35+B46*C36+B47*C37</f>
        <v>9000000</v>
      </c>
      <c r="K33" s="24" t="s">
        <v>15</v>
      </c>
      <c r="L33" s="25"/>
    </row>
    <row r="34" spans="1:12">
      <c r="A34" s="3" t="s">
        <v>17</v>
      </c>
      <c r="B34" s="3"/>
      <c r="C34" s="5">
        <v>300000</v>
      </c>
      <c r="D34" s="3"/>
      <c r="E34" s="3"/>
      <c r="F34" s="6">
        <f>D44-C34+F5</f>
        <v>0</v>
      </c>
      <c r="G34" s="6">
        <f>E44+G5</f>
        <v>3</v>
      </c>
      <c r="H34" s="1" t="s">
        <v>18</v>
      </c>
      <c r="I34" s="3" t="s">
        <v>19</v>
      </c>
      <c r="J34" s="3">
        <f>G43</f>
        <v>600000</v>
      </c>
      <c r="K34" s="18" t="s">
        <v>20</v>
      </c>
      <c r="L34" s="18">
        <f>J54+J55+J56+J57-J37-J42-J43</f>
        <v>8155500</v>
      </c>
    </row>
    <row r="35" spans="1:12">
      <c r="A35" s="3" t="s">
        <v>22</v>
      </c>
      <c r="B35" s="3"/>
      <c r="C35" s="5">
        <v>300000</v>
      </c>
      <c r="D35" s="3"/>
      <c r="E35" s="3"/>
      <c r="F35" s="6">
        <f>D45-C35+F6</f>
        <v>0</v>
      </c>
      <c r="G35" s="6">
        <f>E45+G6</f>
        <v>3</v>
      </c>
      <c r="H35" s="7">
        <f>(L35+L17)/(G45+G46+E12)</f>
        <v>1.25</v>
      </c>
      <c r="I35" s="3" t="s">
        <v>23</v>
      </c>
      <c r="J35" s="3">
        <f>IF(G44&gt;0,20000,0)</f>
        <v>20000</v>
      </c>
      <c r="K35" s="18" t="s">
        <v>24</v>
      </c>
      <c r="L35" s="18">
        <f>(G46+G45)*H33</f>
        <v>7186110</v>
      </c>
    </row>
    <row r="36" spans="1:12">
      <c r="A36" s="3" t="s">
        <v>25</v>
      </c>
      <c r="B36" s="3"/>
      <c r="C36" s="5">
        <v>300000</v>
      </c>
      <c r="D36" s="3"/>
      <c r="E36" s="3"/>
      <c r="F36" s="6">
        <f>D46-C36+F7</f>
        <v>0</v>
      </c>
      <c r="G36" s="6">
        <f>E46+G7</f>
        <v>3</v>
      </c>
      <c r="I36" s="3" t="s">
        <v>26</v>
      </c>
      <c r="J36" s="3">
        <f>1.4*G44</f>
        <v>1680000</v>
      </c>
      <c r="K36" s="18" t="s">
        <v>27</v>
      </c>
      <c r="L36" s="18">
        <f>G47*500000</f>
        <v>1000000</v>
      </c>
    </row>
    <row r="37" spans="1:12">
      <c r="A37" s="3" t="s">
        <v>28</v>
      </c>
      <c r="B37" s="3"/>
      <c r="C37" s="5">
        <v>300000</v>
      </c>
      <c r="D37" s="3"/>
      <c r="E37" s="3"/>
      <c r="F37" s="6">
        <f>D47-C37+F8</f>
        <v>0</v>
      </c>
      <c r="G37" s="6">
        <f>E47+G8</f>
        <v>3</v>
      </c>
      <c r="I37" s="3" t="s">
        <v>29</v>
      </c>
      <c r="J37" s="3">
        <f>H35*G44*1.35</f>
        <v>2025000</v>
      </c>
      <c r="K37" s="18" t="s">
        <v>30</v>
      </c>
      <c r="L37" s="19">
        <f>L40-L43</f>
        <v>-7341610</v>
      </c>
    </row>
    <row r="38" spans="1:12">
      <c r="A38" s="14" t="s">
        <v>31</v>
      </c>
      <c r="B38" s="3" t="s">
        <v>32</v>
      </c>
      <c r="C38" s="3" t="s">
        <v>33</v>
      </c>
      <c r="D38" s="3" t="s">
        <v>33</v>
      </c>
      <c r="E38" s="3" t="s">
        <v>34</v>
      </c>
      <c r="F38" s="3" t="s">
        <v>35</v>
      </c>
      <c r="G38" s="3" t="s">
        <v>36</v>
      </c>
      <c r="I38" s="3" t="s">
        <v>37</v>
      </c>
      <c r="J38" s="3">
        <f>IF(G46+G45&gt;0,200000,0)</f>
        <v>200000</v>
      </c>
      <c r="K38" s="18" t="s">
        <v>38</v>
      </c>
      <c r="L38" s="6">
        <f>IF(L52=0,L9+L37,L39/2)</f>
        <v>-7341610</v>
      </c>
    </row>
    <row r="39" spans="1:12">
      <c r="A39" s="15"/>
      <c r="B39" s="3"/>
      <c r="C39" s="3"/>
      <c r="D39" s="3"/>
      <c r="E39" s="3"/>
      <c r="F39" s="6">
        <f>F34+F35+F36+F37</f>
        <v>0</v>
      </c>
      <c r="G39" s="6">
        <f>G34+G35+G36+G37</f>
        <v>12</v>
      </c>
      <c r="I39" s="3" t="s">
        <v>39</v>
      </c>
      <c r="J39" s="3">
        <f>G46</f>
        <v>1620000</v>
      </c>
      <c r="K39" s="18" t="s">
        <v>14</v>
      </c>
      <c r="L39" s="3">
        <f>J33</f>
        <v>9000000</v>
      </c>
    </row>
    <row r="40" spans="1:12">
      <c r="A40" s="6" t="s">
        <v>40</v>
      </c>
      <c r="B40" s="3" t="s">
        <v>41</v>
      </c>
      <c r="C40" s="3" t="s">
        <v>42</v>
      </c>
      <c r="D40" s="3" t="s">
        <v>43</v>
      </c>
      <c r="E40" s="3" t="s">
        <v>44</v>
      </c>
      <c r="F40" s="3" t="s">
        <v>45</v>
      </c>
      <c r="G40" s="3" t="s">
        <v>46</v>
      </c>
      <c r="I40" s="3" t="s">
        <v>47</v>
      </c>
      <c r="J40" s="6">
        <f>D12*12000</f>
        <v>96000</v>
      </c>
      <c r="K40" s="18" t="s">
        <v>48</v>
      </c>
      <c r="L40" s="3">
        <f>L39+L41</f>
        <v>9000000</v>
      </c>
    </row>
    <row r="41" spans="1:12">
      <c r="A41" s="6">
        <f>G47*50000+A12*0.975</f>
        <v>490000</v>
      </c>
      <c r="B41" s="3">
        <f>A41</f>
        <v>490000</v>
      </c>
      <c r="C41" s="3">
        <f>B41</f>
        <v>490000</v>
      </c>
      <c r="D41" s="6">
        <f>G47+D12</f>
        <v>10</v>
      </c>
      <c r="E41" s="6">
        <f>G45+G46-G44*1.35+E12</f>
        <v>4128888</v>
      </c>
      <c r="F41" s="6">
        <f>G41+G39</f>
        <v>42</v>
      </c>
      <c r="G41" s="6">
        <f>G48+G12</f>
        <v>30</v>
      </c>
      <c r="I41" s="3" t="s">
        <v>49</v>
      </c>
      <c r="J41" s="3">
        <f>G47*100000</f>
        <v>200000</v>
      </c>
      <c r="K41" s="18" t="s">
        <v>50</v>
      </c>
      <c r="L41" s="3">
        <f>B48</f>
        <v>0</v>
      </c>
    </row>
    <row r="42" spans="1:12">
      <c r="A42" s="8" t="s">
        <v>51</v>
      </c>
      <c r="B42" s="8"/>
      <c r="C42" s="8"/>
      <c r="D42" s="8"/>
      <c r="E42" s="8"/>
      <c r="F42" s="8"/>
      <c r="G42" s="8"/>
      <c r="I42" s="3" t="s">
        <v>52</v>
      </c>
      <c r="J42" s="6">
        <f>L19*0.025</f>
        <v>100000</v>
      </c>
      <c r="K42" s="18" t="s">
        <v>53</v>
      </c>
      <c r="L42" s="3">
        <f>D48</f>
        <v>0</v>
      </c>
    </row>
    <row r="43" spans="1:12">
      <c r="A43" s="3"/>
      <c r="B43" s="3" t="s">
        <v>54</v>
      </c>
      <c r="C43" s="3" t="s">
        <v>55</v>
      </c>
      <c r="D43" s="3" t="s">
        <v>56</v>
      </c>
      <c r="E43" s="3" t="s">
        <v>57</v>
      </c>
      <c r="F43" s="3" t="s">
        <v>58</v>
      </c>
      <c r="G43" s="9">
        <v>600000</v>
      </c>
      <c r="I43" s="3" t="s">
        <v>59</v>
      </c>
      <c r="J43" s="6">
        <f>L18-L47</f>
        <v>0</v>
      </c>
      <c r="K43" s="18" t="s">
        <v>60</v>
      </c>
      <c r="L43" s="3">
        <f>SUM(L34,L35,L42,L36)</f>
        <v>16341610</v>
      </c>
    </row>
    <row r="44" spans="1:12">
      <c r="A44" s="3" t="s">
        <v>17</v>
      </c>
      <c r="B44" s="10">
        <v>7.5</v>
      </c>
      <c r="C44" s="9">
        <v>750000</v>
      </c>
      <c r="D44" s="9">
        <v>300000</v>
      </c>
      <c r="E44" s="9"/>
      <c r="F44" s="3" t="s">
        <v>61</v>
      </c>
      <c r="G44" s="9">
        <f>B12*3</f>
        <v>1200000</v>
      </c>
      <c r="I44" s="3" t="s">
        <v>62</v>
      </c>
      <c r="J44" s="3">
        <f>C44+C45+C46+C47</f>
        <v>3000000</v>
      </c>
      <c r="K44" s="24" t="s">
        <v>63</v>
      </c>
      <c r="L44" s="25"/>
    </row>
    <row r="45" spans="1:12">
      <c r="A45" s="3" t="s">
        <v>22</v>
      </c>
      <c r="B45" s="10">
        <v>7.5</v>
      </c>
      <c r="C45" s="9">
        <v>750000</v>
      </c>
      <c r="D45" s="9">
        <v>300000</v>
      </c>
      <c r="E45" s="9"/>
      <c r="F45" s="6" t="s">
        <v>64</v>
      </c>
      <c r="G45" s="9">
        <v>4128888</v>
      </c>
      <c r="I45" s="3" t="s">
        <v>65</v>
      </c>
      <c r="J45" s="3">
        <f>0.5*D44+0.1*D45+0.4*D46+0.4*D47</f>
        <v>420000</v>
      </c>
      <c r="K45" s="18" t="s">
        <v>66</v>
      </c>
      <c r="L45" s="18">
        <f>L38</f>
        <v>-7341610</v>
      </c>
    </row>
    <row r="46" spans="1:12">
      <c r="A46" s="3" t="s">
        <v>25</v>
      </c>
      <c r="B46" s="10">
        <v>7.5</v>
      </c>
      <c r="C46" s="9">
        <v>750000</v>
      </c>
      <c r="D46" s="9">
        <v>300000</v>
      </c>
      <c r="E46" s="9"/>
      <c r="F46" s="6" t="s">
        <v>67</v>
      </c>
      <c r="G46" s="9">
        <v>1620000</v>
      </c>
      <c r="I46" s="3" t="s">
        <v>68</v>
      </c>
      <c r="J46" s="3"/>
      <c r="K46" s="18" t="s">
        <v>69</v>
      </c>
      <c r="L46" s="18">
        <f>H35*E41</f>
        <v>5161110</v>
      </c>
    </row>
    <row r="47" spans="1:12">
      <c r="A47" s="3" t="s">
        <v>28</v>
      </c>
      <c r="B47" s="10">
        <v>7.5</v>
      </c>
      <c r="C47" s="9">
        <v>750000</v>
      </c>
      <c r="D47" s="9">
        <v>300000</v>
      </c>
      <c r="E47" s="9"/>
      <c r="F47" s="6" t="s">
        <v>70</v>
      </c>
      <c r="G47" s="9">
        <v>2</v>
      </c>
      <c r="I47" s="3" t="s">
        <v>71</v>
      </c>
      <c r="J47" s="20">
        <f>1500*SUM(G48,E44,E45,E46,E47)</f>
        <v>9000</v>
      </c>
      <c r="K47" s="18" t="s">
        <v>72</v>
      </c>
      <c r="L47" s="18">
        <f>4*F39</f>
        <v>0</v>
      </c>
    </row>
    <row r="48" spans="1:12">
      <c r="A48" s="3" t="s">
        <v>50</v>
      </c>
      <c r="B48" s="9"/>
      <c r="C48" s="3" t="s">
        <v>53</v>
      </c>
      <c r="D48" s="9"/>
      <c r="E48" s="3"/>
      <c r="F48" s="6" t="s">
        <v>73</v>
      </c>
      <c r="G48" s="9">
        <f>G47*3</f>
        <v>6</v>
      </c>
      <c r="I48" s="3" t="s">
        <v>74</v>
      </c>
      <c r="J48" s="21"/>
      <c r="K48" s="18" t="s">
        <v>75</v>
      </c>
      <c r="L48" s="19">
        <f>L19-J42+L36</f>
        <v>4900000</v>
      </c>
    </row>
    <row r="49" spans="9:12">
      <c r="I49" s="3" t="s">
        <v>76</v>
      </c>
      <c r="J49" s="6">
        <f>G48*3750+SUM(E44,E45,E46,E47)*4500+G10*9000+G12*7500</f>
        <v>310500</v>
      </c>
      <c r="K49" s="18" t="s">
        <v>77</v>
      </c>
      <c r="L49" s="18">
        <f>L51+L52</f>
        <v>0</v>
      </c>
    </row>
    <row r="50" spans="9:12">
      <c r="I50" s="3" t="s">
        <v>78</v>
      </c>
      <c r="J50" s="3"/>
      <c r="K50" s="18" t="s">
        <v>79</v>
      </c>
      <c r="L50" s="17">
        <f>SUM(L45,L46,L47,L48)</f>
        <v>2719500</v>
      </c>
    </row>
    <row r="51" spans="9:12">
      <c r="I51" s="3" t="s">
        <v>80</v>
      </c>
      <c r="J51" s="26">
        <f>L17*0.1</f>
        <v>0</v>
      </c>
      <c r="K51" s="18" t="s">
        <v>81</v>
      </c>
      <c r="L51" s="6">
        <f>L20+B48-D48</f>
        <v>0</v>
      </c>
    </row>
    <row r="52" spans="9:12">
      <c r="I52" s="3" t="s">
        <v>82</v>
      </c>
      <c r="J52" s="3">
        <f>L18*0.1</f>
        <v>0</v>
      </c>
      <c r="K52" s="18" t="s">
        <v>83</v>
      </c>
      <c r="L52" s="22">
        <f>IF(L9+L41+L39/2-L43,0,-L9-L41-L39/2+L43)</f>
        <v>0</v>
      </c>
    </row>
    <row r="53" spans="9:12">
      <c r="I53" s="3" t="s">
        <v>84</v>
      </c>
      <c r="J53" s="6">
        <f>(L22+B48-D48)*$O$4+L23*$O$4*4</f>
        <v>0</v>
      </c>
      <c r="K53" s="18" t="s">
        <v>85</v>
      </c>
      <c r="L53" s="22">
        <f>L50-L49</f>
        <v>2719500</v>
      </c>
    </row>
    <row r="54" spans="9:12">
      <c r="I54" s="3" t="s">
        <v>86</v>
      </c>
      <c r="J54" s="3">
        <f>SUM(J34,J35,J36,J37,J38,J39,J40,J41,J42,J43,J44,J45,J46,J47,J49,J50,J51,J52,J53,)</f>
        <v>10280500</v>
      </c>
      <c r="K54" s="23"/>
      <c r="L54" s="23"/>
    </row>
    <row r="55" spans="9:12">
      <c r="I55" s="3" t="s">
        <v>0</v>
      </c>
      <c r="J55" s="3">
        <f>J33/(1+O30)*O30</f>
        <v>0</v>
      </c>
      <c r="K55" s="23"/>
      <c r="L55" s="23"/>
    </row>
    <row r="56" spans="9:12">
      <c r="I56" s="3" t="s">
        <v>2</v>
      </c>
      <c r="J56" s="3">
        <f>J55*O31</f>
        <v>0</v>
      </c>
      <c r="K56" s="23"/>
      <c r="L56" s="23"/>
    </row>
    <row r="57" spans="9:12">
      <c r="I57" s="3" t="s">
        <v>87</v>
      </c>
      <c r="J57" s="3">
        <f>(J33/(1+P30)-J54-J56)*O32</f>
        <v>0</v>
      </c>
      <c r="K57" s="23" t="s">
        <v>90</v>
      </c>
      <c r="L57" s="23"/>
    </row>
    <row r="58" spans="9:12">
      <c r="I58" s="3" t="s">
        <v>88</v>
      </c>
      <c r="J58" s="22">
        <f>J33-J54-J55-J56-J57</f>
        <v>-1280500</v>
      </c>
      <c r="K58" s="23"/>
      <c r="L58" s="23"/>
    </row>
    <row r="60" ht="30" spans="1:12">
      <c r="A60" s="2" t="s">
        <v>91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1:12">
      <c r="A61" s="11" t="s">
        <v>3</v>
      </c>
      <c r="B61" s="12"/>
      <c r="C61" s="12"/>
      <c r="D61" s="12"/>
      <c r="E61" s="12"/>
      <c r="F61" s="12"/>
      <c r="G61" s="13"/>
      <c r="H61" s="3" t="s">
        <v>4</v>
      </c>
      <c r="I61" s="11" t="s">
        <v>5</v>
      </c>
      <c r="J61" s="13"/>
      <c r="K61" s="3"/>
      <c r="L61" s="3"/>
    </row>
    <row r="62" spans="1:12">
      <c r="A62" s="3" t="s">
        <v>7</v>
      </c>
      <c r="B62" s="3" t="s">
        <v>8</v>
      </c>
      <c r="C62" s="3" t="s">
        <v>9</v>
      </c>
      <c r="D62" s="3" t="s">
        <v>10</v>
      </c>
      <c r="E62" s="3" t="s">
        <v>11</v>
      </c>
      <c r="F62" s="3" t="s">
        <v>12</v>
      </c>
      <c r="G62" s="3" t="s">
        <v>13</v>
      </c>
      <c r="H62" s="4"/>
      <c r="I62" s="3" t="s">
        <v>14</v>
      </c>
      <c r="J62" s="3">
        <f>B73*C63+B74*C64+B75*C65+B76*C66</f>
        <v>0</v>
      </c>
      <c r="K62" s="24" t="s">
        <v>15</v>
      </c>
      <c r="L62" s="25"/>
    </row>
    <row r="63" spans="1:12">
      <c r="A63" s="3" t="s">
        <v>17</v>
      </c>
      <c r="B63" s="3"/>
      <c r="C63" s="5"/>
      <c r="D63" s="3"/>
      <c r="E63" s="3"/>
      <c r="F63" s="6">
        <f t="shared" ref="F63:F66" si="1">D73-C63+F34</f>
        <v>0</v>
      </c>
      <c r="G63" s="6">
        <f t="shared" ref="G63:G66" si="2">E73+G34</f>
        <v>3</v>
      </c>
      <c r="H63" s="1" t="s">
        <v>18</v>
      </c>
      <c r="I63" s="3" t="s">
        <v>19</v>
      </c>
      <c r="J63" s="3">
        <f>G72</f>
        <v>0</v>
      </c>
      <c r="K63" s="18" t="s">
        <v>20</v>
      </c>
      <c r="L63" s="18">
        <f>J83+J84+J85+J86-J66-J71-J72</f>
        <v>969111</v>
      </c>
    </row>
    <row r="64" spans="1:12">
      <c r="A64" s="3" t="s">
        <v>22</v>
      </c>
      <c r="B64" s="3"/>
      <c r="C64" s="5"/>
      <c r="D64" s="3"/>
      <c r="E64" s="3"/>
      <c r="F64" s="6">
        <f t="shared" si="1"/>
        <v>0</v>
      </c>
      <c r="G64" s="6">
        <f t="shared" si="2"/>
        <v>3</v>
      </c>
      <c r="H64" s="7"/>
      <c r="I64" s="3" t="s">
        <v>23</v>
      </c>
      <c r="J64" s="3">
        <f>IF(G73&gt;0,20000,0)</f>
        <v>0</v>
      </c>
      <c r="K64" s="18" t="s">
        <v>24</v>
      </c>
      <c r="L64" s="18">
        <f>(G75+G74)*H62</f>
        <v>0</v>
      </c>
    </row>
    <row r="65" spans="1:12">
      <c r="A65" s="3" t="s">
        <v>25</v>
      </c>
      <c r="B65" s="3"/>
      <c r="C65" s="5"/>
      <c r="D65" s="3"/>
      <c r="E65" s="3"/>
      <c r="F65" s="6">
        <f t="shared" si="1"/>
        <v>0</v>
      </c>
      <c r="G65" s="6">
        <f t="shared" si="2"/>
        <v>3</v>
      </c>
      <c r="I65" s="3" t="s">
        <v>26</v>
      </c>
      <c r="J65" s="3">
        <f>1.4*G73</f>
        <v>0</v>
      </c>
      <c r="K65" s="18" t="s">
        <v>27</v>
      </c>
      <c r="L65" s="18">
        <f>G76*500000</f>
        <v>0</v>
      </c>
    </row>
    <row r="66" spans="1:12">
      <c r="A66" s="3" t="s">
        <v>28</v>
      </c>
      <c r="B66" s="3"/>
      <c r="C66" s="5"/>
      <c r="D66" s="3"/>
      <c r="E66" s="3"/>
      <c r="F66" s="6">
        <f t="shared" si="1"/>
        <v>0</v>
      </c>
      <c r="G66" s="6">
        <f t="shared" si="2"/>
        <v>3</v>
      </c>
      <c r="I66" s="3" t="s">
        <v>29</v>
      </c>
      <c r="J66" s="3">
        <f>H64*G73*1.35</f>
        <v>0</v>
      </c>
      <c r="K66" s="18" t="s">
        <v>30</v>
      </c>
      <c r="L66" s="19">
        <f>L69-L72</f>
        <v>-969111</v>
      </c>
    </row>
    <row r="67" spans="1:12">
      <c r="A67" s="14" t="s">
        <v>31</v>
      </c>
      <c r="B67" s="3" t="s">
        <v>32</v>
      </c>
      <c r="C67" s="3" t="s">
        <v>33</v>
      </c>
      <c r="D67" s="3" t="s">
        <v>33</v>
      </c>
      <c r="E67" s="3" t="s">
        <v>34</v>
      </c>
      <c r="F67" s="3" t="s">
        <v>35</v>
      </c>
      <c r="G67" s="3" t="s">
        <v>36</v>
      </c>
      <c r="I67" s="3" t="s">
        <v>37</v>
      </c>
      <c r="J67" s="3">
        <f>IF(G75+G74&gt;0,200000,0)</f>
        <v>0</v>
      </c>
      <c r="K67" s="18" t="s">
        <v>38</v>
      </c>
      <c r="L67" s="6">
        <f>IF(L81=0,L38+L66,L68/2)</f>
        <v>-8310721</v>
      </c>
    </row>
    <row r="68" spans="1:12">
      <c r="A68" s="15"/>
      <c r="B68" s="3"/>
      <c r="C68" s="3"/>
      <c r="D68" s="3"/>
      <c r="E68" s="3"/>
      <c r="F68" s="6">
        <f>F63+F64+F65+F66</f>
        <v>0</v>
      </c>
      <c r="G68" s="6">
        <f>G63+G64+G65+G66</f>
        <v>12</v>
      </c>
      <c r="I68" s="3" t="s">
        <v>39</v>
      </c>
      <c r="J68" s="3">
        <f>G75</f>
        <v>0</v>
      </c>
      <c r="K68" s="18" t="s">
        <v>14</v>
      </c>
      <c r="L68" s="3">
        <f>J62</f>
        <v>0</v>
      </c>
    </row>
    <row r="69" spans="1:12">
      <c r="A69" s="6" t="s">
        <v>40</v>
      </c>
      <c r="B69" s="3" t="s">
        <v>41</v>
      </c>
      <c r="C69" s="3" t="s">
        <v>42</v>
      </c>
      <c r="D69" s="3" t="s">
        <v>43</v>
      </c>
      <c r="E69" s="3" t="s">
        <v>44</v>
      </c>
      <c r="F69" s="3" t="s">
        <v>45</v>
      </c>
      <c r="G69" s="3" t="s">
        <v>46</v>
      </c>
      <c r="I69" s="3" t="s">
        <v>47</v>
      </c>
      <c r="J69" s="6">
        <f>D41*12000</f>
        <v>120000</v>
      </c>
      <c r="K69" s="18" t="s">
        <v>48</v>
      </c>
      <c r="L69" s="3">
        <f>L68+L70</f>
        <v>0</v>
      </c>
    </row>
    <row r="70" spans="1:12">
      <c r="A70" s="6">
        <f>G76*50000+A41*0.975</f>
        <v>477750</v>
      </c>
      <c r="B70" s="3">
        <f>A70</f>
        <v>477750</v>
      </c>
      <c r="C70" s="3">
        <f>B70</f>
        <v>477750</v>
      </c>
      <c r="D70" s="6">
        <f>G76+D41</f>
        <v>10</v>
      </c>
      <c r="E70" s="6">
        <f>G74+G75-G73*1.35+E41</f>
        <v>4128888</v>
      </c>
      <c r="F70" s="6">
        <f>G70+G68</f>
        <v>42</v>
      </c>
      <c r="G70" s="6">
        <f>G77+G41</f>
        <v>30</v>
      </c>
      <c r="I70" s="3" t="s">
        <v>49</v>
      </c>
      <c r="J70" s="3">
        <f>G76*100000</f>
        <v>0</v>
      </c>
      <c r="K70" s="18" t="s">
        <v>50</v>
      </c>
      <c r="L70" s="3">
        <f>B77</f>
        <v>0</v>
      </c>
    </row>
    <row r="71" spans="1:12">
      <c r="A71" s="8" t="s">
        <v>51</v>
      </c>
      <c r="B71" s="8"/>
      <c r="C71" s="8"/>
      <c r="D71" s="8"/>
      <c r="E71" s="8"/>
      <c r="F71" s="8"/>
      <c r="G71" s="8"/>
      <c r="I71" s="3" t="s">
        <v>52</v>
      </c>
      <c r="J71" s="6">
        <f>L48*0.025</f>
        <v>122500</v>
      </c>
      <c r="K71" s="18" t="s">
        <v>53</v>
      </c>
      <c r="L71" s="3">
        <f>D77</f>
        <v>0</v>
      </c>
    </row>
    <row r="72" spans="1:12">
      <c r="A72" s="3"/>
      <c r="B72" s="3" t="s">
        <v>54</v>
      </c>
      <c r="C72" s="3" t="s">
        <v>55</v>
      </c>
      <c r="D72" s="3" t="s">
        <v>56</v>
      </c>
      <c r="E72" s="3" t="s">
        <v>57</v>
      </c>
      <c r="F72" s="3" t="s">
        <v>58</v>
      </c>
      <c r="G72" s="9"/>
      <c r="I72" s="3" t="s">
        <v>59</v>
      </c>
      <c r="J72" s="6">
        <f>L47-L76</f>
        <v>0</v>
      </c>
      <c r="K72" s="18" t="s">
        <v>60</v>
      </c>
      <c r="L72" s="3">
        <f>SUM(L63,L64,L71,L65)</f>
        <v>969111</v>
      </c>
    </row>
    <row r="73" spans="1:12">
      <c r="A73" s="3" t="s">
        <v>17</v>
      </c>
      <c r="B73" s="10"/>
      <c r="C73" s="9"/>
      <c r="D73" s="9"/>
      <c r="E73" s="9"/>
      <c r="F73" s="3" t="s">
        <v>61</v>
      </c>
      <c r="G73" s="9"/>
      <c r="I73" s="3" t="s">
        <v>62</v>
      </c>
      <c r="J73" s="3">
        <f>C73+C74+C75+C76</f>
        <v>0</v>
      </c>
      <c r="K73" s="24" t="s">
        <v>63</v>
      </c>
      <c r="L73" s="25"/>
    </row>
    <row r="74" spans="1:12">
      <c r="A74" s="3" t="s">
        <v>22</v>
      </c>
      <c r="B74" s="10"/>
      <c r="C74" s="9"/>
      <c r="D74" s="9"/>
      <c r="E74" s="9"/>
      <c r="F74" s="6" t="s">
        <v>64</v>
      </c>
      <c r="G74" s="9"/>
      <c r="I74" s="3" t="s">
        <v>65</v>
      </c>
      <c r="J74" s="3">
        <f>0.5*D73+0.1*D74+0.4*D75+0.4*D76</f>
        <v>0</v>
      </c>
      <c r="K74" s="18" t="s">
        <v>66</v>
      </c>
      <c r="L74" s="18">
        <f>L67</f>
        <v>-8310721</v>
      </c>
    </row>
    <row r="75" spans="1:12">
      <c r="A75" s="3" t="s">
        <v>25</v>
      </c>
      <c r="B75" s="10"/>
      <c r="C75" s="9"/>
      <c r="D75" s="9"/>
      <c r="E75" s="9"/>
      <c r="F75" s="6" t="s">
        <v>67</v>
      </c>
      <c r="G75" s="9"/>
      <c r="I75" s="3" t="s">
        <v>68</v>
      </c>
      <c r="J75" s="3"/>
      <c r="K75" s="18" t="s">
        <v>69</v>
      </c>
      <c r="L75" s="18">
        <f>H64*E70</f>
        <v>0</v>
      </c>
    </row>
    <row r="76" spans="1:12">
      <c r="A76" s="3" t="s">
        <v>28</v>
      </c>
      <c r="B76" s="10"/>
      <c r="C76" s="9"/>
      <c r="D76" s="9"/>
      <c r="E76" s="9"/>
      <c r="F76" s="6" t="s">
        <v>70</v>
      </c>
      <c r="G76" s="9"/>
      <c r="I76" s="3" t="s">
        <v>71</v>
      </c>
      <c r="J76" s="20">
        <f>1500*SUM(G77,E73,E74,E75,E76)</f>
        <v>0</v>
      </c>
      <c r="K76" s="18" t="s">
        <v>72</v>
      </c>
      <c r="L76" s="18">
        <f>4*F68</f>
        <v>0</v>
      </c>
    </row>
    <row r="77" spans="1:12">
      <c r="A77" s="3" t="s">
        <v>50</v>
      </c>
      <c r="B77" s="9"/>
      <c r="C77" s="3" t="s">
        <v>53</v>
      </c>
      <c r="D77" s="9"/>
      <c r="E77" s="3"/>
      <c r="F77" s="6" t="s">
        <v>73</v>
      </c>
      <c r="G77" s="9"/>
      <c r="I77" s="3" t="s">
        <v>74</v>
      </c>
      <c r="J77" s="21"/>
      <c r="K77" s="18" t="s">
        <v>75</v>
      </c>
      <c r="L77" s="19">
        <f>L48-J71+L65</f>
        <v>4777500</v>
      </c>
    </row>
    <row r="78" spans="9:12">
      <c r="I78" s="3" t="s">
        <v>76</v>
      </c>
      <c r="J78" s="6">
        <f>G77*3750+SUM(E73,E74,E75,E76)*4500+G39*9000+G41*7500</f>
        <v>333000</v>
      </c>
      <c r="K78" s="18" t="s">
        <v>77</v>
      </c>
      <c r="L78" s="18">
        <f>L80+L81</f>
        <v>0</v>
      </c>
    </row>
    <row r="79" spans="9:12">
      <c r="I79" s="3" t="s">
        <v>78</v>
      </c>
      <c r="J79" s="3"/>
      <c r="K79" s="18" t="s">
        <v>79</v>
      </c>
      <c r="L79" s="17">
        <f>SUM(L74,L75,L76,L77)</f>
        <v>-3533221</v>
      </c>
    </row>
    <row r="80" spans="9:12">
      <c r="I80" s="3" t="s">
        <v>80</v>
      </c>
      <c r="J80" s="26">
        <f>L46*0.1</f>
        <v>516111</v>
      </c>
      <c r="K80" s="18" t="s">
        <v>81</v>
      </c>
      <c r="L80" s="6">
        <f>L49+B77-D77</f>
        <v>0</v>
      </c>
    </row>
    <row r="81" spans="9:12">
      <c r="I81" s="3" t="s">
        <v>82</v>
      </c>
      <c r="J81" s="3">
        <f>L47*0.1</f>
        <v>0</v>
      </c>
      <c r="K81" s="18" t="s">
        <v>83</v>
      </c>
      <c r="L81" s="22">
        <f>IF(L38+L70+L68/2-L72,0,-L38-L70-L68/2+L72)</f>
        <v>0</v>
      </c>
    </row>
    <row r="82" spans="9:12">
      <c r="I82" s="3" t="s">
        <v>84</v>
      </c>
      <c r="J82" s="6">
        <f>(L51+B77-D77)*$O$4+L52*$O$4*4</f>
        <v>0</v>
      </c>
      <c r="K82" s="18" t="s">
        <v>85</v>
      </c>
      <c r="L82" s="22">
        <f>L79-L78</f>
        <v>-3533221</v>
      </c>
    </row>
    <row r="83" spans="9:12">
      <c r="I83" s="3" t="s">
        <v>86</v>
      </c>
      <c r="J83" s="3">
        <f>SUM(J63,J64,J65,J66,J67,J68,J69,J70,J71,J72,J73,J74,J75,J76,J78,J79,J80,J81,J82,)</f>
        <v>1091611</v>
      </c>
      <c r="K83" s="23"/>
      <c r="L83" s="23"/>
    </row>
    <row r="84" spans="9:12">
      <c r="I84" s="3" t="s">
        <v>0</v>
      </c>
      <c r="J84" s="3">
        <f>J62/(1+O59)*O59</f>
        <v>0</v>
      </c>
      <c r="K84" s="23"/>
      <c r="L84" s="23"/>
    </row>
    <row r="85" spans="9:12">
      <c r="I85" s="3" t="s">
        <v>2</v>
      </c>
      <c r="J85" s="3">
        <f>J84*O60</f>
        <v>0</v>
      </c>
      <c r="K85" s="23"/>
      <c r="L85" s="23"/>
    </row>
    <row r="86" spans="9:12">
      <c r="I86" s="3" t="s">
        <v>87</v>
      </c>
      <c r="J86" s="3">
        <f>(J62/(1+P59)-J83-J85)*O61</f>
        <v>0</v>
      </c>
      <c r="K86" s="23"/>
      <c r="L86" s="23"/>
    </row>
    <row r="87" spans="9:12">
      <c r="I87" s="3" t="s">
        <v>88</v>
      </c>
      <c r="J87" s="22">
        <f>J62-J83-J84-J85-J86</f>
        <v>-1091611</v>
      </c>
      <c r="K87" s="23"/>
      <c r="L87" s="23"/>
    </row>
    <row r="89" ht="30" spans="1:12">
      <c r="A89" s="2" t="s">
        <v>92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11" t="s">
        <v>3</v>
      </c>
      <c r="B90" s="12"/>
      <c r="C90" s="12"/>
      <c r="D90" s="12"/>
      <c r="E90" s="12"/>
      <c r="F90" s="12"/>
      <c r="G90" s="13"/>
      <c r="H90" s="3" t="s">
        <v>4</v>
      </c>
      <c r="I90" s="11" t="s">
        <v>5</v>
      </c>
      <c r="J90" s="13"/>
      <c r="K90" s="3"/>
      <c r="L90" s="3"/>
    </row>
    <row r="91" spans="1:12">
      <c r="A91" s="3" t="s">
        <v>7</v>
      </c>
      <c r="B91" s="3" t="s">
        <v>8</v>
      </c>
      <c r="C91" s="3" t="s">
        <v>9</v>
      </c>
      <c r="D91" s="3" t="s">
        <v>10</v>
      </c>
      <c r="E91" s="3" t="s">
        <v>11</v>
      </c>
      <c r="F91" s="3" t="s">
        <v>12</v>
      </c>
      <c r="G91" s="3" t="s">
        <v>13</v>
      </c>
      <c r="H91" s="4"/>
      <c r="I91" s="3" t="s">
        <v>14</v>
      </c>
      <c r="J91" s="3">
        <f>B102*C92+B103*C93+B104*C94+B105*C95</f>
        <v>0</v>
      </c>
      <c r="K91" s="24" t="s">
        <v>15</v>
      </c>
      <c r="L91" s="25"/>
    </row>
    <row r="92" spans="1:12">
      <c r="A92" s="3" t="s">
        <v>17</v>
      </c>
      <c r="B92" s="3"/>
      <c r="C92" s="5"/>
      <c r="D92" s="3"/>
      <c r="E92" s="3"/>
      <c r="F92" s="6">
        <f t="shared" ref="F92:F95" si="3">D102-C92+F63</f>
        <v>0</v>
      </c>
      <c r="G92" s="6">
        <f t="shared" ref="G92:G95" si="4">E102+G63</f>
        <v>3</v>
      </c>
      <c r="H92" s="1" t="s">
        <v>18</v>
      </c>
      <c r="I92" s="3" t="s">
        <v>19</v>
      </c>
      <c r="J92" s="3">
        <f>G101</f>
        <v>0</v>
      </c>
      <c r="K92" s="18" t="s">
        <v>20</v>
      </c>
      <c r="L92" s="18">
        <f>J112+J113+J114+J115-J95-J100-J101</f>
        <v>453000</v>
      </c>
    </row>
    <row r="93" spans="1:12">
      <c r="A93" s="3" t="s">
        <v>22</v>
      </c>
      <c r="B93" s="3"/>
      <c r="C93" s="5"/>
      <c r="D93" s="3"/>
      <c r="E93" s="3"/>
      <c r="F93" s="6">
        <f t="shared" si="3"/>
        <v>0</v>
      </c>
      <c r="G93" s="6">
        <f t="shared" si="4"/>
        <v>3</v>
      </c>
      <c r="H93" s="7">
        <f>(L93+L75)/(G103+G104+E70)</f>
        <v>0</v>
      </c>
      <c r="I93" s="3" t="s">
        <v>23</v>
      </c>
      <c r="J93" s="3">
        <f>IF(G102&gt;0,20000,0)</f>
        <v>0</v>
      </c>
      <c r="K93" s="18" t="s">
        <v>24</v>
      </c>
      <c r="L93" s="18">
        <f>(G104+G103)*H91</f>
        <v>0</v>
      </c>
    </row>
    <row r="94" spans="1:12">
      <c r="A94" s="3" t="s">
        <v>25</v>
      </c>
      <c r="B94" s="3"/>
      <c r="C94" s="5"/>
      <c r="D94" s="3"/>
      <c r="E94" s="3"/>
      <c r="F94" s="6">
        <f t="shared" si="3"/>
        <v>0</v>
      </c>
      <c r="G94" s="6">
        <f t="shared" si="4"/>
        <v>3</v>
      </c>
      <c r="I94" s="3" t="s">
        <v>26</v>
      </c>
      <c r="J94" s="3">
        <f>1.4*G102</f>
        <v>0</v>
      </c>
      <c r="K94" s="18" t="s">
        <v>27</v>
      </c>
      <c r="L94" s="18">
        <f>G105*500000</f>
        <v>0</v>
      </c>
    </row>
    <row r="95" spans="1:12">
      <c r="A95" s="3" t="s">
        <v>28</v>
      </c>
      <c r="B95" s="3"/>
      <c r="C95" s="5"/>
      <c r="D95" s="3"/>
      <c r="E95" s="3"/>
      <c r="F95" s="6">
        <f t="shared" si="3"/>
        <v>0</v>
      </c>
      <c r="G95" s="6">
        <f t="shared" si="4"/>
        <v>3</v>
      </c>
      <c r="I95" s="3" t="s">
        <v>29</v>
      </c>
      <c r="J95" s="3">
        <f>H93*G102*1.35</f>
        <v>0</v>
      </c>
      <c r="K95" s="18" t="s">
        <v>30</v>
      </c>
      <c r="L95" s="19">
        <f>L98-L101</f>
        <v>-453000</v>
      </c>
    </row>
    <row r="96" spans="1:12">
      <c r="A96" s="14" t="s">
        <v>31</v>
      </c>
      <c r="B96" s="3" t="s">
        <v>32</v>
      </c>
      <c r="C96" s="3" t="s">
        <v>33</v>
      </c>
      <c r="D96" s="3" t="s">
        <v>33</v>
      </c>
      <c r="E96" s="3" t="s">
        <v>34</v>
      </c>
      <c r="F96" s="3" t="s">
        <v>35</v>
      </c>
      <c r="G96" s="3" t="s">
        <v>36</v>
      </c>
      <c r="I96" s="3" t="s">
        <v>37</v>
      </c>
      <c r="J96" s="3">
        <f>IF(G104+G103&gt;0,200000,0)</f>
        <v>0</v>
      </c>
      <c r="K96" s="18" t="s">
        <v>38</v>
      </c>
      <c r="L96" s="6">
        <f>IF(L110=0,L67+L95,L97/2)</f>
        <v>-8763721</v>
      </c>
    </row>
    <row r="97" spans="1:12">
      <c r="A97" s="15"/>
      <c r="B97" s="3"/>
      <c r="C97" s="3"/>
      <c r="D97" s="3"/>
      <c r="E97" s="3"/>
      <c r="F97" s="6">
        <f>F92+F93+F94+F95</f>
        <v>0</v>
      </c>
      <c r="G97" s="6">
        <f>G92+G93+G94+G95</f>
        <v>12</v>
      </c>
      <c r="I97" s="3" t="s">
        <v>39</v>
      </c>
      <c r="J97" s="3">
        <f>G104</f>
        <v>0</v>
      </c>
      <c r="K97" s="18" t="s">
        <v>14</v>
      </c>
      <c r="L97" s="3">
        <f>J91</f>
        <v>0</v>
      </c>
    </row>
    <row r="98" spans="1:12">
      <c r="A98" s="6" t="s">
        <v>40</v>
      </c>
      <c r="B98" s="3" t="s">
        <v>41</v>
      </c>
      <c r="C98" s="3" t="s">
        <v>42</v>
      </c>
      <c r="D98" s="3" t="s">
        <v>43</v>
      </c>
      <c r="E98" s="3" t="s">
        <v>44</v>
      </c>
      <c r="F98" s="3" t="s">
        <v>45</v>
      </c>
      <c r="G98" s="3" t="s">
        <v>46</v>
      </c>
      <c r="I98" s="3" t="s">
        <v>47</v>
      </c>
      <c r="J98" s="6">
        <f>D70*12000</f>
        <v>120000</v>
      </c>
      <c r="K98" s="18" t="s">
        <v>48</v>
      </c>
      <c r="L98" s="3">
        <f>L97+L99</f>
        <v>0</v>
      </c>
    </row>
    <row r="99" spans="1:12">
      <c r="A99" s="6">
        <f>G105*50000+A70*0.975</f>
        <v>465806.25</v>
      </c>
      <c r="B99" s="3">
        <f>A99</f>
        <v>465806.25</v>
      </c>
      <c r="C99" s="3">
        <f>B99</f>
        <v>465806.25</v>
      </c>
      <c r="D99" s="6">
        <f>G105+D70</f>
        <v>10</v>
      </c>
      <c r="E99" s="6">
        <f>G103+G104-G102*1.35+E70</f>
        <v>4128888</v>
      </c>
      <c r="F99" s="6">
        <f>G99+G97</f>
        <v>42</v>
      </c>
      <c r="G99" s="6">
        <f>G106+G70</f>
        <v>30</v>
      </c>
      <c r="I99" s="3" t="s">
        <v>49</v>
      </c>
      <c r="J99" s="3">
        <f>G105*100000</f>
        <v>0</v>
      </c>
      <c r="K99" s="18" t="s">
        <v>50</v>
      </c>
      <c r="L99" s="3">
        <f>B106</f>
        <v>0</v>
      </c>
    </row>
    <row r="100" spans="1:12">
      <c r="A100" s="8" t="s">
        <v>51</v>
      </c>
      <c r="B100" s="8"/>
      <c r="C100" s="8"/>
      <c r="D100" s="8"/>
      <c r="E100" s="8"/>
      <c r="F100" s="8"/>
      <c r="G100" s="8"/>
      <c r="I100" s="3" t="s">
        <v>52</v>
      </c>
      <c r="J100" s="6">
        <f>L77*0.025</f>
        <v>119437.5</v>
      </c>
      <c r="K100" s="18" t="s">
        <v>53</v>
      </c>
      <c r="L100" s="3">
        <f>D106</f>
        <v>0</v>
      </c>
    </row>
    <row r="101" spans="1:12">
      <c r="A101" s="3"/>
      <c r="B101" s="3" t="s">
        <v>54</v>
      </c>
      <c r="C101" s="3" t="s">
        <v>55</v>
      </c>
      <c r="D101" s="3" t="s">
        <v>56</v>
      </c>
      <c r="E101" s="3" t="s">
        <v>57</v>
      </c>
      <c r="F101" s="3" t="s">
        <v>58</v>
      </c>
      <c r="G101" s="9"/>
      <c r="I101" s="3" t="s">
        <v>59</v>
      </c>
      <c r="J101" s="6">
        <f>L76-L105</f>
        <v>0</v>
      </c>
      <c r="K101" s="18" t="s">
        <v>60</v>
      </c>
      <c r="L101" s="3">
        <f>SUM(L92,L93,L100,L94)</f>
        <v>453000</v>
      </c>
    </row>
    <row r="102" spans="1:12">
      <c r="A102" s="3" t="s">
        <v>17</v>
      </c>
      <c r="B102" s="10"/>
      <c r="C102" s="9"/>
      <c r="D102" s="9"/>
      <c r="E102" s="9"/>
      <c r="F102" s="3" t="s">
        <v>61</v>
      </c>
      <c r="G102" s="9"/>
      <c r="I102" s="3" t="s">
        <v>62</v>
      </c>
      <c r="J102" s="3">
        <f>C102+C103+C104+C105</f>
        <v>0</v>
      </c>
      <c r="K102" s="24" t="s">
        <v>63</v>
      </c>
      <c r="L102" s="25"/>
    </row>
    <row r="103" spans="1:12">
      <c r="A103" s="3" t="s">
        <v>22</v>
      </c>
      <c r="B103" s="10"/>
      <c r="C103" s="9"/>
      <c r="D103" s="9"/>
      <c r="E103" s="9"/>
      <c r="F103" s="6" t="s">
        <v>64</v>
      </c>
      <c r="G103" s="9"/>
      <c r="I103" s="3" t="s">
        <v>65</v>
      </c>
      <c r="J103" s="3">
        <f>0.5*D102+0.1*D103+0.4*D104+0.4*D105</f>
        <v>0</v>
      </c>
      <c r="K103" s="18" t="s">
        <v>66</v>
      </c>
      <c r="L103" s="18">
        <f>L96</f>
        <v>-8763721</v>
      </c>
    </row>
    <row r="104" spans="1:12">
      <c r="A104" s="3" t="s">
        <v>25</v>
      </c>
      <c r="B104" s="10"/>
      <c r="C104" s="9"/>
      <c r="D104" s="9"/>
      <c r="E104" s="9"/>
      <c r="F104" s="6" t="s">
        <v>67</v>
      </c>
      <c r="G104" s="9"/>
      <c r="I104" s="3" t="s">
        <v>68</v>
      </c>
      <c r="J104" s="3"/>
      <c r="K104" s="18" t="s">
        <v>69</v>
      </c>
      <c r="L104" s="18">
        <f>H93*E99</f>
        <v>0</v>
      </c>
    </row>
    <row r="105" spans="1:12">
      <c r="A105" s="3" t="s">
        <v>28</v>
      </c>
      <c r="B105" s="10"/>
      <c r="C105" s="9"/>
      <c r="D105" s="9"/>
      <c r="E105" s="9"/>
      <c r="F105" s="6" t="s">
        <v>70</v>
      </c>
      <c r="G105" s="9"/>
      <c r="I105" s="3" t="s">
        <v>71</v>
      </c>
      <c r="J105" s="20">
        <f>1500*SUM(G106,E102,E103,E104,E105)</f>
        <v>0</v>
      </c>
      <c r="K105" s="18" t="s">
        <v>72</v>
      </c>
      <c r="L105" s="18">
        <f>4*F97</f>
        <v>0</v>
      </c>
    </row>
    <row r="106" spans="1:12">
      <c r="A106" s="3" t="s">
        <v>50</v>
      </c>
      <c r="B106" s="9"/>
      <c r="C106" s="3" t="s">
        <v>53</v>
      </c>
      <c r="D106" s="9"/>
      <c r="E106" s="3"/>
      <c r="F106" s="6" t="s">
        <v>73</v>
      </c>
      <c r="G106" s="9"/>
      <c r="I106" s="3" t="s">
        <v>74</v>
      </c>
      <c r="J106" s="21"/>
      <c r="K106" s="18" t="s">
        <v>75</v>
      </c>
      <c r="L106" s="19">
        <f>L77-J100+L94</f>
        <v>4658062.5</v>
      </c>
    </row>
    <row r="107" spans="9:12">
      <c r="I107" s="3" t="s">
        <v>76</v>
      </c>
      <c r="J107" s="6">
        <f>G106*3750+SUM(E102,E103,E104,E105)*4500+G68*9000+G70*7500</f>
        <v>333000</v>
      </c>
      <c r="K107" s="18" t="s">
        <v>77</v>
      </c>
      <c r="L107" s="18">
        <f>L109+L110</f>
        <v>0</v>
      </c>
    </row>
    <row r="108" spans="9:12">
      <c r="I108" s="3" t="s">
        <v>78</v>
      </c>
      <c r="J108" s="3"/>
      <c r="K108" s="18" t="s">
        <v>79</v>
      </c>
      <c r="L108" s="17">
        <f>SUM(L103,L104,L105,L106)</f>
        <v>-4105658.5</v>
      </c>
    </row>
    <row r="109" spans="9:12">
      <c r="I109" s="3" t="s">
        <v>80</v>
      </c>
      <c r="J109" s="26">
        <f>L75*0.1</f>
        <v>0</v>
      </c>
      <c r="K109" s="18" t="s">
        <v>81</v>
      </c>
      <c r="L109" s="6">
        <f>L78+B106-D106</f>
        <v>0</v>
      </c>
    </row>
    <row r="110" spans="9:12">
      <c r="I110" s="3" t="s">
        <v>82</v>
      </c>
      <c r="J110" s="3">
        <f>L76*0.1</f>
        <v>0</v>
      </c>
      <c r="K110" s="18" t="s">
        <v>83</v>
      </c>
      <c r="L110" s="22">
        <f>IF(L67+L99+L97/2-L101,0,-L67-L99-L97/2+L101)</f>
        <v>0</v>
      </c>
    </row>
    <row r="111" spans="9:12">
      <c r="I111" s="3" t="s">
        <v>84</v>
      </c>
      <c r="J111" s="6">
        <f>(L80+B106-D106)*$O$4+L81*$O$4*4</f>
        <v>0</v>
      </c>
      <c r="K111" s="18" t="s">
        <v>85</v>
      </c>
      <c r="L111" s="22">
        <f>L108-L107</f>
        <v>-4105658.5</v>
      </c>
    </row>
    <row r="112" spans="9:12">
      <c r="I112" s="3" t="s">
        <v>86</v>
      </c>
      <c r="J112" s="3">
        <f>SUM(J92,J93,J94,J95,J96,J97,J98,J99,J100,J101,J102,J103,J104,J105,J107,J108,J109,J110,J111,)</f>
        <v>572437.5</v>
      </c>
      <c r="K112" s="23"/>
      <c r="L112" s="23"/>
    </row>
    <row r="113" spans="9:12">
      <c r="I113" s="3" t="s">
        <v>0</v>
      </c>
      <c r="J113" s="3">
        <f>J91/(1+O88)*O88</f>
        <v>0</v>
      </c>
      <c r="K113" s="23"/>
      <c r="L113" s="23"/>
    </row>
    <row r="114" spans="9:12">
      <c r="I114" s="3" t="s">
        <v>2</v>
      </c>
      <c r="J114" s="3">
        <f>J113*O89</f>
        <v>0</v>
      </c>
      <c r="K114" s="23"/>
      <c r="L114" s="23"/>
    </row>
    <row r="115" spans="9:12">
      <c r="I115" s="3" t="s">
        <v>87</v>
      </c>
      <c r="J115" s="3">
        <f>(J91/(1+P88)-J112-J114)*O90</f>
        <v>0</v>
      </c>
      <c r="K115" s="23"/>
      <c r="L115" s="23"/>
    </row>
    <row r="116" spans="9:12">
      <c r="I116" s="3" t="s">
        <v>88</v>
      </c>
      <c r="J116" s="22">
        <f>J91-J112-J113-J114-J115</f>
        <v>-572437.5</v>
      </c>
      <c r="K116" s="23"/>
      <c r="L116" s="23"/>
    </row>
    <row r="118" ht="30" spans="1:12">
      <c r="A118" s="2" t="s">
        <v>93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11" t="s">
        <v>3</v>
      </c>
      <c r="B119" s="12"/>
      <c r="C119" s="12"/>
      <c r="D119" s="12"/>
      <c r="E119" s="12"/>
      <c r="F119" s="12"/>
      <c r="G119" s="13"/>
      <c r="H119" s="3" t="s">
        <v>4</v>
      </c>
      <c r="I119" s="11" t="s">
        <v>5</v>
      </c>
      <c r="J119" s="13"/>
      <c r="K119" s="3"/>
      <c r="L119" s="3"/>
    </row>
    <row r="120" spans="1:12">
      <c r="A120" s="3" t="s">
        <v>7</v>
      </c>
      <c r="B120" s="3" t="s">
        <v>8</v>
      </c>
      <c r="C120" s="3" t="s">
        <v>9</v>
      </c>
      <c r="D120" s="3" t="s">
        <v>10</v>
      </c>
      <c r="E120" s="3" t="s">
        <v>11</v>
      </c>
      <c r="F120" s="3" t="s">
        <v>12</v>
      </c>
      <c r="G120" s="3" t="s">
        <v>13</v>
      </c>
      <c r="H120" s="4"/>
      <c r="I120" s="3" t="s">
        <v>14</v>
      </c>
      <c r="J120" s="3">
        <f>B131*C121+B132*C122+B133*C123+B134*C124</f>
        <v>0</v>
      </c>
      <c r="K120" s="24" t="s">
        <v>15</v>
      </c>
      <c r="L120" s="25"/>
    </row>
    <row r="121" spans="1:12">
      <c r="A121" s="3" t="s">
        <v>17</v>
      </c>
      <c r="B121" s="3"/>
      <c r="C121" s="5"/>
      <c r="D121" s="3"/>
      <c r="E121" s="3"/>
      <c r="F121" s="6">
        <f t="shared" ref="F121:F124" si="5">D131-C121+F92</f>
        <v>0</v>
      </c>
      <c r="G121" s="6">
        <f t="shared" ref="G121:G124" si="6">E131+G92</f>
        <v>3</v>
      </c>
      <c r="H121" s="1" t="s">
        <v>18</v>
      </c>
      <c r="I121" s="3" t="s">
        <v>19</v>
      </c>
      <c r="J121" s="3">
        <f>G130</f>
        <v>0</v>
      </c>
      <c r="K121" s="18" t="s">
        <v>20</v>
      </c>
      <c r="L121" s="18">
        <f>J141+J142+J143+J144-J124-J129-J130</f>
        <v>453000</v>
      </c>
    </row>
    <row r="122" spans="1:12">
      <c r="A122" s="3" t="s">
        <v>22</v>
      </c>
      <c r="B122" s="3"/>
      <c r="C122" s="5"/>
      <c r="D122" s="3"/>
      <c r="E122" s="3"/>
      <c r="F122" s="6">
        <f t="shared" si="5"/>
        <v>0</v>
      </c>
      <c r="G122" s="6">
        <f t="shared" si="6"/>
        <v>3</v>
      </c>
      <c r="H122" s="7">
        <f>(L122+L104)/(G132+G133+E99)</f>
        <v>0</v>
      </c>
      <c r="I122" s="3" t="s">
        <v>23</v>
      </c>
      <c r="J122" s="3">
        <f>IF(G131&gt;0,20000,0)</f>
        <v>0</v>
      </c>
      <c r="K122" s="18" t="s">
        <v>24</v>
      </c>
      <c r="L122" s="18">
        <f>(G133+G132)*H120</f>
        <v>0</v>
      </c>
    </row>
    <row r="123" spans="1:12">
      <c r="A123" s="3" t="s">
        <v>25</v>
      </c>
      <c r="B123" s="3"/>
      <c r="C123" s="5"/>
      <c r="D123" s="3"/>
      <c r="E123" s="3"/>
      <c r="F123" s="6">
        <f t="shared" si="5"/>
        <v>0</v>
      </c>
      <c r="G123" s="6">
        <f t="shared" si="6"/>
        <v>3</v>
      </c>
      <c r="I123" s="3" t="s">
        <v>26</v>
      </c>
      <c r="J123" s="3">
        <f>1.4*G131</f>
        <v>0</v>
      </c>
      <c r="K123" s="18" t="s">
        <v>27</v>
      </c>
      <c r="L123" s="18">
        <f>G134*500000</f>
        <v>0</v>
      </c>
    </row>
    <row r="124" spans="1:12">
      <c r="A124" s="3" t="s">
        <v>28</v>
      </c>
      <c r="B124" s="3"/>
      <c r="C124" s="5"/>
      <c r="D124" s="3"/>
      <c r="E124" s="3"/>
      <c r="F124" s="6">
        <f t="shared" si="5"/>
        <v>0</v>
      </c>
      <c r="G124" s="6">
        <f t="shared" si="6"/>
        <v>3</v>
      </c>
      <c r="I124" s="3" t="s">
        <v>29</v>
      </c>
      <c r="J124" s="3">
        <f>H122*G131*1.35</f>
        <v>0</v>
      </c>
      <c r="K124" s="18" t="s">
        <v>30</v>
      </c>
      <c r="L124" s="19">
        <f>L127-L130</f>
        <v>-453000</v>
      </c>
    </row>
    <row r="125" spans="1:12">
      <c r="A125" s="14" t="s">
        <v>31</v>
      </c>
      <c r="B125" s="3" t="s">
        <v>32</v>
      </c>
      <c r="C125" s="3" t="s">
        <v>33</v>
      </c>
      <c r="D125" s="3" t="s">
        <v>33</v>
      </c>
      <c r="E125" s="3" t="s">
        <v>34</v>
      </c>
      <c r="F125" s="3" t="s">
        <v>35</v>
      </c>
      <c r="G125" s="3" t="s">
        <v>36</v>
      </c>
      <c r="I125" s="3" t="s">
        <v>37</v>
      </c>
      <c r="J125" s="3">
        <f>IF(G133+G132&gt;0,200000,0)</f>
        <v>0</v>
      </c>
      <c r="K125" s="18" t="s">
        <v>38</v>
      </c>
      <c r="L125" s="6">
        <f>IF(L139=0,L96+L124,L126/2)</f>
        <v>-9216721</v>
      </c>
    </row>
    <row r="126" spans="1:12">
      <c r="A126" s="15"/>
      <c r="B126" s="3"/>
      <c r="C126" s="3"/>
      <c r="D126" s="3"/>
      <c r="E126" s="3"/>
      <c r="F126" s="6">
        <f>F121+F122+F123+F124</f>
        <v>0</v>
      </c>
      <c r="G126" s="6">
        <f>G121+G122+G123+G124</f>
        <v>12</v>
      </c>
      <c r="I126" s="3" t="s">
        <v>39</v>
      </c>
      <c r="J126" s="3">
        <f>G133</f>
        <v>0</v>
      </c>
      <c r="K126" s="18" t="s">
        <v>14</v>
      </c>
      <c r="L126" s="3">
        <f>J120</f>
        <v>0</v>
      </c>
    </row>
    <row r="127" spans="1:12">
      <c r="A127" s="6" t="s">
        <v>40</v>
      </c>
      <c r="B127" s="3" t="s">
        <v>41</v>
      </c>
      <c r="C127" s="3" t="s">
        <v>42</v>
      </c>
      <c r="D127" s="3" t="s">
        <v>43</v>
      </c>
      <c r="E127" s="3" t="s">
        <v>44</v>
      </c>
      <c r="F127" s="3" t="s">
        <v>45</v>
      </c>
      <c r="G127" s="3" t="s">
        <v>46</v>
      </c>
      <c r="I127" s="3" t="s">
        <v>47</v>
      </c>
      <c r="J127" s="6">
        <f>D99*12000</f>
        <v>120000</v>
      </c>
      <c r="K127" s="18" t="s">
        <v>48</v>
      </c>
      <c r="L127" s="3">
        <f>L126+L128</f>
        <v>0</v>
      </c>
    </row>
    <row r="128" spans="1:12">
      <c r="A128" s="6">
        <f>G134*50000+A99*0.975</f>
        <v>454161.09375</v>
      </c>
      <c r="B128" s="3">
        <f>A128</f>
        <v>454161.09375</v>
      </c>
      <c r="C128" s="3">
        <f>B128</f>
        <v>454161.09375</v>
      </c>
      <c r="D128" s="6">
        <f>G134+D99</f>
        <v>10</v>
      </c>
      <c r="E128" s="6">
        <f>G132+G133-G131*1.35+E99</f>
        <v>4128888</v>
      </c>
      <c r="F128" s="6">
        <f>G128+G126</f>
        <v>42</v>
      </c>
      <c r="G128" s="6">
        <f>G135+G99</f>
        <v>30</v>
      </c>
      <c r="I128" s="3" t="s">
        <v>49</v>
      </c>
      <c r="J128" s="3">
        <f>G134*100000</f>
        <v>0</v>
      </c>
      <c r="K128" s="18" t="s">
        <v>50</v>
      </c>
      <c r="L128" s="3">
        <f>B135</f>
        <v>0</v>
      </c>
    </row>
    <row r="129" spans="1:12">
      <c r="A129" s="8" t="s">
        <v>51</v>
      </c>
      <c r="B129" s="8"/>
      <c r="C129" s="8"/>
      <c r="D129" s="8"/>
      <c r="E129" s="8"/>
      <c r="F129" s="8"/>
      <c r="G129" s="8"/>
      <c r="I129" s="3" t="s">
        <v>52</v>
      </c>
      <c r="J129" s="6">
        <f>L106*0.025</f>
        <v>116451.5625</v>
      </c>
      <c r="K129" s="18" t="s">
        <v>53</v>
      </c>
      <c r="L129" s="3">
        <f>D135</f>
        <v>0</v>
      </c>
    </row>
    <row r="130" spans="1:12">
      <c r="A130" s="3"/>
      <c r="B130" s="3" t="s">
        <v>54</v>
      </c>
      <c r="C130" s="3" t="s">
        <v>55</v>
      </c>
      <c r="D130" s="3" t="s">
        <v>56</v>
      </c>
      <c r="E130" s="3" t="s">
        <v>57</v>
      </c>
      <c r="F130" s="3" t="s">
        <v>58</v>
      </c>
      <c r="G130" s="9"/>
      <c r="I130" s="3" t="s">
        <v>59</v>
      </c>
      <c r="J130" s="6">
        <f>L105-L134</f>
        <v>0</v>
      </c>
      <c r="K130" s="18" t="s">
        <v>60</v>
      </c>
      <c r="L130" s="3">
        <f>SUM(L121,L122,L129,L123)</f>
        <v>453000</v>
      </c>
    </row>
    <row r="131" spans="1:12">
      <c r="A131" s="3" t="s">
        <v>17</v>
      </c>
      <c r="B131" s="10"/>
      <c r="C131" s="9"/>
      <c r="D131" s="9"/>
      <c r="E131" s="9"/>
      <c r="F131" s="3" t="s">
        <v>61</v>
      </c>
      <c r="G131" s="9"/>
      <c r="I131" s="3" t="s">
        <v>62</v>
      </c>
      <c r="J131" s="3">
        <f>C131+C132+C133+C134</f>
        <v>0</v>
      </c>
      <c r="K131" s="24" t="s">
        <v>63</v>
      </c>
      <c r="L131" s="25"/>
    </row>
    <row r="132" spans="1:12">
      <c r="A132" s="3" t="s">
        <v>22</v>
      </c>
      <c r="B132" s="10"/>
      <c r="C132" s="9"/>
      <c r="D132" s="9"/>
      <c r="E132" s="9"/>
      <c r="F132" s="6" t="s">
        <v>64</v>
      </c>
      <c r="G132" s="9"/>
      <c r="I132" s="3" t="s">
        <v>65</v>
      </c>
      <c r="J132" s="3">
        <f>0.5*D131+0.1*D132+0.4*D133+0.4*D134</f>
        <v>0</v>
      </c>
      <c r="K132" s="18" t="s">
        <v>66</v>
      </c>
      <c r="L132" s="18">
        <f>L125</f>
        <v>-9216721</v>
      </c>
    </row>
    <row r="133" spans="1:12">
      <c r="A133" s="3" t="s">
        <v>25</v>
      </c>
      <c r="B133" s="10"/>
      <c r="C133" s="9"/>
      <c r="D133" s="9"/>
      <c r="E133" s="9"/>
      <c r="F133" s="6" t="s">
        <v>67</v>
      </c>
      <c r="G133" s="9"/>
      <c r="I133" s="3" t="s">
        <v>68</v>
      </c>
      <c r="J133" s="3"/>
      <c r="K133" s="18" t="s">
        <v>69</v>
      </c>
      <c r="L133" s="18">
        <f>H122*E128</f>
        <v>0</v>
      </c>
    </row>
    <row r="134" spans="1:12">
      <c r="A134" s="3" t="s">
        <v>28</v>
      </c>
      <c r="B134" s="10"/>
      <c r="C134" s="9"/>
      <c r="D134" s="9"/>
      <c r="E134" s="9"/>
      <c r="F134" s="6" t="s">
        <v>70</v>
      </c>
      <c r="G134" s="9"/>
      <c r="I134" s="3" t="s">
        <v>71</v>
      </c>
      <c r="J134" s="20">
        <f>1500*SUM(G135,E131,E132,E133,E134)</f>
        <v>0</v>
      </c>
      <c r="K134" s="18" t="s">
        <v>72</v>
      </c>
      <c r="L134" s="18">
        <f>4*F126</f>
        <v>0</v>
      </c>
    </row>
    <row r="135" spans="1:12">
      <c r="A135" s="3" t="s">
        <v>50</v>
      </c>
      <c r="B135" s="9"/>
      <c r="C135" s="3" t="s">
        <v>53</v>
      </c>
      <c r="D135" s="9"/>
      <c r="E135" s="3"/>
      <c r="F135" s="6" t="s">
        <v>73</v>
      </c>
      <c r="G135" s="9"/>
      <c r="I135" s="3" t="s">
        <v>74</v>
      </c>
      <c r="J135" s="21"/>
      <c r="K135" s="18" t="s">
        <v>75</v>
      </c>
      <c r="L135" s="19">
        <f>L106-J129+L123</f>
        <v>4541610.9375</v>
      </c>
    </row>
    <row r="136" spans="9:12">
      <c r="I136" s="3" t="s">
        <v>76</v>
      </c>
      <c r="J136" s="6">
        <f>G135*3750+SUM(E131,E132,E133,E134)*4500+G97*9000+G99*7500</f>
        <v>333000</v>
      </c>
      <c r="K136" s="18" t="s">
        <v>77</v>
      </c>
      <c r="L136" s="18">
        <f>L138+L139</f>
        <v>0</v>
      </c>
    </row>
    <row r="137" spans="9:12">
      <c r="I137" s="3" t="s">
        <v>78</v>
      </c>
      <c r="J137" s="3"/>
      <c r="K137" s="18" t="s">
        <v>79</v>
      </c>
      <c r="L137" s="17">
        <f>SUM(L132,L133,L134,L135)</f>
        <v>-4675110.0625</v>
      </c>
    </row>
    <row r="138" spans="9:12">
      <c r="I138" s="3" t="s">
        <v>80</v>
      </c>
      <c r="J138" s="26">
        <f>L104*0.1</f>
        <v>0</v>
      </c>
      <c r="K138" s="18" t="s">
        <v>81</v>
      </c>
      <c r="L138" s="6">
        <f>L107+B135-D135</f>
        <v>0</v>
      </c>
    </row>
    <row r="139" spans="9:12">
      <c r="I139" s="3" t="s">
        <v>82</v>
      </c>
      <c r="J139" s="3">
        <f>L105*0.1</f>
        <v>0</v>
      </c>
      <c r="K139" s="18" t="s">
        <v>83</v>
      </c>
      <c r="L139" s="22">
        <f>IF(L96+L128+L126/2-L130,0,-L96-L128-L126/2+L130)</f>
        <v>0</v>
      </c>
    </row>
    <row r="140" spans="9:12">
      <c r="I140" s="3" t="s">
        <v>84</v>
      </c>
      <c r="J140" s="6">
        <f>(L109+B135-D135)*$O$4+L110*$O$4*4</f>
        <v>0</v>
      </c>
      <c r="K140" s="18" t="s">
        <v>85</v>
      </c>
      <c r="L140" s="22">
        <f>L137-L136</f>
        <v>-4675110.0625</v>
      </c>
    </row>
    <row r="141" spans="9:12">
      <c r="I141" s="3" t="s">
        <v>86</v>
      </c>
      <c r="J141" s="3">
        <f>SUM(J121,J122,J123,J124,J125,J126,J127,J128,J129,J130,J131,J132,J133,J134,J136,J137,J138,J139,J140,)</f>
        <v>569451.5625</v>
      </c>
      <c r="K141" s="23"/>
      <c r="L141" s="23"/>
    </row>
    <row r="142" spans="9:12">
      <c r="I142" s="3" t="s">
        <v>0</v>
      </c>
      <c r="J142" s="3">
        <f>J120/(1+O117)*O117</f>
        <v>0</v>
      </c>
      <c r="K142" s="23"/>
      <c r="L142" s="23"/>
    </row>
    <row r="143" spans="9:12">
      <c r="I143" s="3" t="s">
        <v>2</v>
      </c>
      <c r="J143" s="3">
        <f>J142*O118</f>
        <v>0</v>
      </c>
      <c r="K143" s="23"/>
      <c r="L143" s="23"/>
    </row>
    <row r="144" spans="9:12">
      <c r="I144" s="3" t="s">
        <v>87</v>
      </c>
      <c r="J144" s="3">
        <f>(J120/(1+P117)-J141-J143)*O119</f>
        <v>0</v>
      </c>
      <c r="K144" s="23"/>
      <c r="L144" s="23"/>
    </row>
    <row r="145" spans="9:12">
      <c r="I145" s="3" t="s">
        <v>88</v>
      </c>
      <c r="J145" s="22">
        <f>J120-J141-J142-J143-J144</f>
        <v>-569451.5625</v>
      </c>
      <c r="K145" s="23"/>
      <c r="L145" s="23"/>
    </row>
    <row r="147" ht="30" spans="1:12">
      <c r="A147" s="2" t="s">
        <v>94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11" t="s">
        <v>3</v>
      </c>
      <c r="B148" s="12"/>
      <c r="C148" s="12"/>
      <c r="D148" s="12"/>
      <c r="E148" s="12"/>
      <c r="F148" s="12"/>
      <c r="G148" s="13"/>
      <c r="H148" s="3" t="s">
        <v>4</v>
      </c>
      <c r="I148" s="11" t="s">
        <v>5</v>
      </c>
      <c r="J148" s="13"/>
      <c r="K148" s="3"/>
      <c r="L148" s="3"/>
    </row>
    <row r="149" spans="1:12">
      <c r="A149" s="3" t="s">
        <v>7</v>
      </c>
      <c r="B149" s="3" t="s">
        <v>8</v>
      </c>
      <c r="C149" s="3" t="s">
        <v>9</v>
      </c>
      <c r="D149" s="3" t="s">
        <v>10</v>
      </c>
      <c r="E149" s="3" t="s">
        <v>11</v>
      </c>
      <c r="F149" s="3" t="s">
        <v>12</v>
      </c>
      <c r="G149" s="3" t="s">
        <v>13</v>
      </c>
      <c r="H149" s="4"/>
      <c r="I149" s="3" t="s">
        <v>14</v>
      </c>
      <c r="J149" s="3">
        <f>B160*C150+B161*C151+B162*C152+B163*C153</f>
        <v>0</v>
      </c>
      <c r="K149" s="24" t="s">
        <v>15</v>
      </c>
      <c r="L149" s="25"/>
    </row>
    <row r="150" spans="1:12">
      <c r="A150" s="3" t="s">
        <v>17</v>
      </c>
      <c r="B150" s="3"/>
      <c r="C150" s="5"/>
      <c r="D150" s="3"/>
      <c r="E150" s="3"/>
      <c r="F150" s="6">
        <f t="shared" ref="F150:F153" si="7">D160-C150+F121</f>
        <v>0</v>
      </c>
      <c r="G150" s="6">
        <f t="shared" ref="G150:G153" si="8">E160+G121</f>
        <v>3</v>
      </c>
      <c r="H150" s="1" t="s">
        <v>18</v>
      </c>
      <c r="I150" s="3" t="s">
        <v>19</v>
      </c>
      <c r="J150" s="3">
        <f>G159</f>
        <v>0</v>
      </c>
      <c r="K150" s="18" t="s">
        <v>20</v>
      </c>
      <c r="L150" s="18">
        <f>J170+J171+J172+J173-J153-J158-J159</f>
        <v>453000</v>
      </c>
    </row>
    <row r="151" spans="1:12">
      <c r="A151" s="3" t="s">
        <v>22</v>
      </c>
      <c r="B151" s="3"/>
      <c r="C151" s="5"/>
      <c r="D151" s="3"/>
      <c r="E151" s="3"/>
      <c r="F151" s="6">
        <f t="shared" si="7"/>
        <v>0</v>
      </c>
      <c r="G151" s="6">
        <f t="shared" si="8"/>
        <v>3</v>
      </c>
      <c r="H151" s="7">
        <f>(L151+L133)/(G161+G162+E128)</f>
        <v>0</v>
      </c>
      <c r="I151" s="3" t="s">
        <v>23</v>
      </c>
      <c r="J151" s="3">
        <f>IF(G160&gt;0,20000,0)</f>
        <v>0</v>
      </c>
      <c r="K151" s="18" t="s">
        <v>24</v>
      </c>
      <c r="L151" s="18">
        <f>(G162+G161)*H149</f>
        <v>0</v>
      </c>
    </row>
    <row r="152" spans="1:12">
      <c r="A152" s="3" t="s">
        <v>25</v>
      </c>
      <c r="B152" s="3"/>
      <c r="C152" s="5"/>
      <c r="D152" s="3"/>
      <c r="E152" s="3"/>
      <c r="F152" s="6">
        <f t="shared" si="7"/>
        <v>0</v>
      </c>
      <c r="G152" s="6">
        <f t="shared" si="8"/>
        <v>3</v>
      </c>
      <c r="I152" s="3" t="s">
        <v>26</v>
      </c>
      <c r="J152" s="3">
        <f>1.4*G160</f>
        <v>0</v>
      </c>
      <c r="K152" s="18" t="s">
        <v>27</v>
      </c>
      <c r="L152" s="18">
        <f>G163*500000</f>
        <v>0</v>
      </c>
    </row>
    <row r="153" spans="1:12">
      <c r="A153" s="3" t="s">
        <v>28</v>
      </c>
      <c r="B153" s="3"/>
      <c r="C153" s="5"/>
      <c r="D153" s="3"/>
      <c r="E153" s="3"/>
      <c r="F153" s="6">
        <f t="shared" si="7"/>
        <v>0</v>
      </c>
      <c r="G153" s="6">
        <f t="shared" si="8"/>
        <v>3</v>
      </c>
      <c r="I153" s="3" t="s">
        <v>29</v>
      </c>
      <c r="J153" s="3">
        <f>H151*G160*1.35</f>
        <v>0</v>
      </c>
      <c r="K153" s="18" t="s">
        <v>30</v>
      </c>
      <c r="L153" s="19">
        <f>L156-L159</f>
        <v>-453000</v>
      </c>
    </row>
    <row r="154" spans="1:12">
      <c r="A154" s="14" t="s">
        <v>31</v>
      </c>
      <c r="B154" s="3" t="s">
        <v>32</v>
      </c>
      <c r="C154" s="3" t="s">
        <v>33</v>
      </c>
      <c r="D154" s="3" t="s">
        <v>33</v>
      </c>
      <c r="E154" s="3" t="s">
        <v>34</v>
      </c>
      <c r="F154" s="3" t="s">
        <v>35</v>
      </c>
      <c r="G154" s="3" t="s">
        <v>36</v>
      </c>
      <c r="I154" s="3" t="s">
        <v>37</v>
      </c>
      <c r="J154" s="3">
        <f>IF(G162+G161&gt;0,200000,0)</f>
        <v>0</v>
      </c>
      <c r="K154" s="18" t="s">
        <v>38</v>
      </c>
      <c r="L154" s="6">
        <f>IF(L168=0,L125+L153,L155/2)</f>
        <v>-9669721</v>
      </c>
    </row>
    <row r="155" spans="1:12">
      <c r="A155" s="15"/>
      <c r="B155" s="3"/>
      <c r="C155" s="3"/>
      <c r="D155" s="3"/>
      <c r="E155" s="3"/>
      <c r="F155" s="6">
        <f>F150+F151+F152+F153</f>
        <v>0</v>
      </c>
      <c r="G155" s="6">
        <f>G150+G151+G152+G153</f>
        <v>12</v>
      </c>
      <c r="I155" s="3" t="s">
        <v>39</v>
      </c>
      <c r="J155" s="3">
        <f>G162</f>
        <v>0</v>
      </c>
      <c r="K155" s="18" t="s">
        <v>14</v>
      </c>
      <c r="L155" s="3">
        <f>J149</f>
        <v>0</v>
      </c>
    </row>
    <row r="156" spans="1:12">
      <c r="A156" s="6" t="s">
        <v>40</v>
      </c>
      <c r="B156" s="3" t="s">
        <v>41</v>
      </c>
      <c r="C156" s="3" t="s">
        <v>42</v>
      </c>
      <c r="D156" s="3" t="s">
        <v>43</v>
      </c>
      <c r="E156" s="3" t="s">
        <v>44</v>
      </c>
      <c r="F156" s="3" t="s">
        <v>45</v>
      </c>
      <c r="G156" s="3" t="s">
        <v>46</v>
      </c>
      <c r="I156" s="3" t="s">
        <v>47</v>
      </c>
      <c r="J156" s="6">
        <f>D128*12000</f>
        <v>120000</v>
      </c>
      <c r="K156" s="18" t="s">
        <v>48</v>
      </c>
      <c r="L156" s="3">
        <f>L155+L157</f>
        <v>0</v>
      </c>
    </row>
    <row r="157" spans="1:12">
      <c r="A157" s="6">
        <f>G163*50000+A128*0.975</f>
        <v>442807.06640625</v>
      </c>
      <c r="B157" s="3">
        <f>A157</f>
        <v>442807.06640625</v>
      </c>
      <c r="C157" s="3">
        <f>B157</f>
        <v>442807.06640625</v>
      </c>
      <c r="D157" s="6">
        <f>G163+D128</f>
        <v>10</v>
      </c>
      <c r="E157" s="6">
        <f>G161+G162-G160*1.35+E128</f>
        <v>4128888</v>
      </c>
      <c r="F157" s="6">
        <f>G157+G155</f>
        <v>42</v>
      </c>
      <c r="G157" s="6">
        <f>G164+G128</f>
        <v>30</v>
      </c>
      <c r="I157" s="3" t="s">
        <v>49</v>
      </c>
      <c r="J157" s="3">
        <f>G163*100000</f>
        <v>0</v>
      </c>
      <c r="K157" s="18" t="s">
        <v>50</v>
      </c>
      <c r="L157" s="3">
        <f>B164</f>
        <v>0</v>
      </c>
    </row>
    <row r="158" spans="1:12">
      <c r="A158" s="27" t="s">
        <v>51</v>
      </c>
      <c r="B158" s="27"/>
      <c r="C158" s="27"/>
      <c r="D158" s="27"/>
      <c r="E158" s="27"/>
      <c r="F158" s="27"/>
      <c r="G158" s="27"/>
      <c r="I158" s="3" t="s">
        <v>52</v>
      </c>
      <c r="J158" s="6">
        <f>L135*0.025</f>
        <v>113540.2734375</v>
      </c>
      <c r="K158" s="18" t="s">
        <v>53</v>
      </c>
      <c r="L158" s="3">
        <f>D164</f>
        <v>0</v>
      </c>
    </row>
    <row r="159" spans="1:12">
      <c r="A159" s="3"/>
      <c r="B159" s="3" t="s">
        <v>54</v>
      </c>
      <c r="C159" s="3" t="s">
        <v>55</v>
      </c>
      <c r="D159" s="3" t="s">
        <v>56</v>
      </c>
      <c r="E159" s="3" t="s">
        <v>57</v>
      </c>
      <c r="F159" s="3" t="s">
        <v>58</v>
      </c>
      <c r="G159" s="9"/>
      <c r="I159" s="3" t="s">
        <v>59</v>
      </c>
      <c r="J159" s="6">
        <f>L134-L163</f>
        <v>0</v>
      </c>
      <c r="K159" s="18" t="s">
        <v>60</v>
      </c>
      <c r="L159" s="3">
        <f>SUM(L150,L151,L158,L152)</f>
        <v>453000</v>
      </c>
    </row>
    <row r="160" spans="1:12">
      <c r="A160" s="3" t="s">
        <v>17</v>
      </c>
      <c r="B160" s="10"/>
      <c r="C160" s="9"/>
      <c r="D160" s="9"/>
      <c r="E160" s="9"/>
      <c r="F160" s="3" t="s">
        <v>61</v>
      </c>
      <c r="G160" s="9"/>
      <c r="I160" s="3" t="s">
        <v>62</v>
      </c>
      <c r="J160" s="3">
        <f>C160+C161+C162+C163</f>
        <v>0</v>
      </c>
      <c r="K160" s="24" t="s">
        <v>63</v>
      </c>
      <c r="L160" s="25"/>
    </row>
    <row r="161" spans="1:12">
      <c r="A161" s="3" t="s">
        <v>22</v>
      </c>
      <c r="B161" s="10"/>
      <c r="C161" s="9"/>
      <c r="D161" s="9"/>
      <c r="E161" s="9"/>
      <c r="F161" s="6" t="s">
        <v>64</v>
      </c>
      <c r="G161" s="9"/>
      <c r="I161" s="3" t="s">
        <v>65</v>
      </c>
      <c r="J161" s="3">
        <f>0.5*D160+0.1*D161+0.4*D162+0.4*D163</f>
        <v>0</v>
      </c>
      <c r="K161" s="18" t="s">
        <v>66</v>
      </c>
      <c r="L161" s="18">
        <f>L154</f>
        <v>-9669721</v>
      </c>
    </row>
    <row r="162" spans="1:12">
      <c r="A162" s="3" t="s">
        <v>25</v>
      </c>
      <c r="B162" s="10"/>
      <c r="C162" s="9"/>
      <c r="D162" s="9"/>
      <c r="E162" s="9"/>
      <c r="F162" s="6" t="s">
        <v>67</v>
      </c>
      <c r="G162" s="9"/>
      <c r="I162" s="3" t="s">
        <v>68</v>
      </c>
      <c r="J162" s="3"/>
      <c r="K162" s="18" t="s">
        <v>69</v>
      </c>
      <c r="L162" s="18">
        <f>H151*E157</f>
        <v>0</v>
      </c>
    </row>
    <row r="163" spans="1:12">
      <c r="A163" s="3" t="s">
        <v>28</v>
      </c>
      <c r="B163" s="10"/>
      <c r="C163" s="9"/>
      <c r="D163" s="9"/>
      <c r="E163" s="9"/>
      <c r="F163" s="6" t="s">
        <v>70</v>
      </c>
      <c r="G163" s="9"/>
      <c r="I163" s="3" t="s">
        <v>71</v>
      </c>
      <c r="J163" s="20">
        <f>1500*SUM(G164,E160,E161,E162,E163)</f>
        <v>0</v>
      </c>
      <c r="K163" s="18" t="s">
        <v>72</v>
      </c>
      <c r="L163" s="18">
        <f>4*F155</f>
        <v>0</v>
      </c>
    </row>
    <row r="164" spans="1:12">
      <c r="A164" s="3" t="s">
        <v>50</v>
      </c>
      <c r="B164" s="9"/>
      <c r="C164" s="3" t="s">
        <v>53</v>
      </c>
      <c r="D164" s="9"/>
      <c r="E164" s="3"/>
      <c r="F164" s="6" t="s">
        <v>73</v>
      </c>
      <c r="G164" s="9"/>
      <c r="I164" s="3" t="s">
        <v>74</v>
      </c>
      <c r="J164" s="21"/>
      <c r="K164" s="18" t="s">
        <v>75</v>
      </c>
      <c r="L164" s="19">
        <f>L135-J158+L152</f>
        <v>4428070.6640625</v>
      </c>
    </row>
    <row r="165" spans="9:12">
      <c r="I165" s="3" t="s">
        <v>76</v>
      </c>
      <c r="J165" s="6">
        <f>G164*3750+SUM(E160,E161,E162,E163)*4500+G126*9000+G128*7500</f>
        <v>333000</v>
      </c>
      <c r="K165" s="18" t="s">
        <v>77</v>
      </c>
      <c r="L165" s="18">
        <f>L167+L168</f>
        <v>0</v>
      </c>
    </row>
    <row r="166" spans="9:12">
      <c r="I166" s="3" t="s">
        <v>78</v>
      </c>
      <c r="J166" s="3"/>
      <c r="K166" s="18" t="s">
        <v>79</v>
      </c>
      <c r="L166" s="17">
        <f>SUM(L161,L162,L163,L164)</f>
        <v>-5241650.3359375</v>
      </c>
    </row>
    <row r="167" spans="9:12">
      <c r="I167" s="3" t="s">
        <v>80</v>
      </c>
      <c r="J167" s="26">
        <f>L133*0.1</f>
        <v>0</v>
      </c>
      <c r="K167" s="18" t="s">
        <v>81</v>
      </c>
      <c r="L167" s="6">
        <f>L136+B164-D164</f>
        <v>0</v>
      </c>
    </row>
    <row r="168" spans="9:12">
      <c r="I168" s="3" t="s">
        <v>82</v>
      </c>
      <c r="J168" s="3">
        <f>L134*0.1</f>
        <v>0</v>
      </c>
      <c r="K168" s="18" t="s">
        <v>83</v>
      </c>
      <c r="L168" s="22">
        <f>IF(L125+L157+L155/2-L159,0,-L125-L157-L155/2+L159)</f>
        <v>0</v>
      </c>
    </row>
    <row r="169" spans="9:12">
      <c r="I169" s="3" t="s">
        <v>84</v>
      </c>
      <c r="J169" s="6">
        <f>(L138+B164-D164)*$O$4+L139*$O$4*4</f>
        <v>0</v>
      </c>
      <c r="K169" s="18" t="s">
        <v>85</v>
      </c>
      <c r="L169" s="22">
        <f>L166-L165</f>
        <v>-5241650.3359375</v>
      </c>
    </row>
    <row r="170" spans="9:12">
      <c r="I170" s="3" t="s">
        <v>86</v>
      </c>
      <c r="J170" s="3">
        <f>SUM(J150,J151,J152,J153,J154,J155,J156,J157,J158,J159,J160,J161,J162,J163,J165,J166,J167,J168,J169,)</f>
        <v>566540.2734375</v>
      </c>
      <c r="K170" s="23"/>
      <c r="L170" s="23"/>
    </row>
    <row r="171" spans="9:12">
      <c r="I171" s="3" t="s">
        <v>0</v>
      </c>
      <c r="J171" s="3">
        <f>J149/(1+O146)*O146</f>
        <v>0</v>
      </c>
      <c r="K171" s="23"/>
      <c r="L171" s="23"/>
    </row>
    <row r="172" spans="9:12">
      <c r="I172" s="3" t="s">
        <v>2</v>
      </c>
      <c r="J172" s="3">
        <f>J171*O147</f>
        <v>0</v>
      </c>
      <c r="K172" s="23"/>
      <c r="L172" s="23"/>
    </row>
    <row r="173" spans="9:12">
      <c r="I173" s="3" t="s">
        <v>87</v>
      </c>
      <c r="J173" s="3">
        <f>(J149/(1+P146)-J170-J172)*O148</f>
        <v>0</v>
      </c>
      <c r="K173" s="23"/>
      <c r="L173" s="23"/>
    </row>
    <row r="174" spans="9:12">
      <c r="I174" s="3" t="s">
        <v>88</v>
      </c>
      <c r="J174" s="22">
        <f>J149-J170-J171-J172-J173</f>
        <v>-566540.2734375</v>
      </c>
      <c r="K174" s="23"/>
      <c r="L174" s="23"/>
    </row>
    <row r="176" ht="30" spans="1:12">
      <c r="A176" s="2" t="s">
        <v>95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11" t="s">
        <v>3</v>
      </c>
      <c r="B177" s="12"/>
      <c r="C177" s="12"/>
      <c r="D177" s="12"/>
      <c r="E177" s="12"/>
      <c r="F177" s="12"/>
      <c r="G177" s="13"/>
      <c r="H177" s="3" t="s">
        <v>4</v>
      </c>
      <c r="I177" s="11" t="s">
        <v>5</v>
      </c>
      <c r="J177" s="13"/>
      <c r="K177" s="3"/>
      <c r="L177" s="3"/>
    </row>
    <row r="178" spans="1:12">
      <c r="A178" s="3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  <c r="H178" s="4"/>
      <c r="I178" s="3" t="s">
        <v>14</v>
      </c>
      <c r="J178" s="3">
        <f>B189*C179+B190*C180+B191*C181+B192*C182</f>
        <v>0</v>
      </c>
      <c r="K178" s="24" t="s">
        <v>15</v>
      </c>
      <c r="L178" s="25"/>
    </row>
    <row r="179" spans="1:12">
      <c r="A179" s="3" t="s">
        <v>17</v>
      </c>
      <c r="B179" s="3"/>
      <c r="C179" s="5"/>
      <c r="D179" s="3"/>
      <c r="E179" s="3"/>
      <c r="F179" s="6">
        <f t="shared" ref="F179:F182" si="9">D189-C179+F150</f>
        <v>0</v>
      </c>
      <c r="G179" s="6">
        <f t="shared" ref="G179:G182" si="10">E189+G150</f>
        <v>3</v>
      </c>
      <c r="H179" s="1" t="s">
        <v>18</v>
      </c>
      <c r="I179" s="3" t="s">
        <v>19</v>
      </c>
      <c r="J179" s="3">
        <f>G188</f>
        <v>0</v>
      </c>
      <c r="K179" s="18" t="s">
        <v>20</v>
      </c>
      <c r="L179" s="18">
        <f>J199+J200+J201+J202-J182-J187-J188</f>
        <v>453000</v>
      </c>
    </row>
    <row r="180" spans="1:12">
      <c r="A180" s="3" t="s">
        <v>22</v>
      </c>
      <c r="B180" s="3"/>
      <c r="C180" s="5"/>
      <c r="D180" s="3"/>
      <c r="E180" s="3"/>
      <c r="F180" s="6">
        <f t="shared" si="9"/>
        <v>0</v>
      </c>
      <c r="G180" s="6">
        <f t="shared" si="10"/>
        <v>3</v>
      </c>
      <c r="H180" s="7">
        <f>(L180+L162)/(G190+G191+E157)</f>
        <v>0</v>
      </c>
      <c r="I180" s="3" t="s">
        <v>23</v>
      </c>
      <c r="J180" s="3">
        <f>IF(G189&gt;0,20000,0)</f>
        <v>0</v>
      </c>
      <c r="K180" s="18" t="s">
        <v>24</v>
      </c>
      <c r="L180" s="18">
        <f>(G191+G190)*H178</f>
        <v>0</v>
      </c>
    </row>
    <row r="181" spans="1:12">
      <c r="A181" s="3" t="s">
        <v>25</v>
      </c>
      <c r="B181" s="3"/>
      <c r="C181" s="5"/>
      <c r="D181" s="3"/>
      <c r="E181" s="3"/>
      <c r="F181" s="6">
        <f t="shared" si="9"/>
        <v>0</v>
      </c>
      <c r="G181" s="6">
        <f t="shared" si="10"/>
        <v>3</v>
      </c>
      <c r="I181" s="3" t="s">
        <v>26</v>
      </c>
      <c r="J181" s="3">
        <f>1.4*G189</f>
        <v>0</v>
      </c>
      <c r="K181" s="18" t="s">
        <v>27</v>
      </c>
      <c r="L181" s="18">
        <f>G192*500000</f>
        <v>0</v>
      </c>
    </row>
    <row r="182" spans="1:12">
      <c r="A182" s="3" t="s">
        <v>28</v>
      </c>
      <c r="B182" s="3"/>
      <c r="C182" s="5"/>
      <c r="D182" s="3"/>
      <c r="E182" s="3"/>
      <c r="F182" s="6">
        <f t="shared" si="9"/>
        <v>0</v>
      </c>
      <c r="G182" s="6">
        <f t="shared" si="10"/>
        <v>3</v>
      </c>
      <c r="I182" s="3" t="s">
        <v>29</v>
      </c>
      <c r="J182" s="3">
        <f>H180*G189*1.35</f>
        <v>0</v>
      </c>
      <c r="K182" s="18" t="s">
        <v>30</v>
      </c>
      <c r="L182" s="19">
        <f>L185-L188</f>
        <v>-453000</v>
      </c>
    </row>
    <row r="183" spans="1:12">
      <c r="A183" s="14" t="s">
        <v>31</v>
      </c>
      <c r="B183" s="3" t="s">
        <v>32</v>
      </c>
      <c r="C183" s="3" t="s">
        <v>33</v>
      </c>
      <c r="D183" s="3" t="s">
        <v>33</v>
      </c>
      <c r="E183" s="3" t="s">
        <v>34</v>
      </c>
      <c r="F183" s="3" t="s">
        <v>35</v>
      </c>
      <c r="G183" s="3" t="s">
        <v>36</v>
      </c>
      <c r="I183" s="3" t="s">
        <v>37</v>
      </c>
      <c r="J183" s="3">
        <f>IF(G191+G190&gt;0,200000,0)</f>
        <v>0</v>
      </c>
      <c r="K183" s="18" t="s">
        <v>38</v>
      </c>
      <c r="L183" s="6">
        <f>IF(L197=0,L154+L182,L184/2)</f>
        <v>-10122721</v>
      </c>
    </row>
    <row r="184" spans="1:12">
      <c r="A184" s="15"/>
      <c r="B184" s="3"/>
      <c r="C184" s="3"/>
      <c r="D184" s="3"/>
      <c r="E184" s="3"/>
      <c r="F184" s="6">
        <f>F179+F180+F181+F182</f>
        <v>0</v>
      </c>
      <c r="G184" s="6">
        <f>G179+G180+G181+G182</f>
        <v>12</v>
      </c>
      <c r="I184" s="3" t="s">
        <v>39</v>
      </c>
      <c r="J184" s="3">
        <f>G191</f>
        <v>0</v>
      </c>
      <c r="K184" s="18" t="s">
        <v>14</v>
      </c>
      <c r="L184" s="3">
        <f>J178</f>
        <v>0</v>
      </c>
    </row>
    <row r="185" spans="1:12">
      <c r="A185" s="6" t="s">
        <v>40</v>
      </c>
      <c r="B185" s="3" t="s">
        <v>41</v>
      </c>
      <c r="C185" s="3" t="s">
        <v>42</v>
      </c>
      <c r="D185" s="3" t="s">
        <v>43</v>
      </c>
      <c r="E185" s="3" t="s">
        <v>44</v>
      </c>
      <c r="F185" s="3" t="s">
        <v>45</v>
      </c>
      <c r="G185" s="3" t="s">
        <v>46</v>
      </c>
      <c r="I185" s="3" t="s">
        <v>47</v>
      </c>
      <c r="J185" s="6">
        <f>D157*12000</f>
        <v>120000</v>
      </c>
      <c r="K185" s="18" t="s">
        <v>48</v>
      </c>
      <c r="L185" s="3">
        <f>L184+L186</f>
        <v>0</v>
      </c>
    </row>
    <row r="186" spans="1:12">
      <c r="A186" s="6">
        <f>G192*50000+A157*0.975</f>
        <v>431736.889746094</v>
      </c>
      <c r="B186" s="3">
        <f>A186</f>
        <v>431736.889746094</v>
      </c>
      <c r="C186" s="3">
        <f>B186</f>
        <v>431736.889746094</v>
      </c>
      <c r="D186" s="6">
        <f>G192+D157</f>
        <v>10</v>
      </c>
      <c r="E186" s="6">
        <f>G190+G191-G189*1.35+E157</f>
        <v>4128888</v>
      </c>
      <c r="F186" s="6">
        <f>G186+G184</f>
        <v>42</v>
      </c>
      <c r="G186" s="6">
        <f>G193+G157</f>
        <v>30</v>
      </c>
      <c r="I186" s="3" t="s">
        <v>49</v>
      </c>
      <c r="J186" s="3">
        <f>G192*100000</f>
        <v>0</v>
      </c>
      <c r="K186" s="18" t="s">
        <v>50</v>
      </c>
      <c r="L186" s="3">
        <f>B193</f>
        <v>0</v>
      </c>
    </row>
    <row r="187" spans="1:12">
      <c r="A187" s="8" t="s">
        <v>51</v>
      </c>
      <c r="B187" s="8"/>
      <c r="C187" s="8"/>
      <c r="D187" s="8"/>
      <c r="E187" s="8"/>
      <c r="F187" s="8"/>
      <c r="G187" s="8"/>
      <c r="I187" s="3" t="s">
        <v>52</v>
      </c>
      <c r="J187" s="6">
        <f>L164*0.025</f>
        <v>110701.766601562</v>
      </c>
      <c r="K187" s="18" t="s">
        <v>53</v>
      </c>
      <c r="L187" s="3">
        <f>D193</f>
        <v>0</v>
      </c>
    </row>
    <row r="188" spans="1:12">
      <c r="A188" s="3"/>
      <c r="B188" s="3" t="s">
        <v>54</v>
      </c>
      <c r="C188" s="3" t="s">
        <v>55</v>
      </c>
      <c r="D188" s="3" t="s">
        <v>56</v>
      </c>
      <c r="E188" s="3" t="s">
        <v>57</v>
      </c>
      <c r="F188" s="3" t="s">
        <v>58</v>
      </c>
      <c r="G188" s="9"/>
      <c r="I188" s="3" t="s">
        <v>59</v>
      </c>
      <c r="J188" s="6">
        <f>L163-L192</f>
        <v>0</v>
      </c>
      <c r="K188" s="18" t="s">
        <v>60</v>
      </c>
      <c r="L188" s="3">
        <f>SUM(L179,L180,L187,L181)</f>
        <v>453000</v>
      </c>
    </row>
    <row r="189" spans="1:12">
      <c r="A189" s="3" t="s">
        <v>17</v>
      </c>
      <c r="B189" s="10"/>
      <c r="C189" s="9"/>
      <c r="D189" s="9"/>
      <c r="E189" s="9"/>
      <c r="F189" s="3" t="s">
        <v>61</v>
      </c>
      <c r="G189" s="9"/>
      <c r="I189" s="3" t="s">
        <v>62</v>
      </c>
      <c r="J189" s="3">
        <f>C189+C190+C191+C192</f>
        <v>0</v>
      </c>
      <c r="K189" s="24" t="s">
        <v>63</v>
      </c>
      <c r="L189" s="25"/>
    </row>
    <row r="190" spans="1:12">
      <c r="A190" s="3" t="s">
        <v>22</v>
      </c>
      <c r="B190" s="10"/>
      <c r="C190" s="9"/>
      <c r="D190" s="9"/>
      <c r="E190" s="9"/>
      <c r="F190" s="6" t="s">
        <v>64</v>
      </c>
      <c r="G190" s="9"/>
      <c r="I190" s="3" t="s">
        <v>65</v>
      </c>
      <c r="J190" s="3">
        <f>0.5*D189+0.1*D190+0.4*D191+0.4*D192</f>
        <v>0</v>
      </c>
      <c r="K190" s="18" t="s">
        <v>66</v>
      </c>
      <c r="L190" s="18">
        <f>L183</f>
        <v>-10122721</v>
      </c>
    </row>
    <row r="191" spans="1:12">
      <c r="A191" s="3" t="s">
        <v>25</v>
      </c>
      <c r="B191" s="10"/>
      <c r="C191" s="9"/>
      <c r="D191" s="9"/>
      <c r="E191" s="9"/>
      <c r="F191" s="6" t="s">
        <v>67</v>
      </c>
      <c r="G191" s="9"/>
      <c r="I191" s="3" t="s">
        <v>68</v>
      </c>
      <c r="J191" s="3"/>
      <c r="K191" s="18" t="s">
        <v>69</v>
      </c>
      <c r="L191" s="18">
        <f>H180*E186</f>
        <v>0</v>
      </c>
    </row>
    <row r="192" spans="1:12">
      <c r="A192" s="3" t="s">
        <v>28</v>
      </c>
      <c r="B192" s="10"/>
      <c r="C192" s="9"/>
      <c r="D192" s="9"/>
      <c r="E192" s="9"/>
      <c r="F192" s="6" t="s">
        <v>70</v>
      </c>
      <c r="G192" s="9"/>
      <c r="I192" s="3" t="s">
        <v>71</v>
      </c>
      <c r="J192" s="20">
        <f>1500*SUM(G193,E189,E190,E191,E192)</f>
        <v>0</v>
      </c>
      <c r="K192" s="18" t="s">
        <v>72</v>
      </c>
      <c r="L192" s="18">
        <f>4*F184</f>
        <v>0</v>
      </c>
    </row>
    <row r="193" spans="1:12">
      <c r="A193" s="3" t="s">
        <v>50</v>
      </c>
      <c r="B193" s="9"/>
      <c r="C193" s="3" t="s">
        <v>53</v>
      </c>
      <c r="D193" s="9"/>
      <c r="E193" s="3"/>
      <c r="F193" s="6" t="s">
        <v>73</v>
      </c>
      <c r="G193" s="9"/>
      <c r="I193" s="3" t="s">
        <v>74</v>
      </c>
      <c r="J193" s="21"/>
      <c r="K193" s="18" t="s">
        <v>75</v>
      </c>
      <c r="L193" s="19">
        <f>L164-J187+L181</f>
        <v>4317368.89746094</v>
      </c>
    </row>
    <row r="194" spans="9:12">
      <c r="I194" s="3" t="s">
        <v>76</v>
      </c>
      <c r="J194" s="6">
        <f>G193*3750+SUM(E189,E190,E191,E192)*4500+G155*9000+G157*7500</f>
        <v>333000</v>
      </c>
      <c r="K194" s="18" t="s">
        <v>77</v>
      </c>
      <c r="L194" s="18">
        <f>L196+L197</f>
        <v>0</v>
      </c>
    </row>
    <row r="195" spans="9:12">
      <c r="I195" s="3" t="s">
        <v>78</v>
      </c>
      <c r="J195" s="3"/>
      <c r="K195" s="18" t="s">
        <v>79</v>
      </c>
      <c r="L195" s="17">
        <f>SUM(L190,L191,L192,L193)</f>
        <v>-5805352.10253906</v>
      </c>
    </row>
    <row r="196" spans="9:12">
      <c r="I196" s="3" t="s">
        <v>80</v>
      </c>
      <c r="J196" s="26">
        <f>L162*0.1</f>
        <v>0</v>
      </c>
      <c r="K196" s="18" t="s">
        <v>81</v>
      </c>
      <c r="L196" s="6">
        <f>L165+B193-D193</f>
        <v>0</v>
      </c>
    </row>
    <row r="197" spans="9:12">
      <c r="I197" s="3" t="s">
        <v>82</v>
      </c>
      <c r="J197" s="3">
        <f>L163*0.1</f>
        <v>0</v>
      </c>
      <c r="K197" s="18" t="s">
        <v>83</v>
      </c>
      <c r="L197" s="22">
        <f>IF(L154+L186+L184/2-L188,0,-L154-L186-L184/2+L188)</f>
        <v>0</v>
      </c>
    </row>
    <row r="198" spans="9:12">
      <c r="I198" s="3" t="s">
        <v>84</v>
      </c>
      <c r="J198" s="6">
        <f>(L167+B193-D193)*$O$4+L168*$O$4*4</f>
        <v>0</v>
      </c>
      <c r="K198" s="18" t="s">
        <v>85</v>
      </c>
      <c r="L198" s="22">
        <f>L195-L194</f>
        <v>-5805352.10253906</v>
      </c>
    </row>
    <row r="199" spans="9:12">
      <c r="I199" s="3" t="s">
        <v>86</v>
      </c>
      <c r="J199" s="3">
        <f>SUM(J179,J180,J181,J182,J183,J184,J185,J186,J187,J188,J189,J190,J191,J192,J194,J195,J196,J197,J198,)</f>
        <v>563701.766601562</v>
      </c>
      <c r="K199" s="23"/>
      <c r="L199" s="23"/>
    </row>
    <row r="200" spans="9:12">
      <c r="I200" s="3" t="s">
        <v>0</v>
      </c>
      <c r="J200" s="3">
        <f>J178/(1+O175)*O175</f>
        <v>0</v>
      </c>
      <c r="K200" s="23"/>
      <c r="L200" s="23"/>
    </row>
    <row r="201" spans="9:12">
      <c r="I201" s="3" t="s">
        <v>2</v>
      </c>
      <c r="J201" s="3">
        <f>J200*O176</f>
        <v>0</v>
      </c>
      <c r="K201" s="23"/>
      <c r="L201" s="23"/>
    </row>
    <row r="202" spans="9:12">
      <c r="I202" s="3" t="s">
        <v>87</v>
      </c>
      <c r="J202" s="3">
        <f>(J178/(1+P175)-J199-J201)*O177</f>
        <v>0</v>
      </c>
      <c r="K202" s="23"/>
      <c r="L202" s="23"/>
    </row>
    <row r="203" spans="9:12">
      <c r="I203" s="3" t="s">
        <v>88</v>
      </c>
      <c r="J203" s="22">
        <f>J178-J199-J200-J201-J202</f>
        <v>-563701.766601562</v>
      </c>
      <c r="K203" s="23"/>
      <c r="L203" s="23"/>
    </row>
    <row r="205" ht="30" spans="1:12">
      <c r="A205" s="2" t="s">
        <v>96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11" t="s">
        <v>3</v>
      </c>
      <c r="B206" s="12"/>
      <c r="C206" s="12"/>
      <c r="D206" s="12"/>
      <c r="E206" s="12"/>
      <c r="F206" s="12"/>
      <c r="G206" s="13"/>
      <c r="H206" s="3" t="s">
        <v>4</v>
      </c>
      <c r="I206" s="11" t="s">
        <v>5</v>
      </c>
      <c r="J206" s="13"/>
      <c r="K206" s="3"/>
      <c r="L206" s="3"/>
    </row>
    <row r="207" spans="1:12">
      <c r="A207" s="3" t="s">
        <v>7</v>
      </c>
      <c r="B207" s="3" t="s">
        <v>8</v>
      </c>
      <c r="C207" s="3" t="s">
        <v>9</v>
      </c>
      <c r="D207" s="3" t="s">
        <v>10</v>
      </c>
      <c r="E207" s="3" t="s">
        <v>11</v>
      </c>
      <c r="F207" s="3" t="s">
        <v>12</v>
      </c>
      <c r="G207" s="3" t="s">
        <v>13</v>
      </c>
      <c r="H207" s="4"/>
      <c r="I207" s="3" t="s">
        <v>14</v>
      </c>
      <c r="J207" s="3">
        <f>B218*C208+B219*C209+B220*C210+B221*C211</f>
        <v>0</v>
      </c>
      <c r="K207" s="24" t="s">
        <v>15</v>
      </c>
      <c r="L207" s="25"/>
    </row>
    <row r="208" spans="1:12">
      <c r="A208" s="3" t="s">
        <v>17</v>
      </c>
      <c r="B208" s="3"/>
      <c r="C208" s="5"/>
      <c r="D208" s="3"/>
      <c r="E208" s="3"/>
      <c r="F208" s="6">
        <f t="shared" ref="F208:F211" si="11">D218-C208+F179</f>
        <v>0</v>
      </c>
      <c r="G208" s="6">
        <f t="shared" ref="G208:G211" si="12">E218+G179</f>
        <v>3</v>
      </c>
      <c r="H208" s="1" t="s">
        <v>18</v>
      </c>
      <c r="I208" s="3" t="s">
        <v>19</v>
      </c>
      <c r="J208" s="3">
        <f>G217</f>
        <v>0</v>
      </c>
      <c r="K208" s="18" t="s">
        <v>20</v>
      </c>
      <c r="L208" s="18">
        <f>J228+J229+J230+J231-J211-J216-J217</f>
        <v>453000</v>
      </c>
    </row>
    <row r="209" spans="1:12">
      <c r="A209" s="3" t="s">
        <v>22</v>
      </c>
      <c r="B209" s="3"/>
      <c r="C209" s="5"/>
      <c r="D209" s="6"/>
      <c r="E209" s="3"/>
      <c r="F209" s="6">
        <f t="shared" si="11"/>
        <v>0</v>
      </c>
      <c r="G209" s="6">
        <f t="shared" si="12"/>
        <v>3</v>
      </c>
      <c r="H209" s="7">
        <f>(L209+L191)/(G219+G220+E186)</f>
        <v>0</v>
      </c>
      <c r="I209" s="3" t="s">
        <v>23</v>
      </c>
      <c r="J209" s="3">
        <f>IF(G218&gt;0,20000,0)</f>
        <v>0</v>
      </c>
      <c r="K209" s="18" t="s">
        <v>24</v>
      </c>
      <c r="L209" s="18">
        <f>(G220+G219)*H207</f>
        <v>0</v>
      </c>
    </row>
    <row r="210" spans="1:12">
      <c r="A210" s="3" t="s">
        <v>25</v>
      </c>
      <c r="B210" s="3"/>
      <c r="C210" s="5"/>
      <c r="D210" s="3"/>
      <c r="E210" s="3"/>
      <c r="F210" s="6">
        <f t="shared" si="11"/>
        <v>0</v>
      </c>
      <c r="G210" s="6">
        <f t="shared" si="12"/>
        <v>3</v>
      </c>
      <c r="I210" s="3" t="s">
        <v>26</v>
      </c>
      <c r="J210" s="3">
        <f>1.4*G218</f>
        <v>0</v>
      </c>
      <c r="K210" s="18" t="s">
        <v>27</v>
      </c>
      <c r="L210" s="18">
        <f>G221*500000</f>
        <v>0</v>
      </c>
    </row>
    <row r="211" spans="1:12">
      <c r="A211" s="3" t="s">
        <v>28</v>
      </c>
      <c r="B211" s="3"/>
      <c r="C211" s="5"/>
      <c r="D211" s="3"/>
      <c r="E211" s="3"/>
      <c r="F211" s="6">
        <f t="shared" si="11"/>
        <v>0</v>
      </c>
      <c r="G211" s="6">
        <f t="shared" si="12"/>
        <v>3</v>
      </c>
      <c r="I211" s="3" t="s">
        <v>29</v>
      </c>
      <c r="J211" s="3">
        <f>H209*G218*1.35</f>
        <v>0</v>
      </c>
      <c r="K211" s="18" t="s">
        <v>30</v>
      </c>
      <c r="L211" s="19">
        <f>L214-L217</f>
        <v>-453000</v>
      </c>
    </row>
    <row r="212" spans="1:12">
      <c r="A212" s="14" t="s">
        <v>31</v>
      </c>
      <c r="B212" s="3" t="s">
        <v>32</v>
      </c>
      <c r="C212" s="3" t="s">
        <v>33</v>
      </c>
      <c r="D212" s="3" t="s">
        <v>33</v>
      </c>
      <c r="E212" s="3" t="s">
        <v>34</v>
      </c>
      <c r="F212" s="3" t="s">
        <v>35</v>
      </c>
      <c r="G212" s="3" t="s">
        <v>36</v>
      </c>
      <c r="I212" s="3" t="s">
        <v>37</v>
      </c>
      <c r="J212" s="3">
        <f>IF(G220+G219&gt;0,200000,0)</f>
        <v>0</v>
      </c>
      <c r="K212" s="18" t="s">
        <v>38</v>
      </c>
      <c r="L212" s="6">
        <f>IF(L226=0,L183+L211,L213/2)</f>
        <v>-10575721</v>
      </c>
    </row>
    <row r="213" spans="1:12">
      <c r="A213" s="15"/>
      <c r="B213" s="3"/>
      <c r="C213" s="3"/>
      <c r="D213" s="3"/>
      <c r="E213" s="3"/>
      <c r="F213" s="6">
        <f>F208+F209+F210+F211</f>
        <v>0</v>
      </c>
      <c r="G213" s="6">
        <f>G208+G209+G210+G211</f>
        <v>12</v>
      </c>
      <c r="I213" s="3" t="s">
        <v>39</v>
      </c>
      <c r="J213" s="3">
        <f>G220</f>
        <v>0</v>
      </c>
      <c r="K213" s="18" t="s">
        <v>14</v>
      </c>
      <c r="L213" s="3">
        <f>J207</f>
        <v>0</v>
      </c>
    </row>
    <row r="214" spans="1:12">
      <c r="A214" s="6" t="s">
        <v>40</v>
      </c>
      <c r="B214" s="3" t="s">
        <v>41</v>
      </c>
      <c r="C214" s="3" t="s">
        <v>42</v>
      </c>
      <c r="D214" s="3" t="s">
        <v>43</v>
      </c>
      <c r="E214" s="3" t="s">
        <v>44</v>
      </c>
      <c r="F214" s="3" t="s">
        <v>45</v>
      </c>
      <c r="G214" s="3" t="s">
        <v>46</v>
      </c>
      <c r="I214" s="3" t="s">
        <v>47</v>
      </c>
      <c r="J214" s="6">
        <f>D186*12000</f>
        <v>120000</v>
      </c>
      <c r="K214" s="18" t="s">
        <v>48</v>
      </c>
      <c r="L214" s="3">
        <f>L213+L215</f>
        <v>0</v>
      </c>
    </row>
    <row r="215" spans="1:12">
      <c r="A215" s="6">
        <f>G221*50000+A186*0.975</f>
        <v>420943.467502441</v>
      </c>
      <c r="B215" s="3">
        <f>A215</f>
        <v>420943.467502441</v>
      </c>
      <c r="C215" s="3">
        <f>B215</f>
        <v>420943.467502441</v>
      </c>
      <c r="D215" s="6">
        <f>G221+D186</f>
        <v>10</v>
      </c>
      <c r="E215" s="6">
        <f>G219+G220-G218*1.35+E186</f>
        <v>4128888</v>
      </c>
      <c r="F215" s="6">
        <f>G215+G213</f>
        <v>42</v>
      </c>
      <c r="G215" s="6">
        <f>G222+G186</f>
        <v>30</v>
      </c>
      <c r="I215" s="3" t="s">
        <v>49</v>
      </c>
      <c r="J215" s="3">
        <f>G221*100000</f>
        <v>0</v>
      </c>
      <c r="K215" s="18" t="s">
        <v>50</v>
      </c>
      <c r="L215" s="3">
        <f>B222</f>
        <v>0</v>
      </c>
    </row>
    <row r="216" spans="1:12">
      <c r="A216" s="8" t="s">
        <v>51</v>
      </c>
      <c r="B216" s="8"/>
      <c r="C216" s="8"/>
      <c r="D216" s="8"/>
      <c r="E216" s="8"/>
      <c r="F216" s="8"/>
      <c r="G216" s="8"/>
      <c r="I216" s="3" t="s">
        <v>52</v>
      </c>
      <c r="J216" s="6">
        <f>L193*0.025</f>
        <v>107934.222436523</v>
      </c>
      <c r="K216" s="18" t="s">
        <v>53</v>
      </c>
      <c r="L216" s="3">
        <f>D222</f>
        <v>0</v>
      </c>
    </row>
    <row r="217" spans="1:12">
      <c r="A217" s="3"/>
      <c r="B217" s="3" t="s">
        <v>54</v>
      </c>
      <c r="C217" s="3" t="s">
        <v>55</v>
      </c>
      <c r="D217" s="3" t="s">
        <v>56</v>
      </c>
      <c r="E217" s="3" t="s">
        <v>57</v>
      </c>
      <c r="F217" s="3" t="s">
        <v>58</v>
      </c>
      <c r="G217" s="9"/>
      <c r="I217" s="3" t="s">
        <v>59</v>
      </c>
      <c r="J217" s="6">
        <f>L192-L221</f>
        <v>0</v>
      </c>
      <c r="K217" s="18" t="s">
        <v>60</v>
      </c>
      <c r="L217" s="3">
        <f>SUM(L208,L209,L216,L210)</f>
        <v>453000</v>
      </c>
    </row>
    <row r="218" spans="1:12">
      <c r="A218" s="3" t="s">
        <v>17</v>
      </c>
      <c r="B218" s="10"/>
      <c r="C218" s="9"/>
      <c r="D218" s="9"/>
      <c r="E218" s="9"/>
      <c r="F218" s="3" t="s">
        <v>61</v>
      </c>
      <c r="G218" s="9"/>
      <c r="I218" s="3" t="s">
        <v>62</v>
      </c>
      <c r="J218" s="3">
        <f>C218+C219+C220+C221</f>
        <v>0</v>
      </c>
      <c r="K218" s="24" t="s">
        <v>63</v>
      </c>
      <c r="L218" s="25"/>
    </row>
    <row r="219" spans="1:12">
      <c r="A219" s="3" t="s">
        <v>22</v>
      </c>
      <c r="B219" s="10"/>
      <c r="C219" s="9"/>
      <c r="D219" s="9"/>
      <c r="E219" s="9"/>
      <c r="F219" s="6" t="s">
        <v>64</v>
      </c>
      <c r="G219" s="9"/>
      <c r="I219" s="3" t="s">
        <v>65</v>
      </c>
      <c r="J219" s="3">
        <f>0.5*D218+0.1*D219+0.4*D220+0.4*D221</f>
        <v>0</v>
      </c>
      <c r="K219" s="18" t="s">
        <v>66</v>
      </c>
      <c r="L219" s="18">
        <f>L212</f>
        <v>-10575721</v>
      </c>
    </row>
    <row r="220" spans="1:12">
      <c r="A220" s="3" t="s">
        <v>25</v>
      </c>
      <c r="B220" s="10"/>
      <c r="C220" s="9"/>
      <c r="D220" s="9"/>
      <c r="E220" s="9"/>
      <c r="F220" s="6" t="s">
        <v>67</v>
      </c>
      <c r="G220" s="9"/>
      <c r="I220" s="3" t="s">
        <v>68</v>
      </c>
      <c r="J220" s="3"/>
      <c r="K220" s="18" t="s">
        <v>69</v>
      </c>
      <c r="L220" s="18">
        <f>H209*E215</f>
        <v>0</v>
      </c>
    </row>
    <row r="221" spans="1:12">
      <c r="A221" s="3" t="s">
        <v>28</v>
      </c>
      <c r="B221" s="10"/>
      <c r="C221" s="9"/>
      <c r="D221" s="9"/>
      <c r="E221" s="9"/>
      <c r="F221" s="6" t="s">
        <v>70</v>
      </c>
      <c r="G221" s="9"/>
      <c r="I221" s="3" t="s">
        <v>71</v>
      </c>
      <c r="J221" s="20">
        <f>1500*SUM(G222,E218,E219,E220,E221)</f>
        <v>0</v>
      </c>
      <c r="K221" s="18" t="s">
        <v>72</v>
      </c>
      <c r="L221" s="18">
        <f>4*F213</f>
        <v>0</v>
      </c>
    </row>
    <row r="222" spans="1:12">
      <c r="A222" s="3" t="s">
        <v>50</v>
      </c>
      <c r="B222" s="9"/>
      <c r="C222" s="3" t="s">
        <v>53</v>
      </c>
      <c r="D222" s="9"/>
      <c r="E222" s="3"/>
      <c r="F222" s="6" t="s">
        <v>73</v>
      </c>
      <c r="G222" s="9"/>
      <c r="I222" s="3" t="s">
        <v>74</v>
      </c>
      <c r="J222" s="21"/>
      <c r="K222" s="18" t="s">
        <v>75</v>
      </c>
      <c r="L222" s="19">
        <f>L193-J216+L210</f>
        <v>4209434.67502441</v>
      </c>
    </row>
    <row r="223" spans="9:12">
      <c r="I223" s="3" t="s">
        <v>76</v>
      </c>
      <c r="J223" s="6">
        <f>G222*3750+SUM(E218,E219,E220,E221)*4500+G184*9000+G186*7500</f>
        <v>333000</v>
      </c>
      <c r="K223" s="18" t="s">
        <v>77</v>
      </c>
      <c r="L223" s="18">
        <f>L225+L226</f>
        <v>0</v>
      </c>
    </row>
    <row r="224" spans="9:12">
      <c r="I224" s="3" t="s">
        <v>78</v>
      </c>
      <c r="J224" s="3"/>
      <c r="K224" s="18" t="s">
        <v>79</v>
      </c>
      <c r="L224" s="17">
        <f>SUM(L219,L220,L221,L222)</f>
        <v>-6366286.32497559</v>
      </c>
    </row>
    <row r="225" spans="9:12">
      <c r="I225" s="3" t="s">
        <v>80</v>
      </c>
      <c r="J225" s="26">
        <f>L191*0.1</f>
        <v>0</v>
      </c>
      <c r="K225" s="18" t="s">
        <v>81</v>
      </c>
      <c r="L225" s="6">
        <f>L194+B222-D222</f>
        <v>0</v>
      </c>
    </row>
    <row r="226" spans="9:12">
      <c r="I226" s="3" t="s">
        <v>82</v>
      </c>
      <c r="J226" s="3">
        <f>L192*0.1</f>
        <v>0</v>
      </c>
      <c r="K226" s="18" t="s">
        <v>83</v>
      </c>
      <c r="L226" s="22">
        <f>IF(L183+L215+L213/2-L217,0,-L183-L215-L213/2+L217)</f>
        <v>0</v>
      </c>
    </row>
    <row r="227" spans="9:12">
      <c r="I227" s="3" t="s">
        <v>84</v>
      </c>
      <c r="J227" s="6">
        <f>(L196+B222-D222)*$O$4+L197*$O$4*4</f>
        <v>0</v>
      </c>
      <c r="K227" s="18" t="s">
        <v>85</v>
      </c>
      <c r="L227" s="22">
        <f>L224-L223</f>
        <v>-6366286.32497559</v>
      </c>
    </row>
    <row r="228" spans="9:12">
      <c r="I228" s="3" t="s">
        <v>86</v>
      </c>
      <c r="J228" s="3">
        <f>SUM(J208,J209,J210,J211,J212,J213,J214,J215,J216,J217,J218,J219,J220,J221,J223,J224,J225,J226,J227,)</f>
        <v>560934.222436523</v>
      </c>
      <c r="K228" s="23"/>
      <c r="L228" s="23"/>
    </row>
    <row r="229" spans="9:12">
      <c r="I229" s="3" t="s">
        <v>0</v>
      </c>
      <c r="J229" s="3">
        <f>J207/(1+O204)*O204</f>
        <v>0</v>
      </c>
      <c r="K229" s="23"/>
      <c r="L229" s="23"/>
    </row>
    <row r="230" spans="9:12">
      <c r="I230" s="3" t="s">
        <v>2</v>
      </c>
      <c r="J230" s="3">
        <f>J229*O205</f>
        <v>0</v>
      </c>
      <c r="K230" s="23"/>
      <c r="L230" s="23"/>
    </row>
    <row r="231" spans="9:12">
      <c r="I231" s="3" t="s">
        <v>87</v>
      </c>
      <c r="J231" s="3">
        <f>(J207/(1+P204)-J228-J230)*O206</f>
        <v>0</v>
      </c>
      <c r="K231" s="23"/>
      <c r="L231" s="23"/>
    </row>
    <row r="232" spans="9:12">
      <c r="I232" s="3" t="s">
        <v>88</v>
      </c>
      <c r="J232" s="22">
        <f>J207-J228-J229-J230-J231</f>
        <v>-560934.222436523</v>
      </c>
      <c r="K232" s="23"/>
      <c r="L232" s="23"/>
    </row>
    <row r="234" ht="30" spans="1:12">
      <c r="A234" s="2" t="s">
        <v>97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11" t="s">
        <v>3</v>
      </c>
      <c r="B235" s="12"/>
      <c r="C235" s="12"/>
      <c r="D235" s="12"/>
      <c r="E235" s="12"/>
      <c r="F235" s="12"/>
      <c r="G235" s="13"/>
      <c r="H235" s="3" t="s">
        <v>4</v>
      </c>
      <c r="I235" s="11" t="s">
        <v>5</v>
      </c>
      <c r="J235" s="13"/>
      <c r="K235" s="3"/>
      <c r="L235" s="3"/>
    </row>
    <row r="236" spans="1:12">
      <c r="A236" s="3" t="s">
        <v>7</v>
      </c>
      <c r="B236" s="3" t="s">
        <v>8</v>
      </c>
      <c r="C236" s="3" t="s">
        <v>9</v>
      </c>
      <c r="D236" s="3" t="s">
        <v>10</v>
      </c>
      <c r="E236" s="3" t="s">
        <v>11</v>
      </c>
      <c r="F236" s="3" t="s">
        <v>12</v>
      </c>
      <c r="G236" s="3" t="s">
        <v>13</v>
      </c>
      <c r="H236" s="4"/>
      <c r="I236" s="3" t="s">
        <v>14</v>
      </c>
      <c r="J236" s="3">
        <f>B247*C237+B248*C238+B249*C239+B250*C240</f>
        <v>0</v>
      </c>
      <c r="K236" s="24" t="s">
        <v>15</v>
      </c>
      <c r="L236" s="25"/>
    </row>
    <row r="237" spans="1:12">
      <c r="A237" s="3" t="s">
        <v>17</v>
      </c>
      <c r="B237" s="3"/>
      <c r="C237" s="5"/>
      <c r="D237" s="3"/>
      <c r="E237" s="3"/>
      <c r="F237" s="6">
        <f t="shared" ref="F237:F240" si="13">D247-C237+F208</f>
        <v>0</v>
      </c>
      <c r="G237" s="6">
        <f t="shared" ref="G237:G240" si="14">E247+G208</f>
        <v>3</v>
      </c>
      <c r="H237" s="1" t="s">
        <v>18</v>
      </c>
      <c r="I237" s="3" t="s">
        <v>19</v>
      </c>
      <c r="J237" s="3">
        <f>G246</f>
        <v>0</v>
      </c>
      <c r="K237" s="18" t="s">
        <v>20</v>
      </c>
      <c r="L237" s="18">
        <f>J257+J258+J259+J260-J240-J245-J246</f>
        <v>453000</v>
      </c>
    </row>
    <row r="238" spans="1:12">
      <c r="A238" s="3" t="s">
        <v>22</v>
      </c>
      <c r="B238" s="3"/>
      <c r="C238" s="5"/>
      <c r="D238" s="3"/>
      <c r="E238" s="3"/>
      <c r="F238" s="6">
        <f t="shared" si="13"/>
        <v>0</v>
      </c>
      <c r="G238" s="6">
        <f t="shared" si="14"/>
        <v>3</v>
      </c>
      <c r="H238" s="7">
        <f>(L238+L220)/(G248+G249+E215)</f>
        <v>0</v>
      </c>
      <c r="I238" s="3" t="s">
        <v>23</v>
      </c>
      <c r="J238" s="3">
        <f>IF(G247&gt;0,20000,0)</f>
        <v>0</v>
      </c>
      <c r="K238" s="18" t="s">
        <v>24</v>
      </c>
      <c r="L238" s="18">
        <f>(G249+G248)*H236</f>
        <v>0</v>
      </c>
    </row>
    <row r="239" spans="1:12">
      <c r="A239" s="3" t="s">
        <v>25</v>
      </c>
      <c r="B239" s="3"/>
      <c r="C239" s="5"/>
      <c r="D239" s="3"/>
      <c r="E239" s="3"/>
      <c r="F239" s="6">
        <f t="shared" si="13"/>
        <v>0</v>
      </c>
      <c r="G239" s="6">
        <f t="shared" si="14"/>
        <v>3</v>
      </c>
      <c r="I239" s="3" t="s">
        <v>26</v>
      </c>
      <c r="J239" s="3">
        <f>1.4*G247</f>
        <v>0</v>
      </c>
      <c r="K239" s="18" t="s">
        <v>27</v>
      </c>
      <c r="L239" s="18">
        <f>G250*500000</f>
        <v>0</v>
      </c>
    </row>
    <row r="240" spans="1:12">
      <c r="A240" s="3" t="s">
        <v>28</v>
      </c>
      <c r="B240" s="3"/>
      <c r="C240" s="5"/>
      <c r="D240" s="3"/>
      <c r="E240" s="3"/>
      <c r="F240" s="6">
        <f t="shared" si="13"/>
        <v>0</v>
      </c>
      <c r="G240" s="6">
        <f t="shared" si="14"/>
        <v>3</v>
      </c>
      <c r="I240" s="3" t="s">
        <v>29</v>
      </c>
      <c r="J240" s="3">
        <f>H238*G247*1.35</f>
        <v>0</v>
      </c>
      <c r="K240" s="18" t="s">
        <v>30</v>
      </c>
      <c r="L240" s="19">
        <f>L243-L246</f>
        <v>-453000</v>
      </c>
    </row>
    <row r="241" spans="1:12">
      <c r="A241" s="14" t="s">
        <v>31</v>
      </c>
      <c r="B241" s="3" t="s">
        <v>32</v>
      </c>
      <c r="C241" s="3" t="s">
        <v>33</v>
      </c>
      <c r="D241" s="3" t="s">
        <v>33</v>
      </c>
      <c r="E241" s="3" t="s">
        <v>34</v>
      </c>
      <c r="F241" s="3" t="s">
        <v>35</v>
      </c>
      <c r="G241" s="3" t="s">
        <v>36</v>
      </c>
      <c r="I241" s="3" t="s">
        <v>37</v>
      </c>
      <c r="J241" s="3">
        <f>IF(G249+G248&gt;0,200000,0)</f>
        <v>0</v>
      </c>
      <c r="K241" s="18" t="s">
        <v>38</v>
      </c>
      <c r="L241" s="6">
        <f>IF(L255=0,L212+L240,L242/2)</f>
        <v>-11028721</v>
      </c>
    </row>
    <row r="242" spans="1:12">
      <c r="A242" s="15"/>
      <c r="B242" s="3"/>
      <c r="C242" s="3"/>
      <c r="D242" s="3"/>
      <c r="E242" s="3"/>
      <c r="F242" s="6">
        <f>F237+F238+F239+F240</f>
        <v>0</v>
      </c>
      <c r="G242" s="6">
        <f>G237+G238+G239+G240</f>
        <v>12</v>
      </c>
      <c r="I242" s="3" t="s">
        <v>39</v>
      </c>
      <c r="J242" s="3">
        <f>G249</f>
        <v>0</v>
      </c>
      <c r="K242" s="18" t="s">
        <v>14</v>
      </c>
      <c r="L242" s="3">
        <f>J236</f>
        <v>0</v>
      </c>
    </row>
    <row r="243" spans="1:12">
      <c r="A243" s="6" t="s">
        <v>40</v>
      </c>
      <c r="B243" s="3" t="s">
        <v>41</v>
      </c>
      <c r="C243" s="3" t="s">
        <v>42</v>
      </c>
      <c r="D243" s="3" t="s">
        <v>43</v>
      </c>
      <c r="E243" s="3" t="s">
        <v>44</v>
      </c>
      <c r="F243" s="3" t="s">
        <v>45</v>
      </c>
      <c r="G243" s="3" t="s">
        <v>46</v>
      </c>
      <c r="I243" s="3" t="s">
        <v>47</v>
      </c>
      <c r="J243" s="6">
        <f>D215*12000</f>
        <v>120000</v>
      </c>
      <c r="K243" s="18" t="s">
        <v>48</v>
      </c>
      <c r="L243" s="3">
        <f>L242+L244</f>
        <v>0</v>
      </c>
    </row>
    <row r="244" spans="1:12">
      <c r="A244" s="6">
        <f>G250*50000+A215*0.975</f>
        <v>410419.88081488</v>
      </c>
      <c r="B244" s="3">
        <f>A244</f>
        <v>410419.88081488</v>
      </c>
      <c r="C244" s="3">
        <f>B244</f>
        <v>410419.88081488</v>
      </c>
      <c r="D244" s="6">
        <f>G250+D215</f>
        <v>10</v>
      </c>
      <c r="E244" s="6">
        <f>G248+G249-G247*1.35+E215</f>
        <v>4128888</v>
      </c>
      <c r="F244" s="6">
        <f>G244+G242</f>
        <v>42</v>
      </c>
      <c r="G244" s="6">
        <f>G251+G215</f>
        <v>30</v>
      </c>
      <c r="I244" s="3" t="s">
        <v>49</v>
      </c>
      <c r="J244" s="3">
        <f>G250*100000</f>
        <v>0</v>
      </c>
      <c r="K244" s="18" t="s">
        <v>50</v>
      </c>
      <c r="L244" s="3">
        <f>B251</f>
        <v>0</v>
      </c>
    </row>
    <row r="245" spans="1:12">
      <c r="A245" s="8" t="s">
        <v>51</v>
      </c>
      <c r="B245" s="8"/>
      <c r="C245" s="8"/>
      <c r="D245" s="8"/>
      <c r="E245" s="8"/>
      <c r="F245" s="8"/>
      <c r="G245" s="8"/>
      <c r="I245" s="3" t="s">
        <v>52</v>
      </c>
      <c r="J245" s="6">
        <f>L222*0.025</f>
        <v>105235.86687561</v>
      </c>
      <c r="K245" s="18" t="s">
        <v>53</v>
      </c>
      <c r="L245" s="3">
        <f>D251</f>
        <v>0</v>
      </c>
    </row>
    <row r="246" spans="1:12">
      <c r="A246" s="3"/>
      <c r="B246" s="3" t="s">
        <v>54</v>
      </c>
      <c r="C246" s="3" t="s">
        <v>55</v>
      </c>
      <c r="D246" s="3" t="s">
        <v>56</v>
      </c>
      <c r="E246" s="3" t="s">
        <v>57</v>
      </c>
      <c r="F246" s="3" t="s">
        <v>58</v>
      </c>
      <c r="G246" s="9"/>
      <c r="I246" s="3" t="s">
        <v>59</v>
      </c>
      <c r="J246" s="6">
        <f>L221-L250</f>
        <v>0</v>
      </c>
      <c r="K246" s="18" t="s">
        <v>60</v>
      </c>
      <c r="L246" s="3">
        <f>SUM(L237,L238,L245,L239)</f>
        <v>453000</v>
      </c>
    </row>
    <row r="247" spans="1:12">
      <c r="A247" s="3" t="s">
        <v>17</v>
      </c>
      <c r="B247" s="10"/>
      <c r="C247" s="9"/>
      <c r="D247" s="9"/>
      <c r="E247" s="9"/>
      <c r="F247" s="3" t="s">
        <v>61</v>
      </c>
      <c r="G247" s="9"/>
      <c r="I247" s="3" t="s">
        <v>62</v>
      </c>
      <c r="J247" s="3">
        <f>C247+C248+C249+C250</f>
        <v>0</v>
      </c>
      <c r="K247" s="24" t="s">
        <v>63</v>
      </c>
      <c r="L247" s="25"/>
    </row>
    <row r="248" spans="1:12">
      <c r="A248" s="3" t="s">
        <v>22</v>
      </c>
      <c r="B248" s="10"/>
      <c r="C248" s="9"/>
      <c r="D248" s="9"/>
      <c r="E248" s="9"/>
      <c r="F248" s="6" t="s">
        <v>64</v>
      </c>
      <c r="G248" s="9"/>
      <c r="I248" s="3" t="s">
        <v>65</v>
      </c>
      <c r="J248" s="3">
        <f>0.5*D247+0.1*D248+0.4*D249+0.4*D250</f>
        <v>0</v>
      </c>
      <c r="K248" s="18" t="s">
        <v>66</v>
      </c>
      <c r="L248" s="18">
        <f>L241</f>
        <v>-11028721</v>
      </c>
    </row>
    <row r="249" spans="1:12">
      <c r="A249" s="3" t="s">
        <v>25</v>
      </c>
      <c r="B249" s="10"/>
      <c r="C249" s="9"/>
      <c r="D249" s="9"/>
      <c r="E249" s="9"/>
      <c r="F249" s="6" t="s">
        <v>67</v>
      </c>
      <c r="G249" s="9"/>
      <c r="I249" s="3" t="s">
        <v>68</v>
      </c>
      <c r="J249" s="3"/>
      <c r="K249" s="18" t="s">
        <v>69</v>
      </c>
      <c r="L249" s="18">
        <f>H238*E244</f>
        <v>0</v>
      </c>
    </row>
    <row r="250" spans="1:12">
      <c r="A250" s="3" t="s">
        <v>28</v>
      </c>
      <c r="B250" s="10"/>
      <c r="C250" s="9"/>
      <c r="D250" s="9"/>
      <c r="E250" s="9"/>
      <c r="F250" s="6" t="s">
        <v>70</v>
      </c>
      <c r="G250" s="9"/>
      <c r="I250" s="3" t="s">
        <v>71</v>
      </c>
      <c r="J250" s="20">
        <f>1500*SUM(G251,E247,E248,E249,E250)</f>
        <v>0</v>
      </c>
      <c r="K250" s="18" t="s">
        <v>72</v>
      </c>
      <c r="L250" s="18">
        <f>4*F242</f>
        <v>0</v>
      </c>
    </row>
    <row r="251" spans="1:12">
      <c r="A251" s="3" t="s">
        <v>50</v>
      </c>
      <c r="B251" s="9"/>
      <c r="C251" s="3" t="s">
        <v>53</v>
      </c>
      <c r="D251" s="9"/>
      <c r="E251" s="3"/>
      <c r="F251" s="6" t="s">
        <v>73</v>
      </c>
      <c r="G251" s="9"/>
      <c r="I251" s="3" t="s">
        <v>74</v>
      </c>
      <c r="J251" s="21"/>
      <c r="K251" s="18" t="s">
        <v>75</v>
      </c>
      <c r="L251" s="19">
        <f>L222-J245+L239</f>
        <v>4104198.8081488</v>
      </c>
    </row>
    <row r="252" spans="9:12">
      <c r="I252" s="3" t="s">
        <v>76</v>
      </c>
      <c r="J252" s="6">
        <f>G251*3750+SUM(E247,E248,E249,E250)*4500+G213*9000+G215*7500</f>
        <v>333000</v>
      </c>
      <c r="K252" s="18" t="s">
        <v>77</v>
      </c>
      <c r="L252" s="18">
        <f>L254+L255</f>
        <v>0</v>
      </c>
    </row>
    <row r="253" spans="9:12">
      <c r="I253" s="3" t="s">
        <v>78</v>
      </c>
      <c r="J253" s="3"/>
      <c r="K253" s="18" t="s">
        <v>79</v>
      </c>
      <c r="L253" s="17">
        <f>SUM(L248,L249,L250,L251)</f>
        <v>-6924522.1918512</v>
      </c>
    </row>
    <row r="254" spans="9:12">
      <c r="I254" s="3" t="s">
        <v>80</v>
      </c>
      <c r="J254" s="26">
        <f>L220*0.1</f>
        <v>0</v>
      </c>
      <c r="K254" s="18" t="s">
        <v>81</v>
      </c>
      <c r="L254" s="6">
        <f>L223+B251-D251</f>
        <v>0</v>
      </c>
    </row>
    <row r="255" spans="9:12">
      <c r="I255" s="3" t="s">
        <v>82</v>
      </c>
      <c r="J255" s="3">
        <f>L221*0.1</f>
        <v>0</v>
      </c>
      <c r="K255" s="18" t="s">
        <v>83</v>
      </c>
      <c r="L255" s="22">
        <f>IF(L212+L244+L242/2-L246,0,-L212-L244-L242/2+L246)</f>
        <v>0</v>
      </c>
    </row>
    <row r="256" spans="9:12">
      <c r="I256" s="3" t="s">
        <v>84</v>
      </c>
      <c r="J256" s="6">
        <f>(L225+B251-D251)*$O$4+L226*$O$4*4</f>
        <v>0</v>
      </c>
      <c r="K256" s="18" t="s">
        <v>85</v>
      </c>
      <c r="L256" s="22">
        <f>L253-L252</f>
        <v>-6924522.1918512</v>
      </c>
    </row>
    <row r="257" spans="9:12">
      <c r="I257" s="3" t="s">
        <v>86</v>
      </c>
      <c r="J257" s="3">
        <f>SUM(J237,J238,J239,J240,J241,J242,J243,J244,J245,J246,J247,J248,J249,J250,J252,J253,J254,J255,J256,)</f>
        <v>558235.86687561</v>
      </c>
      <c r="K257" s="23"/>
      <c r="L257" s="23"/>
    </row>
    <row r="258" spans="9:12">
      <c r="I258" s="3" t="s">
        <v>0</v>
      </c>
      <c r="J258" s="3">
        <f>J236/(1+O233)*O233</f>
        <v>0</v>
      </c>
      <c r="K258" s="23"/>
      <c r="L258" s="23"/>
    </row>
    <row r="259" spans="9:12">
      <c r="I259" s="3" t="s">
        <v>2</v>
      </c>
      <c r="J259" s="3">
        <f>J258*O234</f>
        <v>0</v>
      </c>
      <c r="K259" s="23"/>
      <c r="L259" s="23"/>
    </row>
    <row r="260" spans="9:12">
      <c r="I260" s="3" t="s">
        <v>87</v>
      </c>
      <c r="J260" s="3">
        <f>(J236/(1+P233)-J257-J259)*O235</f>
        <v>0</v>
      </c>
      <c r="K260" s="23"/>
      <c r="L260" s="23"/>
    </row>
    <row r="261" spans="9:12">
      <c r="I261" s="3" t="s">
        <v>88</v>
      </c>
      <c r="J261" s="22">
        <f>J236-J257-J258-J259-J260</f>
        <v>-558235.86687561</v>
      </c>
      <c r="K261" s="23"/>
      <c r="L261" s="23"/>
    </row>
  </sheetData>
  <mergeCells count="72">
    <mergeCell ref="A2:L2"/>
    <mergeCell ref="A3:G3"/>
    <mergeCell ref="I3:J3"/>
    <mergeCell ref="K4:L4"/>
    <mergeCell ref="A13:G13"/>
    <mergeCell ref="K15:L15"/>
    <mergeCell ref="A31:L31"/>
    <mergeCell ref="A32:G32"/>
    <mergeCell ref="I32:J32"/>
    <mergeCell ref="K33:L33"/>
    <mergeCell ref="A42:G42"/>
    <mergeCell ref="K44:L44"/>
    <mergeCell ref="A60:L60"/>
    <mergeCell ref="A61:G61"/>
    <mergeCell ref="I61:J61"/>
    <mergeCell ref="K62:L62"/>
    <mergeCell ref="A71:G71"/>
    <mergeCell ref="K73:L73"/>
    <mergeCell ref="A89:L89"/>
    <mergeCell ref="A90:G90"/>
    <mergeCell ref="I90:J90"/>
    <mergeCell ref="K91:L91"/>
    <mergeCell ref="A100:G100"/>
    <mergeCell ref="K102:L102"/>
    <mergeCell ref="A118:L118"/>
    <mergeCell ref="A119:G119"/>
    <mergeCell ref="I119:J119"/>
    <mergeCell ref="K120:L120"/>
    <mergeCell ref="A129:G129"/>
    <mergeCell ref="K131:L131"/>
    <mergeCell ref="A147:L147"/>
    <mergeCell ref="A148:G148"/>
    <mergeCell ref="I148:J148"/>
    <mergeCell ref="K149:L149"/>
    <mergeCell ref="A158:G158"/>
    <mergeCell ref="K160:L160"/>
    <mergeCell ref="A176:L176"/>
    <mergeCell ref="A177:G177"/>
    <mergeCell ref="I177:J177"/>
    <mergeCell ref="K178:L178"/>
    <mergeCell ref="A187:G187"/>
    <mergeCell ref="K189:L189"/>
    <mergeCell ref="A205:L205"/>
    <mergeCell ref="A206:G206"/>
    <mergeCell ref="I206:J206"/>
    <mergeCell ref="K207:L207"/>
    <mergeCell ref="A216:G216"/>
    <mergeCell ref="K218:L218"/>
    <mergeCell ref="A234:L234"/>
    <mergeCell ref="A235:G235"/>
    <mergeCell ref="I235:J235"/>
    <mergeCell ref="K236:L236"/>
    <mergeCell ref="A245:G245"/>
    <mergeCell ref="K247:L247"/>
    <mergeCell ref="A9:A10"/>
    <mergeCell ref="A38:A39"/>
    <mergeCell ref="A67:A68"/>
    <mergeCell ref="A96:A97"/>
    <mergeCell ref="A125:A126"/>
    <mergeCell ref="A154:A155"/>
    <mergeCell ref="A183:A184"/>
    <mergeCell ref="A212:A213"/>
    <mergeCell ref="A241:A242"/>
    <mergeCell ref="J18:J19"/>
    <mergeCell ref="J47:J48"/>
    <mergeCell ref="J76:J77"/>
    <mergeCell ref="J105:J106"/>
    <mergeCell ref="J134:J135"/>
    <mergeCell ref="J163:J164"/>
    <mergeCell ref="J192:J193"/>
    <mergeCell ref="J221:J222"/>
    <mergeCell ref="J250:J25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越 卓</dc:creator>
  <cp:lastModifiedBy>િી</cp:lastModifiedBy>
  <dcterms:created xsi:type="dcterms:W3CDTF">2023-09-19T12:57:00Z</dcterms:created>
  <dcterms:modified xsi:type="dcterms:W3CDTF">2023-09-21T12:41:32Z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AF75730571F14950810A86B7CC17E05A_12</vt:lpwstr>
  </property>
</Properties>
</file>