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系统默认\桌面\"/>
    </mc:Choice>
  </mc:AlternateContent>
  <bookViews>
    <workbookView xWindow="0" yWindow="0" windowWidth="17256" windowHeight="7008" activeTab="8"/>
  </bookViews>
  <sheets>
    <sheet name="公司筹建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A58" i="2" l="1"/>
  <c r="B73" i="2" s="1"/>
  <c r="A58" i="3" l="1"/>
  <c r="B73" i="3" s="1"/>
  <c r="E37" i="6"/>
  <c r="E48" i="3" l="1"/>
  <c r="E71" i="2"/>
  <c r="G19" i="2" l="1"/>
  <c r="G20" i="2" s="1"/>
  <c r="G21" i="2" s="1"/>
  <c r="B10" i="2"/>
  <c r="E13" i="9" l="1"/>
  <c r="E13" i="8"/>
  <c r="E13" i="7"/>
  <c r="E13" i="5"/>
  <c r="E13" i="6"/>
  <c r="E13" i="4"/>
  <c r="E13" i="3"/>
  <c r="E13" i="2"/>
  <c r="E40" i="7" l="1"/>
  <c r="C14" i="9" l="1"/>
  <c r="A18" i="9" l="1"/>
  <c r="A18" i="7"/>
  <c r="E48" i="4" l="1"/>
  <c r="E39" i="4"/>
  <c r="E38" i="4"/>
  <c r="E34" i="4"/>
  <c r="E51" i="2"/>
  <c r="E39" i="2"/>
  <c r="E38" i="2"/>
  <c r="E37" i="2"/>
  <c r="E34" i="2"/>
  <c r="E39" i="3" l="1"/>
  <c r="E38" i="3"/>
  <c r="E37" i="3"/>
  <c r="E34" i="3"/>
  <c r="E39" i="5"/>
  <c r="E38" i="5"/>
  <c r="E37" i="5"/>
  <c r="E34" i="5"/>
  <c r="E39" i="6"/>
  <c r="E38" i="6"/>
  <c r="E34" i="6"/>
  <c r="E39" i="7"/>
  <c r="E38" i="7"/>
  <c r="E37" i="7"/>
  <c r="E34" i="7"/>
  <c r="E39" i="8"/>
  <c r="E38" i="8"/>
  <c r="E37" i="8"/>
  <c r="E34" i="8"/>
  <c r="C15" i="9" l="1"/>
  <c r="C15" i="8"/>
  <c r="C15" i="6"/>
  <c r="C14" i="5"/>
  <c r="C16" i="5"/>
  <c r="C16" i="9" l="1"/>
  <c r="E60" i="2"/>
  <c r="D60" i="2"/>
  <c r="E62" i="2"/>
  <c r="D62" i="2"/>
  <c r="E59" i="2"/>
  <c r="E48" i="9" l="1"/>
  <c r="B50" i="9"/>
  <c r="B48" i="9"/>
  <c r="E60" i="9"/>
  <c r="D60" i="9"/>
  <c r="E59" i="9"/>
  <c r="B45" i="9"/>
  <c r="B44" i="9"/>
  <c r="B41" i="9"/>
  <c r="B40" i="9"/>
  <c r="B39" i="9"/>
  <c r="B38" i="9"/>
  <c r="C17" i="9"/>
  <c r="C17" i="8"/>
  <c r="C14" i="8"/>
  <c r="E48" i="8"/>
  <c r="B50" i="8"/>
  <c r="B48" i="8"/>
  <c r="E60" i="8"/>
  <c r="D60" i="8"/>
  <c r="E59" i="8"/>
  <c r="B45" i="8"/>
  <c r="B41" i="8"/>
  <c r="B40" i="8"/>
  <c r="B39" i="8"/>
  <c r="B38" i="8"/>
  <c r="C16" i="8"/>
  <c r="B40" i="7"/>
  <c r="E49" i="7"/>
  <c r="B50" i="7"/>
  <c r="E61" i="7"/>
  <c r="D61" i="7"/>
  <c r="B41" i="7"/>
  <c r="B39" i="7"/>
  <c r="B38" i="7"/>
  <c r="C16" i="7"/>
  <c r="C14" i="7"/>
  <c r="C15" i="7"/>
  <c r="C17" i="7"/>
  <c r="E48" i="6"/>
  <c r="B50" i="6"/>
  <c r="E60" i="6"/>
  <c r="D60" i="6"/>
  <c r="E59" i="6"/>
  <c r="B41" i="6"/>
  <c r="B40" i="6"/>
  <c r="B39" i="6"/>
  <c r="B38" i="6"/>
  <c r="C15" i="5"/>
  <c r="C17" i="5"/>
  <c r="C16" i="6"/>
  <c r="C17" i="6"/>
  <c r="C14" i="6"/>
  <c r="B48" i="5"/>
  <c r="D60" i="5"/>
  <c r="E60" i="5"/>
  <c r="E59" i="5"/>
  <c r="B45" i="5"/>
  <c r="B41" i="5"/>
  <c r="B40" i="5"/>
  <c r="B39" i="5"/>
  <c r="B38" i="5"/>
  <c r="B50" i="4"/>
  <c r="D60" i="4"/>
  <c r="E60" i="4"/>
  <c r="E59" i="4"/>
  <c r="B41" i="4"/>
  <c r="B40" i="4"/>
  <c r="B39" i="4"/>
  <c r="A58" i="4"/>
  <c r="B73" i="4" s="1"/>
  <c r="A58" i="5" s="1"/>
  <c r="B73" i="5" s="1"/>
  <c r="A58" i="6" s="1"/>
  <c r="C15" i="4"/>
  <c r="C14" i="4"/>
  <c r="C16" i="4"/>
  <c r="C17" i="4"/>
  <c r="E62" i="9"/>
  <c r="D62" i="9"/>
  <c r="E39" i="9"/>
  <c r="E38" i="9"/>
  <c r="E37" i="9"/>
  <c r="E34" i="9"/>
  <c r="B34" i="9"/>
  <c r="D59" i="9"/>
  <c r="E62" i="8"/>
  <c r="D62" i="8"/>
  <c r="B44" i="8"/>
  <c r="B34" i="8"/>
  <c r="A18" i="8"/>
  <c r="D59" i="8"/>
  <c r="E63" i="7"/>
  <c r="D63" i="7"/>
  <c r="E60" i="7"/>
  <c r="B48" i="7"/>
  <c r="B45" i="7"/>
  <c r="B44" i="7"/>
  <c r="B34" i="7"/>
  <c r="D60" i="7"/>
  <c r="E62" i="6"/>
  <c r="D62" i="6"/>
  <c r="B48" i="6"/>
  <c r="B45" i="6"/>
  <c r="B44" i="6"/>
  <c r="B34" i="6"/>
  <c r="A18" i="6"/>
  <c r="D59" i="6"/>
  <c r="E62" i="5"/>
  <c r="D62" i="5"/>
  <c r="B50" i="5"/>
  <c r="E48" i="5"/>
  <c r="B43" i="5" s="1"/>
  <c r="B44" i="5"/>
  <c r="B34" i="5"/>
  <c r="A18" i="5"/>
  <c r="D59" i="5"/>
  <c r="E62" i="4"/>
  <c r="D62" i="4"/>
  <c r="B48" i="4"/>
  <c r="B45" i="4"/>
  <c r="B44" i="4"/>
  <c r="B34" i="4"/>
  <c r="A18" i="4"/>
  <c r="D59" i="4"/>
  <c r="C14" i="3"/>
  <c r="A18" i="2"/>
  <c r="B51" i="2"/>
  <c r="B50" i="3"/>
  <c r="B49" i="2"/>
  <c r="B48" i="3"/>
  <c r="E62" i="3"/>
  <c r="B48" i="2"/>
  <c r="D62" i="3"/>
  <c r="E59" i="3"/>
  <c r="E60" i="3"/>
  <c r="D60" i="3"/>
  <c r="A18" i="3"/>
  <c r="C15" i="3"/>
  <c r="C16" i="3"/>
  <c r="C17" i="3"/>
  <c r="B43" i="4"/>
  <c r="B41" i="3"/>
  <c r="B40" i="3"/>
  <c r="B39" i="3"/>
  <c r="B38" i="3"/>
  <c r="B34" i="3"/>
  <c r="B45" i="3"/>
  <c r="B44" i="3"/>
  <c r="B46" i="3"/>
  <c r="H13" i="1"/>
  <c r="H12" i="1"/>
  <c r="C12" i="2" s="1"/>
  <c r="E47" i="2" s="1"/>
  <c r="E48" i="2"/>
  <c r="H4" i="1"/>
  <c r="H3" i="1"/>
  <c r="B43" i="2"/>
  <c r="B50" i="2"/>
  <c r="D59" i="2"/>
  <c r="B47" i="2" s="1"/>
  <c r="B45" i="2"/>
  <c r="B42" i="2"/>
  <c r="B41" i="2"/>
  <c r="B40" i="2"/>
  <c r="B38" i="2"/>
  <c r="C15" i="2"/>
  <c r="C16" i="2"/>
  <c r="C17" i="2"/>
  <c r="C14" i="2"/>
  <c r="B44" i="2"/>
  <c r="B39" i="2"/>
  <c r="B73" i="6" l="1"/>
  <c r="A58" i="7" s="1"/>
  <c r="A59" i="7" s="1"/>
  <c r="G19" i="6"/>
  <c r="G20" i="6" s="1"/>
  <c r="G21" i="6" s="1"/>
  <c r="E71" i="3"/>
  <c r="B33" i="3"/>
  <c r="E33" i="3" s="1"/>
  <c r="G19" i="4"/>
  <c r="G20" i="4" s="1"/>
  <c r="G21" i="4" s="1"/>
  <c r="B10" i="6"/>
  <c r="B10" i="4"/>
  <c r="A59" i="5"/>
  <c r="B10" i="5"/>
  <c r="B37" i="2"/>
  <c r="B49" i="3"/>
  <c r="C18" i="8"/>
  <c r="C18" i="6"/>
  <c r="C18" i="5"/>
  <c r="C18" i="3"/>
  <c r="C18" i="4"/>
  <c r="A60" i="5"/>
  <c r="A59" i="4"/>
  <c r="A60" i="3"/>
  <c r="B46" i="9"/>
  <c r="B43" i="9"/>
  <c r="B43" i="8"/>
  <c r="B46" i="8"/>
  <c r="A59" i="6"/>
  <c r="B43" i="7"/>
  <c r="B46" i="6"/>
  <c r="B46" i="5"/>
  <c r="B43" i="6"/>
  <c r="B46" i="4"/>
  <c r="B43" i="3"/>
  <c r="D59" i="3"/>
  <c r="B47" i="3" s="1"/>
  <c r="A60" i="4"/>
  <c r="E49" i="2"/>
  <c r="B42" i="3" s="1"/>
  <c r="E49" i="3" s="1"/>
  <c r="B33" i="2"/>
  <c r="E33" i="2" s="1"/>
  <c r="A61" i="3"/>
  <c r="A62" i="3"/>
  <c r="B47" i="9"/>
  <c r="B33" i="9"/>
  <c r="E33" i="9" s="1"/>
  <c r="B47" i="8"/>
  <c r="B33" i="8"/>
  <c r="E33" i="8" s="1"/>
  <c r="B47" i="7"/>
  <c r="B33" i="7"/>
  <c r="E33" i="7" s="1"/>
  <c r="B47" i="6"/>
  <c r="B33" i="6"/>
  <c r="E33" i="6" s="1"/>
  <c r="B33" i="5"/>
  <c r="B47" i="5"/>
  <c r="B47" i="4"/>
  <c r="B33" i="4"/>
  <c r="B46" i="7"/>
  <c r="A60" i="6"/>
  <c r="A61" i="6"/>
  <c r="A62" i="6"/>
  <c r="A61" i="5"/>
  <c r="A62" i="5"/>
  <c r="A61" i="4"/>
  <c r="A62" i="4"/>
  <c r="A59" i="3"/>
  <c r="B46" i="2"/>
  <c r="A59" i="2"/>
  <c r="B34" i="2"/>
  <c r="A62" i="7" l="1"/>
  <c r="A61" i="7"/>
  <c r="A60" i="7"/>
  <c r="B10" i="7"/>
  <c r="B35" i="7" s="1"/>
  <c r="B73" i="7"/>
  <c r="A58" i="8" s="1"/>
  <c r="E71" i="4"/>
  <c r="E71" i="5" s="1"/>
  <c r="E71" i="6" s="1"/>
  <c r="E71" i="7" s="1"/>
  <c r="E35" i="6"/>
  <c r="E35" i="7"/>
  <c r="B52" i="5"/>
  <c r="B53" i="5" s="1"/>
  <c r="E33" i="5"/>
  <c r="E35" i="5" s="1"/>
  <c r="E35" i="8"/>
  <c r="B52" i="4"/>
  <c r="B53" i="4" s="1"/>
  <c r="E33" i="4"/>
  <c r="E35" i="3"/>
  <c r="E35" i="2"/>
  <c r="B36" i="6"/>
  <c r="B35" i="5"/>
  <c r="B36" i="5"/>
  <c r="B35" i="4"/>
  <c r="B36" i="4"/>
  <c r="C12" i="3"/>
  <c r="E47" i="3" s="1"/>
  <c r="B42" i="4"/>
  <c r="E49" i="4" s="1"/>
  <c r="B52" i="8"/>
  <c r="B53" i="8" s="1"/>
  <c r="B52" i="9"/>
  <c r="B53" i="9" s="1"/>
  <c r="B52" i="7"/>
  <c r="B53" i="7" s="1"/>
  <c r="B52" i="6"/>
  <c r="B53" i="6" s="1"/>
  <c r="E35" i="9"/>
  <c r="B36" i="7"/>
  <c r="B35" i="6"/>
  <c r="B35" i="3"/>
  <c r="B36" i="3"/>
  <c r="B52" i="3"/>
  <c r="B53" i="3" s="1"/>
  <c r="B52" i="2"/>
  <c r="A62" i="2"/>
  <c r="A60" i="2"/>
  <c r="A61" i="2"/>
  <c r="E9" i="1"/>
  <c r="E12" i="1"/>
  <c r="E13" i="1"/>
  <c r="E11" i="1"/>
  <c r="E10" i="1"/>
  <c r="E8" i="1"/>
  <c r="B73" i="8" l="1"/>
  <c r="A58" i="9" s="1"/>
  <c r="G19" i="8"/>
  <c r="G20" i="8" s="1"/>
  <c r="G21" i="8" s="1"/>
  <c r="H22" i="8" s="1"/>
  <c r="B10" i="8"/>
  <c r="A59" i="8"/>
  <c r="A61" i="8"/>
  <c r="A62" i="8"/>
  <c r="A60" i="8"/>
  <c r="E35" i="4"/>
  <c r="B37" i="3"/>
  <c r="B42" i="5"/>
  <c r="E49" i="5" s="1"/>
  <c r="B53" i="2"/>
  <c r="E14" i="1"/>
  <c r="B35" i="2"/>
  <c r="B36" i="2"/>
  <c r="B35" i="8" l="1"/>
  <c r="B36" i="8"/>
  <c r="B10" i="9"/>
  <c r="A59" i="9"/>
  <c r="A60" i="9"/>
  <c r="A61" i="9"/>
  <c r="A62" i="9"/>
  <c r="E71" i="8"/>
  <c r="E71" i="9" s="1"/>
  <c r="B49" i="4"/>
  <c r="B42" i="6"/>
  <c r="E49" i="6" s="1"/>
  <c r="E56" i="2"/>
  <c r="E15" i="1"/>
  <c r="E16" i="1" s="1"/>
  <c r="G6" i="2" s="1"/>
  <c r="H2" i="1"/>
  <c r="B35" i="9" l="1"/>
  <c r="B36" i="9"/>
  <c r="H6" i="1"/>
  <c r="H7" i="1" s="1"/>
  <c r="H8" i="1" s="1"/>
  <c r="F35" i="2" s="1"/>
  <c r="B42" i="7"/>
  <c r="E50" i="7" s="1"/>
  <c r="H11" i="1" l="1"/>
  <c r="H14" i="1" s="1"/>
  <c r="H15" i="1" s="1"/>
  <c r="B42" i="8"/>
  <c r="E49" i="8" s="1"/>
  <c r="B54" i="2"/>
  <c r="E36" i="2" s="1"/>
  <c r="E40" i="2" s="1"/>
  <c r="E41" i="2" s="1"/>
  <c r="E42" i="2" s="1"/>
  <c r="F35" i="3" s="1"/>
  <c r="F33" i="2" l="1"/>
  <c r="B42" i="9"/>
  <c r="E49" i="9" s="1"/>
  <c r="B55" i="2"/>
  <c r="B56" i="2" s="1"/>
  <c r="G2" i="2" s="1"/>
  <c r="E43" i="2" l="1"/>
  <c r="C7" i="2" l="1"/>
  <c r="E52" i="2"/>
  <c r="E53" i="2" s="1"/>
  <c r="E51" i="3" l="1"/>
  <c r="B51" i="3" s="1"/>
  <c r="E56" i="3" s="1"/>
  <c r="B54" i="3" s="1"/>
  <c r="E36" i="3" s="1"/>
  <c r="E40" i="3" s="1"/>
  <c r="E41" i="3" l="1"/>
  <c r="E42" i="3" s="1"/>
  <c r="B55" i="3"/>
  <c r="B56" i="3" s="1"/>
  <c r="G2" i="3" s="1"/>
  <c r="E46" i="2"/>
  <c r="E50" i="2" s="1"/>
  <c r="E54" i="2" s="1"/>
  <c r="G4" i="2" s="1"/>
  <c r="G6" i="3" s="1"/>
  <c r="G8" i="2" s="1"/>
  <c r="H19" i="2" s="1"/>
  <c r="H20" i="2" l="1"/>
  <c r="H21" i="2" s="1"/>
  <c r="H22" i="2" s="1"/>
  <c r="E46" i="3"/>
  <c r="E50" i="3" s="1"/>
  <c r="F35" i="4"/>
  <c r="F33" i="3"/>
  <c r="E43" i="3" s="1"/>
  <c r="C7" i="3" l="1"/>
  <c r="E52" i="3"/>
  <c r="E53" i="3" s="1"/>
  <c r="E51" i="4" s="1"/>
  <c r="E54" i="3" l="1"/>
  <c r="G4" i="3" s="1"/>
  <c r="G6" i="4" s="1"/>
  <c r="G8" i="3" s="1"/>
  <c r="B51" i="4"/>
  <c r="B38" i="4" l="1"/>
  <c r="E37" i="4"/>
  <c r="C12" i="4" s="1"/>
  <c r="B37" i="4" l="1"/>
  <c r="E47" i="4"/>
  <c r="C12" i="5" s="1"/>
  <c r="B49" i="5" l="1"/>
  <c r="E56" i="4"/>
  <c r="B54" i="4" s="1"/>
  <c r="B55" i="4" s="1"/>
  <c r="B56" i="4" s="1"/>
  <c r="G2" i="4" s="1"/>
  <c r="E36" i="4" l="1"/>
  <c r="E40" i="4" s="1"/>
  <c r="E41" i="4" s="1"/>
  <c r="B37" i="5"/>
  <c r="E47" i="5"/>
  <c r="B49" i="6" l="1"/>
  <c r="C12" i="6"/>
  <c r="F33" i="4"/>
  <c r="E43" i="4" s="1"/>
  <c r="E42" i="4"/>
  <c r="F35" i="5" l="1"/>
  <c r="E46" i="4"/>
  <c r="E50" i="4" s="1"/>
  <c r="C7" i="4"/>
  <c r="E52" i="4"/>
  <c r="E53" i="4" s="1"/>
  <c r="E51" i="5" s="1"/>
  <c r="B37" i="6"/>
  <c r="E47" i="6"/>
  <c r="B51" i="5" l="1"/>
  <c r="B49" i="7"/>
  <c r="C12" i="7"/>
  <c r="E54" i="4"/>
  <c r="G4" i="4" s="1"/>
  <c r="E48" i="7" l="1"/>
  <c r="B37" i="7"/>
  <c r="G6" i="5"/>
  <c r="G8" i="4" s="1"/>
  <c r="H19" i="4" s="1"/>
  <c r="H20" i="4" s="1"/>
  <c r="H21" i="4" s="1"/>
  <c r="H22" i="4" s="1"/>
  <c r="E56" i="5"/>
  <c r="B54" i="5" s="1"/>
  <c r="B55" i="5" s="1"/>
  <c r="B56" i="5" s="1"/>
  <c r="G2" i="5" s="1"/>
  <c r="E36" i="5" l="1"/>
  <c r="E40" i="5" s="1"/>
  <c r="E41" i="5" s="1"/>
  <c r="C12" i="8"/>
  <c r="B49" i="8"/>
  <c r="B37" i="8" l="1"/>
  <c r="E47" i="8"/>
  <c r="F33" i="5"/>
  <c r="E43" i="5" s="1"/>
  <c r="E42" i="5"/>
  <c r="F35" i="6" s="1"/>
  <c r="E52" i="5" l="1"/>
  <c r="E53" i="5" s="1"/>
  <c r="E51" i="6" s="1"/>
  <c r="C7" i="5"/>
  <c r="E46" i="5"/>
  <c r="E50" i="5" s="1"/>
  <c r="B49" i="9"/>
  <c r="C12" i="9"/>
  <c r="E54" i="5" l="1"/>
  <c r="G4" i="5" s="1"/>
  <c r="G6" i="6" s="1"/>
  <c r="G8" i="5" s="1"/>
  <c r="B37" i="9"/>
  <c r="E47" i="9"/>
  <c r="B51" i="6"/>
  <c r="E56" i="6" l="1"/>
  <c r="B54" i="6" s="1"/>
  <c r="B55" i="6" s="1"/>
  <c r="B56" i="6" s="1"/>
  <c r="G2" i="6" s="1"/>
  <c r="E36" i="6" l="1"/>
  <c r="E40" i="6" s="1"/>
  <c r="E41" i="6" s="1"/>
  <c r="F33" i="6" s="1"/>
  <c r="E43" i="6" s="1"/>
  <c r="E52" i="6" s="1"/>
  <c r="C7" i="6" l="1"/>
  <c r="E42" i="6"/>
  <c r="F35" i="7" s="1"/>
  <c r="E46" i="6" l="1"/>
  <c r="E50" i="6" s="1"/>
  <c r="E53" i="6"/>
  <c r="E52" i="7" s="1"/>
  <c r="E54" i="6" l="1"/>
  <c r="G4" i="6" s="1"/>
  <c r="B51" i="7"/>
  <c r="E57" i="7" l="1"/>
  <c r="B54" i="7" s="1"/>
  <c r="B55" i="7" s="1"/>
  <c r="B56" i="7" s="1"/>
  <c r="G2" i="7" s="1"/>
  <c r="G6" i="7"/>
  <c r="G8" i="6" s="1"/>
  <c r="H19" i="6" s="1"/>
  <c r="H20" i="6" s="1"/>
  <c r="H21" i="6" s="1"/>
  <c r="H22" i="6" s="1"/>
  <c r="E36" i="7" l="1"/>
  <c r="E41" i="7" l="1"/>
  <c r="E42" i="7" s="1"/>
  <c r="F33" i="7" l="1"/>
  <c r="E44" i="7" s="1"/>
  <c r="E43" i="7"/>
  <c r="F35" i="8" s="1"/>
  <c r="E47" i="7" l="1"/>
  <c r="E51" i="7" s="1"/>
  <c r="C7" i="7"/>
  <c r="E53" i="7"/>
  <c r="E54" i="7" s="1"/>
  <c r="E51" i="8" s="1"/>
  <c r="B51" i="8" s="1"/>
  <c r="E56" i="8" s="1"/>
  <c r="B54" i="8" s="1"/>
  <c r="E36" i="8" s="1"/>
  <c r="E40" i="8" s="1"/>
  <c r="E41" i="8" s="1"/>
  <c r="E55" i="7" l="1"/>
  <c r="G4" i="7" s="1"/>
  <c r="G6" i="8" s="1"/>
  <c r="G8" i="7" s="1"/>
  <c r="B55" i="8"/>
  <c r="B56" i="8" s="1"/>
  <c r="G2" i="8" s="1"/>
  <c r="F33" i="8"/>
  <c r="E43" i="8" s="1"/>
  <c r="E42" i="8"/>
  <c r="F35" i="9" l="1"/>
  <c r="E46" i="8"/>
  <c r="E50" i="8" s="1"/>
  <c r="E52" i="8"/>
  <c r="E53" i="8" s="1"/>
  <c r="E51" i="9" s="1"/>
  <c r="C7" i="8"/>
  <c r="B51" i="9" l="1"/>
  <c r="E54" i="8"/>
  <c r="G4" i="8" s="1"/>
  <c r="G6" i="9" s="1"/>
  <c r="G8" i="8" s="1"/>
  <c r="E56" i="9" l="1"/>
  <c r="B54" i="9" s="1"/>
  <c r="E36" i="9" s="1"/>
  <c r="E40" i="9" s="1"/>
  <c r="E41" i="9" s="1"/>
  <c r="F33" i="9" l="1"/>
  <c r="E43" i="9" s="1"/>
  <c r="E42" i="9"/>
  <c r="E46" i="9" s="1"/>
  <c r="E50" i="9" s="1"/>
  <c r="B55" i="9"/>
  <c r="B56" i="9" s="1"/>
  <c r="G2" i="9" s="1"/>
  <c r="E52" i="9" l="1"/>
  <c r="E53" i="9" s="1"/>
  <c r="E54" i="9" s="1"/>
  <c r="G4" i="9" s="1"/>
  <c r="C7" i="9"/>
</calcChain>
</file>

<file path=xl/sharedStrings.xml><?xml version="1.0" encoding="utf-8"?>
<sst xmlns="http://schemas.openxmlformats.org/spreadsheetml/2006/main" count="1225" uniqueCount="143">
  <si>
    <t>华中市场(人)：</t>
    <phoneticPr fontId="1" type="noConversion"/>
  </si>
  <si>
    <t>华南市场(人)：</t>
    <phoneticPr fontId="1" type="noConversion"/>
  </si>
  <si>
    <t>华东市场(人)：</t>
    <phoneticPr fontId="1" type="noConversion"/>
  </si>
  <si>
    <t>生产线购置(条)：</t>
    <phoneticPr fontId="1" type="noConversion"/>
  </si>
  <si>
    <t>购买原材料(个)：</t>
    <phoneticPr fontId="1" type="noConversion"/>
  </si>
  <si>
    <t>技术工人(人)：</t>
    <phoneticPr fontId="1" type="noConversion"/>
  </si>
  <si>
    <t>华北市场(人)：</t>
    <phoneticPr fontId="1" type="noConversion"/>
  </si>
  <si>
    <t>产品研发投入(元)：</t>
    <phoneticPr fontId="1" type="noConversion"/>
  </si>
  <si>
    <t>利润表</t>
    <phoneticPr fontId="1" type="noConversion"/>
  </si>
  <si>
    <t>生产线订购成本</t>
    <phoneticPr fontId="1" type="noConversion"/>
  </si>
  <si>
    <t>原材料订购成本</t>
    <phoneticPr fontId="1" type="noConversion"/>
  </si>
  <si>
    <t>招聘培训费用</t>
    <phoneticPr fontId="1" type="noConversion"/>
  </si>
  <si>
    <t>员工工资</t>
    <phoneticPr fontId="1" type="noConversion"/>
  </si>
  <si>
    <t>研发费用</t>
    <phoneticPr fontId="1" type="noConversion"/>
  </si>
  <si>
    <t>净利润</t>
    <phoneticPr fontId="1" type="noConversion"/>
  </si>
  <si>
    <t>支出</t>
    <phoneticPr fontId="1" type="noConversion"/>
  </si>
  <si>
    <t>收入</t>
    <phoneticPr fontId="1" type="noConversion"/>
  </si>
  <si>
    <t>采购部</t>
    <phoneticPr fontId="1" type="noConversion"/>
  </si>
  <si>
    <t>正常采购</t>
    <phoneticPr fontId="1" type="noConversion"/>
  </si>
  <si>
    <t>非正常采购</t>
    <phoneticPr fontId="1" type="noConversion"/>
  </si>
  <si>
    <t>生产线</t>
    <phoneticPr fontId="1" type="noConversion"/>
  </si>
  <si>
    <t>生产研发部</t>
    <phoneticPr fontId="1" type="noConversion"/>
  </si>
  <si>
    <t>物流部</t>
    <phoneticPr fontId="1" type="noConversion"/>
  </si>
  <si>
    <t>华东</t>
    <phoneticPr fontId="1" type="noConversion"/>
  </si>
  <si>
    <t>华中</t>
    <phoneticPr fontId="1" type="noConversion"/>
  </si>
  <si>
    <t>华北</t>
    <phoneticPr fontId="1" type="noConversion"/>
  </si>
  <si>
    <t>华南</t>
    <phoneticPr fontId="1" type="noConversion"/>
  </si>
  <si>
    <t>市场</t>
    <phoneticPr fontId="1" type="noConversion"/>
  </si>
  <si>
    <t>市场部</t>
    <phoneticPr fontId="1" type="noConversion"/>
  </si>
  <si>
    <t>价格</t>
    <phoneticPr fontId="1" type="noConversion"/>
  </si>
  <si>
    <t>营销</t>
    <phoneticPr fontId="1" type="noConversion"/>
  </si>
  <si>
    <t>人力资源部</t>
    <phoneticPr fontId="1" type="noConversion"/>
  </si>
  <si>
    <t>技术工人</t>
    <phoneticPr fontId="1" type="noConversion"/>
  </si>
  <si>
    <t>华北客服</t>
    <phoneticPr fontId="1" type="noConversion"/>
  </si>
  <si>
    <t>华中客服</t>
    <phoneticPr fontId="1" type="noConversion"/>
  </si>
  <si>
    <t>华南客服</t>
    <phoneticPr fontId="1" type="noConversion"/>
  </si>
  <si>
    <t>华东客服</t>
    <phoneticPr fontId="1" type="noConversion"/>
  </si>
  <si>
    <t>招聘</t>
    <phoneticPr fontId="1" type="noConversion"/>
  </si>
  <si>
    <t>解雇</t>
    <phoneticPr fontId="1" type="noConversion"/>
  </si>
  <si>
    <t>财务部</t>
    <phoneticPr fontId="1" type="noConversion"/>
  </si>
  <si>
    <t>借款</t>
    <phoneticPr fontId="1" type="noConversion"/>
  </si>
  <si>
    <t>还款</t>
    <phoneticPr fontId="1" type="noConversion"/>
  </si>
  <si>
    <t>发放红利</t>
    <phoneticPr fontId="1" type="noConversion"/>
  </si>
  <si>
    <t>原材料仓储费用</t>
    <phoneticPr fontId="1" type="noConversion"/>
  </si>
  <si>
    <t>产成品仓储费用</t>
    <phoneticPr fontId="1" type="noConversion"/>
  </si>
  <si>
    <t>银行利息</t>
    <phoneticPr fontId="1" type="noConversion"/>
  </si>
  <si>
    <t>增值税</t>
    <phoneticPr fontId="1" type="noConversion"/>
  </si>
  <si>
    <t>企业所得税</t>
    <phoneticPr fontId="1" type="noConversion"/>
  </si>
  <si>
    <t>附加税</t>
    <phoneticPr fontId="1" type="noConversion"/>
  </si>
  <si>
    <t>费用合计</t>
    <phoneticPr fontId="1" type="noConversion"/>
  </si>
  <si>
    <t>销售收入</t>
    <phoneticPr fontId="1" type="noConversion"/>
  </si>
  <si>
    <t>研发成本</t>
    <phoneticPr fontId="1" type="noConversion"/>
  </si>
  <si>
    <t>班次管理费用</t>
    <phoneticPr fontId="1" type="noConversion"/>
  </si>
  <si>
    <t>人工费用</t>
    <phoneticPr fontId="1" type="noConversion"/>
  </si>
  <si>
    <t>原材料消耗</t>
    <phoneticPr fontId="1" type="noConversion"/>
  </si>
  <si>
    <t>原材料紧急采购费用</t>
    <phoneticPr fontId="1" type="noConversion"/>
  </si>
  <si>
    <t>设备维护费用</t>
    <phoneticPr fontId="1" type="noConversion"/>
  </si>
  <si>
    <t>设备订购成本</t>
    <phoneticPr fontId="1" type="noConversion"/>
  </si>
  <si>
    <t>设备折旧</t>
    <phoneticPr fontId="1" type="noConversion"/>
  </si>
  <si>
    <t xml:space="preserve">产成品存货价值修正 </t>
    <phoneticPr fontId="1" type="noConversion"/>
  </si>
  <si>
    <t>营销费用</t>
    <phoneticPr fontId="1" type="noConversion"/>
  </si>
  <si>
    <t>运输费用</t>
    <phoneticPr fontId="1" type="noConversion"/>
  </si>
  <si>
    <t>招聘培训费</t>
    <phoneticPr fontId="1" type="noConversion"/>
  </si>
  <si>
    <t>一次性生活安置费</t>
    <phoneticPr fontId="1" type="noConversion"/>
  </si>
  <si>
    <t>计划生产量</t>
    <phoneticPr fontId="1" type="noConversion"/>
  </si>
  <si>
    <t>研发投入</t>
    <phoneticPr fontId="1" type="noConversion"/>
  </si>
  <si>
    <t>业务状况表</t>
  </si>
  <si>
    <t>投放量</t>
    <phoneticPr fontId="1" type="noConversion"/>
  </si>
  <si>
    <t>现金流量表</t>
    <phoneticPr fontId="1" type="noConversion"/>
  </si>
  <si>
    <t>流入现金合计</t>
    <phoneticPr fontId="1" type="noConversion"/>
  </si>
  <si>
    <t>现金费用支出</t>
    <phoneticPr fontId="1" type="noConversion"/>
  </si>
  <si>
    <t>购料支出</t>
    <phoneticPr fontId="1" type="noConversion"/>
  </si>
  <si>
    <t>原材料单价</t>
    <phoneticPr fontId="1" type="noConversion"/>
  </si>
  <si>
    <t>折现率</t>
    <phoneticPr fontId="1" type="noConversion"/>
  </si>
  <si>
    <t>年利率</t>
    <phoneticPr fontId="1" type="noConversion"/>
  </si>
  <si>
    <t>单位材料成本</t>
    <phoneticPr fontId="1" type="noConversion"/>
  </si>
  <si>
    <t>设备投资支出</t>
    <phoneticPr fontId="1" type="noConversion"/>
  </si>
  <si>
    <t>流出现金合计</t>
    <phoneticPr fontId="1" type="noConversion"/>
  </si>
  <si>
    <t>本季现金流量</t>
    <phoneticPr fontId="1" type="noConversion"/>
  </si>
  <si>
    <t>季末现金余额</t>
    <phoneticPr fontId="1" type="noConversion"/>
  </si>
  <si>
    <t>借款剩余</t>
    <phoneticPr fontId="1" type="noConversion"/>
  </si>
  <si>
    <t>资产负债表</t>
    <phoneticPr fontId="1" type="noConversion"/>
  </si>
  <si>
    <t>现金</t>
    <phoneticPr fontId="1" type="noConversion"/>
  </si>
  <si>
    <t>原材料存货价值</t>
    <phoneticPr fontId="1" type="noConversion"/>
  </si>
  <si>
    <t>产成品存货价值</t>
    <phoneticPr fontId="1" type="noConversion"/>
  </si>
  <si>
    <t>生产设备价值</t>
    <phoneticPr fontId="1" type="noConversion"/>
  </si>
  <si>
    <t>资产合计</t>
    <phoneticPr fontId="1" type="noConversion"/>
  </si>
  <si>
    <t>正常负债</t>
    <phoneticPr fontId="1" type="noConversion"/>
  </si>
  <si>
    <t>非正常负债</t>
    <phoneticPr fontId="1" type="noConversion"/>
  </si>
  <si>
    <t>负债合计</t>
    <phoneticPr fontId="1" type="noConversion"/>
  </si>
  <si>
    <t>所需现金</t>
    <phoneticPr fontId="1" type="noConversion"/>
  </si>
  <si>
    <t>所有者权益</t>
    <phoneticPr fontId="1" type="noConversion"/>
  </si>
  <si>
    <t>工资</t>
    <phoneticPr fontId="1" type="noConversion"/>
  </si>
  <si>
    <t>工人</t>
    <phoneticPr fontId="1" type="noConversion"/>
  </si>
  <si>
    <t>客服</t>
    <phoneticPr fontId="1" type="noConversion"/>
  </si>
  <si>
    <t>实习</t>
    <phoneticPr fontId="1" type="noConversion"/>
  </si>
  <si>
    <t>正式</t>
    <phoneticPr fontId="1" type="noConversion"/>
  </si>
  <si>
    <t>最大建线数</t>
    <phoneticPr fontId="1" type="noConversion"/>
  </si>
  <si>
    <t>实际决策</t>
    <phoneticPr fontId="1" type="noConversion"/>
  </si>
  <si>
    <t>实际销售量</t>
    <phoneticPr fontId="1" type="noConversion"/>
  </si>
  <si>
    <t xml:space="preserve"> </t>
    <phoneticPr fontId="1" type="noConversion"/>
  </si>
  <si>
    <t>红利</t>
    <phoneticPr fontId="1" type="noConversion"/>
  </si>
  <si>
    <t>零售渠道</t>
  </si>
  <si>
    <t>市场需求量</t>
  </si>
  <si>
    <t>销售量</t>
  </si>
  <si>
    <t>市场占有率（%）</t>
  </si>
  <si>
    <t>产成品库存</t>
  </si>
  <si>
    <t>客服人员</t>
  </si>
  <si>
    <t>华北市场</t>
  </si>
  <si>
    <t>华中市场</t>
  </si>
  <si>
    <t>华南市场</t>
  </si>
  <si>
    <t>华东市场</t>
  </si>
  <si>
    <t>本季市场需求量</t>
  </si>
  <si>
    <t>本季生产量</t>
  </si>
  <si>
    <t>本季销售量</t>
  </si>
  <si>
    <t>原材料库存</t>
  </si>
  <si>
    <t>总市场占有率（%）</t>
  </si>
  <si>
    <t>下季产能</t>
  </si>
  <si>
    <t>下季实际产能</t>
  </si>
  <si>
    <t>生产线数量</t>
  </si>
  <si>
    <t>员工总数</t>
  </si>
  <si>
    <t>技术工人</t>
  </si>
  <si>
    <t>绿色决策为制定决策部位</t>
    <phoneticPr fontId="1" type="noConversion"/>
  </si>
  <si>
    <t>蓝色为提示部位</t>
    <phoneticPr fontId="1" type="noConversion"/>
  </si>
  <si>
    <t>每个季度结算后需要粘贴运运营状况表</t>
    <phoneticPr fontId="1" type="noConversion"/>
  </si>
  <si>
    <t>原材料采购</t>
    <phoneticPr fontId="1" type="noConversion"/>
  </si>
  <si>
    <t>下季度最大建线数</t>
    <phoneticPr fontId="1" type="noConversion"/>
  </si>
  <si>
    <t>第二季</t>
    <phoneticPr fontId="1" type="noConversion"/>
  </si>
  <si>
    <t>第三季</t>
    <phoneticPr fontId="1" type="noConversion"/>
  </si>
  <si>
    <t>基础产能</t>
  </si>
  <si>
    <t>基础产能</t>
    <phoneticPr fontId="1" type="noConversion"/>
  </si>
  <si>
    <t>最大产能</t>
  </si>
  <si>
    <t>最大产能</t>
    <phoneticPr fontId="1" type="noConversion"/>
  </si>
  <si>
    <t>所需原材料</t>
  </si>
  <si>
    <t>所需原材料</t>
    <phoneticPr fontId="1" type="noConversion"/>
  </si>
  <si>
    <t>第四季</t>
    <phoneticPr fontId="1" type="noConversion"/>
  </si>
  <si>
    <t>第五季</t>
    <phoneticPr fontId="1" type="noConversion"/>
  </si>
  <si>
    <t>第六季</t>
    <phoneticPr fontId="1" type="noConversion"/>
  </si>
  <si>
    <t>第七季</t>
    <phoneticPr fontId="1" type="noConversion"/>
  </si>
  <si>
    <t>第八季</t>
    <phoneticPr fontId="1" type="noConversion"/>
  </si>
  <si>
    <t>客服人员</t>
    <phoneticPr fontId="1" type="noConversion"/>
  </si>
  <si>
    <t>本季市场需求量</t>
    <phoneticPr fontId="1" type="noConversion"/>
  </si>
  <si>
    <t>可用现金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</si>
</sst>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#,##0.00_ "/>
    <numFmt numFmtId="178" formatCode="#,##0_ "/>
    <numFmt numFmtId="179" formatCode="#,##0.0_ "/>
  </numFmts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414A5C"/>
      <name val="微软雅黑"/>
      <family val="2"/>
      <charset val="134"/>
    </font>
    <font>
      <b/>
      <sz val="11"/>
      <color rgb="FF414A5C"/>
      <name val="微软雅黑"/>
      <family val="2"/>
      <charset val="134"/>
    </font>
    <font>
      <b/>
      <sz val="12"/>
      <color rgb="FFFFFFFF"/>
      <name val="Kuhei"/>
      <family val="2"/>
    </font>
    <font>
      <b/>
      <sz val="9"/>
      <color rgb="FFFFFFFF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9"/>
      <color theme="1" tint="0.499984740745262"/>
      <name val="微软雅黑"/>
      <family val="2"/>
      <charset val="134"/>
    </font>
    <font>
      <b/>
      <sz val="16"/>
      <color rgb="FFFFFFFF"/>
      <name val="Kuhei"/>
      <family val="2"/>
    </font>
    <font>
      <b/>
      <sz val="12"/>
      <color rgb="FFFFFFFF"/>
      <name val="宋体"/>
      <family val="3"/>
      <charset val="134"/>
    </font>
    <font>
      <b/>
      <sz val="6"/>
      <color theme="0"/>
      <name val="等线"/>
      <family val="3"/>
      <charset val="134"/>
      <scheme val="minor"/>
    </font>
    <font>
      <b/>
      <sz val="6"/>
      <color rgb="FF414A5C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/>
      <diagonal/>
    </border>
    <border>
      <left style="thin">
        <color indexed="64"/>
      </left>
      <right style="thick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 tint="-4.9989318521683403E-2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ck">
        <color theme="0" tint="-4.9989318521683403E-2"/>
      </top>
      <bottom style="thin">
        <color theme="0" tint="-4.9989318521683403E-2"/>
      </bottom>
      <diagonal/>
    </border>
    <border>
      <left/>
      <right/>
      <top style="thick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ck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 tint="-4.9989318521683403E-2"/>
      </bottom>
      <diagonal/>
    </border>
    <border>
      <left style="thin">
        <color indexed="64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 style="thin">
        <color theme="0"/>
      </bottom>
      <diagonal/>
    </border>
    <border>
      <left/>
      <right style="thin">
        <color theme="0"/>
      </right>
      <top style="thick">
        <color theme="0" tint="-4.9989318521683403E-2"/>
      </top>
      <bottom style="thin">
        <color theme="0"/>
      </bottom>
      <diagonal/>
    </border>
    <border>
      <left/>
      <right style="thin">
        <color indexed="64"/>
      </right>
      <top style="thick">
        <color theme="0" tint="-4.9989318521683403E-2"/>
      </top>
      <bottom/>
      <diagonal/>
    </border>
    <border>
      <left style="thin">
        <color theme="0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 style="thin">
        <color indexed="64"/>
      </left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ck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ck">
        <color theme="0" tint="-4.9989318521683403E-2"/>
      </bottom>
      <diagonal/>
    </border>
    <border>
      <left style="thin">
        <color indexed="64"/>
      </left>
      <right style="thin">
        <color theme="0"/>
      </right>
      <top style="thin">
        <color theme="0" tint="-4.9989318521683403E-2"/>
      </top>
      <bottom style="thick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 style="thin">
        <color theme="1"/>
      </top>
      <bottom style="thin">
        <color theme="0" tint="-4.9989318521683403E-2"/>
      </bottom>
      <diagonal/>
    </border>
    <border>
      <left/>
      <right style="thin">
        <color theme="0"/>
      </right>
      <top style="thin">
        <color theme="1"/>
      </top>
      <bottom style="thin">
        <color theme="0" tint="-4.9989318521683403E-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n">
        <color theme="0"/>
      </left>
      <right style="thin">
        <color theme="0"/>
      </right>
      <top style="thick">
        <color theme="0" tint="-4.9989318521683403E-2"/>
      </top>
      <bottom style="thin">
        <color theme="0"/>
      </bottom>
      <diagonal/>
    </border>
    <border>
      <left style="thin">
        <color theme="0" tint="-4.9989318521683403E-2"/>
      </left>
      <right style="thick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3" fontId="3" fillId="0" borderId="0" xfId="0" applyNumberFormat="1" applyFont="1">
      <alignment vertical="center"/>
    </xf>
    <xf numFmtId="0" fontId="2" fillId="0" borderId="1" xfId="0" applyFont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3" fontId="5" fillId="4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9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9" fontId="2" fillId="3" borderId="1" xfId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 indent="1"/>
    </xf>
    <xf numFmtId="177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8" fontId="2" fillId="3" borderId="10" xfId="0" applyNumberFormat="1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178" fontId="2" fillId="3" borderId="11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right" vertical="center"/>
    </xf>
    <xf numFmtId="178" fontId="2" fillId="3" borderId="12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/>
    </xf>
    <xf numFmtId="179" fontId="2" fillId="3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indent="1"/>
    </xf>
    <xf numFmtId="178" fontId="2" fillId="6" borderId="11" xfId="0" applyNumberFormat="1" applyFont="1" applyFill="1" applyBorder="1" applyAlignment="1">
      <alignment horizontal="center" vertical="center"/>
    </xf>
    <xf numFmtId="178" fontId="2" fillId="6" borderId="10" xfId="0" applyNumberFormat="1" applyFont="1" applyFill="1" applyBorder="1" applyAlignment="1">
      <alignment horizontal="center" vertical="center"/>
    </xf>
    <xf numFmtId="178" fontId="2" fillId="6" borderId="13" xfId="0" applyNumberFormat="1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178" fontId="2" fillId="6" borderId="34" xfId="0" applyNumberFormat="1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7" fillId="6" borderId="10" xfId="0" applyNumberFormat="1" applyFont="1" applyFill="1" applyBorder="1" applyAlignment="1">
      <alignment horizontal="center" vertical="center"/>
    </xf>
    <xf numFmtId="178" fontId="4" fillId="2" borderId="7" xfId="0" applyNumberFormat="1" applyFont="1" applyFill="1" applyBorder="1" applyAlignment="1">
      <alignment horizontal="center" vertical="center"/>
    </xf>
    <xf numFmtId="178" fontId="4" fillId="2" borderId="7" xfId="0" applyNumberFormat="1" applyFont="1" applyFill="1" applyBorder="1" applyAlignment="1">
      <alignment horizontal="center" vertical="center"/>
    </xf>
    <xf numFmtId="178" fontId="4" fillId="2" borderId="7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178" fontId="2" fillId="6" borderId="39" xfId="0" applyNumberFormat="1" applyFont="1" applyFill="1" applyBorder="1" applyAlignment="1">
      <alignment horizontal="center" vertical="center"/>
    </xf>
    <xf numFmtId="178" fontId="2" fillId="6" borderId="40" xfId="0" applyNumberFormat="1" applyFont="1" applyFill="1" applyBorder="1" applyAlignment="1">
      <alignment horizontal="center" vertical="center"/>
    </xf>
    <xf numFmtId="178" fontId="12" fillId="3" borderId="0" xfId="0" applyNumberFormat="1" applyFont="1" applyFill="1" applyAlignment="1">
      <alignment horizontal="center" vertical="center"/>
    </xf>
    <xf numFmtId="178" fontId="2" fillId="6" borderId="41" xfId="0" applyNumberFormat="1" applyFont="1" applyFill="1" applyBorder="1" applyAlignment="1">
      <alignment horizontal="center" vertical="center"/>
    </xf>
    <xf numFmtId="178" fontId="2" fillId="6" borderId="42" xfId="0" applyNumberFormat="1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78" fontId="2" fillId="6" borderId="0" xfId="0" applyNumberFormat="1" applyFont="1" applyFill="1" applyBorder="1" applyAlignment="1">
      <alignment horizontal="center" vertical="center"/>
    </xf>
    <xf numFmtId="178" fontId="2" fillId="6" borderId="47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10" fillId="8" borderId="0" xfId="1" applyFont="1" applyFill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8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79" zoomScaleNormal="70" workbookViewId="0">
      <selection activeCell="C13" sqref="C13"/>
    </sheetView>
  </sheetViews>
  <sheetFormatPr defaultRowHeight="13.8"/>
  <cols>
    <col min="1" max="1" width="17.109375" customWidth="1"/>
    <col min="3" max="3" width="11" customWidth="1"/>
    <col min="4" max="4" width="14.77734375" customWidth="1"/>
    <col min="5" max="5" width="13.6640625" customWidth="1"/>
    <col min="7" max="7" width="13.5546875" customWidth="1"/>
    <col min="8" max="8" width="14.21875" customWidth="1"/>
  </cols>
  <sheetData>
    <row r="1" spans="1:8">
      <c r="A1" s="3" t="s">
        <v>46</v>
      </c>
      <c r="B1" s="20">
        <v>0.06</v>
      </c>
      <c r="G1" s="68" t="s">
        <v>68</v>
      </c>
      <c r="H1" s="69"/>
    </row>
    <row r="2" spans="1:8">
      <c r="A2" s="3" t="s">
        <v>48</v>
      </c>
      <c r="B2" s="20">
        <v>7.0000000000000007E-2</v>
      </c>
      <c r="C2" s="18"/>
      <c r="D2" s="20"/>
      <c r="E2" s="52" t="s">
        <v>122</v>
      </c>
      <c r="G2" s="3" t="s">
        <v>70</v>
      </c>
      <c r="H2" s="22">
        <f>E14</f>
        <v>0</v>
      </c>
    </row>
    <row r="3" spans="1:8">
      <c r="A3" s="3" t="s">
        <v>47</v>
      </c>
      <c r="B3" s="20">
        <v>0.25</v>
      </c>
      <c r="C3" s="18"/>
      <c r="D3" s="39"/>
      <c r="E3" s="53" t="s">
        <v>123</v>
      </c>
      <c r="G3" s="3" t="s">
        <v>71</v>
      </c>
      <c r="H3" s="22">
        <f>B8*C8</f>
        <v>0</v>
      </c>
    </row>
    <row r="4" spans="1:8">
      <c r="A4" s="3" t="s">
        <v>74</v>
      </c>
      <c r="B4" s="20">
        <v>0.04</v>
      </c>
      <c r="C4" s="18"/>
      <c r="D4" s="70" t="s">
        <v>124</v>
      </c>
      <c r="E4" s="70"/>
      <c r="G4" s="3" t="s">
        <v>76</v>
      </c>
      <c r="H4" s="22">
        <f>B7*500000</f>
        <v>0</v>
      </c>
    </row>
    <row r="5" spans="1:8">
      <c r="A5" s="3" t="s">
        <v>73</v>
      </c>
      <c r="B5" s="20">
        <v>0.02</v>
      </c>
      <c r="C5" s="18"/>
      <c r="D5" s="18"/>
      <c r="G5" s="3" t="s">
        <v>41</v>
      </c>
      <c r="H5" s="22"/>
    </row>
    <row r="6" spans="1:8">
      <c r="D6" s="19"/>
      <c r="G6" s="3" t="s">
        <v>77</v>
      </c>
      <c r="H6" s="22">
        <f>SUM(H2:H5)</f>
        <v>0</v>
      </c>
    </row>
    <row r="7" spans="1:8">
      <c r="A7" s="3" t="s">
        <v>3</v>
      </c>
      <c r="B7" s="7"/>
      <c r="C7" s="3" t="s">
        <v>72</v>
      </c>
      <c r="D7" s="68" t="s">
        <v>8</v>
      </c>
      <c r="E7" s="69"/>
      <c r="G7" s="3" t="s">
        <v>78</v>
      </c>
      <c r="H7" s="22">
        <f>0-H6</f>
        <v>0</v>
      </c>
    </row>
    <row r="8" spans="1:8">
      <c r="A8" s="3" t="s">
        <v>4</v>
      </c>
      <c r="B8" s="7"/>
      <c r="C8" s="5">
        <v>1.5</v>
      </c>
      <c r="D8" s="3" t="s">
        <v>9</v>
      </c>
      <c r="E8" s="3">
        <f>B7*100000</f>
        <v>0</v>
      </c>
      <c r="G8" s="3" t="s">
        <v>79</v>
      </c>
      <c r="H8" s="22">
        <f>IF(H7+6500000&gt;0,6500000+H7,0)</f>
        <v>6500000</v>
      </c>
    </row>
    <row r="9" spans="1:8">
      <c r="A9" s="1"/>
      <c r="B9" s="5"/>
      <c r="D9" s="3" t="s">
        <v>10</v>
      </c>
      <c r="E9" s="3">
        <f>IF(B8&lt;1,0,IF(B8&lt;=500000,40000,IF(B8&lt;=1000000,80000,IF(B8&lt;=1500000,120000,IF(B8&lt;=2000000,160000,IF(B8&gt;2000000,200000))))))</f>
        <v>0</v>
      </c>
    </row>
    <row r="10" spans="1:8">
      <c r="A10" s="3" t="s">
        <v>5</v>
      </c>
      <c r="B10" s="7"/>
      <c r="D10" s="3" t="s">
        <v>11</v>
      </c>
      <c r="E10" s="3">
        <f>SUM(B10:B14)*1500</f>
        <v>0</v>
      </c>
      <c r="G10" s="68" t="s">
        <v>81</v>
      </c>
      <c r="H10" s="69"/>
    </row>
    <row r="11" spans="1:8">
      <c r="A11" s="3" t="s">
        <v>6</v>
      </c>
      <c r="B11" s="7"/>
      <c r="D11" s="3" t="s">
        <v>12</v>
      </c>
      <c r="E11" s="3">
        <f>B10*3750+SUM(B11:B14)*4500</f>
        <v>0</v>
      </c>
      <c r="G11" s="3" t="s">
        <v>82</v>
      </c>
      <c r="H11" s="23">
        <f>H8</f>
        <v>6500000</v>
      </c>
    </row>
    <row r="12" spans="1:8">
      <c r="A12" s="3" t="s">
        <v>0</v>
      </c>
      <c r="B12" s="7"/>
      <c r="D12" s="3" t="s">
        <v>13</v>
      </c>
      <c r="E12" s="3">
        <f>B16</f>
        <v>0</v>
      </c>
      <c r="G12" s="3" t="s">
        <v>83</v>
      </c>
      <c r="H12" s="22">
        <f>C8*B8</f>
        <v>0</v>
      </c>
    </row>
    <row r="13" spans="1:8">
      <c r="A13" s="3" t="s">
        <v>1</v>
      </c>
      <c r="B13" s="7"/>
      <c r="D13" s="3" t="s">
        <v>16</v>
      </c>
      <c r="E13" s="3">
        <f>0</f>
        <v>0</v>
      </c>
      <c r="G13" s="3" t="s">
        <v>85</v>
      </c>
      <c r="H13" s="22">
        <f>B7*500000</f>
        <v>0</v>
      </c>
    </row>
    <row r="14" spans="1:8">
      <c r="A14" s="3" t="s">
        <v>2</v>
      </c>
      <c r="B14" s="7"/>
      <c r="D14" s="3" t="s">
        <v>15</v>
      </c>
      <c r="E14" s="3">
        <f>SUM(E8:E12)</f>
        <v>0</v>
      </c>
      <c r="G14" s="3" t="s">
        <v>86</v>
      </c>
      <c r="H14" s="22">
        <f>SUM(H11:H13)</f>
        <v>6500000</v>
      </c>
    </row>
    <row r="15" spans="1:8">
      <c r="A15" s="1"/>
      <c r="B15" s="5"/>
      <c r="D15" s="3" t="s">
        <v>14</v>
      </c>
      <c r="E15" s="3">
        <f>E13-E14</f>
        <v>0</v>
      </c>
      <c r="G15" s="3" t="s">
        <v>91</v>
      </c>
      <c r="H15" s="22">
        <f>H14</f>
        <v>6500000</v>
      </c>
    </row>
    <row r="16" spans="1:8">
      <c r="A16" s="3" t="s">
        <v>7</v>
      </c>
      <c r="B16" s="7"/>
      <c r="D16" s="3" t="s">
        <v>91</v>
      </c>
      <c r="E16" s="39">
        <f>6500000+E15</f>
        <v>6500000</v>
      </c>
    </row>
    <row r="17" spans="1:4" ht="16.2">
      <c r="A17" s="2"/>
    </row>
    <row r="23" spans="1:4">
      <c r="D23" s="4"/>
    </row>
  </sheetData>
  <mergeCells count="4">
    <mergeCell ref="D7:E7"/>
    <mergeCell ref="G1:H1"/>
    <mergeCell ref="G10:H10"/>
    <mergeCell ref="D4:E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>
      <selection activeCell="A28" sqref="A28"/>
    </sheetView>
  </sheetViews>
  <sheetFormatPr defaultRowHeight="13.8"/>
  <cols>
    <col min="1" max="13" width="15.77734375" customWidth="1"/>
    <col min="14" max="14" width="14" customWidth="1"/>
  </cols>
  <sheetData>
    <row r="1" spans="1:7" ht="13.8" customHeight="1">
      <c r="A1" s="74" t="s">
        <v>98</v>
      </c>
      <c r="B1" s="74"/>
      <c r="C1" s="74"/>
      <c r="D1" s="74"/>
      <c r="E1" s="74"/>
      <c r="F1" s="74"/>
      <c r="G1" s="43" t="s">
        <v>14</v>
      </c>
    </row>
    <row r="2" spans="1:7" ht="15.6" customHeight="1">
      <c r="A2" s="75"/>
      <c r="B2" s="75"/>
      <c r="C2" s="75"/>
      <c r="D2" s="75"/>
      <c r="E2" s="75"/>
      <c r="F2" s="75"/>
      <c r="G2" s="44" t="e">
        <f>B56</f>
        <v>#DIV/0!</v>
      </c>
    </row>
    <row r="3" spans="1:7" ht="15.6">
      <c r="A3" s="78" t="s">
        <v>39</v>
      </c>
      <c r="B3" s="78"/>
      <c r="C3" s="78"/>
      <c r="D3" s="78"/>
      <c r="E3" s="78"/>
      <c r="F3" s="78"/>
      <c r="G3" s="45" t="s">
        <v>91</v>
      </c>
    </row>
    <row r="4" spans="1:7" ht="14.4" customHeight="1" thickBot="1">
      <c r="A4" s="30" t="s">
        <v>40</v>
      </c>
      <c r="B4" s="29"/>
      <c r="C4" s="30" t="s">
        <v>41</v>
      </c>
      <c r="D4" s="29"/>
      <c r="E4" s="30" t="s">
        <v>42</v>
      </c>
      <c r="F4" s="29"/>
      <c r="G4" s="42" t="e">
        <f>E54</f>
        <v>#DIV/0!</v>
      </c>
    </row>
    <row r="5" spans="1:7" ht="13.8" customHeight="1" thickTop="1" thickBot="1">
      <c r="A5" s="79" t="s">
        <v>17</v>
      </c>
      <c r="B5" s="80"/>
      <c r="C5" s="26"/>
      <c r="D5" s="81" t="s">
        <v>28</v>
      </c>
      <c r="E5" s="77"/>
      <c r="F5" s="77"/>
      <c r="G5" s="45" t="s">
        <v>97</v>
      </c>
    </row>
    <row r="6" spans="1:7" ht="15.6" customHeight="1" thickTop="1" thickBot="1">
      <c r="A6" s="12" t="s">
        <v>18</v>
      </c>
      <c r="B6" s="24"/>
      <c r="C6" s="67" t="s">
        <v>142</v>
      </c>
      <c r="D6" s="27" t="s">
        <v>27</v>
      </c>
      <c r="E6" s="6" t="s">
        <v>29</v>
      </c>
      <c r="F6" s="6" t="s">
        <v>30</v>
      </c>
      <c r="G6" s="42">
        <f>ROUNDDOWN(公司筹建!E16/1500000,0)</f>
        <v>4</v>
      </c>
    </row>
    <row r="7" spans="1:7" ht="15" thickTop="1" thickBot="1">
      <c r="A7" s="12" t="s">
        <v>19</v>
      </c>
      <c r="B7" s="24"/>
      <c r="C7" s="67" t="e">
        <f>E43</f>
        <v>#DIV/0!</v>
      </c>
      <c r="D7" s="15" t="s">
        <v>25</v>
      </c>
      <c r="E7" s="34"/>
      <c r="F7" s="29"/>
      <c r="G7" s="65" t="s">
        <v>126</v>
      </c>
    </row>
    <row r="8" spans="1:7" ht="14.4" customHeight="1" thickTop="1" thickBot="1">
      <c r="A8" s="12" t="s">
        <v>20</v>
      </c>
      <c r="B8" s="24"/>
      <c r="C8" s="62" t="s">
        <v>72</v>
      </c>
      <c r="D8" s="56" t="s">
        <v>24</v>
      </c>
      <c r="E8" s="34"/>
      <c r="F8" s="29"/>
      <c r="G8" s="66" t="e">
        <f>Sheet2!G6</f>
        <v>#DIV/0!</v>
      </c>
    </row>
    <row r="9" spans="1:7" ht="16.8" customHeight="1" thickTop="1" thickBot="1">
      <c r="A9" s="77" t="s">
        <v>21</v>
      </c>
      <c r="B9" s="77"/>
      <c r="C9" s="14"/>
      <c r="D9" s="56" t="s">
        <v>26</v>
      </c>
      <c r="E9" s="34"/>
      <c r="F9" s="29"/>
    </row>
    <row r="10" spans="1:7" ht="15" thickTop="1" thickBot="1">
      <c r="A10" s="12" t="s">
        <v>64</v>
      </c>
      <c r="B10" s="24">
        <f>3*A58</f>
        <v>0</v>
      </c>
      <c r="C10" s="28"/>
      <c r="D10" s="15" t="s">
        <v>23</v>
      </c>
      <c r="E10" s="34"/>
      <c r="F10" s="29"/>
    </row>
    <row r="11" spans="1:7" ht="13.8" customHeight="1" thickTop="1" thickBot="1">
      <c r="A11" s="12" t="s">
        <v>65</v>
      </c>
      <c r="B11" s="24"/>
      <c r="C11" s="25" t="s">
        <v>75</v>
      </c>
      <c r="D11" s="84" t="s">
        <v>31</v>
      </c>
      <c r="E11" s="77"/>
      <c r="F11" s="77"/>
    </row>
    <row r="12" spans="1:7" ht="15.6" customHeight="1" thickTop="1">
      <c r="A12" s="82" t="s">
        <v>22</v>
      </c>
      <c r="B12" s="83"/>
      <c r="C12" s="54" t="e">
        <f>(E37+公司筹建!H12)/(B6+B7+公司筹建!B8)</f>
        <v>#DIV/0!</v>
      </c>
      <c r="D12" s="55" t="s">
        <v>27</v>
      </c>
      <c r="E12" s="11" t="s">
        <v>37</v>
      </c>
      <c r="F12" s="6" t="s">
        <v>38</v>
      </c>
    </row>
    <row r="13" spans="1:7" ht="13.8" customHeight="1">
      <c r="A13" s="16" t="s">
        <v>27</v>
      </c>
      <c r="B13" s="17" t="s">
        <v>67</v>
      </c>
      <c r="C13" s="17" t="s">
        <v>99</v>
      </c>
      <c r="D13" s="56" t="s">
        <v>32</v>
      </c>
      <c r="E13" s="32">
        <f>B8*3</f>
        <v>0</v>
      </c>
      <c r="F13" s="29"/>
    </row>
    <row r="14" spans="1:7" ht="15.6" customHeight="1">
      <c r="A14" s="12" t="s">
        <v>25</v>
      </c>
      <c r="B14" s="24"/>
      <c r="C14" s="47">
        <f>B14</f>
        <v>0</v>
      </c>
      <c r="D14" s="56" t="s">
        <v>33</v>
      </c>
      <c r="E14" s="33"/>
      <c r="F14" s="29"/>
    </row>
    <row r="15" spans="1:7" ht="13.8" customHeight="1">
      <c r="A15" s="12" t="s">
        <v>24</v>
      </c>
      <c r="B15" s="24"/>
      <c r="C15" s="47">
        <f t="shared" ref="C15:C17" si="0">B15</f>
        <v>0</v>
      </c>
      <c r="D15" s="56" t="s">
        <v>34</v>
      </c>
      <c r="E15" s="33"/>
      <c r="F15" s="29"/>
    </row>
    <row r="16" spans="1:7" ht="15.6" customHeight="1">
      <c r="A16" s="12" t="s">
        <v>26</v>
      </c>
      <c r="B16" s="24"/>
      <c r="C16" s="47">
        <f t="shared" si="0"/>
        <v>0</v>
      </c>
      <c r="D16" s="56" t="s">
        <v>35</v>
      </c>
      <c r="E16" s="32"/>
      <c r="F16" s="29"/>
    </row>
    <row r="17" spans="1:9" ht="14.4" thickBot="1">
      <c r="A17" s="12" t="s">
        <v>23</v>
      </c>
      <c r="B17" s="24"/>
      <c r="C17" s="47">
        <f t="shared" si="0"/>
        <v>0</v>
      </c>
      <c r="D17" s="56" t="s">
        <v>36</v>
      </c>
      <c r="E17" s="32"/>
      <c r="F17" s="29"/>
    </row>
    <row r="18" spans="1:9" ht="16.8" thickTop="1" thickBot="1">
      <c r="A18" s="76">
        <f>SUM(B14:B17)</f>
        <v>0</v>
      </c>
      <c r="B18" s="77"/>
      <c r="C18" s="13"/>
      <c r="D18" s="13"/>
      <c r="E18" s="77"/>
      <c r="F18" s="77"/>
      <c r="G18" s="64" t="s">
        <v>127</v>
      </c>
      <c r="H18" s="64" t="s">
        <v>128</v>
      </c>
      <c r="I18" s="63"/>
    </row>
    <row r="19" spans="1:9" ht="14.4" thickTop="1">
      <c r="A19" s="71" t="s">
        <v>66</v>
      </c>
      <c r="B19" s="72"/>
      <c r="C19" s="72"/>
      <c r="D19" s="72"/>
      <c r="E19" s="72"/>
      <c r="F19" s="73"/>
      <c r="G19" s="60">
        <f>ROUNDDOWN(A58*0.975,0)+B8*50000</f>
        <v>0</v>
      </c>
      <c r="H19" s="61" t="e">
        <f>ROUNDDOWN((ROUNDDOWN(A58*0.975,0)+B8*50000)*0.975,0)+50000*G8</f>
        <v>#DIV/0!</v>
      </c>
      <c r="I19" s="12" t="s">
        <v>130</v>
      </c>
    </row>
    <row r="20" spans="1:9">
      <c r="A20" s="10" t="s">
        <v>102</v>
      </c>
      <c r="B20" s="10" t="s">
        <v>103</v>
      </c>
      <c r="C20" s="10" t="s">
        <v>104</v>
      </c>
      <c r="D20" s="10" t="s">
        <v>105</v>
      </c>
      <c r="E20" s="10" t="s">
        <v>106</v>
      </c>
      <c r="F20" s="10" t="s">
        <v>107</v>
      </c>
      <c r="G20" s="57">
        <f>G19*3</f>
        <v>0</v>
      </c>
      <c r="H20" s="40" t="e">
        <f>H19*3</f>
        <v>#DIV/0!</v>
      </c>
      <c r="I20" s="12" t="s">
        <v>132</v>
      </c>
    </row>
    <row r="21" spans="1:9">
      <c r="A21" s="8" t="s">
        <v>108</v>
      </c>
      <c r="B21" s="9"/>
      <c r="C21" s="9"/>
      <c r="D21" s="8"/>
      <c r="E21" s="51">
        <v>0</v>
      </c>
      <c r="F21" s="8"/>
      <c r="G21" s="58">
        <f>ROUNDUP(G20*1.35,0)</f>
        <v>0</v>
      </c>
      <c r="H21" s="40" t="e">
        <f>ROUNDUP(H20*1.35,0)</f>
        <v>#DIV/0!</v>
      </c>
      <c r="I21" s="12" t="s">
        <v>134</v>
      </c>
    </row>
    <row r="22" spans="1:9">
      <c r="A22" s="8" t="s">
        <v>109</v>
      </c>
      <c r="B22" s="9"/>
      <c r="C22" s="9"/>
      <c r="D22" s="8"/>
      <c r="E22" s="51">
        <v>0</v>
      </c>
      <c r="F22" s="8"/>
      <c r="G22" s="45" t="s">
        <v>125</v>
      </c>
      <c r="H22" s="59" t="e">
        <f>G21+H21</f>
        <v>#DIV/0!</v>
      </c>
      <c r="I22" s="12"/>
    </row>
    <row r="23" spans="1:9">
      <c r="A23" s="8" t="s">
        <v>110</v>
      </c>
      <c r="B23" s="9"/>
      <c r="C23" s="9"/>
      <c r="D23" s="8"/>
      <c r="E23" s="51">
        <v>0</v>
      </c>
      <c r="F23" s="8"/>
    </row>
    <row r="24" spans="1:9">
      <c r="A24" s="8" t="s">
        <v>111</v>
      </c>
      <c r="B24" s="9"/>
      <c r="C24" s="9"/>
      <c r="D24" s="8"/>
      <c r="E24" s="51">
        <v>0</v>
      </c>
      <c r="F24" s="8"/>
    </row>
    <row r="25" spans="1:9">
      <c r="A25" s="6" t="s">
        <v>112</v>
      </c>
      <c r="B25" s="6" t="s">
        <v>113</v>
      </c>
      <c r="C25" s="6" t="s">
        <v>114</v>
      </c>
      <c r="D25" s="6" t="s">
        <v>106</v>
      </c>
      <c r="E25" s="6" t="s">
        <v>115</v>
      </c>
      <c r="F25" s="6" t="s">
        <v>116</v>
      </c>
    </row>
    <row r="26" spans="1:9">
      <c r="A26" s="9"/>
      <c r="B26" s="9"/>
      <c r="C26" s="9"/>
      <c r="D26" s="51">
        <v>0</v>
      </c>
      <c r="E26" s="9"/>
      <c r="F26" s="8"/>
    </row>
    <row r="27" spans="1:9">
      <c r="A27" s="6" t="s">
        <v>117</v>
      </c>
      <c r="B27" s="6" t="s">
        <v>118</v>
      </c>
      <c r="C27" s="6" t="s">
        <v>119</v>
      </c>
      <c r="D27" s="6" t="s">
        <v>120</v>
      </c>
      <c r="E27" s="6" t="s">
        <v>32</v>
      </c>
      <c r="F27" s="6" t="s">
        <v>107</v>
      </c>
    </row>
    <row r="28" spans="1:9">
      <c r="A28" s="9"/>
      <c r="B28" s="9"/>
      <c r="C28" s="8"/>
      <c r="D28" s="8"/>
      <c r="E28" s="8"/>
      <c r="F28" s="8"/>
    </row>
    <row r="29" spans="1:9" ht="15.6">
      <c r="A29" s="36"/>
      <c r="B29" s="36"/>
      <c r="C29" s="36"/>
      <c r="D29" s="36"/>
      <c r="E29" s="36"/>
      <c r="F29" s="36"/>
    </row>
    <row r="32" spans="1:9">
      <c r="A32" s="68" t="s">
        <v>8</v>
      </c>
      <c r="B32" s="69"/>
      <c r="D32" s="68" t="s">
        <v>68</v>
      </c>
      <c r="E32" s="69"/>
      <c r="F32" s="3" t="s">
        <v>78</v>
      </c>
    </row>
    <row r="33" spans="1:6">
      <c r="A33" s="38" t="s">
        <v>50</v>
      </c>
      <c r="B33" s="22">
        <f>E7*(C14-E21)+E8*(C15-E22)+E9*(C16-E23)+E10*(C17-E24)</f>
        <v>0</v>
      </c>
      <c r="D33" s="3" t="s">
        <v>50</v>
      </c>
      <c r="E33" s="23">
        <f>B33</f>
        <v>0</v>
      </c>
      <c r="F33" s="22" t="e">
        <f>E41</f>
        <v>#DIV/0!</v>
      </c>
    </row>
    <row r="34" spans="1:6">
      <c r="A34" s="38" t="s">
        <v>51</v>
      </c>
      <c r="B34" s="22">
        <f>B11</f>
        <v>0</v>
      </c>
      <c r="D34" s="3" t="s">
        <v>40</v>
      </c>
      <c r="E34" s="22">
        <f>B4</f>
        <v>0</v>
      </c>
      <c r="F34" s="3" t="s">
        <v>90</v>
      </c>
    </row>
    <row r="35" spans="1:6">
      <c r="A35" s="38" t="s">
        <v>52</v>
      </c>
      <c r="B35" s="22">
        <f>IF(B10&lt;=0,0,IF(B10&lt;=A59,10000,IF(B10&lt;=A61,15000,IF(B10&lt;=A62,20000,"超过最大产能"))))</f>
        <v>0</v>
      </c>
      <c r="D35" s="3" t="s">
        <v>69</v>
      </c>
      <c r="E35" s="22">
        <f>SUM(E33:E34)</f>
        <v>0</v>
      </c>
      <c r="F35" s="22">
        <f>E33/2-公司筹建!H8</f>
        <v>-6500000</v>
      </c>
    </row>
    <row r="36" spans="1:6">
      <c r="A36" s="38" t="s">
        <v>53</v>
      </c>
      <c r="B36" s="22">
        <f>IF(B10&lt;=0,0,IF(B10&lt;=A58,B10*B58,IF(B10&lt;=A59,A58*B58+(B10-A58)*B59,IF(B10&lt;=A60,A58*B58+(B10-A58)*B60,IF(B10&lt;=A61,A60*B59+(B10-A60)*B61,IF(B10&lt;=A62,A60*B59+(B10-A60)*B62,IF(B10&gt;A31,"超过最大产能")))))))</f>
        <v>0</v>
      </c>
      <c r="D36" s="3" t="s">
        <v>70</v>
      </c>
      <c r="E36" s="22" t="e">
        <f>SUM(B34:B54)-B37-B42-B43</f>
        <v>#DIV/0!</v>
      </c>
    </row>
    <row r="37" spans="1:6">
      <c r="A37" s="38" t="s">
        <v>54</v>
      </c>
      <c r="B37" s="22" t="e">
        <f>B10*1.35*C12</f>
        <v>#DIV/0!</v>
      </c>
      <c r="D37" s="3" t="s">
        <v>71</v>
      </c>
      <c r="E37" s="22">
        <f>SUM(B6:B7)*C9</f>
        <v>0</v>
      </c>
    </row>
    <row r="38" spans="1:6">
      <c r="A38" s="38" t="s">
        <v>10</v>
      </c>
      <c r="B38" s="22">
        <f>IF((B6+B7)&lt;1,0,IF((B6+B7)&lt;=500000,40000,IF((B6+B7)&lt;=1000000,80000,IF((B6+B7)&lt;=1500000,120000,IF((B6+B7)&lt;=2000000,160000,IF((B6+B7)&gt;2000000,200000))))))</f>
        <v>0</v>
      </c>
      <c r="D38" s="3" t="s">
        <v>76</v>
      </c>
      <c r="E38" s="22">
        <f>B8*500000</f>
        <v>0</v>
      </c>
    </row>
    <row r="39" spans="1:6">
      <c r="A39" s="38" t="s">
        <v>55</v>
      </c>
      <c r="B39" s="22">
        <f>B7*1</f>
        <v>0</v>
      </c>
      <c r="D39" s="3" t="s">
        <v>41</v>
      </c>
      <c r="E39" s="22">
        <f>D4</f>
        <v>0</v>
      </c>
    </row>
    <row r="40" spans="1:6">
      <c r="A40" s="38" t="s">
        <v>56</v>
      </c>
      <c r="B40" s="22">
        <f>12000*公司筹建!B7</f>
        <v>0</v>
      </c>
      <c r="D40" s="3" t="s">
        <v>77</v>
      </c>
      <c r="E40" s="22" t="e">
        <f>SUM(E36:E39)</f>
        <v>#DIV/0!</v>
      </c>
    </row>
    <row r="41" spans="1:6">
      <c r="A41" s="38" t="s">
        <v>57</v>
      </c>
      <c r="B41" s="22">
        <f>B8*100000</f>
        <v>0</v>
      </c>
      <c r="D41" s="3" t="s">
        <v>78</v>
      </c>
      <c r="E41" s="22" t="e">
        <f>E35-E40</f>
        <v>#DIV/0!</v>
      </c>
    </row>
    <row r="42" spans="1:6">
      <c r="A42" s="38" t="s">
        <v>58</v>
      </c>
      <c r="B42" s="22">
        <f>公司筹建!B7*0.025*500000</f>
        <v>0</v>
      </c>
      <c r="D42" s="3" t="s">
        <v>79</v>
      </c>
      <c r="E42" s="22" t="e">
        <f>IF(公司筹建!H8+Sheet1!E41&gt;Sheet1!E33/2,公司筹建!H8+Sheet1!E41,Sheet1!E33/2)</f>
        <v>#DIV/0!</v>
      </c>
    </row>
    <row r="43" spans="1:6">
      <c r="A43" s="38" t="s">
        <v>59</v>
      </c>
      <c r="B43" s="22">
        <f>-4*D26</f>
        <v>0</v>
      </c>
      <c r="D43" s="3" t="s">
        <v>80</v>
      </c>
      <c r="E43" s="22" t="e">
        <f>F33-F35</f>
        <v>#DIV/0!</v>
      </c>
    </row>
    <row r="44" spans="1:6">
      <c r="A44" s="38" t="s">
        <v>60</v>
      </c>
      <c r="B44" s="22">
        <f>SUM(F7:F10)</f>
        <v>0</v>
      </c>
    </row>
    <row r="45" spans="1:6">
      <c r="A45" s="38" t="s">
        <v>61</v>
      </c>
      <c r="B45" s="22">
        <f>B14*0.4+B15*0.1+B16*0.4+B17*0.5</f>
        <v>0</v>
      </c>
      <c r="D45" s="68" t="s">
        <v>81</v>
      </c>
      <c r="E45" s="69"/>
    </row>
    <row r="46" spans="1:6">
      <c r="A46" s="38" t="s">
        <v>62</v>
      </c>
      <c r="B46" s="22">
        <f>1500*SUM(E13:E17)</f>
        <v>0</v>
      </c>
      <c r="D46" s="3" t="s">
        <v>82</v>
      </c>
      <c r="E46" s="23" t="e">
        <f>E42</f>
        <v>#DIV/0!</v>
      </c>
    </row>
    <row r="47" spans="1:6">
      <c r="A47" s="38" t="s">
        <v>12</v>
      </c>
      <c r="B47" s="22">
        <f>D59*D61+E59*E61+D60*D62+E60*E62</f>
        <v>0</v>
      </c>
      <c r="D47" s="3" t="s">
        <v>83</v>
      </c>
      <c r="E47" s="22" t="e">
        <f>C12*E71</f>
        <v>#DIV/0!</v>
      </c>
    </row>
    <row r="48" spans="1:6">
      <c r="A48" s="38" t="s">
        <v>63</v>
      </c>
      <c r="B48" s="22">
        <f>F13*5000+SUM(F14:F17)*6000</f>
        <v>0</v>
      </c>
      <c r="D48" s="3" t="s">
        <v>84</v>
      </c>
      <c r="E48" s="22">
        <f>4*D26</f>
        <v>0</v>
      </c>
    </row>
    <row r="49" spans="1:6">
      <c r="A49" s="38" t="s">
        <v>43</v>
      </c>
      <c r="B49" s="22">
        <f>0.1*公司筹建!B8*公司筹建!C8</f>
        <v>0</v>
      </c>
      <c r="D49" s="3" t="s">
        <v>85</v>
      </c>
      <c r="E49" s="22">
        <f>公司筹建!H13-Sheet1!B42+Sheet1!E38</f>
        <v>0</v>
      </c>
    </row>
    <row r="50" spans="1:6">
      <c r="A50" s="38" t="s">
        <v>44</v>
      </c>
      <c r="B50" s="22">
        <f>0.5*D26</f>
        <v>0</v>
      </c>
      <c r="D50" s="3" t="s">
        <v>86</v>
      </c>
      <c r="E50" s="22" t="e">
        <f>SUM(E46:E49)</f>
        <v>#DIV/0!</v>
      </c>
    </row>
    <row r="51" spans="1:6">
      <c r="A51" s="38" t="s">
        <v>45</v>
      </c>
      <c r="B51" s="22">
        <f>公司筹建!B4/4*Sheet1!B4</f>
        <v>0</v>
      </c>
      <c r="D51" s="3" t="s">
        <v>87</v>
      </c>
      <c r="E51" s="22">
        <f>B4</f>
        <v>0</v>
      </c>
    </row>
    <row r="52" spans="1:6">
      <c r="A52" s="38" t="s">
        <v>46</v>
      </c>
      <c r="B52" s="22">
        <f>B33/(1+公司筹建!B1)*公司筹建!B1</f>
        <v>0</v>
      </c>
      <c r="D52" s="3" t="s">
        <v>88</v>
      </c>
      <c r="E52" s="22" t="e">
        <f>IF(E43&gt;=0,0,-E43)</f>
        <v>#DIV/0!</v>
      </c>
    </row>
    <row r="53" spans="1:6">
      <c r="A53" s="38" t="s">
        <v>48</v>
      </c>
      <c r="B53" s="22">
        <f>B52*公司筹建!B2</f>
        <v>0</v>
      </c>
      <c r="D53" s="3" t="s">
        <v>89</v>
      </c>
      <c r="E53" s="22" t="e">
        <f>E51+E52</f>
        <v>#DIV/0!</v>
      </c>
    </row>
    <row r="54" spans="1:6">
      <c r="A54" s="38" t="s">
        <v>47</v>
      </c>
      <c r="B54" s="22" t="e">
        <f>IF(E56&lt;=0,0,E56)</f>
        <v>#DIV/0!</v>
      </c>
      <c r="D54" s="3" t="s">
        <v>91</v>
      </c>
      <c r="E54" s="31" t="e">
        <f>E50-E53</f>
        <v>#DIV/0!</v>
      </c>
    </row>
    <row r="55" spans="1:6">
      <c r="A55" s="38" t="s">
        <v>49</v>
      </c>
      <c r="B55" s="22" t="e">
        <f>SUM(B34:B54)</f>
        <v>#DIV/0!</v>
      </c>
    </row>
    <row r="56" spans="1:6">
      <c r="A56" s="38" t="s">
        <v>14</v>
      </c>
      <c r="B56" s="22" t="e">
        <f>B33-B55</f>
        <v>#DIV/0!</v>
      </c>
      <c r="D56" s="3" t="s">
        <v>47</v>
      </c>
      <c r="E56" s="21" t="e">
        <f>(B33/(1+公司筹建!B1)-SUM(B34:B53)+B52)*公司筹建!B3</f>
        <v>#DIV/0!</v>
      </c>
    </row>
    <row r="58" spans="1:6">
      <c r="A58" s="22">
        <f>公司筹建!B7*50000</f>
        <v>0</v>
      </c>
      <c r="B58" s="22">
        <v>1.2</v>
      </c>
      <c r="C58" s="22" t="s">
        <v>92</v>
      </c>
      <c r="D58" s="22" t="s">
        <v>93</v>
      </c>
      <c r="E58" s="22" t="s">
        <v>94</v>
      </c>
    </row>
    <row r="59" spans="1:6">
      <c r="A59" s="22">
        <f>A58*1.5</f>
        <v>0</v>
      </c>
      <c r="B59" s="22">
        <v>1.3</v>
      </c>
      <c r="C59" s="22" t="s">
        <v>95</v>
      </c>
      <c r="D59" s="31">
        <f>E13</f>
        <v>0</v>
      </c>
      <c r="E59" s="31">
        <f>SUM(E14:E17)</f>
        <v>0</v>
      </c>
    </row>
    <row r="60" spans="1:6">
      <c r="A60" s="22">
        <f>A58*2</f>
        <v>0</v>
      </c>
      <c r="B60" s="22">
        <v>1.4</v>
      </c>
      <c r="C60" s="22" t="s">
        <v>96</v>
      </c>
      <c r="D60" s="31">
        <f>公司筹建!B10-F13</f>
        <v>0</v>
      </c>
      <c r="E60" s="31">
        <f>SUM(公司筹建!B11:B14)-SUM(F14:F17)</f>
        <v>0</v>
      </c>
    </row>
    <row r="61" spans="1:6">
      <c r="A61" s="22">
        <f>A58*2.5</f>
        <v>0</v>
      </c>
      <c r="B61" s="22">
        <v>1.5</v>
      </c>
      <c r="D61" s="31">
        <v>3750</v>
      </c>
      <c r="E61" s="31">
        <v>4500</v>
      </c>
    </row>
    <row r="62" spans="1:6">
      <c r="A62" s="22">
        <f>A58*3</f>
        <v>0</v>
      </c>
      <c r="B62" s="22">
        <v>1.6</v>
      </c>
      <c r="D62" s="31">
        <f>D61*2</f>
        <v>7500</v>
      </c>
      <c r="E62" s="31">
        <f>E61*2</f>
        <v>9000</v>
      </c>
    </row>
    <row r="63" spans="1:6" ht="14.4" thickBot="1"/>
    <row r="64" spans="1:6" ht="14.4" thickTop="1">
      <c r="A64" s="71" t="s">
        <v>66</v>
      </c>
      <c r="B64" s="72"/>
      <c r="C64" s="72"/>
      <c r="D64" s="72"/>
      <c r="E64" s="72"/>
      <c r="F64" s="73"/>
    </row>
    <row r="65" spans="1:6">
      <c r="A65" s="10" t="s">
        <v>102</v>
      </c>
      <c r="B65" s="10" t="s">
        <v>103</v>
      </c>
      <c r="C65" s="10" t="s">
        <v>104</v>
      </c>
      <c r="D65" s="10" t="s">
        <v>105</v>
      </c>
      <c r="E65" s="10" t="s">
        <v>106</v>
      </c>
      <c r="F65" s="10" t="s">
        <v>107</v>
      </c>
    </row>
    <row r="66" spans="1:6">
      <c r="A66" s="8" t="s">
        <v>108</v>
      </c>
      <c r="B66" s="9"/>
      <c r="C66" s="9"/>
      <c r="D66" s="8"/>
      <c r="E66" s="51">
        <v>0</v>
      </c>
      <c r="F66" s="8"/>
    </row>
    <row r="67" spans="1:6">
      <c r="A67" s="8" t="s">
        <v>109</v>
      </c>
      <c r="B67" s="9"/>
      <c r="C67" s="9"/>
      <c r="D67" s="8"/>
      <c r="E67" s="51">
        <v>0</v>
      </c>
      <c r="F67" s="8"/>
    </row>
    <row r="68" spans="1:6">
      <c r="A68" s="8" t="s">
        <v>110</v>
      </c>
      <c r="B68" s="9"/>
      <c r="C68" s="9"/>
      <c r="D68" s="8"/>
      <c r="E68" s="51">
        <v>0</v>
      </c>
      <c r="F68" s="8"/>
    </row>
    <row r="69" spans="1:6">
      <c r="A69" s="8" t="s">
        <v>111</v>
      </c>
      <c r="B69" s="9"/>
      <c r="C69" s="9"/>
      <c r="D69" s="8"/>
      <c r="E69" s="51">
        <v>0</v>
      </c>
      <c r="F69" s="8"/>
    </row>
    <row r="70" spans="1:6">
      <c r="A70" s="6" t="s">
        <v>141</v>
      </c>
      <c r="B70" s="6" t="s">
        <v>113</v>
      </c>
      <c r="C70" s="6" t="s">
        <v>114</v>
      </c>
      <c r="D70" s="6" t="s">
        <v>106</v>
      </c>
      <c r="E70" s="6" t="s">
        <v>115</v>
      </c>
      <c r="F70" s="6" t="s">
        <v>116</v>
      </c>
    </row>
    <row r="71" spans="1:6">
      <c r="A71" s="9"/>
      <c r="B71" s="9"/>
      <c r="C71" s="9"/>
      <c r="D71" s="51"/>
      <c r="E71" s="9">
        <f>B6+公司筹建!B8</f>
        <v>0</v>
      </c>
      <c r="F71" s="8"/>
    </row>
    <row r="72" spans="1:6">
      <c r="A72" s="6" t="s">
        <v>117</v>
      </c>
      <c r="B72" s="6" t="s">
        <v>118</v>
      </c>
      <c r="C72" s="6" t="s">
        <v>119</v>
      </c>
      <c r="D72" s="6" t="s">
        <v>120</v>
      </c>
      <c r="E72" s="6" t="s">
        <v>121</v>
      </c>
      <c r="F72" s="6" t="s">
        <v>107</v>
      </c>
    </row>
    <row r="73" spans="1:6">
      <c r="A73" s="9"/>
      <c r="B73" s="9">
        <f>ROUNDDOWN(A58*0.975,0)+B8*50000</f>
        <v>0</v>
      </c>
      <c r="C73" s="8"/>
      <c r="D73" s="8"/>
      <c r="E73" s="8"/>
      <c r="F73" s="8"/>
    </row>
    <row r="74" spans="1:6" ht="15.6">
      <c r="A74" s="36"/>
      <c r="B74" s="36"/>
      <c r="C74" s="36"/>
      <c r="D74" s="36"/>
      <c r="E74" s="36"/>
      <c r="F74" s="36"/>
    </row>
  </sheetData>
  <mergeCells count="14">
    <mergeCell ref="A64:F64"/>
    <mergeCell ref="A1:F2"/>
    <mergeCell ref="A19:F19"/>
    <mergeCell ref="D32:E32"/>
    <mergeCell ref="D45:E45"/>
    <mergeCell ref="A18:B18"/>
    <mergeCell ref="E18:F18"/>
    <mergeCell ref="A32:B32"/>
    <mergeCell ref="A3:F3"/>
    <mergeCell ref="A5:B5"/>
    <mergeCell ref="D5:F5"/>
    <mergeCell ref="A12:B12"/>
    <mergeCell ref="A9:B9"/>
    <mergeCell ref="D11:F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4" zoomScale="115" zoomScaleNormal="115" workbookViewId="0">
      <selection activeCell="C28" sqref="C28"/>
    </sheetView>
  </sheetViews>
  <sheetFormatPr defaultRowHeight="13.8"/>
  <cols>
    <col min="1" max="14" width="15.77734375" customWidth="1"/>
  </cols>
  <sheetData>
    <row r="1" spans="1:7" ht="14.4" customHeight="1">
      <c r="A1" s="74" t="s">
        <v>98</v>
      </c>
      <c r="B1" s="74"/>
      <c r="C1" s="74"/>
      <c r="D1" s="74"/>
      <c r="E1" s="74"/>
      <c r="F1" s="74"/>
      <c r="G1" s="37" t="s">
        <v>14</v>
      </c>
    </row>
    <row r="2" spans="1:7" ht="13.8" customHeight="1">
      <c r="A2" s="75"/>
      <c r="B2" s="75"/>
      <c r="C2" s="75"/>
      <c r="D2" s="75"/>
      <c r="E2" s="75"/>
      <c r="F2" s="75"/>
      <c r="G2" s="40" t="e">
        <f>B56</f>
        <v>#DIV/0!</v>
      </c>
    </row>
    <row r="3" spans="1:7" ht="14.4" customHeight="1">
      <c r="A3" s="78" t="s">
        <v>39</v>
      </c>
      <c r="B3" s="78"/>
      <c r="C3" s="78"/>
      <c r="D3" s="78"/>
      <c r="E3" s="78"/>
      <c r="F3" s="78"/>
      <c r="G3" s="15" t="s">
        <v>91</v>
      </c>
    </row>
    <row r="4" spans="1:7" ht="14.4" thickBot="1">
      <c r="A4" s="30" t="s">
        <v>40</v>
      </c>
      <c r="B4" s="29"/>
      <c r="C4" s="30" t="s">
        <v>41</v>
      </c>
      <c r="D4" s="29"/>
      <c r="E4" s="30" t="s">
        <v>42</v>
      </c>
      <c r="F4" s="29"/>
      <c r="G4" s="40" t="e">
        <f>E54</f>
        <v>#DIV/0!</v>
      </c>
    </row>
    <row r="5" spans="1:7" ht="16.8" thickTop="1" thickBot="1">
      <c r="A5" s="79" t="s">
        <v>17</v>
      </c>
      <c r="B5" s="80"/>
      <c r="C5" s="26"/>
      <c r="D5" s="81" t="s">
        <v>28</v>
      </c>
      <c r="E5" s="77"/>
      <c r="F5" s="77"/>
      <c r="G5" s="15" t="s">
        <v>97</v>
      </c>
    </row>
    <row r="6" spans="1:7" ht="15" thickTop="1" thickBot="1">
      <c r="A6" s="12" t="s">
        <v>18</v>
      </c>
      <c r="B6" s="24"/>
      <c r="C6" s="67" t="s">
        <v>142</v>
      </c>
      <c r="D6" s="27" t="s">
        <v>27</v>
      </c>
      <c r="E6" s="6" t="s">
        <v>29</v>
      </c>
      <c r="F6" s="6" t="s">
        <v>30</v>
      </c>
      <c r="G6" s="40" t="e">
        <f>ROUNDDOWN(Sheet1!G4/1500000,0)</f>
        <v>#DIV/0!</v>
      </c>
    </row>
    <row r="7" spans="1:7" ht="15" thickTop="1" thickBot="1">
      <c r="A7" s="12" t="s">
        <v>19</v>
      </c>
      <c r="B7" s="24"/>
      <c r="C7" s="67" t="e">
        <f>E43</f>
        <v>#DIV/0!</v>
      </c>
      <c r="D7" s="15" t="s">
        <v>25</v>
      </c>
      <c r="E7" s="34"/>
      <c r="F7" s="29"/>
      <c r="G7" s="65" t="s">
        <v>126</v>
      </c>
    </row>
    <row r="8" spans="1:7" ht="15" thickTop="1" thickBot="1">
      <c r="A8" s="12" t="s">
        <v>20</v>
      </c>
      <c r="B8" s="24"/>
      <c r="C8" s="62" t="s">
        <v>72</v>
      </c>
      <c r="D8" s="56" t="s">
        <v>24</v>
      </c>
      <c r="E8" s="34"/>
      <c r="F8" s="29"/>
      <c r="G8" s="66" t="e">
        <f>Sheet3!G6</f>
        <v>#DIV/0!</v>
      </c>
    </row>
    <row r="9" spans="1:7" ht="16.8" thickTop="1" thickBot="1">
      <c r="A9" s="77" t="s">
        <v>21</v>
      </c>
      <c r="B9" s="85"/>
      <c r="C9" s="14"/>
      <c r="D9" s="56" t="s">
        <v>26</v>
      </c>
      <c r="E9" s="34"/>
      <c r="F9" s="29"/>
    </row>
    <row r="10" spans="1:7" ht="15" thickTop="1" thickBot="1">
      <c r="A10" s="12" t="s">
        <v>64</v>
      </c>
      <c r="B10" s="24">
        <f>3*A58</f>
        <v>0</v>
      </c>
      <c r="C10" s="28"/>
      <c r="D10" s="15" t="s">
        <v>23</v>
      </c>
      <c r="E10" s="34"/>
      <c r="F10" s="29"/>
    </row>
    <row r="11" spans="1:7" ht="16.8" thickTop="1" thickBot="1">
      <c r="A11" s="12" t="s">
        <v>65</v>
      </c>
      <c r="B11" s="24"/>
      <c r="C11" s="25" t="s">
        <v>75</v>
      </c>
      <c r="D11" s="84" t="s">
        <v>31</v>
      </c>
      <c r="E11" s="77"/>
      <c r="F11" s="77"/>
    </row>
    <row r="12" spans="1:7" ht="16.2" thickTop="1">
      <c r="A12" s="82" t="s">
        <v>22</v>
      </c>
      <c r="B12" s="83"/>
      <c r="C12" s="54" t="e">
        <f>(E37+Sheet1!E47)/(B6+B7+Sheet1!E71)</f>
        <v>#DIV/0!</v>
      </c>
      <c r="D12" s="55" t="s">
        <v>27</v>
      </c>
      <c r="E12" s="11" t="s">
        <v>37</v>
      </c>
      <c r="F12" s="6" t="s">
        <v>38</v>
      </c>
    </row>
    <row r="13" spans="1:7">
      <c r="A13" s="16" t="s">
        <v>27</v>
      </c>
      <c r="B13" s="17" t="s">
        <v>67</v>
      </c>
      <c r="C13" s="17" t="s">
        <v>99</v>
      </c>
      <c r="D13" s="56" t="s">
        <v>32</v>
      </c>
      <c r="E13" s="32">
        <f>B8*3</f>
        <v>0</v>
      </c>
      <c r="F13" s="29"/>
    </row>
    <row r="14" spans="1:7">
      <c r="A14" s="12" t="s">
        <v>25</v>
      </c>
      <c r="B14" s="24"/>
      <c r="C14" s="47">
        <f>B14+Sheet1!E21</f>
        <v>0</v>
      </c>
      <c r="D14" s="56" t="s">
        <v>33</v>
      </c>
      <c r="E14" s="33"/>
      <c r="F14" s="29"/>
    </row>
    <row r="15" spans="1:7">
      <c r="A15" s="12" t="s">
        <v>24</v>
      </c>
      <c r="B15" s="24"/>
      <c r="C15" s="47">
        <f>B15+Sheet1!E22</f>
        <v>0</v>
      </c>
      <c r="D15" s="56" t="s">
        <v>34</v>
      </c>
      <c r="E15" s="33"/>
      <c r="F15" s="29"/>
    </row>
    <row r="16" spans="1:7">
      <c r="A16" s="12" t="s">
        <v>26</v>
      </c>
      <c r="B16" s="24"/>
      <c r="C16" s="47">
        <f>B16+Sheet1!E23</f>
        <v>0</v>
      </c>
      <c r="D16" s="56" t="s">
        <v>35</v>
      </c>
      <c r="E16" s="32"/>
      <c r="F16" s="29"/>
    </row>
    <row r="17" spans="1:6" ht="14.4" thickBot="1">
      <c r="A17" s="12" t="s">
        <v>23</v>
      </c>
      <c r="B17" s="24"/>
      <c r="C17" s="47">
        <f>B17+Sheet1!E24</f>
        <v>0</v>
      </c>
      <c r="D17" s="56" t="s">
        <v>36</v>
      </c>
      <c r="E17" s="32"/>
      <c r="F17" s="29"/>
    </row>
    <row r="18" spans="1:6" ht="16.8" thickTop="1" thickBot="1">
      <c r="A18" s="76">
        <f>SUM(B14:B17)</f>
        <v>0</v>
      </c>
      <c r="B18" s="76"/>
      <c r="C18" s="50">
        <f>SUM(C14:C17)</f>
        <v>0</v>
      </c>
      <c r="D18" s="35"/>
      <c r="E18" s="77"/>
      <c r="F18" s="77"/>
    </row>
    <row r="19" spans="1:6" ht="14.4" thickTop="1">
      <c r="A19" s="71" t="s">
        <v>66</v>
      </c>
      <c r="B19" s="72"/>
      <c r="C19" s="72"/>
      <c r="D19" s="72"/>
      <c r="E19" s="72"/>
      <c r="F19" s="73"/>
    </row>
    <row r="20" spans="1:6">
      <c r="A20" s="10" t="s">
        <v>102</v>
      </c>
      <c r="B20" s="10" t="s">
        <v>103</v>
      </c>
      <c r="C20" s="10" t="s">
        <v>104</v>
      </c>
      <c r="D20" s="10" t="s">
        <v>105</v>
      </c>
      <c r="E20" s="10" t="s">
        <v>106</v>
      </c>
      <c r="F20" s="10" t="s">
        <v>107</v>
      </c>
    </row>
    <row r="21" spans="1:6">
      <c r="A21" s="8" t="s">
        <v>108</v>
      </c>
      <c r="B21" s="9"/>
      <c r="C21" s="9"/>
      <c r="D21" s="8"/>
      <c r="E21" s="51">
        <v>0</v>
      </c>
      <c r="F21" s="8"/>
    </row>
    <row r="22" spans="1:6">
      <c r="A22" s="8" t="s">
        <v>109</v>
      </c>
      <c r="B22" s="9"/>
      <c r="C22" s="9"/>
      <c r="D22" s="8"/>
      <c r="E22" s="51">
        <v>0</v>
      </c>
      <c r="F22" s="8"/>
    </row>
    <row r="23" spans="1:6">
      <c r="A23" s="8" t="s">
        <v>110</v>
      </c>
      <c r="B23" s="9"/>
      <c r="C23" s="9"/>
      <c r="D23" s="8"/>
      <c r="E23" s="51">
        <v>0</v>
      </c>
      <c r="F23" s="8"/>
    </row>
    <row r="24" spans="1:6">
      <c r="A24" s="8" t="s">
        <v>111</v>
      </c>
      <c r="B24" s="9"/>
      <c r="C24" s="9"/>
      <c r="D24" s="8"/>
      <c r="E24" s="51">
        <v>0</v>
      </c>
      <c r="F24" s="8"/>
    </row>
    <row r="25" spans="1:6">
      <c r="A25" s="6" t="s">
        <v>112</v>
      </c>
      <c r="B25" s="6" t="s">
        <v>113</v>
      </c>
      <c r="C25" s="6" t="s">
        <v>114</v>
      </c>
      <c r="D25" s="6" t="s">
        <v>106</v>
      </c>
      <c r="E25" s="6" t="s">
        <v>115</v>
      </c>
      <c r="F25" s="6" t="s">
        <v>116</v>
      </c>
    </row>
    <row r="26" spans="1:6">
      <c r="A26" s="9"/>
      <c r="B26" s="9"/>
      <c r="C26" s="9"/>
      <c r="D26" s="51">
        <v>0</v>
      </c>
      <c r="E26" s="9"/>
      <c r="F26" s="8"/>
    </row>
    <row r="27" spans="1:6">
      <c r="A27" s="6" t="s">
        <v>117</v>
      </c>
      <c r="B27" s="6" t="s">
        <v>118</v>
      </c>
      <c r="C27" s="6" t="s">
        <v>119</v>
      </c>
      <c r="D27" s="6" t="s">
        <v>120</v>
      </c>
      <c r="E27" s="6" t="s">
        <v>121</v>
      </c>
      <c r="F27" s="6" t="s">
        <v>107</v>
      </c>
    </row>
    <row r="28" spans="1:6">
      <c r="A28" s="9"/>
      <c r="B28" s="8"/>
      <c r="C28" s="8"/>
      <c r="D28" s="8"/>
      <c r="E28" s="8"/>
      <c r="F28" s="8"/>
    </row>
    <row r="29" spans="1:6" ht="15.6">
      <c r="A29" s="36"/>
      <c r="B29" s="36"/>
      <c r="C29" s="36"/>
      <c r="D29" s="36"/>
      <c r="E29" s="36"/>
      <c r="F29" s="36"/>
    </row>
    <row r="32" spans="1:6">
      <c r="A32" s="68" t="s">
        <v>8</v>
      </c>
      <c r="B32" s="69"/>
      <c r="D32" s="68" t="s">
        <v>68</v>
      </c>
      <c r="E32" s="69"/>
      <c r="F32" s="3" t="s">
        <v>78</v>
      </c>
    </row>
    <row r="33" spans="1:6">
      <c r="A33" s="38" t="s">
        <v>50</v>
      </c>
      <c r="B33" s="22">
        <f>E7*(C14-E21)+E8*(C15-E22)+E9*(C16-E23)+E10*(C17-E24)</f>
        <v>0</v>
      </c>
      <c r="D33" s="3" t="s">
        <v>50</v>
      </c>
      <c r="E33" s="23">
        <f>B33</f>
        <v>0</v>
      </c>
      <c r="F33" s="22" t="e">
        <f>E41</f>
        <v>#DIV/0!</v>
      </c>
    </row>
    <row r="34" spans="1:6">
      <c r="A34" s="38" t="s">
        <v>51</v>
      </c>
      <c r="B34" s="22">
        <f>B11</f>
        <v>0</v>
      </c>
      <c r="D34" s="3" t="s">
        <v>40</v>
      </c>
      <c r="E34" s="22">
        <f>B4</f>
        <v>0</v>
      </c>
      <c r="F34" s="3" t="s">
        <v>90</v>
      </c>
    </row>
    <row r="35" spans="1:6">
      <c r="A35" s="38" t="s">
        <v>52</v>
      </c>
      <c r="B35" s="22">
        <f>IF(B10&lt;=0,0,IF(B10&lt;=A59,10000,IF(B10&lt;=A61,15000,IF(B10&lt;=A62,20000,"超过最大产能"))))</f>
        <v>0</v>
      </c>
      <c r="D35" s="3" t="s">
        <v>69</v>
      </c>
      <c r="E35" s="22">
        <f>SUM(E33:E34)</f>
        <v>0</v>
      </c>
      <c r="F35" s="22" t="e">
        <f>E33/2-Sheet1!E42</f>
        <v>#DIV/0!</v>
      </c>
    </row>
    <row r="36" spans="1:6">
      <c r="A36" s="38" t="s">
        <v>53</v>
      </c>
      <c r="B36" s="22">
        <f>IF(B10&lt;=0,0,IF(B10&lt;=A58,B10*B58,IF(B10&lt;=A59,A58*B58+(B10-A58)*B59,IF(B10&lt;=A60,A58*B58+(B10-A58)*B60,IF(B10&lt;=A61,A60*B59+(B10-A60)*B61,IF(B10&lt;=A62,A60*B59+(B10-A60)*B62,IF(B10&gt;A62,"超过最大产能")))))))</f>
        <v>0</v>
      </c>
      <c r="D36" s="3" t="s">
        <v>70</v>
      </c>
      <c r="E36" s="22" t="e">
        <f>SUM(B34:B54)-B37-B42-B43</f>
        <v>#DIV/0!</v>
      </c>
    </row>
    <row r="37" spans="1:6">
      <c r="A37" s="38" t="s">
        <v>54</v>
      </c>
      <c r="B37" s="22" t="e">
        <f>B10*1.35*C12</f>
        <v>#DIV/0!</v>
      </c>
      <c r="D37" s="3" t="s">
        <v>71</v>
      </c>
      <c r="E37" s="22">
        <f>SUM(B6:B7)*C9</f>
        <v>0</v>
      </c>
    </row>
    <row r="38" spans="1:6">
      <c r="A38" s="38" t="s">
        <v>10</v>
      </c>
      <c r="B38" s="22">
        <f>IF((B6+B7)&lt;1,0,IF((B6+B7)&lt;=500000,40000,IF((B6+B7)&lt;=1000000,80000,IF((B6+B7)&lt;=1500000,120000,IF((B6+B7)&lt;=2000000,160000,IF((B6+B7)&gt;2000000,200000))))))</f>
        <v>0</v>
      </c>
      <c r="D38" s="3" t="s">
        <v>76</v>
      </c>
      <c r="E38" s="22">
        <f>B8*500000</f>
        <v>0</v>
      </c>
    </row>
    <row r="39" spans="1:6">
      <c r="A39" s="38" t="s">
        <v>55</v>
      </c>
      <c r="B39" s="22">
        <f>B7*1</f>
        <v>0</v>
      </c>
      <c r="D39" s="3" t="s">
        <v>41</v>
      </c>
      <c r="E39" s="22">
        <f>D4</f>
        <v>0</v>
      </c>
    </row>
    <row r="40" spans="1:6">
      <c r="A40" s="38" t="s">
        <v>56</v>
      </c>
      <c r="B40" s="22">
        <f>12000*Sheet1!C28</f>
        <v>0</v>
      </c>
      <c r="D40" s="3" t="s">
        <v>77</v>
      </c>
      <c r="E40" s="22" t="e">
        <f>SUM(E36:E39)</f>
        <v>#DIV/0!</v>
      </c>
    </row>
    <row r="41" spans="1:6">
      <c r="A41" s="38" t="s">
        <v>57</v>
      </c>
      <c r="B41" s="22">
        <f>B8*100000</f>
        <v>0</v>
      </c>
      <c r="D41" s="3" t="s">
        <v>78</v>
      </c>
      <c r="E41" s="22" t="e">
        <f>E35-E40</f>
        <v>#DIV/0!</v>
      </c>
    </row>
    <row r="42" spans="1:6">
      <c r="A42" s="38" t="s">
        <v>58</v>
      </c>
      <c r="B42" s="22">
        <f>0.025*Sheet1!E49</f>
        <v>0</v>
      </c>
      <c r="D42" s="3" t="s">
        <v>79</v>
      </c>
      <c r="E42" s="22" t="e">
        <f>IF((Sheet1!E42+Sheet2!E41)&gt;Sheet2!E33/2,(Sheet1!E42+Sheet2!E41),Sheet2!E33/2)</f>
        <v>#DIV/0!</v>
      </c>
    </row>
    <row r="43" spans="1:6">
      <c r="A43" s="38" t="s">
        <v>59</v>
      </c>
      <c r="B43" s="22">
        <f>Sheet1!E48-Sheet2!E48</f>
        <v>0</v>
      </c>
      <c r="D43" s="3" t="s">
        <v>80</v>
      </c>
      <c r="E43" s="22" t="e">
        <f>F33-F35</f>
        <v>#DIV/0!</v>
      </c>
    </row>
    <row r="44" spans="1:6">
      <c r="A44" s="38" t="s">
        <v>60</v>
      </c>
      <c r="B44" s="22">
        <f>SUM(F7:F10)</f>
        <v>0</v>
      </c>
    </row>
    <row r="45" spans="1:6">
      <c r="A45" s="38" t="s">
        <v>61</v>
      </c>
      <c r="B45" s="22">
        <f>B14*0.4+B15*0.1+B16*0.4+B17*0.5</f>
        <v>0</v>
      </c>
      <c r="D45" s="68" t="s">
        <v>81</v>
      </c>
      <c r="E45" s="69"/>
    </row>
    <row r="46" spans="1:6">
      <c r="A46" s="38" t="s">
        <v>62</v>
      </c>
      <c r="B46" s="22">
        <f>1500*SUM(E13:E17)</f>
        <v>0</v>
      </c>
      <c r="D46" s="3" t="s">
        <v>82</v>
      </c>
      <c r="E46" s="23" t="e">
        <f>E42</f>
        <v>#DIV/0!</v>
      </c>
    </row>
    <row r="47" spans="1:6">
      <c r="A47" s="38" t="s">
        <v>12</v>
      </c>
      <c r="B47" s="22">
        <f>D59*D61+E59*E61+D60*D62+E60*E62</f>
        <v>0</v>
      </c>
      <c r="D47" s="3" t="s">
        <v>83</v>
      </c>
      <c r="E47" s="22" t="e">
        <f>C12*E71</f>
        <v>#DIV/0!</v>
      </c>
    </row>
    <row r="48" spans="1:6">
      <c r="A48" s="38" t="s">
        <v>63</v>
      </c>
      <c r="B48" s="22">
        <f>F13*5000+SUM(F14:F17)*6000</f>
        <v>0</v>
      </c>
      <c r="D48" s="3" t="s">
        <v>84</v>
      </c>
      <c r="E48" s="22">
        <f>4*D26</f>
        <v>0</v>
      </c>
    </row>
    <row r="49" spans="1:6">
      <c r="A49" s="38" t="s">
        <v>43</v>
      </c>
      <c r="B49" s="22" t="e">
        <f>Sheet1!E47*0.1</f>
        <v>#DIV/0!</v>
      </c>
      <c r="D49" s="3" t="s">
        <v>85</v>
      </c>
      <c r="E49" s="22">
        <f>Sheet1!E49-B42+Sheet2!E38</f>
        <v>0</v>
      </c>
    </row>
    <row r="50" spans="1:6">
      <c r="A50" s="38" t="s">
        <v>44</v>
      </c>
      <c r="B50" s="22">
        <f>D26*0.5</f>
        <v>0</v>
      </c>
      <c r="D50" s="3" t="s">
        <v>86</v>
      </c>
      <c r="E50" s="22" t="e">
        <f>SUM(E46:E49)</f>
        <v>#DIV/0!</v>
      </c>
    </row>
    <row r="51" spans="1:6">
      <c r="A51" s="38" t="s">
        <v>45</v>
      </c>
      <c r="B51" s="22" t="e">
        <f>公司筹建!B4/4*E51+公司筹建!B4/4*3*Sheet1!E52</f>
        <v>#DIV/0!</v>
      </c>
      <c r="D51" s="3" t="s">
        <v>87</v>
      </c>
      <c r="E51" s="22" t="e">
        <f>Sheet1!E53+B4-D4</f>
        <v>#DIV/0!</v>
      </c>
    </row>
    <row r="52" spans="1:6">
      <c r="A52" s="38" t="s">
        <v>46</v>
      </c>
      <c r="B52" s="22">
        <f>B33/(1+公司筹建!B1)*公司筹建!B1</f>
        <v>0</v>
      </c>
      <c r="D52" s="3" t="s">
        <v>88</v>
      </c>
      <c r="E52" s="22" t="e">
        <f>IF(E43&gt;=0,0,-E43)</f>
        <v>#DIV/0!</v>
      </c>
    </row>
    <row r="53" spans="1:6">
      <c r="A53" s="38" t="s">
        <v>48</v>
      </c>
      <c r="B53" s="22">
        <f>B52*公司筹建!B2</f>
        <v>0</v>
      </c>
      <c r="D53" s="3" t="s">
        <v>89</v>
      </c>
      <c r="E53" s="22" t="e">
        <f>E51+E52</f>
        <v>#DIV/0!</v>
      </c>
    </row>
    <row r="54" spans="1:6">
      <c r="A54" s="38" t="s">
        <v>47</v>
      </c>
      <c r="B54" s="22" t="e">
        <f>IF(E56&lt;=0,0,E56)</f>
        <v>#DIV/0!</v>
      </c>
      <c r="D54" s="3" t="s">
        <v>91</v>
      </c>
      <c r="E54" s="31" t="e">
        <f>E50-E53</f>
        <v>#DIV/0!</v>
      </c>
    </row>
    <row r="55" spans="1:6">
      <c r="A55" s="38" t="s">
        <v>49</v>
      </c>
      <c r="B55" s="22" t="e">
        <f>SUM(B34:B54)</f>
        <v>#DIV/0!</v>
      </c>
    </row>
    <row r="56" spans="1:6">
      <c r="A56" s="38" t="s">
        <v>14</v>
      </c>
      <c r="B56" s="22" t="e">
        <f>B33-B55</f>
        <v>#DIV/0!</v>
      </c>
      <c r="D56" s="3" t="s">
        <v>47</v>
      </c>
      <c r="E56" s="21" t="e">
        <f>(B33/(1+公司筹建!B1)-SUM(B34:B53)+B52)*公司筹建!B3</f>
        <v>#DIV/0!</v>
      </c>
    </row>
    <row r="58" spans="1:6">
      <c r="A58" s="22">
        <f>Sheet1!B73</f>
        <v>0</v>
      </c>
      <c r="B58" s="22">
        <v>1.2</v>
      </c>
      <c r="C58" s="22" t="s">
        <v>92</v>
      </c>
      <c r="D58" s="22" t="s">
        <v>93</v>
      </c>
      <c r="E58" s="22" t="s">
        <v>94</v>
      </c>
    </row>
    <row r="59" spans="1:6">
      <c r="A59" s="22">
        <f>A58*1.5</f>
        <v>0</v>
      </c>
      <c r="B59" s="22">
        <v>1.3</v>
      </c>
      <c r="C59" s="22" t="s">
        <v>95</v>
      </c>
      <c r="D59" s="31">
        <f>E13</f>
        <v>0</v>
      </c>
      <c r="E59" s="31">
        <f>SUM(E14:E17)</f>
        <v>0</v>
      </c>
    </row>
    <row r="60" spans="1:6">
      <c r="A60" s="22">
        <f>A58*2</f>
        <v>0</v>
      </c>
      <c r="B60" s="22">
        <v>1.4</v>
      </c>
      <c r="C60" s="22" t="s">
        <v>96</v>
      </c>
      <c r="D60" s="31">
        <f>Sheet1!E28-F13</f>
        <v>0</v>
      </c>
      <c r="E60" s="31">
        <f>Sheet1!F28-SUM(F14:F17)</f>
        <v>0</v>
      </c>
    </row>
    <row r="61" spans="1:6">
      <c r="A61" s="22">
        <f>A58*2.5</f>
        <v>0</v>
      </c>
      <c r="B61" s="22">
        <v>1.5</v>
      </c>
      <c r="D61" s="31">
        <v>3750</v>
      </c>
      <c r="E61" s="31">
        <v>4500</v>
      </c>
    </row>
    <row r="62" spans="1:6">
      <c r="A62" s="22">
        <f>A58*3</f>
        <v>0</v>
      </c>
      <c r="B62" s="22">
        <v>1.6</v>
      </c>
      <c r="D62" s="31">
        <f>D61*2</f>
        <v>7500</v>
      </c>
      <c r="E62" s="31">
        <f>E61*2</f>
        <v>9000</v>
      </c>
    </row>
    <row r="63" spans="1:6" ht="14.4" thickBot="1"/>
    <row r="64" spans="1:6" ht="14.4" thickTop="1">
      <c r="A64" s="71" t="s">
        <v>66</v>
      </c>
      <c r="B64" s="72"/>
      <c r="C64" s="72"/>
      <c r="D64" s="72"/>
      <c r="E64" s="72"/>
      <c r="F64" s="73"/>
    </row>
    <row r="65" spans="1:6">
      <c r="A65" s="10" t="s">
        <v>102</v>
      </c>
      <c r="B65" s="10" t="s">
        <v>103</v>
      </c>
      <c r="C65" s="10" t="s">
        <v>104</v>
      </c>
      <c r="D65" s="10" t="s">
        <v>105</v>
      </c>
      <c r="E65" s="10" t="s">
        <v>106</v>
      </c>
      <c r="F65" s="10" t="s">
        <v>107</v>
      </c>
    </row>
    <row r="66" spans="1:6">
      <c r="A66" s="8" t="s">
        <v>108</v>
      </c>
      <c r="B66" s="9"/>
      <c r="C66" s="9"/>
      <c r="D66" s="8"/>
      <c r="E66" s="51">
        <v>0</v>
      </c>
      <c r="F66" s="8"/>
    </row>
    <row r="67" spans="1:6">
      <c r="A67" s="8" t="s">
        <v>109</v>
      </c>
      <c r="B67" s="9"/>
      <c r="C67" s="9"/>
      <c r="D67" s="8"/>
      <c r="E67" s="51">
        <v>0</v>
      </c>
      <c r="F67" s="8"/>
    </row>
    <row r="68" spans="1:6">
      <c r="A68" s="8" t="s">
        <v>110</v>
      </c>
      <c r="B68" s="9"/>
      <c r="C68" s="9"/>
      <c r="D68" s="8"/>
      <c r="E68" s="51">
        <v>0</v>
      </c>
      <c r="F68" s="8"/>
    </row>
    <row r="69" spans="1:6">
      <c r="A69" s="8" t="s">
        <v>111</v>
      </c>
      <c r="B69" s="9"/>
      <c r="C69" s="9"/>
      <c r="D69" s="8"/>
      <c r="E69" s="51">
        <v>0</v>
      </c>
      <c r="F69" s="8"/>
    </row>
    <row r="70" spans="1:6">
      <c r="A70" s="6" t="s">
        <v>112</v>
      </c>
      <c r="B70" s="6" t="s">
        <v>113</v>
      </c>
      <c r="C70" s="6" t="s">
        <v>114</v>
      </c>
      <c r="D70" s="6" t="s">
        <v>106</v>
      </c>
      <c r="E70" s="6" t="s">
        <v>115</v>
      </c>
      <c r="F70" s="6" t="s">
        <v>116</v>
      </c>
    </row>
    <row r="71" spans="1:6">
      <c r="A71" s="9"/>
      <c r="B71" s="9"/>
      <c r="C71" s="9"/>
      <c r="D71" s="51"/>
      <c r="E71" s="9">
        <f>ROUNDDOWN(Sheet1!E71-Sheet2!B10*1.35+B6,0)</f>
        <v>0</v>
      </c>
      <c r="F71" s="8"/>
    </row>
    <row r="72" spans="1:6">
      <c r="A72" s="6" t="s">
        <v>117</v>
      </c>
      <c r="B72" s="6" t="s">
        <v>118</v>
      </c>
      <c r="C72" s="6" t="s">
        <v>119</v>
      </c>
      <c r="D72" s="6" t="s">
        <v>120</v>
      </c>
      <c r="E72" s="6" t="s">
        <v>121</v>
      </c>
      <c r="F72" s="6" t="s">
        <v>107</v>
      </c>
    </row>
    <row r="73" spans="1:6">
      <c r="A73" s="9"/>
      <c r="B73" s="9">
        <f>ROUNDDOWN(A58*0.975,0)+B8*50000</f>
        <v>0</v>
      </c>
      <c r="C73" s="8"/>
      <c r="D73" s="8"/>
      <c r="E73" s="8"/>
      <c r="F73" s="8"/>
    </row>
    <row r="74" spans="1:6" ht="15.6">
      <c r="A74" s="36"/>
      <c r="B74" s="36"/>
      <c r="C74" s="36"/>
      <c r="D74" s="36"/>
      <c r="E74" s="36"/>
      <c r="F74" s="36"/>
    </row>
  </sheetData>
  <mergeCells count="14">
    <mergeCell ref="A64:F64"/>
    <mergeCell ref="A1:F2"/>
    <mergeCell ref="A18:B18"/>
    <mergeCell ref="E18:F18"/>
    <mergeCell ref="A3:F3"/>
    <mergeCell ref="A5:B5"/>
    <mergeCell ref="D5:F5"/>
    <mergeCell ref="A9:B9"/>
    <mergeCell ref="D11:F11"/>
    <mergeCell ref="A32:B32"/>
    <mergeCell ref="D32:E32"/>
    <mergeCell ref="D45:E45"/>
    <mergeCell ref="A19:F19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>
      <selection activeCell="C6" sqref="C6"/>
    </sheetView>
  </sheetViews>
  <sheetFormatPr defaultRowHeight="13.8"/>
  <cols>
    <col min="1" max="13" width="15.77734375" customWidth="1"/>
    <col min="14" max="14" width="10.5546875" bestFit="1" customWidth="1"/>
  </cols>
  <sheetData>
    <row r="1" spans="1:7" ht="13.8" customHeight="1">
      <c r="A1" s="74" t="s">
        <v>98</v>
      </c>
      <c r="B1" s="74"/>
      <c r="C1" s="74"/>
      <c r="D1" s="74"/>
      <c r="E1" s="74"/>
      <c r="F1" s="74"/>
      <c r="G1" s="37" t="s">
        <v>14</v>
      </c>
    </row>
    <row r="2" spans="1:7" ht="13.8" customHeight="1">
      <c r="A2" s="75"/>
      <c r="B2" s="75"/>
      <c r="C2" s="75"/>
      <c r="D2" s="75"/>
      <c r="E2" s="75"/>
      <c r="F2" s="75"/>
      <c r="G2" s="40" t="e">
        <f>B56</f>
        <v>#DIV/0!</v>
      </c>
    </row>
    <row r="3" spans="1:7" ht="15.6">
      <c r="A3" s="78" t="s">
        <v>39</v>
      </c>
      <c r="B3" s="78"/>
      <c r="C3" s="78"/>
      <c r="D3" s="78"/>
      <c r="E3" s="78"/>
      <c r="F3" s="78"/>
      <c r="G3" s="15" t="s">
        <v>91</v>
      </c>
    </row>
    <row r="4" spans="1:7" ht="14.4" thickBot="1">
      <c r="A4" s="30" t="s">
        <v>40</v>
      </c>
      <c r="B4" s="29"/>
      <c r="C4" s="30" t="s">
        <v>41</v>
      </c>
      <c r="D4" s="29"/>
      <c r="E4" s="30" t="s">
        <v>42</v>
      </c>
      <c r="F4" s="29"/>
      <c r="G4" s="40" t="e">
        <f>E54</f>
        <v>#DIV/0!</v>
      </c>
    </row>
    <row r="5" spans="1:7" ht="16.8" thickTop="1" thickBot="1">
      <c r="A5" s="79" t="s">
        <v>17</v>
      </c>
      <c r="B5" s="80"/>
      <c r="C5" s="26"/>
      <c r="D5" s="81" t="s">
        <v>28</v>
      </c>
      <c r="E5" s="77"/>
      <c r="F5" s="77"/>
      <c r="G5" s="15" t="s">
        <v>97</v>
      </c>
    </row>
    <row r="6" spans="1:7" ht="15" thickTop="1" thickBot="1">
      <c r="A6" s="12" t="s">
        <v>18</v>
      </c>
      <c r="B6" s="24"/>
      <c r="C6" s="67" t="s">
        <v>142</v>
      </c>
      <c r="D6" s="27" t="s">
        <v>27</v>
      </c>
      <c r="E6" s="6" t="s">
        <v>29</v>
      </c>
      <c r="F6" s="6" t="s">
        <v>30</v>
      </c>
      <c r="G6" s="40" t="e">
        <f>ROUNDDOWN(Sheet2!G4/1500000,0)</f>
        <v>#DIV/0!</v>
      </c>
    </row>
    <row r="7" spans="1:7" ht="15" thickTop="1" thickBot="1">
      <c r="A7" s="12" t="s">
        <v>19</v>
      </c>
      <c r="B7" s="24"/>
      <c r="C7" s="67" t="e">
        <f>E43</f>
        <v>#DIV/0!</v>
      </c>
      <c r="D7" s="15" t="s">
        <v>25</v>
      </c>
      <c r="E7" s="34"/>
      <c r="F7" s="29"/>
      <c r="G7" s="65" t="s">
        <v>126</v>
      </c>
    </row>
    <row r="8" spans="1:7" ht="15" thickTop="1" thickBot="1">
      <c r="A8" s="12" t="s">
        <v>20</v>
      </c>
      <c r="B8" s="24"/>
      <c r="C8" s="62" t="s">
        <v>72</v>
      </c>
      <c r="D8" s="56" t="s">
        <v>24</v>
      </c>
      <c r="E8" s="34"/>
      <c r="F8" s="29"/>
      <c r="G8" s="66" t="e">
        <f>Sheet4!G6</f>
        <v>#DIV/0!</v>
      </c>
    </row>
    <row r="9" spans="1:7" ht="16.8" thickTop="1" thickBot="1">
      <c r="A9" s="77" t="s">
        <v>21</v>
      </c>
      <c r="B9" s="77"/>
      <c r="C9" s="14"/>
      <c r="D9" s="56" t="s">
        <v>26</v>
      </c>
      <c r="E9" s="34"/>
      <c r="F9" s="29"/>
    </row>
    <row r="10" spans="1:7" ht="15" thickTop="1" thickBot="1">
      <c r="A10" s="12" t="s">
        <v>64</v>
      </c>
      <c r="B10" s="24">
        <f>3*A58</f>
        <v>0</v>
      </c>
      <c r="C10" s="28"/>
      <c r="D10" s="15" t="s">
        <v>23</v>
      </c>
      <c r="E10" s="34"/>
      <c r="F10" s="29"/>
    </row>
    <row r="11" spans="1:7" ht="16.8" thickTop="1" thickBot="1">
      <c r="A11" s="12" t="s">
        <v>65</v>
      </c>
      <c r="B11" s="24"/>
      <c r="C11" s="25" t="s">
        <v>75</v>
      </c>
      <c r="D11" s="84" t="s">
        <v>31</v>
      </c>
      <c r="E11" s="77"/>
      <c r="F11" s="77"/>
    </row>
    <row r="12" spans="1:7" ht="16.2" thickTop="1">
      <c r="A12" s="82" t="s">
        <v>22</v>
      </c>
      <c r="B12" s="83"/>
      <c r="C12" s="54" t="e">
        <f>(E37+Sheet2!E47)/(B6+B7+Sheet2!E71)</f>
        <v>#DIV/0!</v>
      </c>
      <c r="D12" s="55" t="s">
        <v>27</v>
      </c>
      <c r="E12" s="11" t="s">
        <v>37</v>
      </c>
      <c r="F12" s="6" t="s">
        <v>38</v>
      </c>
    </row>
    <row r="13" spans="1:7">
      <c r="A13" s="16" t="s">
        <v>27</v>
      </c>
      <c r="B13" s="17" t="s">
        <v>67</v>
      </c>
      <c r="C13" s="17" t="s">
        <v>99</v>
      </c>
      <c r="D13" s="56" t="s">
        <v>32</v>
      </c>
      <c r="E13" s="32">
        <f>B8*3</f>
        <v>0</v>
      </c>
      <c r="F13" s="29"/>
    </row>
    <row r="14" spans="1:7">
      <c r="A14" s="12" t="s">
        <v>25</v>
      </c>
      <c r="B14" s="24"/>
      <c r="C14" s="47">
        <f>B14+Sheet2!E21</f>
        <v>0</v>
      </c>
      <c r="D14" s="56" t="s">
        <v>33</v>
      </c>
      <c r="E14" s="33"/>
      <c r="F14" s="29"/>
      <c r="G14" s="46"/>
    </row>
    <row r="15" spans="1:7">
      <c r="A15" s="12" t="s">
        <v>24</v>
      </c>
      <c r="B15" s="24"/>
      <c r="C15" s="47">
        <f>B15+Sheet2!E22</f>
        <v>0</v>
      </c>
      <c r="D15" s="56" t="s">
        <v>34</v>
      </c>
      <c r="E15" s="33"/>
      <c r="F15" s="29"/>
      <c r="G15" s="46"/>
    </row>
    <row r="16" spans="1:7">
      <c r="A16" s="12" t="s">
        <v>26</v>
      </c>
      <c r="B16" s="24"/>
      <c r="C16" s="47">
        <f>B16+Sheet2!E23</f>
        <v>0</v>
      </c>
      <c r="D16" s="56" t="s">
        <v>35</v>
      </c>
      <c r="E16" s="32"/>
      <c r="F16" s="29"/>
      <c r="G16" s="46"/>
    </row>
    <row r="17" spans="1:9" ht="14.4" thickBot="1">
      <c r="A17" s="12" t="s">
        <v>23</v>
      </c>
      <c r="B17" s="24"/>
      <c r="C17" s="47">
        <f>B17+Sheet2!E24</f>
        <v>0</v>
      </c>
      <c r="D17" s="56" t="s">
        <v>36</v>
      </c>
      <c r="E17" s="32"/>
      <c r="F17" s="29"/>
    </row>
    <row r="18" spans="1:9" ht="16.8" thickTop="1" thickBot="1">
      <c r="A18" s="76">
        <f>SUM(B14:B17)</f>
        <v>0</v>
      </c>
      <c r="B18" s="77"/>
      <c r="C18" s="48">
        <f>SUM(C14:C17)</f>
        <v>0</v>
      </c>
      <c r="D18" s="13"/>
      <c r="E18" s="77"/>
      <c r="F18" s="77"/>
      <c r="G18" s="64" t="s">
        <v>135</v>
      </c>
      <c r="H18" s="64" t="s">
        <v>136</v>
      </c>
      <c r="I18" s="63"/>
    </row>
    <row r="19" spans="1:9" ht="14.4" thickTop="1">
      <c r="A19" s="71" t="s">
        <v>66</v>
      </c>
      <c r="B19" s="72"/>
      <c r="C19" s="72"/>
      <c r="D19" s="72"/>
      <c r="E19" s="72"/>
      <c r="F19" s="73"/>
      <c r="G19" s="60">
        <f>ROUNDDOWN(A58*0.975,0)+B8*50000</f>
        <v>0</v>
      </c>
      <c r="H19" s="61" t="e">
        <f>ROUNDDOWN((ROUNDDOWN(A58*0.975,0)+B8*50000)*0.975,0)+50000*G8</f>
        <v>#DIV/0!</v>
      </c>
      <c r="I19" s="12" t="s">
        <v>130</v>
      </c>
    </row>
    <row r="20" spans="1:9">
      <c r="A20" s="10" t="s">
        <v>102</v>
      </c>
      <c r="B20" s="10" t="s">
        <v>103</v>
      </c>
      <c r="C20" s="10" t="s">
        <v>104</v>
      </c>
      <c r="D20" s="10" t="s">
        <v>105</v>
      </c>
      <c r="E20" s="10" t="s">
        <v>106</v>
      </c>
      <c r="F20" s="10" t="s">
        <v>107</v>
      </c>
      <c r="G20" s="57">
        <f>G19*3</f>
        <v>0</v>
      </c>
      <c r="H20" s="40" t="e">
        <f>H19*3</f>
        <v>#DIV/0!</v>
      </c>
      <c r="I20" s="12" t="s">
        <v>132</v>
      </c>
    </row>
    <row r="21" spans="1:9">
      <c r="A21" s="8" t="s">
        <v>108</v>
      </c>
      <c r="B21" s="9"/>
      <c r="C21" s="9"/>
      <c r="D21" s="8"/>
      <c r="E21" s="51">
        <v>0</v>
      </c>
      <c r="F21" s="8"/>
      <c r="G21" s="58">
        <f>ROUNDUP(G20*1.35,0)</f>
        <v>0</v>
      </c>
      <c r="H21" s="40" t="e">
        <f>ROUNDUP(H20*1.35,0)</f>
        <v>#DIV/0!</v>
      </c>
      <c r="I21" s="12" t="s">
        <v>134</v>
      </c>
    </row>
    <row r="22" spans="1:9">
      <c r="A22" s="8" t="s">
        <v>109</v>
      </c>
      <c r="B22" s="9"/>
      <c r="C22" s="9"/>
      <c r="D22" s="8"/>
      <c r="E22" s="51">
        <v>0</v>
      </c>
      <c r="F22" s="8"/>
      <c r="G22" s="45" t="s">
        <v>125</v>
      </c>
      <c r="H22" s="59" t="e">
        <f>G21+H21</f>
        <v>#DIV/0!</v>
      </c>
      <c r="I22" s="12"/>
    </row>
    <row r="23" spans="1:9">
      <c r="A23" s="8" t="s">
        <v>110</v>
      </c>
      <c r="B23" s="9"/>
      <c r="C23" s="9"/>
      <c r="D23" s="8"/>
      <c r="E23" s="51">
        <v>0</v>
      </c>
      <c r="F23" s="8"/>
      <c r="G23" s="46"/>
    </row>
    <row r="24" spans="1:9">
      <c r="A24" s="8" t="s">
        <v>111</v>
      </c>
      <c r="B24" s="9"/>
      <c r="C24" s="9"/>
      <c r="D24" s="8"/>
      <c r="E24" s="51">
        <v>0</v>
      </c>
      <c r="F24" s="8"/>
      <c r="G24" s="46"/>
    </row>
    <row r="25" spans="1:9">
      <c r="A25" s="6" t="s">
        <v>112</v>
      </c>
      <c r="B25" s="6" t="s">
        <v>113</v>
      </c>
      <c r="C25" s="6" t="s">
        <v>114</v>
      </c>
      <c r="D25" s="6" t="s">
        <v>106</v>
      </c>
      <c r="E25" s="6" t="s">
        <v>115</v>
      </c>
      <c r="F25" s="6" t="s">
        <v>116</v>
      </c>
      <c r="G25" s="46"/>
    </row>
    <row r="26" spans="1:9">
      <c r="A26" s="9"/>
      <c r="B26" s="9"/>
      <c r="C26" s="9"/>
      <c r="D26" s="51">
        <v>0</v>
      </c>
      <c r="E26" s="9"/>
      <c r="F26" s="8"/>
      <c r="G26" s="46"/>
    </row>
    <row r="27" spans="1:9">
      <c r="A27" s="6" t="s">
        <v>117</v>
      </c>
      <c r="B27" s="6" t="s">
        <v>118</v>
      </c>
      <c r="C27" s="6" t="s">
        <v>119</v>
      </c>
      <c r="D27" s="6" t="s">
        <v>120</v>
      </c>
      <c r="E27" s="6" t="s">
        <v>121</v>
      </c>
      <c r="F27" s="6" t="s">
        <v>107</v>
      </c>
      <c r="G27" s="46"/>
    </row>
    <row r="28" spans="1:9">
      <c r="A28" s="9"/>
      <c r="B28" s="8"/>
      <c r="C28" s="8"/>
      <c r="D28" s="8"/>
      <c r="E28" s="8"/>
      <c r="F28" s="8"/>
      <c r="G28" s="46"/>
    </row>
    <row r="29" spans="1:9" ht="15.6">
      <c r="A29" s="36"/>
      <c r="B29" s="36"/>
      <c r="C29" s="36"/>
      <c r="D29" s="36"/>
      <c r="E29" s="36"/>
      <c r="F29" s="36"/>
      <c r="G29" s="46"/>
    </row>
    <row r="30" spans="1:9">
      <c r="G30" s="46"/>
    </row>
    <row r="31" spans="1:9">
      <c r="G31" s="46"/>
    </row>
    <row r="32" spans="1:9">
      <c r="A32" s="68" t="s">
        <v>8</v>
      </c>
      <c r="B32" s="69"/>
      <c r="D32" s="68" t="s">
        <v>68</v>
      </c>
      <c r="E32" s="69"/>
      <c r="F32" s="3" t="s">
        <v>78</v>
      </c>
    </row>
    <row r="33" spans="1:6">
      <c r="A33" s="3" t="s">
        <v>50</v>
      </c>
      <c r="B33" s="22">
        <f>E7*(C14-E21)+E8*(C15-E22)+E9*(C16-E23)+E10*(C17-E24)</f>
        <v>0</v>
      </c>
      <c r="D33" s="3" t="s">
        <v>50</v>
      </c>
      <c r="E33" s="23">
        <f>B33</f>
        <v>0</v>
      </c>
      <c r="F33" s="22" t="e">
        <f>E41</f>
        <v>#DIV/0!</v>
      </c>
    </row>
    <row r="34" spans="1:6">
      <c r="A34" s="3" t="s">
        <v>51</v>
      </c>
      <c r="B34" s="22">
        <f>B11</f>
        <v>0</v>
      </c>
      <c r="D34" s="3" t="s">
        <v>40</v>
      </c>
      <c r="E34" s="22">
        <f>B4</f>
        <v>0</v>
      </c>
      <c r="F34" s="3" t="s">
        <v>90</v>
      </c>
    </row>
    <row r="35" spans="1:6">
      <c r="A35" s="3" t="s">
        <v>52</v>
      </c>
      <c r="B35" s="22">
        <f>IF(B10&lt;=0,0,IF(B10&lt;=A59,10000,IF(B10&lt;=A61,15000,IF(B10&lt;=A62,20000,"超过最大产能"))))</f>
        <v>0</v>
      </c>
      <c r="D35" s="3" t="s">
        <v>69</v>
      </c>
      <c r="E35" s="22">
        <f>SUM(E33:E34)</f>
        <v>0</v>
      </c>
      <c r="F35" s="22" t="e">
        <f>E33/2-Sheet2!E42</f>
        <v>#DIV/0!</v>
      </c>
    </row>
    <row r="36" spans="1:6">
      <c r="A36" s="3" t="s">
        <v>53</v>
      </c>
      <c r="B36" s="22">
        <f>IF(B10&lt;=0,0,IF(B10&lt;=A58,B10*B58,IF(B10&lt;=A59,A58*B58+(B10-A58)*B59,IF(B10&lt;=A60,A58*B58+(B10-A58)*B60,IF(B10&lt;=A61,A60*B59+(B10-A60)*B61,IF(B10&lt;=A62,A60*B59+(B10-A60)*B62,IF(B10&gt;A62,"超过最大产能")))))))</f>
        <v>0</v>
      </c>
      <c r="D36" s="3" t="s">
        <v>70</v>
      </c>
      <c r="E36" s="22" t="e">
        <f>SUM(B34:B54)-B37-B42-B43</f>
        <v>#DIV/0!</v>
      </c>
    </row>
    <row r="37" spans="1:6">
      <c r="A37" s="3" t="s">
        <v>54</v>
      </c>
      <c r="B37" s="22" t="e">
        <f>B10*1.35*C12</f>
        <v>#DIV/0!</v>
      </c>
      <c r="D37" s="3" t="s">
        <v>71</v>
      </c>
      <c r="E37" s="22">
        <f>SUM(B6:B7)*C9</f>
        <v>0</v>
      </c>
    </row>
    <row r="38" spans="1:6">
      <c r="A38" s="3" t="s">
        <v>10</v>
      </c>
      <c r="B38" s="22">
        <f>IF((B6+B7)&lt;1,0,IF((B6+B7)&lt;=500000,40000,IF((B6+B7)&lt;=1000000,80000,IF((B6+B7)&lt;=1500000,120000,IF((B6+B7)&lt;=2000000,160000,IF((B6+B7)&gt;2000000,200000))))))</f>
        <v>0</v>
      </c>
      <c r="D38" s="3" t="s">
        <v>76</v>
      </c>
      <c r="E38" s="22">
        <f>B8*500000</f>
        <v>0</v>
      </c>
    </row>
    <row r="39" spans="1:6">
      <c r="A39" s="3" t="s">
        <v>55</v>
      </c>
      <c r="B39" s="22">
        <f>B7*1</f>
        <v>0</v>
      </c>
      <c r="D39" s="3" t="s">
        <v>41</v>
      </c>
      <c r="E39" s="22">
        <f>D4</f>
        <v>0</v>
      </c>
    </row>
    <row r="40" spans="1:6">
      <c r="A40" s="3" t="s">
        <v>56</v>
      </c>
      <c r="B40" s="22">
        <f>12000*Sheet2!C28</f>
        <v>0</v>
      </c>
      <c r="D40" s="3" t="s">
        <v>77</v>
      </c>
      <c r="E40" s="22" t="e">
        <f>SUM(E36:E39)</f>
        <v>#DIV/0!</v>
      </c>
    </row>
    <row r="41" spans="1:6">
      <c r="A41" s="3" t="s">
        <v>57</v>
      </c>
      <c r="B41" s="22">
        <f>B8*100000</f>
        <v>0</v>
      </c>
      <c r="D41" s="3" t="s">
        <v>78</v>
      </c>
      <c r="E41" s="22" t="e">
        <f>E35-E40</f>
        <v>#DIV/0!</v>
      </c>
    </row>
    <row r="42" spans="1:6">
      <c r="A42" s="3" t="s">
        <v>58</v>
      </c>
      <c r="B42" s="22">
        <f>0.025*Sheet2!E49</f>
        <v>0</v>
      </c>
      <c r="D42" s="3" t="s">
        <v>79</v>
      </c>
      <c r="E42" s="22" t="e">
        <f>IF((Sheet2!E42+Sheet3!E41)&gt;Sheet3!E33/2,(Sheet2!E42+Sheet3!E41),Sheet3!E33/2)</f>
        <v>#DIV/0!</v>
      </c>
    </row>
    <row r="43" spans="1:6">
      <c r="A43" s="3" t="s">
        <v>59</v>
      </c>
      <c r="B43" s="22">
        <f>Sheet2!E48-Sheet3!E48</f>
        <v>0</v>
      </c>
      <c r="D43" s="3" t="s">
        <v>80</v>
      </c>
      <c r="E43" s="22" t="e">
        <f>F33-F35</f>
        <v>#DIV/0!</v>
      </c>
    </row>
    <row r="44" spans="1:6">
      <c r="A44" s="3" t="s">
        <v>60</v>
      </c>
      <c r="B44" s="22">
        <f>SUM(F7:F10)</f>
        <v>0</v>
      </c>
    </row>
    <row r="45" spans="1:6">
      <c r="A45" s="3" t="s">
        <v>61</v>
      </c>
      <c r="B45" s="22">
        <f>B14*0.4+B15*0.1+B16*0.4+B17*0.5</f>
        <v>0</v>
      </c>
      <c r="D45" s="68" t="s">
        <v>81</v>
      </c>
      <c r="E45" s="69"/>
    </row>
    <row r="46" spans="1:6">
      <c r="A46" s="3" t="s">
        <v>62</v>
      </c>
      <c r="B46" s="22">
        <f>1500*SUM(E13:E17)</f>
        <v>0</v>
      </c>
      <c r="D46" s="3" t="s">
        <v>82</v>
      </c>
      <c r="E46" s="23" t="e">
        <f>E42</f>
        <v>#DIV/0!</v>
      </c>
    </row>
    <row r="47" spans="1:6">
      <c r="A47" s="3" t="s">
        <v>12</v>
      </c>
      <c r="B47" s="22">
        <f>D59*D61+E59*E61+D60*D62+E60*E62</f>
        <v>0</v>
      </c>
      <c r="D47" s="3" t="s">
        <v>83</v>
      </c>
      <c r="E47" s="22" t="e">
        <f>C12*E71</f>
        <v>#DIV/0!</v>
      </c>
    </row>
    <row r="48" spans="1:6">
      <c r="A48" s="3" t="s">
        <v>63</v>
      </c>
      <c r="B48" s="22">
        <f>F13*5000+SUM(F14:F17)*6000</f>
        <v>0</v>
      </c>
      <c r="D48" s="3" t="s">
        <v>84</v>
      </c>
      <c r="E48" s="22">
        <f>4*D26</f>
        <v>0</v>
      </c>
    </row>
    <row r="49" spans="1:6">
      <c r="A49" s="3" t="s">
        <v>43</v>
      </c>
      <c r="B49" s="22" t="e">
        <f>Sheet2!E47*0.1</f>
        <v>#DIV/0!</v>
      </c>
      <c r="D49" s="3" t="s">
        <v>85</v>
      </c>
      <c r="E49" s="22">
        <f>Sheet2!E49-B42+Sheet3!E38</f>
        <v>0</v>
      </c>
    </row>
    <row r="50" spans="1:6">
      <c r="A50" s="3" t="s">
        <v>44</v>
      </c>
      <c r="B50" s="22">
        <f>D26*0.5</f>
        <v>0</v>
      </c>
      <c r="D50" s="3" t="s">
        <v>86</v>
      </c>
      <c r="E50" s="22" t="e">
        <f>SUM(E46:E49)</f>
        <v>#DIV/0!</v>
      </c>
    </row>
    <row r="51" spans="1:6">
      <c r="A51" s="3" t="s">
        <v>45</v>
      </c>
      <c r="B51" s="22" t="e">
        <f>公司筹建!B4/4*E51+公司筹建!B4/4*3*Sheet2!E52</f>
        <v>#DIV/0!</v>
      </c>
      <c r="D51" s="3" t="s">
        <v>87</v>
      </c>
      <c r="E51" s="22" t="e">
        <f>Sheet2!E53+B4-D4</f>
        <v>#DIV/0!</v>
      </c>
    </row>
    <row r="52" spans="1:6">
      <c r="A52" s="3" t="s">
        <v>46</v>
      </c>
      <c r="B52" s="22">
        <f>B33/(1+公司筹建!B1)*公司筹建!B1</f>
        <v>0</v>
      </c>
      <c r="D52" s="3" t="s">
        <v>88</v>
      </c>
      <c r="E52" s="22" t="e">
        <f>IF(E43&gt;=0,0,-E43)</f>
        <v>#DIV/0!</v>
      </c>
    </row>
    <row r="53" spans="1:6">
      <c r="A53" s="3" t="s">
        <v>48</v>
      </c>
      <c r="B53" s="22">
        <f>B52*公司筹建!B2</f>
        <v>0</v>
      </c>
      <c r="D53" s="3" t="s">
        <v>89</v>
      </c>
      <c r="E53" s="22" t="e">
        <f>E51+E52</f>
        <v>#DIV/0!</v>
      </c>
    </row>
    <row r="54" spans="1:6">
      <c r="A54" s="3" t="s">
        <v>47</v>
      </c>
      <c r="B54" s="22" t="e">
        <f>IF(E56&lt;=0,0,E56)</f>
        <v>#DIV/0!</v>
      </c>
      <c r="D54" s="3" t="s">
        <v>91</v>
      </c>
      <c r="E54" s="31" t="e">
        <f>E50-E53</f>
        <v>#DIV/0!</v>
      </c>
    </row>
    <row r="55" spans="1:6">
      <c r="A55" s="3" t="s">
        <v>49</v>
      </c>
      <c r="B55" s="22" t="e">
        <f>SUM(B34:B54)</f>
        <v>#DIV/0!</v>
      </c>
    </row>
    <row r="56" spans="1:6">
      <c r="A56" s="3" t="s">
        <v>14</v>
      </c>
      <c r="B56" s="22" t="e">
        <f>B33-B55</f>
        <v>#DIV/0!</v>
      </c>
      <c r="D56" s="3" t="s">
        <v>47</v>
      </c>
      <c r="E56" s="21" t="e">
        <f>(B33/(1+公司筹建!B1)-SUM(B34:B53)+B52)*公司筹建!B3</f>
        <v>#DIV/0!</v>
      </c>
    </row>
    <row r="58" spans="1:6">
      <c r="A58" s="22">
        <f>Sheet2!B73</f>
        <v>0</v>
      </c>
      <c r="B58" s="22">
        <v>1.2</v>
      </c>
      <c r="C58" s="22" t="s">
        <v>92</v>
      </c>
      <c r="D58" s="22" t="s">
        <v>93</v>
      </c>
      <c r="E58" s="22" t="s">
        <v>94</v>
      </c>
    </row>
    <row r="59" spans="1:6">
      <c r="A59" s="22">
        <f>A58*1.5</f>
        <v>0</v>
      </c>
      <c r="B59" s="22">
        <v>1.3</v>
      </c>
      <c r="C59" s="22" t="s">
        <v>95</v>
      </c>
      <c r="D59" s="31">
        <f>E13</f>
        <v>0</v>
      </c>
      <c r="E59" s="31">
        <f>SUM(E14:E17)</f>
        <v>0</v>
      </c>
    </row>
    <row r="60" spans="1:6">
      <c r="A60" s="22">
        <f>A58*2</f>
        <v>0</v>
      </c>
      <c r="B60" s="22">
        <v>1.4</v>
      </c>
      <c r="C60" s="22" t="s">
        <v>96</v>
      </c>
      <c r="D60" s="31">
        <f>Sheet2!E28-F13</f>
        <v>0</v>
      </c>
      <c r="E60" s="31">
        <f>Sheet2!F28-SUM(F14:F17)</f>
        <v>0</v>
      </c>
    </row>
    <row r="61" spans="1:6">
      <c r="A61" s="22">
        <f>A58*2.5</f>
        <v>0</v>
      </c>
      <c r="B61" s="22">
        <v>1.5</v>
      </c>
      <c r="D61" s="31">
        <v>3750</v>
      </c>
      <c r="E61" s="31">
        <v>4500</v>
      </c>
    </row>
    <row r="62" spans="1:6">
      <c r="A62" s="22">
        <f>A58*3</f>
        <v>0</v>
      </c>
      <c r="B62" s="22">
        <v>1.6</v>
      </c>
      <c r="D62" s="31">
        <f>D61*2</f>
        <v>7500</v>
      </c>
      <c r="E62" s="31">
        <f>E61*2</f>
        <v>9000</v>
      </c>
    </row>
    <row r="63" spans="1:6" ht="14.4" thickBot="1"/>
    <row r="64" spans="1:6" ht="14.4" thickTop="1">
      <c r="A64" s="71" t="s">
        <v>66</v>
      </c>
      <c r="B64" s="72"/>
      <c r="C64" s="72"/>
      <c r="D64" s="72"/>
      <c r="E64" s="72"/>
      <c r="F64" s="73"/>
    </row>
    <row r="65" spans="1:6">
      <c r="A65" s="10" t="s">
        <v>102</v>
      </c>
      <c r="B65" s="10" t="s">
        <v>103</v>
      </c>
      <c r="C65" s="10" t="s">
        <v>104</v>
      </c>
      <c r="D65" s="10" t="s">
        <v>105</v>
      </c>
      <c r="E65" s="10" t="s">
        <v>106</v>
      </c>
      <c r="F65" s="10" t="s">
        <v>107</v>
      </c>
    </row>
    <row r="66" spans="1:6">
      <c r="A66" s="8" t="s">
        <v>108</v>
      </c>
      <c r="B66" s="9"/>
      <c r="C66" s="9"/>
      <c r="D66" s="8"/>
      <c r="E66" s="51">
        <v>0</v>
      </c>
      <c r="F66" s="8"/>
    </row>
    <row r="67" spans="1:6">
      <c r="A67" s="8" t="s">
        <v>109</v>
      </c>
      <c r="B67" s="9"/>
      <c r="C67" s="9"/>
      <c r="D67" s="8"/>
      <c r="E67" s="51">
        <v>0</v>
      </c>
      <c r="F67" s="8"/>
    </row>
    <row r="68" spans="1:6">
      <c r="A68" s="8" t="s">
        <v>110</v>
      </c>
      <c r="B68" s="9"/>
      <c r="C68" s="9"/>
      <c r="D68" s="8"/>
      <c r="E68" s="51">
        <v>0</v>
      </c>
      <c r="F68" s="8"/>
    </row>
    <row r="69" spans="1:6">
      <c r="A69" s="8" t="s">
        <v>111</v>
      </c>
      <c r="B69" s="9"/>
      <c r="C69" s="9"/>
      <c r="D69" s="8"/>
      <c r="E69" s="51">
        <v>0</v>
      </c>
      <c r="F69" s="8"/>
    </row>
    <row r="70" spans="1:6">
      <c r="A70" s="6" t="s">
        <v>112</v>
      </c>
      <c r="B70" s="6" t="s">
        <v>113</v>
      </c>
      <c r="C70" s="6" t="s">
        <v>114</v>
      </c>
      <c r="D70" s="6" t="s">
        <v>106</v>
      </c>
      <c r="E70" s="6" t="s">
        <v>115</v>
      </c>
      <c r="F70" s="6" t="s">
        <v>116</v>
      </c>
    </row>
    <row r="71" spans="1:6">
      <c r="A71" s="9"/>
      <c r="B71" s="9"/>
      <c r="C71" s="9"/>
      <c r="D71" s="51"/>
      <c r="E71" s="9">
        <f>ROUNDDOWN(Sheet2!E71-Sheet3!B10*1.35+Sheet3!B6,0)</f>
        <v>0</v>
      </c>
      <c r="F71" s="8"/>
    </row>
    <row r="72" spans="1:6">
      <c r="A72" s="6" t="s">
        <v>117</v>
      </c>
      <c r="B72" s="6" t="s">
        <v>118</v>
      </c>
      <c r="C72" s="6" t="s">
        <v>119</v>
      </c>
      <c r="D72" s="6" t="s">
        <v>120</v>
      </c>
      <c r="E72" s="6" t="s">
        <v>121</v>
      </c>
      <c r="F72" s="6" t="s">
        <v>107</v>
      </c>
    </row>
    <row r="73" spans="1:6">
      <c r="A73" s="9"/>
      <c r="B73" s="9">
        <f>ROUNDDOWN(A58*0.975,0)+B8*50000</f>
        <v>0</v>
      </c>
      <c r="C73" s="8"/>
      <c r="D73" s="8"/>
      <c r="E73" s="8"/>
      <c r="F73" s="8"/>
    </row>
    <row r="74" spans="1:6" ht="15.6">
      <c r="A74" s="36"/>
      <c r="B74" s="36"/>
      <c r="C74" s="36"/>
      <c r="D74" s="36"/>
      <c r="E74" s="36"/>
      <c r="F74" s="36"/>
    </row>
  </sheetData>
  <mergeCells count="14">
    <mergeCell ref="A64:F64"/>
    <mergeCell ref="A1:F2"/>
    <mergeCell ref="A18:B18"/>
    <mergeCell ref="E18:F18"/>
    <mergeCell ref="A3:F3"/>
    <mergeCell ref="A5:B5"/>
    <mergeCell ref="D5:F5"/>
    <mergeCell ref="A9:B9"/>
    <mergeCell ref="D11:F11"/>
    <mergeCell ref="A32:B32"/>
    <mergeCell ref="D32:E32"/>
    <mergeCell ref="D45:E45"/>
    <mergeCell ref="A19:F19"/>
    <mergeCell ref="A12:B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zoomScaleNormal="100" workbookViewId="0">
      <selection activeCell="C6" sqref="C6"/>
    </sheetView>
  </sheetViews>
  <sheetFormatPr defaultRowHeight="13.8"/>
  <cols>
    <col min="1" max="13" width="15.77734375" customWidth="1"/>
  </cols>
  <sheetData>
    <row r="1" spans="1:7" ht="13.8" customHeight="1">
      <c r="A1" s="74" t="s">
        <v>98</v>
      </c>
      <c r="B1" s="74"/>
      <c r="C1" s="74"/>
      <c r="D1" s="74"/>
      <c r="E1" s="74"/>
      <c r="F1" s="74"/>
      <c r="G1" s="37" t="s">
        <v>14</v>
      </c>
    </row>
    <row r="2" spans="1:7" ht="13.8" customHeight="1">
      <c r="A2" s="75"/>
      <c r="B2" s="75"/>
      <c r="C2" s="75"/>
      <c r="D2" s="75"/>
      <c r="E2" s="75"/>
      <c r="F2" s="75"/>
      <c r="G2" s="40" t="e">
        <f>B56</f>
        <v>#DIV/0!</v>
      </c>
    </row>
    <row r="3" spans="1:7" ht="15.6">
      <c r="A3" s="78" t="s">
        <v>39</v>
      </c>
      <c r="B3" s="78"/>
      <c r="C3" s="78"/>
      <c r="D3" s="78"/>
      <c r="E3" s="78"/>
      <c r="F3" s="78"/>
      <c r="G3" s="15" t="s">
        <v>91</v>
      </c>
    </row>
    <row r="4" spans="1:7" ht="14.4" thickBot="1">
      <c r="A4" s="30" t="s">
        <v>40</v>
      </c>
      <c r="B4" s="29"/>
      <c r="C4" s="30" t="s">
        <v>41</v>
      </c>
      <c r="D4" s="29"/>
      <c r="E4" s="30" t="s">
        <v>42</v>
      </c>
      <c r="F4" s="29"/>
      <c r="G4" s="41" t="e">
        <f>E54</f>
        <v>#DIV/0!</v>
      </c>
    </row>
    <row r="5" spans="1:7" ht="16.8" thickTop="1" thickBot="1">
      <c r="A5" s="79" t="s">
        <v>17</v>
      </c>
      <c r="B5" s="80"/>
      <c r="C5" s="26"/>
      <c r="D5" s="81" t="s">
        <v>28</v>
      </c>
      <c r="E5" s="77"/>
      <c r="F5" s="77"/>
      <c r="G5" s="15" t="s">
        <v>97</v>
      </c>
    </row>
    <row r="6" spans="1:7" ht="15" thickTop="1" thickBot="1">
      <c r="A6" s="12" t="s">
        <v>18</v>
      </c>
      <c r="B6" s="24"/>
      <c r="C6" s="67" t="s">
        <v>142</v>
      </c>
      <c r="D6" s="27" t="s">
        <v>27</v>
      </c>
      <c r="E6" s="6" t="s">
        <v>29</v>
      </c>
      <c r="F6" s="6" t="s">
        <v>30</v>
      </c>
      <c r="G6" s="41" t="e">
        <f>ROUNDDOWN(Sheet3!G4/1500000,0)</f>
        <v>#DIV/0!</v>
      </c>
    </row>
    <row r="7" spans="1:7" ht="15" thickTop="1" thickBot="1">
      <c r="A7" s="12" t="s">
        <v>19</v>
      </c>
      <c r="B7" s="24"/>
      <c r="C7" s="67" t="e">
        <f>E43</f>
        <v>#DIV/0!</v>
      </c>
      <c r="D7" s="15" t="s">
        <v>25</v>
      </c>
      <c r="E7" s="34"/>
      <c r="F7" s="29"/>
      <c r="G7" s="65" t="s">
        <v>126</v>
      </c>
    </row>
    <row r="8" spans="1:7" ht="15" thickTop="1" thickBot="1">
      <c r="A8" s="12" t="s">
        <v>20</v>
      </c>
      <c r="B8" s="24"/>
      <c r="C8" s="62" t="s">
        <v>72</v>
      </c>
      <c r="D8" s="56" t="s">
        <v>24</v>
      </c>
      <c r="E8" s="34"/>
      <c r="F8" s="29"/>
      <c r="G8" s="66" t="e">
        <f>Sheet5!G6</f>
        <v>#DIV/0!</v>
      </c>
    </row>
    <row r="9" spans="1:7" ht="16.8" thickTop="1" thickBot="1">
      <c r="A9" s="77" t="s">
        <v>21</v>
      </c>
      <c r="B9" s="77"/>
      <c r="C9" s="14"/>
      <c r="D9" s="56" t="s">
        <v>26</v>
      </c>
      <c r="E9" s="34"/>
      <c r="F9" s="29"/>
    </row>
    <row r="10" spans="1:7" ht="15" thickTop="1" thickBot="1">
      <c r="A10" s="12" t="s">
        <v>64</v>
      </c>
      <c r="B10" s="24">
        <f>3*A58</f>
        <v>0</v>
      </c>
      <c r="C10" s="28"/>
      <c r="D10" s="15" t="s">
        <v>23</v>
      </c>
      <c r="E10" s="34"/>
      <c r="F10" s="29"/>
    </row>
    <row r="11" spans="1:7" ht="16.8" thickTop="1" thickBot="1">
      <c r="A11" s="12" t="s">
        <v>65</v>
      </c>
      <c r="B11" s="24"/>
      <c r="C11" s="25" t="s">
        <v>75</v>
      </c>
      <c r="D11" s="84" t="s">
        <v>31</v>
      </c>
      <c r="E11" s="77"/>
      <c r="F11" s="77"/>
    </row>
    <row r="12" spans="1:7" ht="16.2" thickTop="1">
      <c r="A12" s="82" t="s">
        <v>22</v>
      </c>
      <c r="B12" s="83"/>
      <c r="C12" s="54" t="e">
        <f>(E37+Sheet3!E47)/(B6+B7+Sheet3!E71)</f>
        <v>#DIV/0!</v>
      </c>
      <c r="D12" s="55" t="s">
        <v>27</v>
      </c>
      <c r="E12" s="11" t="s">
        <v>37</v>
      </c>
      <c r="F12" s="6" t="s">
        <v>38</v>
      </c>
    </row>
    <row r="13" spans="1:7">
      <c r="A13" s="16" t="s">
        <v>27</v>
      </c>
      <c r="B13" s="17" t="s">
        <v>67</v>
      </c>
      <c r="C13" s="17" t="s">
        <v>99</v>
      </c>
      <c r="D13" s="56" t="s">
        <v>32</v>
      </c>
      <c r="E13" s="32">
        <f>B8*3</f>
        <v>0</v>
      </c>
      <c r="F13" s="29"/>
    </row>
    <row r="14" spans="1:7">
      <c r="A14" s="12" t="s">
        <v>25</v>
      </c>
      <c r="B14" s="24"/>
      <c r="C14" s="47">
        <f>B14+Sheet3!E21</f>
        <v>0</v>
      </c>
      <c r="D14" s="56" t="s">
        <v>33</v>
      </c>
      <c r="E14" s="33"/>
      <c r="F14" s="29"/>
    </row>
    <row r="15" spans="1:7">
      <c r="A15" s="12" t="s">
        <v>24</v>
      </c>
      <c r="B15" s="24"/>
      <c r="C15" s="47">
        <f>B15+Sheet3!E22</f>
        <v>0</v>
      </c>
      <c r="D15" s="56" t="s">
        <v>34</v>
      </c>
      <c r="E15" s="33"/>
      <c r="F15" s="29"/>
    </row>
    <row r="16" spans="1:7">
      <c r="A16" s="12" t="s">
        <v>26</v>
      </c>
      <c r="B16" s="24"/>
      <c r="C16" s="47">
        <f>B16+Sheet3!E23</f>
        <v>0</v>
      </c>
      <c r="D16" s="56" t="s">
        <v>35</v>
      </c>
      <c r="E16" s="32"/>
      <c r="F16" s="29"/>
    </row>
    <row r="17" spans="1:6" ht="14.4" thickBot="1">
      <c r="A17" s="12" t="s">
        <v>23</v>
      </c>
      <c r="B17" s="24"/>
      <c r="C17" s="47">
        <f>B17+Sheet3!E24</f>
        <v>0</v>
      </c>
      <c r="D17" s="56" t="s">
        <v>36</v>
      </c>
      <c r="E17" s="32"/>
      <c r="F17" s="29"/>
    </row>
    <row r="18" spans="1:6" ht="16.8" thickTop="1" thickBot="1">
      <c r="A18" s="76">
        <f>SUM(B14:B17)</f>
        <v>0</v>
      </c>
      <c r="B18" s="77"/>
      <c r="C18" s="49">
        <f>SUM(C14:C17)</f>
        <v>0</v>
      </c>
      <c r="D18" s="13"/>
      <c r="E18" s="77"/>
      <c r="F18" s="77"/>
    </row>
    <row r="19" spans="1:6" ht="14.4" thickTop="1">
      <c r="A19" s="71" t="s">
        <v>66</v>
      </c>
      <c r="B19" s="72"/>
      <c r="C19" s="72"/>
      <c r="D19" s="72"/>
      <c r="E19" s="72"/>
      <c r="F19" s="73"/>
    </row>
    <row r="20" spans="1:6">
      <c r="A20" s="10" t="s">
        <v>102</v>
      </c>
      <c r="B20" s="10" t="s">
        <v>103</v>
      </c>
      <c r="C20" s="10" t="s">
        <v>104</v>
      </c>
      <c r="D20" s="10" t="s">
        <v>105</v>
      </c>
      <c r="E20" s="10" t="s">
        <v>106</v>
      </c>
      <c r="F20" s="10" t="s">
        <v>107</v>
      </c>
    </row>
    <row r="21" spans="1:6">
      <c r="A21" s="8" t="s">
        <v>108</v>
      </c>
      <c r="B21" s="9"/>
      <c r="C21" s="9"/>
      <c r="D21" s="8"/>
      <c r="E21" s="51">
        <v>0</v>
      </c>
      <c r="F21" s="8"/>
    </row>
    <row r="22" spans="1:6">
      <c r="A22" s="8" t="s">
        <v>109</v>
      </c>
      <c r="B22" s="9"/>
      <c r="C22" s="9"/>
      <c r="D22" s="8"/>
      <c r="E22" s="51">
        <v>0</v>
      </c>
      <c r="F22" s="8"/>
    </row>
    <row r="23" spans="1:6">
      <c r="A23" s="8" t="s">
        <v>110</v>
      </c>
      <c r="B23" s="9"/>
      <c r="C23" s="9"/>
      <c r="D23" s="8"/>
      <c r="E23" s="51">
        <v>0</v>
      </c>
      <c r="F23" s="8"/>
    </row>
    <row r="24" spans="1:6">
      <c r="A24" s="8" t="s">
        <v>111</v>
      </c>
      <c r="B24" s="9"/>
      <c r="C24" s="9"/>
      <c r="D24" s="8"/>
      <c r="E24" s="51">
        <v>0</v>
      </c>
      <c r="F24" s="8"/>
    </row>
    <row r="25" spans="1:6">
      <c r="A25" s="6" t="s">
        <v>112</v>
      </c>
      <c r="B25" s="6" t="s">
        <v>113</v>
      </c>
      <c r="C25" s="6" t="s">
        <v>114</v>
      </c>
      <c r="D25" s="6" t="s">
        <v>106</v>
      </c>
      <c r="E25" s="6" t="s">
        <v>115</v>
      </c>
      <c r="F25" s="6" t="s">
        <v>116</v>
      </c>
    </row>
    <row r="26" spans="1:6">
      <c r="A26" s="9"/>
      <c r="B26" s="9"/>
      <c r="C26" s="9"/>
      <c r="D26" s="51">
        <v>0</v>
      </c>
      <c r="E26" s="9"/>
      <c r="F26" s="8"/>
    </row>
    <row r="27" spans="1:6">
      <c r="A27" s="6" t="s">
        <v>117</v>
      </c>
      <c r="B27" s="6" t="s">
        <v>118</v>
      </c>
      <c r="C27" s="6" t="s">
        <v>119</v>
      </c>
      <c r="D27" s="6" t="s">
        <v>120</v>
      </c>
      <c r="E27" s="6" t="s">
        <v>121</v>
      </c>
      <c r="F27" s="6" t="s">
        <v>140</v>
      </c>
    </row>
    <row r="28" spans="1:6">
      <c r="A28" s="9"/>
      <c r="B28" s="9"/>
      <c r="C28" s="8"/>
      <c r="D28" s="8"/>
      <c r="E28" s="8"/>
      <c r="F28" s="8"/>
    </row>
    <row r="29" spans="1:6" ht="15.6">
      <c r="A29" s="36"/>
      <c r="B29" s="36"/>
      <c r="C29" s="36"/>
      <c r="D29" s="36"/>
      <c r="E29" s="36"/>
      <c r="F29" s="36"/>
    </row>
    <row r="32" spans="1:6">
      <c r="A32" s="68" t="s">
        <v>8</v>
      </c>
      <c r="B32" s="69"/>
      <c r="D32" s="68" t="s">
        <v>68</v>
      </c>
      <c r="E32" s="69"/>
      <c r="F32" s="3" t="s">
        <v>78</v>
      </c>
    </row>
    <row r="33" spans="1:6">
      <c r="A33" s="3" t="s">
        <v>50</v>
      </c>
      <c r="B33" s="22">
        <f>E7*(C14-E21)+E8*(C15-E22)+E9*(C16-E23)+E10*(C17-E24)</f>
        <v>0</v>
      </c>
      <c r="D33" s="3" t="s">
        <v>50</v>
      </c>
      <c r="E33" s="23">
        <f>B33</f>
        <v>0</v>
      </c>
      <c r="F33" s="22" t="e">
        <f>E41</f>
        <v>#DIV/0!</v>
      </c>
    </row>
    <row r="34" spans="1:6">
      <c r="A34" s="3" t="s">
        <v>51</v>
      </c>
      <c r="B34" s="22">
        <f>B11</f>
        <v>0</v>
      </c>
      <c r="D34" s="3" t="s">
        <v>40</v>
      </c>
      <c r="E34" s="22">
        <f>B4</f>
        <v>0</v>
      </c>
      <c r="F34" s="3" t="s">
        <v>90</v>
      </c>
    </row>
    <row r="35" spans="1:6">
      <c r="A35" s="3" t="s">
        <v>52</v>
      </c>
      <c r="B35" s="22">
        <f>IF(B10&lt;=0,0,IF(B10&lt;=A59,10000,IF(B10&lt;=A61,15000,IF(B10&lt;=A62,20000,"超过最大产能"))))</f>
        <v>0</v>
      </c>
      <c r="D35" s="3" t="s">
        <v>69</v>
      </c>
      <c r="E35" s="22">
        <f>SUM(E33:E34)</f>
        <v>0</v>
      </c>
      <c r="F35" s="22" t="e">
        <f>E33/2-Sheet3!E42</f>
        <v>#DIV/0!</v>
      </c>
    </row>
    <row r="36" spans="1:6">
      <c r="A36" s="3" t="s">
        <v>53</v>
      </c>
      <c r="B36" s="22">
        <f>IF(B10&lt;=0,0,IF(B10&lt;=A58,B10*B58,IF(B10&lt;=A59,A58*B58+(B10-A58)*B59,IF(B10&lt;=A60,A58*B58+(B10-A58)*B60,IF(B10&lt;=A61,A60*B59+(B10-A60)*B61,IF(B10&lt;=A62,A60*B59+(B10-A60)*B62,IF(B10&gt;A62,"超过最大产能")))))))</f>
        <v>0</v>
      </c>
      <c r="D36" s="3" t="s">
        <v>70</v>
      </c>
      <c r="E36" s="22" t="e">
        <f>SUM(B34:B54)-B37-B42-B43</f>
        <v>#DIV/0!</v>
      </c>
    </row>
    <row r="37" spans="1:6">
      <c r="A37" s="3" t="s">
        <v>54</v>
      </c>
      <c r="B37" s="22" t="e">
        <f>B10*1.35*C12</f>
        <v>#DIV/0!</v>
      </c>
      <c r="D37" s="3" t="s">
        <v>71</v>
      </c>
      <c r="E37" s="22">
        <f>SUM(B6:B7)*C9</f>
        <v>0</v>
      </c>
    </row>
    <row r="38" spans="1:6">
      <c r="A38" s="3" t="s">
        <v>10</v>
      </c>
      <c r="B38" s="22">
        <f>IF((B6+B7)&lt;1,0,IF((B6+B7)&lt;=500000,40000,IF((B6+B7)&lt;=1000000,80000,IF((B6+B7)&lt;=1500000,120000,IF((B6+B7)&lt;=2000000,160000,IF((B6+B7)&gt;2000000,200000))))))</f>
        <v>0</v>
      </c>
      <c r="D38" s="3" t="s">
        <v>76</v>
      </c>
      <c r="E38" s="22">
        <f>B8*500000</f>
        <v>0</v>
      </c>
    </row>
    <row r="39" spans="1:6">
      <c r="A39" s="3" t="s">
        <v>55</v>
      </c>
      <c r="B39" s="22">
        <f>B7*1</f>
        <v>0</v>
      </c>
      <c r="D39" s="3" t="s">
        <v>41</v>
      </c>
      <c r="E39" s="22">
        <f>D4</f>
        <v>0</v>
      </c>
    </row>
    <row r="40" spans="1:6">
      <c r="A40" s="3" t="s">
        <v>56</v>
      </c>
      <c r="B40" s="22">
        <f>12000*Sheet3!C28</f>
        <v>0</v>
      </c>
      <c r="D40" s="3" t="s">
        <v>77</v>
      </c>
      <c r="E40" s="22" t="e">
        <f>SUM(E36:E39)</f>
        <v>#DIV/0!</v>
      </c>
    </row>
    <row r="41" spans="1:6">
      <c r="A41" s="3" t="s">
        <v>57</v>
      </c>
      <c r="B41" s="22">
        <f>B8*100000</f>
        <v>0</v>
      </c>
      <c r="D41" s="3" t="s">
        <v>78</v>
      </c>
      <c r="E41" s="22" t="e">
        <f>E35-E40</f>
        <v>#DIV/0!</v>
      </c>
    </row>
    <row r="42" spans="1:6">
      <c r="A42" s="3" t="s">
        <v>58</v>
      </c>
      <c r="B42" s="22">
        <f>0.025*Sheet3!E49</f>
        <v>0</v>
      </c>
      <c r="D42" s="3" t="s">
        <v>79</v>
      </c>
      <c r="E42" s="22" t="e">
        <f>IF((Sheet3!E42+Sheet4!E41)&gt;Sheet4!E33/2,(Sheet3!E42+Sheet4!E41),Sheet4!E33/2)</f>
        <v>#DIV/0!</v>
      </c>
    </row>
    <row r="43" spans="1:6">
      <c r="A43" s="3" t="s">
        <v>59</v>
      </c>
      <c r="B43" s="22">
        <f>Sheet3!E48-Sheet4!E48</f>
        <v>0</v>
      </c>
      <c r="D43" s="3" t="s">
        <v>80</v>
      </c>
      <c r="E43" s="22" t="e">
        <f>F33-F35</f>
        <v>#DIV/0!</v>
      </c>
    </row>
    <row r="44" spans="1:6">
      <c r="A44" s="3" t="s">
        <v>60</v>
      </c>
      <c r="B44" s="22">
        <f>SUM(F7:F10)</f>
        <v>0</v>
      </c>
    </row>
    <row r="45" spans="1:6">
      <c r="A45" s="3" t="s">
        <v>61</v>
      </c>
      <c r="B45" s="22">
        <f>B14*0.4+B15*0.1+B16*0.4+B17*0.5</f>
        <v>0</v>
      </c>
      <c r="D45" s="68" t="s">
        <v>81</v>
      </c>
      <c r="E45" s="69"/>
    </row>
    <row r="46" spans="1:6">
      <c r="A46" s="3" t="s">
        <v>62</v>
      </c>
      <c r="B46" s="22">
        <f>1500*SUM(E13:E17)</f>
        <v>0</v>
      </c>
      <c r="D46" s="3" t="s">
        <v>82</v>
      </c>
      <c r="E46" s="23" t="e">
        <f>E42</f>
        <v>#DIV/0!</v>
      </c>
    </row>
    <row r="47" spans="1:6">
      <c r="A47" s="3" t="s">
        <v>12</v>
      </c>
      <c r="B47" s="22">
        <f>D59*D61+E59*E61+D60*D62+E60*E62</f>
        <v>0</v>
      </c>
      <c r="D47" s="3" t="s">
        <v>83</v>
      </c>
      <c r="E47" s="22" t="e">
        <f>C12*E71</f>
        <v>#DIV/0!</v>
      </c>
    </row>
    <row r="48" spans="1:6">
      <c r="A48" s="3" t="s">
        <v>63</v>
      </c>
      <c r="B48" s="22">
        <f>F13*5000+SUM(F14:F17)*6000</f>
        <v>0</v>
      </c>
      <c r="D48" s="3" t="s">
        <v>84</v>
      </c>
      <c r="E48" s="22">
        <f>4*D26</f>
        <v>0</v>
      </c>
    </row>
    <row r="49" spans="1:6">
      <c r="A49" s="3" t="s">
        <v>43</v>
      </c>
      <c r="B49" s="22" t="e">
        <f>Sheet3!E47*0.1</f>
        <v>#DIV/0!</v>
      </c>
      <c r="D49" s="3" t="s">
        <v>85</v>
      </c>
      <c r="E49" s="22">
        <f>Sheet3!E49-B42+Sheet4!E38</f>
        <v>0</v>
      </c>
    </row>
    <row r="50" spans="1:6">
      <c r="A50" s="3" t="s">
        <v>44</v>
      </c>
      <c r="B50" s="22">
        <f>D26*0.5</f>
        <v>0</v>
      </c>
      <c r="D50" s="3" t="s">
        <v>86</v>
      </c>
      <c r="E50" s="22" t="e">
        <f>SUM(E46:E49)</f>
        <v>#DIV/0!</v>
      </c>
    </row>
    <row r="51" spans="1:6">
      <c r="A51" s="3" t="s">
        <v>45</v>
      </c>
      <c r="B51" s="22" t="e">
        <f>公司筹建!B4/4*E51+公司筹建!B4/4*3*Sheet3!E52</f>
        <v>#DIV/0!</v>
      </c>
      <c r="D51" s="3" t="s">
        <v>87</v>
      </c>
      <c r="E51" s="22" t="e">
        <f>Sheet3!E53+B4-D4</f>
        <v>#DIV/0!</v>
      </c>
    </row>
    <row r="52" spans="1:6">
      <c r="A52" s="3" t="s">
        <v>46</v>
      </c>
      <c r="B52" s="22">
        <f>B33/(1+公司筹建!B1)*公司筹建!B1</f>
        <v>0</v>
      </c>
      <c r="D52" s="3" t="s">
        <v>88</v>
      </c>
      <c r="E52" s="22" t="e">
        <f>IF(E43&gt;=0,0,-E43)</f>
        <v>#DIV/0!</v>
      </c>
    </row>
    <row r="53" spans="1:6">
      <c r="A53" s="3" t="s">
        <v>48</v>
      </c>
      <c r="B53" s="22">
        <f>B52*公司筹建!B2</f>
        <v>0</v>
      </c>
      <c r="D53" s="3" t="s">
        <v>89</v>
      </c>
      <c r="E53" s="22" t="e">
        <f>E51+E52</f>
        <v>#DIV/0!</v>
      </c>
    </row>
    <row r="54" spans="1:6">
      <c r="A54" s="3" t="s">
        <v>47</v>
      </c>
      <c r="B54" s="22" t="e">
        <f>IF(E56&lt;=0,0,E56)</f>
        <v>#DIV/0!</v>
      </c>
      <c r="D54" s="3" t="s">
        <v>91</v>
      </c>
      <c r="E54" s="31" t="e">
        <f>E50-E53</f>
        <v>#DIV/0!</v>
      </c>
    </row>
    <row r="55" spans="1:6">
      <c r="A55" s="3" t="s">
        <v>49</v>
      </c>
      <c r="B55" s="22" t="e">
        <f>SUM(B34:B54)</f>
        <v>#DIV/0!</v>
      </c>
    </row>
    <row r="56" spans="1:6">
      <c r="A56" s="3" t="s">
        <v>14</v>
      </c>
      <c r="B56" s="22" t="e">
        <f>B33-B55</f>
        <v>#DIV/0!</v>
      </c>
      <c r="D56" s="3" t="s">
        <v>47</v>
      </c>
      <c r="E56" s="21" t="e">
        <f>(B33/(1+公司筹建!B1)-SUM(B34:B53)+B52)*公司筹建!B3</f>
        <v>#DIV/0!</v>
      </c>
    </row>
    <row r="58" spans="1:6">
      <c r="A58" s="22">
        <f>Sheet3!B73</f>
        <v>0</v>
      </c>
      <c r="B58" s="22">
        <v>1.2</v>
      </c>
      <c r="C58" s="22" t="s">
        <v>92</v>
      </c>
      <c r="D58" s="22" t="s">
        <v>93</v>
      </c>
      <c r="E58" s="22" t="s">
        <v>94</v>
      </c>
    </row>
    <row r="59" spans="1:6">
      <c r="A59" s="22">
        <f>A58*1.5</f>
        <v>0</v>
      </c>
      <c r="B59" s="22">
        <v>1.3</v>
      </c>
      <c r="C59" s="22" t="s">
        <v>95</v>
      </c>
      <c r="D59" s="31">
        <f>E13</f>
        <v>0</v>
      </c>
      <c r="E59" s="31">
        <f>SUM(E14:E17)</f>
        <v>0</v>
      </c>
    </row>
    <row r="60" spans="1:6">
      <c r="A60" s="22">
        <f>A58*2</f>
        <v>0</v>
      </c>
      <c r="B60" s="22">
        <v>1.4</v>
      </c>
      <c r="C60" s="22" t="s">
        <v>96</v>
      </c>
      <c r="D60" s="31">
        <f>Sheet3!E28-F13</f>
        <v>0</v>
      </c>
      <c r="E60" s="31">
        <f>Sheet3!F28-SUM(F14:F17)</f>
        <v>0</v>
      </c>
    </row>
    <row r="61" spans="1:6">
      <c r="A61" s="22">
        <f>A58*2.5</f>
        <v>0</v>
      </c>
      <c r="B61" s="22">
        <v>1.5</v>
      </c>
      <c r="D61" s="31">
        <v>3750</v>
      </c>
      <c r="E61" s="31">
        <v>4500</v>
      </c>
    </row>
    <row r="62" spans="1:6">
      <c r="A62" s="22">
        <f>A58*3</f>
        <v>0</v>
      </c>
      <c r="B62" s="22">
        <v>1.6</v>
      </c>
      <c r="D62" s="31">
        <f>D61*2</f>
        <v>7500</v>
      </c>
      <c r="E62" s="31">
        <f>E61*2</f>
        <v>9000</v>
      </c>
    </row>
    <row r="63" spans="1:6" ht="14.4" thickBot="1"/>
    <row r="64" spans="1:6" ht="14.4" thickTop="1">
      <c r="A64" s="71" t="s">
        <v>66</v>
      </c>
      <c r="B64" s="72"/>
      <c r="C64" s="72"/>
      <c r="D64" s="72"/>
      <c r="E64" s="72"/>
      <c r="F64" s="73"/>
    </row>
    <row r="65" spans="1:6">
      <c r="A65" s="10" t="s">
        <v>102</v>
      </c>
      <c r="B65" s="10" t="s">
        <v>103</v>
      </c>
      <c r="C65" s="10" t="s">
        <v>104</v>
      </c>
      <c r="D65" s="10" t="s">
        <v>105</v>
      </c>
      <c r="E65" s="10" t="s">
        <v>106</v>
      </c>
      <c r="F65" s="10" t="s">
        <v>107</v>
      </c>
    </row>
    <row r="66" spans="1:6">
      <c r="A66" s="8" t="s">
        <v>108</v>
      </c>
      <c r="B66" s="9"/>
      <c r="C66" s="9"/>
      <c r="D66" s="8"/>
      <c r="E66" s="51">
        <v>0</v>
      </c>
      <c r="F66" s="8"/>
    </row>
    <row r="67" spans="1:6">
      <c r="A67" s="8" t="s">
        <v>109</v>
      </c>
      <c r="B67" s="9"/>
      <c r="C67" s="9"/>
      <c r="D67" s="8"/>
      <c r="E67" s="51">
        <v>0</v>
      </c>
      <c r="F67" s="8"/>
    </row>
    <row r="68" spans="1:6">
      <c r="A68" s="8" t="s">
        <v>110</v>
      </c>
      <c r="B68" s="9"/>
      <c r="C68" s="9"/>
      <c r="D68" s="8"/>
      <c r="E68" s="51">
        <v>0</v>
      </c>
      <c r="F68" s="8"/>
    </row>
    <row r="69" spans="1:6">
      <c r="A69" s="8" t="s">
        <v>111</v>
      </c>
      <c r="B69" s="9"/>
      <c r="C69" s="9"/>
      <c r="D69" s="8"/>
      <c r="E69" s="51">
        <v>0</v>
      </c>
      <c r="F69" s="8"/>
    </row>
    <row r="70" spans="1:6">
      <c r="A70" s="6" t="s">
        <v>112</v>
      </c>
      <c r="B70" s="6" t="s">
        <v>113</v>
      </c>
      <c r="C70" s="6" t="s">
        <v>114</v>
      </c>
      <c r="D70" s="6" t="s">
        <v>106</v>
      </c>
      <c r="E70" s="6" t="s">
        <v>115</v>
      </c>
      <c r="F70" s="6" t="s">
        <v>116</v>
      </c>
    </row>
    <row r="71" spans="1:6">
      <c r="A71" s="9"/>
      <c r="B71" s="9"/>
      <c r="C71" s="9"/>
      <c r="D71" s="51"/>
      <c r="E71" s="9">
        <f>ROUNDDOWN(Sheet3!E71-Sheet4!B10*1.35+Sheet4!B6,0)</f>
        <v>0</v>
      </c>
      <c r="F71" s="8"/>
    </row>
    <row r="72" spans="1:6">
      <c r="A72" s="6" t="s">
        <v>117</v>
      </c>
      <c r="B72" s="6" t="s">
        <v>118</v>
      </c>
      <c r="C72" s="6" t="s">
        <v>119</v>
      </c>
      <c r="D72" s="6" t="s">
        <v>120</v>
      </c>
      <c r="E72" s="6" t="s">
        <v>121</v>
      </c>
      <c r="F72" s="6" t="s">
        <v>107</v>
      </c>
    </row>
    <row r="73" spans="1:6">
      <c r="A73" s="9"/>
      <c r="B73" s="9">
        <f>ROUNDDOWN(A58*0.975,0)+B8*50000</f>
        <v>0</v>
      </c>
      <c r="C73" s="8"/>
      <c r="D73" s="8"/>
      <c r="E73" s="8"/>
      <c r="F73" s="8"/>
    </row>
    <row r="74" spans="1:6" ht="15.6">
      <c r="A74" s="36"/>
      <c r="B74" s="36"/>
      <c r="C74" s="36"/>
      <c r="D74" s="36"/>
      <c r="E74" s="36"/>
      <c r="F74" s="36"/>
    </row>
  </sheetData>
  <mergeCells count="14">
    <mergeCell ref="A64:F64"/>
    <mergeCell ref="A1:F2"/>
    <mergeCell ref="A18:B18"/>
    <mergeCell ref="E18:F18"/>
    <mergeCell ref="A3:F3"/>
    <mergeCell ref="A5:B5"/>
    <mergeCell ref="D5:F5"/>
    <mergeCell ref="A9:B9"/>
    <mergeCell ref="D11:F11"/>
    <mergeCell ref="A32:B32"/>
    <mergeCell ref="D32:E32"/>
    <mergeCell ref="D45:E45"/>
    <mergeCell ref="A19:F19"/>
    <mergeCell ref="A12:B1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>
      <selection activeCell="C6" sqref="C6"/>
    </sheetView>
  </sheetViews>
  <sheetFormatPr defaultRowHeight="13.8"/>
  <cols>
    <col min="1" max="13" width="15.77734375" customWidth="1"/>
  </cols>
  <sheetData>
    <row r="1" spans="1:7" ht="13.8" customHeight="1">
      <c r="A1" s="74" t="s">
        <v>98</v>
      </c>
      <c r="B1" s="74"/>
      <c r="C1" s="74"/>
      <c r="D1" s="74"/>
      <c r="E1" s="74"/>
      <c r="F1" s="74"/>
      <c r="G1" s="37" t="s">
        <v>14</v>
      </c>
    </row>
    <row r="2" spans="1:7" ht="13.8" customHeight="1">
      <c r="A2" s="75"/>
      <c r="B2" s="75"/>
      <c r="C2" s="75"/>
      <c r="D2" s="75"/>
      <c r="E2" s="75"/>
      <c r="F2" s="75"/>
      <c r="G2" s="40" t="e">
        <f>B56</f>
        <v>#DIV/0!</v>
      </c>
    </row>
    <row r="3" spans="1:7" ht="15.6">
      <c r="A3" s="78" t="s">
        <v>39</v>
      </c>
      <c r="B3" s="78"/>
      <c r="C3" s="78"/>
      <c r="D3" s="78"/>
      <c r="E3" s="78"/>
      <c r="F3" s="78"/>
      <c r="G3" s="15" t="s">
        <v>91</v>
      </c>
    </row>
    <row r="4" spans="1:7" ht="14.4" thickBot="1">
      <c r="A4" s="30" t="s">
        <v>40</v>
      </c>
      <c r="B4" s="29"/>
      <c r="C4" s="30" t="s">
        <v>41</v>
      </c>
      <c r="D4" s="29"/>
      <c r="E4" s="30" t="s">
        <v>42</v>
      </c>
      <c r="F4" s="29"/>
      <c r="G4" s="41" t="e">
        <f>E54</f>
        <v>#DIV/0!</v>
      </c>
    </row>
    <row r="5" spans="1:7" ht="16.8" thickTop="1" thickBot="1">
      <c r="A5" s="79" t="s">
        <v>17</v>
      </c>
      <c r="B5" s="80"/>
      <c r="C5" s="26"/>
      <c r="D5" s="81" t="s">
        <v>28</v>
      </c>
      <c r="E5" s="77"/>
      <c r="F5" s="77"/>
      <c r="G5" s="15" t="s">
        <v>97</v>
      </c>
    </row>
    <row r="6" spans="1:7" ht="15" thickTop="1" thickBot="1">
      <c r="A6" s="12" t="s">
        <v>18</v>
      </c>
      <c r="B6" s="24"/>
      <c r="C6" s="67" t="s">
        <v>142</v>
      </c>
      <c r="D6" s="27" t="s">
        <v>27</v>
      </c>
      <c r="E6" s="6" t="s">
        <v>29</v>
      </c>
      <c r="F6" s="6" t="s">
        <v>30</v>
      </c>
      <c r="G6" s="41" t="e">
        <f>ROUNDDOWN(Sheet4!G4/1500000,0)</f>
        <v>#DIV/0!</v>
      </c>
    </row>
    <row r="7" spans="1:7" ht="15" thickTop="1" thickBot="1">
      <c r="A7" s="12" t="s">
        <v>19</v>
      </c>
      <c r="B7" s="24"/>
      <c r="C7" s="67" t="e">
        <f>E43</f>
        <v>#DIV/0!</v>
      </c>
      <c r="D7" s="15" t="s">
        <v>25</v>
      </c>
      <c r="E7" s="34"/>
      <c r="F7" s="29"/>
      <c r="G7" s="65" t="s">
        <v>126</v>
      </c>
    </row>
    <row r="8" spans="1:7" ht="15" thickTop="1" thickBot="1">
      <c r="A8" s="12" t="s">
        <v>20</v>
      </c>
      <c r="B8" s="24"/>
      <c r="C8" s="62" t="s">
        <v>72</v>
      </c>
      <c r="D8" s="56" t="s">
        <v>24</v>
      </c>
      <c r="E8" s="34"/>
      <c r="F8" s="29"/>
      <c r="G8" s="66" t="e">
        <f>Sheet6!G6</f>
        <v>#DIV/0!</v>
      </c>
    </row>
    <row r="9" spans="1:7" ht="16.8" thickTop="1" thickBot="1">
      <c r="A9" s="77" t="s">
        <v>21</v>
      </c>
      <c r="B9" s="77"/>
      <c r="C9" s="14"/>
      <c r="D9" s="56" t="s">
        <v>26</v>
      </c>
      <c r="E9" s="34"/>
      <c r="F9" s="29"/>
    </row>
    <row r="10" spans="1:7" ht="15" thickTop="1" thickBot="1">
      <c r="A10" s="12" t="s">
        <v>64</v>
      </c>
      <c r="B10" s="24">
        <f>3*A58</f>
        <v>0</v>
      </c>
      <c r="C10" s="28"/>
      <c r="D10" s="15" t="s">
        <v>23</v>
      </c>
      <c r="E10" s="34"/>
      <c r="F10" s="29"/>
    </row>
    <row r="11" spans="1:7" ht="16.8" thickTop="1" thickBot="1">
      <c r="A11" s="12" t="s">
        <v>65</v>
      </c>
      <c r="B11" s="24"/>
      <c r="C11" s="25" t="s">
        <v>75</v>
      </c>
      <c r="D11" s="84" t="s">
        <v>31</v>
      </c>
      <c r="E11" s="77"/>
      <c r="F11" s="77"/>
    </row>
    <row r="12" spans="1:7" ht="16.2" thickTop="1">
      <c r="A12" s="82" t="s">
        <v>22</v>
      </c>
      <c r="B12" s="83"/>
      <c r="C12" s="54" t="e">
        <f>(E37+Sheet4!E47)/(B6+B7+Sheet4!E71)</f>
        <v>#DIV/0!</v>
      </c>
      <c r="D12" s="55" t="s">
        <v>27</v>
      </c>
      <c r="E12" s="11" t="s">
        <v>37</v>
      </c>
      <c r="F12" s="6" t="s">
        <v>38</v>
      </c>
    </row>
    <row r="13" spans="1:7">
      <c r="A13" s="16" t="s">
        <v>27</v>
      </c>
      <c r="B13" s="17" t="s">
        <v>67</v>
      </c>
      <c r="C13" s="17" t="s">
        <v>99</v>
      </c>
      <c r="D13" s="56" t="s">
        <v>32</v>
      </c>
      <c r="E13" s="32">
        <f>B8*3</f>
        <v>0</v>
      </c>
      <c r="F13" s="29"/>
    </row>
    <row r="14" spans="1:7">
      <c r="A14" s="12" t="s">
        <v>25</v>
      </c>
      <c r="B14" s="24"/>
      <c r="C14" s="47">
        <f>B14+Sheet4!E21</f>
        <v>0</v>
      </c>
      <c r="D14" s="56" t="s">
        <v>33</v>
      </c>
      <c r="E14" s="33"/>
      <c r="F14" s="29"/>
    </row>
    <row r="15" spans="1:7">
      <c r="A15" s="12" t="s">
        <v>24</v>
      </c>
      <c r="B15" s="24"/>
      <c r="C15" s="47">
        <f>B15+Sheet4!E22</f>
        <v>0</v>
      </c>
      <c r="D15" s="56" t="s">
        <v>34</v>
      </c>
      <c r="E15" s="33"/>
      <c r="F15" s="29"/>
    </row>
    <row r="16" spans="1:7">
      <c r="A16" s="12" t="s">
        <v>26</v>
      </c>
      <c r="B16" s="24"/>
      <c r="C16" s="47">
        <f>B16+Sheet4!E23</f>
        <v>0</v>
      </c>
      <c r="D16" s="56" t="s">
        <v>35</v>
      </c>
      <c r="E16" s="32"/>
      <c r="F16" s="29"/>
    </row>
    <row r="17" spans="1:9" ht="14.4" thickBot="1">
      <c r="A17" s="12" t="s">
        <v>23</v>
      </c>
      <c r="B17" s="24"/>
      <c r="C17" s="47">
        <f>B17+Sheet4!E24</f>
        <v>0</v>
      </c>
      <c r="D17" s="56" t="s">
        <v>36</v>
      </c>
      <c r="E17" s="32"/>
      <c r="F17" s="29"/>
    </row>
    <row r="18" spans="1:9" ht="16.8" thickTop="1" thickBot="1">
      <c r="A18" s="76">
        <f>SUM(B14:B17)</f>
        <v>0</v>
      </c>
      <c r="B18" s="77"/>
      <c r="C18" s="50">
        <f>SUM(C14:C17)</f>
        <v>0</v>
      </c>
      <c r="D18" s="13"/>
      <c r="E18" s="77"/>
      <c r="F18" s="77"/>
      <c r="G18" s="64" t="s">
        <v>137</v>
      </c>
      <c r="H18" s="64" t="s">
        <v>138</v>
      </c>
      <c r="I18" s="63"/>
    </row>
    <row r="19" spans="1:9" ht="14.4" thickTop="1">
      <c r="A19" s="71" t="s">
        <v>66</v>
      </c>
      <c r="B19" s="72"/>
      <c r="C19" s="72"/>
      <c r="D19" s="72"/>
      <c r="E19" s="72"/>
      <c r="F19" s="73"/>
      <c r="G19" s="60">
        <f>ROUNDDOWN(A58*0.975,0)+B8*50000</f>
        <v>0</v>
      </c>
      <c r="H19" s="61" t="e">
        <f>ROUNDDOWN((ROUNDDOWN(A58*0.975,0)+B8*50000)*0.975,0)+50000*G8</f>
        <v>#DIV/0!</v>
      </c>
      <c r="I19" s="12" t="s">
        <v>130</v>
      </c>
    </row>
    <row r="20" spans="1:9">
      <c r="A20" s="10" t="s">
        <v>102</v>
      </c>
      <c r="B20" s="10" t="s">
        <v>103</v>
      </c>
      <c r="C20" s="10" t="s">
        <v>104</v>
      </c>
      <c r="D20" s="10" t="s">
        <v>105</v>
      </c>
      <c r="E20" s="10" t="s">
        <v>106</v>
      </c>
      <c r="F20" s="10" t="s">
        <v>107</v>
      </c>
      <c r="G20" s="57">
        <f>G19*3</f>
        <v>0</v>
      </c>
      <c r="H20" s="40" t="e">
        <f>H19*3</f>
        <v>#DIV/0!</v>
      </c>
      <c r="I20" s="12" t="s">
        <v>132</v>
      </c>
    </row>
    <row r="21" spans="1:9">
      <c r="A21" s="8" t="s">
        <v>108</v>
      </c>
      <c r="B21" s="9"/>
      <c r="C21" s="9"/>
      <c r="D21" s="8"/>
      <c r="E21" s="51">
        <v>0</v>
      </c>
      <c r="F21" s="8"/>
      <c r="G21" s="58">
        <f>ROUNDUP(G20*1.35,0)</f>
        <v>0</v>
      </c>
      <c r="H21" s="40" t="e">
        <f>ROUNDUP(H20*1.35,0)</f>
        <v>#DIV/0!</v>
      </c>
      <c r="I21" s="12" t="s">
        <v>134</v>
      </c>
    </row>
    <row r="22" spans="1:9">
      <c r="A22" s="8" t="s">
        <v>109</v>
      </c>
      <c r="B22" s="9"/>
      <c r="C22" s="9"/>
      <c r="D22" s="8"/>
      <c r="E22" s="51">
        <v>0</v>
      </c>
      <c r="F22" s="8"/>
      <c r="G22" s="45" t="s">
        <v>125</v>
      </c>
      <c r="H22" s="59" t="e">
        <f>G21+H21</f>
        <v>#DIV/0!</v>
      </c>
      <c r="I22" s="12"/>
    </row>
    <row r="23" spans="1:9">
      <c r="A23" s="8" t="s">
        <v>110</v>
      </c>
      <c r="B23" s="9"/>
      <c r="C23" s="9"/>
      <c r="D23" s="8"/>
      <c r="E23" s="51">
        <v>0</v>
      </c>
      <c r="F23" s="8"/>
    </row>
    <row r="24" spans="1:9">
      <c r="A24" s="8" t="s">
        <v>111</v>
      </c>
      <c r="B24" s="9"/>
      <c r="C24" s="9"/>
      <c r="D24" s="8"/>
      <c r="E24" s="51">
        <v>0</v>
      </c>
      <c r="F24" s="8"/>
    </row>
    <row r="25" spans="1:9">
      <c r="A25" s="6" t="s">
        <v>112</v>
      </c>
      <c r="B25" s="6" t="s">
        <v>113</v>
      </c>
      <c r="C25" s="6" t="s">
        <v>114</v>
      </c>
      <c r="D25" s="6" t="s">
        <v>106</v>
      </c>
      <c r="E25" s="6" t="s">
        <v>115</v>
      </c>
      <c r="F25" s="6" t="s">
        <v>116</v>
      </c>
    </row>
    <row r="26" spans="1:9">
      <c r="A26" s="9"/>
      <c r="B26" s="9"/>
      <c r="C26" s="9"/>
      <c r="D26" s="51">
        <v>0</v>
      </c>
      <c r="E26" s="9"/>
      <c r="F26" s="8"/>
    </row>
    <row r="27" spans="1:9">
      <c r="A27" s="6" t="s">
        <v>117</v>
      </c>
      <c r="B27" s="6" t="s">
        <v>118</v>
      </c>
      <c r="C27" s="6" t="s">
        <v>119</v>
      </c>
      <c r="D27" s="6" t="s">
        <v>120</v>
      </c>
      <c r="E27" s="6" t="s">
        <v>121</v>
      </c>
      <c r="F27" s="6" t="s">
        <v>107</v>
      </c>
    </row>
    <row r="28" spans="1:9">
      <c r="A28" s="9"/>
      <c r="B28" s="9"/>
      <c r="C28" s="8"/>
      <c r="D28" s="8"/>
      <c r="E28" s="8"/>
      <c r="F28" s="8"/>
    </row>
    <row r="29" spans="1:9" ht="15.6">
      <c r="A29" s="36"/>
      <c r="B29" s="36"/>
      <c r="C29" s="36"/>
      <c r="D29" s="36"/>
      <c r="E29" s="36"/>
      <c r="F29" s="36"/>
    </row>
    <row r="32" spans="1:9">
      <c r="A32" s="68" t="s">
        <v>8</v>
      </c>
      <c r="B32" s="69"/>
      <c r="D32" s="68" t="s">
        <v>68</v>
      </c>
      <c r="E32" s="69"/>
      <c r="F32" s="3" t="s">
        <v>78</v>
      </c>
    </row>
    <row r="33" spans="1:6">
      <c r="A33" s="3" t="s">
        <v>50</v>
      </c>
      <c r="B33" s="22">
        <f>E7*(C14-E21)+E8*(C15-E22)+E9*(C16-E23)+E10*(C17-E24)</f>
        <v>0</v>
      </c>
      <c r="D33" s="3" t="s">
        <v>50</v>
      </c>
      <c r="E33" s="23">
        <f>B33</f>
        <v>0</v>
      </c>
      <c r="F33" s="22" t="e">
        <f>E41</f>
        <v>#DIV/0!</v>
      </c>
    </row>
    <row r="34" spans="1:6">
      <c r="A34" s="3" t="s">
        <v>51</v>
      </c>
      <c r="B34" s="22">
        <f>B11</f>
        <v>0</v>
      </c>
      <c r="D34" s="3" t="s">
        <v>40</v>
      </c>
      <c r="E34" s="22">
        <f>B4</f>
        <v>0</v>
      </c>
      <c r="F34" s="3" t="s">
        <v>90</v>
      </c>
    </row>
    <row r="35" spans="1:6">
      <c r="A35" s="3" t="s">
        <v>52</v>
      </c>
      <c r="B35" s="22">
        <f>IF(B10&lt;=0,0,IF(B10&lt;=A59,10000,IF(B10&lt;=A61,15000,IF(B10&lt;=A62,20000,"超过最大产能"))))</f>
        <v>0</v>
      </c>
      <c r="D35" s="3" t="s">
        <v>69</v>
      </c>
      <c r="E35" s="22">
        <f>SUM(E33:E34)</f>
        <v>0</v>
      </c>
      <c r="F35" s="22" t="e">
        <f>E33/2-Sheet4!E42</f>
        <v>#DIV/0!</v>
      </c>
    </row>
    <row r="36" spans="1:6">
      <c r="A36" s="3" t="s">
        <v>53</v>
      </c>
      <c r="B36" s="22">
        <f>IF(B10&lt;=0,0,IF(B10&lt;=A58,B10*B58,IF(B10&lt;=A59,A58*B58+(B10-A58)*B59,IF(B10&lt;=A60,A58*B58+(B10-A58)*B60,IF(B10&lt;=A61,A60*B59+(B10-A60)*B61,IF(B10&lt;=A62,A60*B59+(B10-A60)*B62,IF(B10&gt;A62,"超过最大产能")))))))</f>
        <v>0</v>
      </c>
      <c r="D36" s="3" t="s">
        <v>70</v>
      </c>
      <c r="E36" s="22" t="e">
        <f>SUM(B34:B54)-B37-B42-B43</f>
        <v>#DIV/0!</v>
      </c>
    </row>
    <row r="37" spans="1:6">
      <c r="A37" s="3" t="s">
        <v>54</v>
      </c>
      <c r="B37" s="22" t="e">
        <f>B10*1.35*C12</f>
        <v>#DIV/0!</v>
      </c>
      <c r="D37" s="3" t="s">
        <v>71</v>
      </c>
      <c r="E37" s="22">
        <f>SUM(B6:B7)*C9</f>
        <v>0</v>
      </c>
    </row>
    <row r="38" spans="1:6">
      <c r="A38" s="3" t="s">
        <v>10</v>
      </c>
      <c r="B38" s="22">
        <f>IF((B6+B7)&lt;1,0,IF((B6+B7)&lt;=500000,40000,IF((B6+B7)&lt;=1000000,80000,IF((B6+B7)&lt;=1500000,120000,IF((B6+B7)&lt;=2000000,160000,IF((B6+B7)&gt;2000000,200000))))))</f>
        <v>0</v>
      </c>
      <c r="D38" s="3" t="s">
        <v>76</v>
      </c>
      <c r="E38" s="22">
        <f>B8*500000</f>
        <v>0</v>
      </c>
    </row>
    <row r="39" spans="1:6">
      <c r="A39" s="3" t="s">
        <v>55</v>
      </c>
      <c r="B39" s="22">
        <f>B7*1</f>
        <v>0</v>
      </c>
      <c r="D39" s="3" t="s">
        <v>41</v>
      </c>
      <c r="E39" s="22">
        <f>D4</f>
        <v>0</v>
      </c>
    </row>
    <row r="40" spans="1:6">
      <c r="A40" s="3" t="s">
        <v>56</v>
      </c>
      <c r="B40" s="22">
        <f>12000*Sheet4!C28</f>
        <v>0</v>
      </c>
      <c r="D40" s="3" t="s">
        <v>77</v>
      </c>
      <c r="E40" s="22" t="e">
        <f>SUM(E36:E39)</f>
        <v>#DIV/0!</v>
      </c>
    </row>
    <row r="41" spans="1:6">
      <c r="A41" s="3" t="s">
        <v>57</v>
      </c>
      <c r="B41" s="22">
        <f>B8*100000</f>
        <v>0</v>
      </c>
      <c r="D41" s="3" t="s">
        <v>78</v>
      </c>
      <c r="E41" s="22" t="e">
        <f>E35-E40</f>
        <v>#DIV/0!</v>
      </c>
    </row>
    <row r="42" spans="1:6">
      <c r="A42" s="3" t="s">
        <v>58</v>
      </c>
      <c r="B42" s="22">
        <f>0.025*Sheet4!E49</f>
        <v>0</v>
      </c>
      <c r="D42" s="3" t="s">
        <v>79</v>
      </c>
      <c r="E42" s="22" t="e">
        <f>IF((Sheet4!E42+Sheet5!E41)&gt;Sheet5!E33/2,(Sheet4!E42+Sheet5!E41),Sheet5!E33/2)</f>
        <v>#DIV/0!</v>
      </c>
    </row>
    <row r="43" spans="1:6">
      <c r="A43" s="3" t="s">
        <v>59</v>
      </c>
      <c r="B43" s="22">
        <f>Sheet4!E48-Sheet5!E48</f>
        <v>0</v>
      </c>
      <c r="D43" s="3" t="s">
        <v>80</v>
      </c>
      <c r="E43" s="22" t="e">
        <f>F33-F35</f>
        <v>#DIV/0!</v>
      </c>
    </row>
    <row r="44" spans="1:6">
      <c r="A44" s="3" t="s">
        <v>60</v>
      </c>
      <c r="B44" s="22">
        <f>SUM(F7:F10)</f>
        <v>0</v>
      </c>
    </row>
    <row r="45" spans="1:6">
      <c r="A45" s="3" t="s">
        <v>61</v>
      </c>
      <c r="B45" s="22">
        <f>B14*0.4+B15*0.1+B16*0.4+B17*0.5</f>
        <v>0</v>
      </c>
      <c r="D45" s="68" t="s">
        <v>81</v>
      </c>
      <c r="E45" s="69"/>
    </row>
    <row r="46" spans="1:6">
      <c r="A46" s="3" t="s">
        <v>62</v>
      </c>
      <c r="B46" s="22">
        <f>1500*SUM(E13:E17)</f>
        <v>0</v>
      </c>
      <c r="D46" s="3" t="s">
        <v>82</v>
      </c>
      <c r="E46" s="23" t="e">
        <f>E42</f>
        <v>#DIV/0!</v>
      </c>
    </row>
    <row r="47" spans="1:6">
      <c r="A47" s="3" t="s">
        <v>12</v>
      </c>
      <c r="B47" s="22">
        <f>D59*D61+E59*E61+D60*D62+E60*E62</f>
        <v>0</v>
      </c>
      <c r="D47" s="3" t="s">
        <v>83</v>
      </c>
      <c r="E47" s="22" t="e">
        <f>C12*E71</f>
        <v>#DIV/0!</v>
      </c>
    </row>
    <row r="48" spans="1:6">
      <c r="A48" s="3" t="s">
        <v>63</v>
      </c>
      <c r="B48" s="22">
        <f>F13*5000+SUM(F14:F17)*6000</f>
        <v>0</v>
      </c>
      <c r="D48" s="3" t="s">
        <v>84</v>
      </c>
      <c r="E48" s="22">
        <f>4*D26</f>
        <v>0</v>
      </c>
    </row>
    <row r="49" spans="1:6">
      <c r="A49" s="3" t="s">
        <v>43</v>
      </c>
      <c r="B49" s="22" t="e">
        <f>Sheet4!E47*0.1</f>
        <v>#DIV/0!</v>
      </c>
      <c r="D49" s="3" t="s">
        <v>85</v>
      </c>
      <c r="E49" s="22">
        <f>Sheet4!E49-B42+Sheet5!E38</f>
        <v>0</v>
      </c>
    </row>
    <row r="50" spans="1:6">
      <c r="A50" s="3" t="s">
        <v>44</v>
      </c>
      <c r="B50" s="22">
        <f>D26*0.5</f>
        <v>0</v>
      </c>
      <c r="D50" s="3" t="s">
        <v>86</v>
      </c>
      <c r="E50" s="22" t="e">
        <f>SUM(E46:E49)</f>
        <v>#DIV/0!</v>
      </c>
    </row>
    <row r="51" spans="1:6">
      <c r="A51" s="3" t="s">
        <v>45</v>
      </c>
      <c r="B51" s="22" t="e">
        <f>公司筹建!B4/4*E51+公司筹建!B4/4*3*Sheet4!E52</f>
        <v>#DIV/0!</v>
      </c>
      <c r="D51" s="3" t="s">
        <v>87</v>
      </c>
      <c r="E51" s="22" t="e">
        <f>Sheet4!E53+B4-D4</f>
        <v>#DIV/0!</v>
      </c>
    </row>
    <row r="52" spans="1:6">
      <c r="A52" s="3" t="s">
        <v>46</v>
      </c>
      <c r="B52" s="22">
        <f>B33/(1+公司筹建!B1)*公司筹建!B1</f>
        <v>0</v>
      </c>
      <c r="D52" s="3" t="s">
        <v>88</v>
      </c>
      <c r="E52" s="22" t="e">
        <f>IF(E43&gt;=0,0,-E43)</f>
        <v>#DIV/0!</v>
      </c>
    </row>
    <row r="53" spans="1:6">
      <c r="A53" s="3" t="s">
        <v>48</v>
      </c>
      <c r="B53" s="22">
        <f>B52*公司筹建!B2</f>
        <v>0</v>
      </c>
      <c r="D53" s="3" t="s">
        <v>89</v>
      </c>
      <c r="E53" s="22" t="e">
        <f>E51+E52</f>
        <v>#DIV/0!</v>
      </c>
    </row>
    <row r="54" spans="1:6">
      <c r="A54" s="3" t="s">
        <v>47</v>
      </c>
      <c r="B54" s="22" t="e">
        <f>IF(E56&lt;=0,0,E56)</f>
        <v>#DIV/0!</v>
      </c>
      <c r="D54" s="3" t="s">
        <v>91</v>
      </c>
      <c r="E54" s="31" t="e">
        <f>E50-E53</f>
        <v>#DIV/0!</v>
      </c>
    </row>
    <row r="55" spans="1:6">
      <c r="A55" s="3" t="s">
        <v>49</v>
      </c>
      <c r="B55" s="22" t="e">
        <f>SUM(B34:B54)</f>
        <v>#DIV/0!</v>
      </c>
    </row>
    <row r="56" spans="1:6">
      <c r="A56" s="3" t="s">
        <v>14</v>
      </c>
      <c r="B56" s="22" t="e">
        <f>B33-B55</f>
        <v>#DIV/0!</v>
      </c>
      <c r="D56" s="3" t="s">
        <v>47</v>
      </c>
      <c r="E56" s="21" t="e">
        <f>(B33/(1+公司筹建!B1)-SUM(B34:B53)+B52)*公司筹建!B3</f>
        <v>#DIV/0!</v>
      </c>
    </row>
    <row r="58" spans="1:6">
      <c r="A58" s="22">
        <f>Sheet4!B73</f>
        <v>0</v>
      </c>
      <c r="B58" s="22">
        <v>1.2</v>
      </c>
      <c r="C58" s="22" t="s">
        <v>92</v>
      </c>
      <c r="D58" s="22" t="s">
        <v>93</v>
      </c>
      <c r="E58" s="22" t="s">
        <v>94</v>
      </c>
    </row>
    <row r="59" spans="1:6">
      <c r="A59" s="22">
        <f>A58*1.5</f>
        <v>0</v>
      </c>
      <c r="B59" s="22">
        <v>1.3</v>
      </c>
      <c r="C59" s="22" t="s">
        <v>95</v>
      </c>
      <c r="D59" s="31">
        <f>E13</f>
        <v>0</v>
      </c>
      <c r="E59" s="31">
        <f>SUM(E14:E17)</f>
        <v>0</v>
      </c>
    </row>
    <row r="60" spans="1:6">
      <c r="A60" s="22">
        <f>A58*2</f>
        <v>0</v>
      </c>
      <c r="B60" s="22">
        <v>1.4</v>
      </c>
      <c r="C60" s="22" t="s">
        <v>96</v>
      </c>
      <c r="D60" s="31">
        <f>Sheet4!E28-F13</f>
        <v>0</v>
      </c>
      <c r="E60" s="31">
        <f>Sheet4!F28-SUM(F14:F17)</f>
        <v>0</v>
      </c>
    </row>
    <row r="61" spans="1:6">
      <c r="A61" s="22">
        <f>A58*2.5</f>
        <v>0</v>
      </c>
      <c r="B61" s="22">
        <v>1.5</v>
      </c>
      <c r="D61" s="31">
        <v>3750</v>
      </c>
      <c r="E61" s="31">
        <v>4500</v>
      </c>
    </row>
    <row r="62" spans="1:6">
      <c r="A62" s="22">
        <f>A58*3</f>
        <v>0</v>
      </c>
      <c r="B62" s="22">
        <v>1.6</v>
      </c>
      <c r="D62" s="31">
        <f>D61*2</f>
        <v>7500</v>
      </c>
      <c r="E62" s="31">
        <f>E61*2</f>
        <v>9000</v>
      </c>
    </row>
    <row r="63" spans="1:6" ht="14.4" thickBot="1"/>
    <row r="64" spans="1:6" ht="14.4" thickTop="1">
      <c r="A64" s="71" t="s">
        <v>66</v>
      </c>
      <c r="B64" s="72"/>
      <c r="C64" s="72"/>
      <c r="D64" s="72"/>
      <c r="E64" s="72"/>
      <c r="F64" s="73"/>
    </row>
    <row r="65" spans="1:6">
      <c r="A65" s="10" t="s">
        <v>102</v>
      </c>
      <c r="B65" s="10" t="s">
        <v>103</v>
      </c>
      <c r="C65" s="10" t="s">
        <v>104</v>
      </c>
      <c r="D65" s="10" t="s">
        <v>105</v>
      </c>
      <c r="E65" s="10" t="s">
        <v>106</v>
      </c>
      <c r="F65" s="10" t="s">
        <v>107</v>
      </c>
    </row>
    <row r="66" spans="1:6">
      <c r="A66" s="8" t="s">
        <v>108</v>
      </c>
      <c r="B66" s="9"/>
      <c r="C66" s="9"/>
      <c r="D66" s="8"/>
      <c r="E66" s="51">
        <v>0</v>
      </c>
      <c r="F66" s="8"/>
    </row>
    <row r="67" spans="1:6">
      <c r="A67" s="8" t="s">
        <v>109</v>
      </c>
      <c r="B67" s="9"/>
      <c r="C67" s="9"/>
      <c r="D67" s="8"/>
      <c r="E67" s="51">
        <v>0</v>
      </c>
      <c r="F67" s="8"/>
    </row>
    <row r="68" spans="1:6">
      <c r="A68" s="8" t="s">
        <v>110</v>
      </c>
      <c r="B68" s="9"/>
      <c r="C68" s="9"/>
      <c r="D68" s="8"/>
      <c r="E68" s="51">
        <v>0</v>
      </c>
      <c r="F68" s="8"/>
    </row>
    <row r="69" spans="1:6">
      <c r="A69" s="8" t="s">
        <v>111</v>
      </c>
      <c r="B69" s="9"/>
      <c r="C69" s="9"/>
      <c r="D69" s="8"/>
      <c r="E69" s="51">
        <v>0</v>
      </c>
      <c r="F69" s="8"/>
    </row>
    <row r="70" spans="1:6">
      <c r="A70" s="6" t="s">
        <v>112</v>
      </c>
      <c r="B70" s="6" t="s">
        <v>113</v>
      </c>
      <c r="C70" s="6" t="s">
        <v>114</v>
      </c>
      <c r="D70" s="6" t="s">
        <v>106</v>
      </c>
      <c r="E70" s="6" t="s">
        <v>115</v>
      </c>
      <c r="F70" s="6" t="s">
        <v>116</v>
      </c>
    </row>
    <row r="71" spans="1:6">
      <c r="A71" s="9"/>
      <c r="B71" s="9"/>
      <c r="C71" s="9"/>
      <c r="D71" s="51"/>
      <c r="E71" s="9">
        <f>ROUNDDOWN(Sheet4!E71-Sheet5!B10*1.35+Sheet5!B6,0)</f>
        <v>0</v>
      </c>
      <c r="F71" s="8"/>
    </row>
    <row r="72" spans="1:6">
      <c r="A72" s="6" t="s">
        <v>117</v>
      </c>
      <c r="B72" s="6" t="s">
        <v>118</v>
      </c>
      <c r="C72" s="6" t="s">
        <v>119</v>
      </c>
      <c r="D72" s="6" t="s">
        <v>120</v>
      </c>
      <c r="E72" s="6" t="s">
        <v>121</v>
      </c>
      <c r="F72" s="6" t="s">
        <v>107</v>
      </c>
    </row>
    <row r="73" spans="1:6">
      <c r="A73" s="9"/>
      <c r="B73" s="9">
        <f>ROUNDDOWN(A58*0.975,0)+B8*50000</f>
        <v>0</v>
      </c>
      <c r="C73" s="8"/>
      <c r="D73" s="8"/>
      <c r="E73" s="8"/>
      <c r="F73" s="8"/>
    </row>
    <row r="74" spans="1:6" ht="15.6">
      <c r="A74" s="36"/>
      <c r="B74" s="36"/>
      <c r="C74" s="36"/>
      <c r="D74" s="36"/>
      <c r="E74" s="36"/>
      <c r="F74" s="36"/>
    </row>
  </sheetData>
  <mergeCells count="14">
    <mergeCell ref="A64:F64"/>
    <mergeCell ref="A1:F2"/>
    <mergeCell ref="A18:B18"/>
    <mergeCell ref="E18:F18"/>
    <mergeCell ref="A3:F3"/>
    <mergeCell ref="A5:B5"/>
    <mergeCell ref="D5:F5"/>
    <mergeCell ref="A9:B9"/>
    <mergeCell ref="D11:F11"/>
    <mergeCell ref="A32:B32"/>
    <mergeCell ref="D32:E32"/>
    <mergeCell ref="D45:E45"/>
    <mergeCell ref="A19:F19"/>
    <mergeCell ref="A12:B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zoomScaleNormal="100" workbookViewId="0">
      <selection activeCell="C6" sqref="C6"/>
    </sheetView>
  </sheetViews>
  <sheetFormatPr defaultRowHeight="13.8"/>
  <cols>
    <col min="1" max="12" width="15.77734375" customWidth="1"/>
  </cols>
  <sheetData>
    <row r="1" spans="1:7" ht="13.8" customHeight="1">
      <c r="A1" s="74" t="s">
        <v>98</v>
      </c>
      <c r="B1" s="74"/>
      <c r="C1" s="74"/>
      <c r="D1" s="74"/>
      <c r="E1" s="74"/>
      <c r="F1" s="74"/>
      <c r="G1" s="37" t="s">
        <v>14</v>
      </c>
    </row>
    <row r="2" spans="1:7" ht="13.8" customHeight="1">
      <c r="A2" s="75"/>
      <c r="B2" s="75"/>
      <c r="C2" s="75"/>
      <c r="D2" s="75"/>
      <c r="E2" s="75"/>
      <c r="F2" s="75"/>
      <c r="G2" s="41" t="e">
        <f>B56</f>
        <v>#DIV/0!</v>
      </c>
    </row>
    <row r="3" spans="1:7" ht="15.6">
      <c r="A3" s="78" t="s">
        <v>39</v>
      </c>
      <c r="B3" s="78"/>
      <c r="C3" s="78"/>
      <c r="D3" s="78"/>
      <c r="E3" s="78"/>
      <c r="F3" s="78"/>
      <c r="G3" s="15" t="s">
        <v>91</v>
      </c>
    </row>
    <row r="4" spans="1:7" ht="14.4" thickBot="1">
      <c r="A4" s="30" t="s">
        <v>40</v>
      </c>
      <c r="B4" s="29"/>
      <c r="C4" s="30" t="s">
        <v>41</v>
      </c>
      <c r="D4" s="29"/>
      <c r="E4" s="30" t="s">
        <v>42</v>
      </c>
      <c r="F4" s="29"/>
      <c r="G4" s="41" t="e">
        <f>E55</f>
        <v>#DIV/0!</v>
      </c>
    </row>
    <row r="5" spans="1:7" ht="16.8" thickTop="1" thickBot="1">
      <c r="A5" s="79" t="s">
        <v>17</v>
      </c>
      <c r="B5" s="80"/>
      <c r="C5" s="26"/>
      <c r="D5" s="81" t="s">
        <v>28</v>
      </c>
      <c r="E5" s="77"/>
      <c r="F5" s="77"/>
      <c r="G5" s="15" t="s">
        <v>97</v>
      </c>
    </row>
    <row r="6" spans="1:7" ht="15" thickTop="1" thickBot="1">
      <c r="A6" s="12" t="s">
        <v>18</v>
      </c>
      <c r="B6" s="24"/>
      <c r="C6" s="67" t="s">
        <v>142</v>
      </c>
      <c r="D6" s="27" t="s">
        <v>27</v>
      </c>
      <c r="E6" s="6" t="s">
        <v>29</v>
      </c>
      <c r="F6" s="6" t="s">
        <v>30</v>
      </c>
      <c r="G6" s="41" t="e">
        <f>ROUNDDOWN(Sheet5!G4/1500000,0)</f>
        <v>#DIV/0!</v>
      </c>
    </row>
    <row r="7" spans="1:7" ht="15" thickTop="1" thickBot="1">
      <c r="A7" s="12" t="s">
        <v>19</v>
      </c>
      <c r="B7" s="24"/>
      <c r="C7" s="67" t="e">
        <f>E44</f>
        <v>#DIV/0!</v>
      </c>
      <c r="D7" s="15" t="s">
        <v>25</v>
      </c>
      <c r="E7" s="34"/>
      <c r="F7" s="29"/>
      <c r="G7" s="65" t="s">
        <v>126</v>
      </c>
    </row>
    <row r="8" spans="1:7" ht="15" thickTop="1" thickBot="1">
      <c r="A8" s="12" t="s">
        <v>20</v>
      </c>
      <c r="B8" s="24"/>
      <c r="C8" s="62" t="s">
        <v>72</v>
      </c>
      <c r="D8" s="56" t="s">
        <v>24</v>
      </c>
      <c r="E8" s="34"/>
      <c r="F8" s="29"/>
      <c r="G8" s="66" t="e">
        <f>Sheet7!G6</f>
        <v>#DIV/0!</v>
      </c>
    </row>
    <row r="9" spans="1:7" ht="16.8" thickTop="1" thickBot="1">
      <c r="A9" s="77" t="s">
        <v>21</v>
      </c>
      <c r="B9" s="77"/>
      <c r="C9" s="14"/>
      <c r="D9" s="56" t="s">
        <v>26</v>
      </c>
      <c r="E9" s="34"/>
      <c r="F9" s="29"/>
    </row>
    <row r="10" spans="1:7" ht="15" thickTop="1" thickBot="1">
      <c r="A10" s="12" t="s">
        <v>64</v>
      </c>
      <c r="B10" s="24">
        <f>3*A58</f>
        <v>0</v>
      </c>
      <c r="C10" s="28"/>
      <c r="D10" s="15" t="s">
        <v>23</v>
      </c>
      <c r="E10" s="34"/>
      <c r="F10" s="29"/>
    </row>
    <row r="11" spans="1:7" ht="16.8" thickTop="1" thickBot="1">
      <c r="A11" s="12" t="s">
        <v>65</v>
      </c>
      <c r="B11" s="24"/>
      <c r="C11" s="25" t="s">
        <v>75</v>
      </c>
      <c r="D11" s="84" t="s">
        <v>31</v>
      </c>
      <c r="E11" s="77"/>
      <c r="F11" s="77"/>
    </row>
    <row r="12" spans="1:7" ht="16.2" thickTop="1">
      <c r="A12" s="82" t="s">
        <v>22</v>
      </c>
      <c r="B12" s="83"/>
      <c r="C12" s="54" t="e">
        <f>(E37+Sheet5!E47)/(B6+B7+Sheet5!E71)</f>
        <v>#DIV/0!</v>
      </c>
      <c r="D12" s="55" t="s">
        <v>27</v>
      </c>
      <c r="E12" s="11" t="s">
        <v>37</v>
      </c>
      <c r="F12" s="6" t="s">
        <v>38</v>
      </c>
    </row>
    <row r="13" spans="1:7">
      <c r="A13" s="16" t="s">
        <v>27</v>
      </c>
      <c r="B13" s="17" t="s">
        <v>67</v>
      </c>
      <c r="C13" s="17" t="s">
        <v>99</v>
      </c>
      <c r="D13" s="56" t="s">
        <v>32</v>
      </c>
      <c r="E13" s="32">
        <f>B8*3</f>
        <v>0</v>
      </c>
      <c r="F13" s="29"/>
    </row>
    <row r="14" spans="1:7">
      <c r="A14" s="12" t="s">
        <v>25</v>
      </c>
      <c r="B14" s="24"/>
      <c r="C14" s="47">
        <f>B14+Sheet5!E21</f>
        <v>0</v>
      </c>
      <c r="D14" s="56" t="s">
        <v>33</v>
      </c>
      <c r="E14" s="33"/>
      <c r="F14" s="29"/>
    </row>
    <row r="15" spans="1:7">
      <c r="A15" s="12" t="s">
        <v>24</v>
      </c>
      <c r="B15" s="24"/>
      <c r="C15" s="47">
        <f>B15+Sheet5!E22</f>
        <v>0</v>
      </c>
      <c r="D15" s="56" t="s">
        <v>34</v>
      </c>
      <c r="E15" s="33"/>
      <c r="F15" s="29"/>
    </row>
    <row r="16" spans="1:7">
      <c r="A16" s="12" t="s">
        <v>26</v>
      </c>
      <c r="B16" s="24"/>
      <c r="C16" s="47">
        <f>B16+Sheet5!E23</f>
        <v>0</v>
      </c>
      <c r="D16" s="56" t="s">
        <v>35</v>
      </c>
      <c r="E16" s="32"/>
      <c r="F16" s="29"/>
    </row>
    <row r="17" spans="1:6" ht="14.4" thickBot="1">
      <c r="A17" s="12" t="s">
        <v>23</v>
      </c>
      <c r="B17" s="24"/>
      <c r="C17" s="47">
        <f>B17+Sheet5!E24</f>
        <v>0</v>
      </c>
      <c r="D17" s="56" t="s">
        <v>36</v>
      </c>
      <c r="E17" s="32"/>
      <c r="F17" s="29"/>
    </row>
    <row r="18" spans="1:6" ht="16.8" thickTop="1" thickBot="1">
      <c r="A18" s="76">
        <f>SUM(B14:B17)</f>
        <v>0</v>
      </c>
      <c r="B18" s="77"/>
      <c r="C18" s="13"/>
      <c r="D18" s="13"/>
      <c r="E18" s="77"/>
      <c r="F18" s="77"/>
    </row>
    <row r="19" spans="1:6" ht="14.4" thickTop="1">
      <c r="A19" s="71" t="s">
        <v>66</v>
      </c>
      <c r="B19" s="72"/>
      <c r="C19" s="72"/>
      <c r="D19" s="72"/>
      <c r="E19" s="72"/>
      <c r="F19" s="73"/>
    </row>
    <row r="20" spans="1:6">
      <c r="A20" s="10" t="s">
        <v>102</v>
      </c>
      <c r="B20" s="10" t="s">
        <v>103</v>
      </c>
      <c r="C20" s="10" t="s">
        <v>104</v>
      </c>
      <c r="D20" s="10" t="s">
        <v>105</v>
      </c>
      <c r="E20" s="10" t="s">
        <v>106</v>
      </c>
      <c r="F20" s="10" t="s">
        <v>107</v>
      </c>
    </row>
    <row r="21" spans="1:6">
      <c r="A21" s="8" t="s">
        <v>108</v>
      </c>
      <c r="B21" s="9"/>
      <c r="C21" s="9"/>
      <c r="D21" s="8"/>
      <c r="E21" s="51">
        <v>0</v>
      </c>
      <c r="F21" s="8"/>
    </row>
    <row r="22" spans="1:6">
      <c r="A22" s="8" t="s">
        <v>109</v>
      </c>
      <c r="B22" s="9"/>
      <c r="C22" s="9"/>
      <c r="D22" s="8"/>
      <c r="E22" s="51">
        <v>0</v>
      </c>
      <c r="F22" s="8"/>
    </row>
    <row r="23" spans="1:6">
      <c r="A23" s="8" t="s">
        <v>110</v>
      </c>
      <c r="B23" s="9"/>
      <c r="C23" s="9"/>
      <c r="D23" s="8"/>
      <c r="E23" s="51">
        <v>0</v>
      </c>
      <c r="F23" s="8"/>
    </row>
    <row r="24" spans="1:6">
      <c r="A24" s="8" t="s">
        <v>111</v>
      </c>
      <c r="B24" s="9"/>
      <c r="C24" s="9"/>
      <c r="D24" s="8"/>
      <c r="E24" s="51">
        <v>0</v>
      </c>
      <c r="F24" s="8"/>
    </row>
    <row r="25" spans="1:6">
      <c r="A25" s="6" t="s">
        <v>112</v>
      </c>
      <c r="B25" s="6" t="s">
        <v>113</v>
      </c>
      <c r="C25" s="6" t="s">
        <v>114</v>
      </c>
      <c r="D25" s="6" t="s">
        <v>106</v>
      </c>
      <c r="E25" s="6" t="s">
        <v>115</v>
      </c>
      <c r="F25" s="6" t="s">
        <v>116</v>
      </c>
    </row>
    <row r="26" spans="1:6">
      <c r="A26" s="9"/>
      <c r="B26" s="9"/>
      <c r="C26" s="9"/>
      <c r="D26" s="51">
        <v>0</v>
      </c>
      <c r="E26" s="9"/>
      <c r="F26" s="8"/>
    </row>
    <row r="27" spans="1:6">
      <c r="A27" s="6" t="s">
        <v>117</v>
      </c>
      <c r="B27" s="6" t="s">
        <v>118</v>
      </c>
      <c r="C27" s="6" t="s">
        <v>119</v>
      </c>
      <c r="D27" s="6" t="s">
        <v>120</v>
      </c>
      <c r="E27" s="6" t="s">
        <v>121</v>
      </c>
      <c r="F27" s="6" t="s">
        <v>107</v>
      </c>
    </row>
    <row r="28" spans="1:6">
      <c r="A28" s="9"/>
      <c r="B28" s="9"/>
      <c r="C28" s="8"/>
      <c r="D28" s="8"/>
      <c r="E28" s="8"/>
      <c r="F28" s="8"/>
    </row>
    <row r="29" spans="1:6" ht="15.6">
      <c r="A29" s="36"/>
      <c r="B29" s="36"/>
      <c r="C29" s="36"/>
      <c r="D29" s="36"/>
      <c r="E29" s="36"/>
      <c r="F29" s="36"/>
    </row>
    <row r="32" spans="1:6">
      <c r="A32" s="68" t="s">
        <v>8</v>
      </c>
      <c r="B32" s="69"/>
      <c r="D32" s="68" t="s">
        <v>68</v>
      </c>
      <c r="E32" s="69"/>
      <c r="F32" s="3" t="s">
        <v>78</v>
      </c>
    </row>
    <row r="33" spans="1:6">
      <c r="A33" s="3" t="s">
        <v>50</v>
      </c>
      <c r="B33" s="22">
        <f>E7*(C14-E21)+E8*(C15-E22)+E9*(C16-E23)+E10*(C17-E24)</f>
        <v>0</v>
      </c>
      <c r="D33" s="3" t="s">
        <v>50</v>
      </c>
      <c r="E33" s="23">
        <f>B33</f>
        <v>0</v>
      </c>
      <c r="F33" s="22" t="e">
        <f>E42</f>
        <v>#DIV/0!</v>
      </c>
    </row>
    <row r="34" spans="1:6">
      <c r="A34" s="3" t="s">
        <v>51</v>
      </c>
      <c r="B34" s="22">
        <f>B11</f>
        <v>0</v>
      </c>
      <c r="D34" s="3" t="s">
        <v>40</v>
      </c>
      <c r="E34" s="22">
        <f>B4</f>
        <v>0</v>
      </c>
      <c r="F34" s="3" t="s">
        <v>90</v>
      </c>
    </row>
    <row r="35" spans="1:6">
      <c r="A35" s="3" t="s">
        <v>52</v>
      </c>
      <c r="B35" s="22">
        <f>IF(B10&lt;=0,0,IF(B10&lt;=A59,10000,IF(B10&lt;=A61,15000,IF(B10&lt;=A62,20000,"超过最大产能"))))</f>
        <v>0</v>
      </c>
      <c r="D35" s="3" t="s">
        <v>69</v>
      </c>
      <c r="E35" s="22">
        <f>SUM(E33:E34)</f>
        <v>0</v>
      </c>
      <c r="F35" s="22" t="e">
        <f>E33/2-Sheet5!E42</f>
        <v>#DIV/0!</v>
      </c>
    </row>
    <row r="36" spans="1:6">
      <c r="A36" s="3" t="s">
        <v>53</v>
      </c>
      <c r="B36" s="22">
        <f>IF(B10&lt;=0,0,IF(B10&lt;=A58,B10*B58,IF(B10&lt;=A59,A58*B58+(B10-A58)*B59,IF(B10&lt;=A60,A58*B58+(B10-A58)*B60,IF(B10&lt;=A61,A60*B59+(B10-A60)*B61,IF(B10&lt;=A62,A60*B59+(B10-A60)*B62,IF(B10&gt;A62,"超过最大产能")))))))</f>
        <v>0</v>
      </c>
      <c r="D36" s="3" t="s">
        <v>70</v>
      </c>
      <c r="E36" s="22" t="e">
        <f>SUM(B34:B54)-B37-B42-B43</f>
        <v>#DIV/0!</v>
      </c>
    </row>
    <row r="37" spans="1:6">
      <c r="A37" s="3" t="s">
        <v>54</v>
      </c>
      <c r="B37" s="22" t="e">
        <f>B10*1.35*C12</f>
        <v>#DIV/0!</v>
      </c>
      <c r="D37" s="3" t="s">
        <v>71</v>
      </c>
      <c r="E37" s="22">
        <f>SUM(B6:B7)*C9</f>
        <v>0</v>
      </c>
    </row>
    <row r="38" spans="1:6">
      <c r="A38" s="3" t="s">
        <v>10</v>
      </c>
      <c r="B38" s="22">
        <f>IF((B6+B7)&lt;1,0,IF((B6+B7)&lt;=500000,40000,IF((B6+B7)&lt;=1000000,80000,IF((B6+B7)&lt;=1500000,120000,IF((B6+B7)&lt;=2000000,160000,IF((B6+B7)&gt;2000000,200000))))))</f>
        <v>0</v>
      </c>
      <c r="D38" s="3" t="s">
        <v>76</v>
      </c>
      <c r="E38" s="22">
        <f>B8*500000</f>
        <v>0</v>
      </c>
    </row>
    <row r="39" spans="1:6">
      <c r="A39" s="3" t="s">
        <v>55</v>
      </c>
      <c r="B39" s="22">
        <f>B7*1</f>
        <v>0</v>
      </c>
      <c r="D39" s="3" t="s">
        <v>41</v>
      </c>
      <c r="E39" s="22">
        <f>D4</f>
        <v>0</v>
      </c>
    </row>
    <row r="40" spans="1:6">
      <c r="A40" s="3" t="s">
        <v>56</v>
      </c>
      <c r="B40" s="22">
        <f>12000*Sheet5!C28</f>
        <v>0</v>
      </c>
      <c r="D40" s="3" t="s">
        <v>101</v>
      </c>
      <c r="E40" s="22">
        <f>F4</f>
        <v>0</v>
      </c>
    </row>
    <row r="41" spans="1:6">
      <c r="A41" s="3" t="s">
        <v>57</v>
      </c>
      <c r="B41" s="22">
        <f>B8*100000</f>
        <v>0</v>
      </c>
      <c r="D41" s="3" t="s">
        <v>77</v>
      </c>
      <c r="E41" s="22" t="e">
        <f>SUM(E36:E40)</f>
        <v>#DIV/0!</v>
      </c>
    </row>
    <row r="42" spans="1:6">
      <c r="A42" s="3" t="s">
        <v>58</v>
      </c>
      <c r="B42" s="22">
        <f>0.025*Sheet5!E49</f>
        <v>0</v>
      </c>
      <c r="D42" s="3" t="s">
        <v>78</v>
      </c>
      <c r="E42" s="22" t="e">
        <f>E35-E41</f>
        <v>#DIV/0!</v>
      </c>
    </row>
    <row r="43" spans="1:6">
      <c r="A43" s="3" t="s">
        <v>59</v>
      </c>
      <c r="B43" s="22">
        <f>Sheet5!E48-Sheet6!E49</f>
        <v>0</v>
      </c>
      <c r="D43" s="3" t="s">
        <v>79</v>
      </c>
      <c r="E43" s="22" t="e">
        <f>IF((Sheet5!E42+Sheet6!E42)&gt;Sheet6!E33/2,(Sheet5!E42+Sheet6!E42),Sheet6!E33/2)</f>
        <v>#DIV/0!</v>
      </c>
    </row>
    <row r="44" spans="1:6">
      <c r="A44" s="3" t="s">
        <v>60</v>
      </c>
      <c r="B44" s="22">
        <f>SUM(F7:F10)</f>
        <v>0</v>
      </c>
      <c r="D44" s="3" t="s">
        <v>80</v>
      </c>
      <c r="E44" s="22" t="e">
        <f>F33-F35</f>
        <v>#DIV/0!</v>
      </c>
    </row>
    <row r="45" spans="1:6">
      <c r="A45" s="3" t="s">
        <v>61</v>
      </c>
      <c r="B45" s="22">
        <f>B14*0.4+B15*0.1+B16*0.4+B17*0.5</f>
        <v>0</v>
      </c>
    </row>
    <row r="46" spans="1:6">
      <c r="A46" s="3" t="s">
        <v>62</v>
      </c>
      <c r="B46" s="22">
        <f>1500*SUM(E13:E17)</f>
        <v>0</v>
      </c>
      <c r="D46" s="68" t="s">
        <v>81</v>
      </c>
      <c r="E46" s="69"/>
    </row>
    <row r="47" spans="1:6">
      <c r="A47" s="3" t="s">
        <v>12</v>
      </c>
      <c r="B47" s="22">
        <f>D60*D62+E60*E62+D61*D63+E61*E63</f>
        <v>0</v>
      </c>
      <c r="D47" s="3" t="s">
        <v>82</v>
      </c>
      <c r="E47" s="23" t="e">
        <f>E43</f>
        <v>#DIV/0!</v>
      </c>
    </row>
    <row r="48" spans="1:6">
      <c r="A48" s="3" t="s">
        <v>63</v>
      </c>
      <c r="B48" s="22">
        <f>F13*5000+SUM(F14:F17)*6000</f>
        <v>0</v>
      </c>
      <c r="D48" s="3" t="s">
        <v>83</v>
      </c>
      <c r="E48" s="22" t="e">
        <f>C12*E71</f>
        <v>#DIV/0!</v>
      </c>
    </row>
    <row r="49" spans="1:6">
      <c r="A49" s="3" t="s">
        <v>43</v>
      </c>
      <c r="B49" s="22" t="e">
        <f>Sheet5!E47*0.1</f>
        <v>#DIV/0!</v>
      </c>
      <c r="D49" s="3" t="s">
        <v>84</v>
      </c>
      <c r="E49" s="22">
        <f>4*D26</f>
        <v>0</v>
      </c>
    </row>
    <row r="50" spans="1:6">
      <c r="A50" s="3" t="s">
        <v>44</v>
      </c>
      <c r="B50" s="22">
        <f>D26*0.5</f>
        <v>0</v>
      </c>
      <c r="D50" s="3" t="s">
        <v>85</v>
      </c>
      <c r="E50" s="22">
        <f>Sheet5!E49-B42+Sheet6!E38</f>
        <v>0</v>
      </c>
    </row>
    <row r="51" spans="1:6">
      <c r="A51" s="3" t="s">
        <v>45</v>
      </c>
      <c r="B51" s="22" t="e">
        <f>公司筹建!B4/4*E52+公司筹建!B4/4*3*Sheet5!E52</f>
        <v>#DIV/0!</v>
      </c>
      <c r="D51" s="3" t="s">
        <v>86</v>
      </c>
      <c r="E51" s="22" t="e">
        <f>SUM(E47:E50)</f>
        <v>#DIV/0!</v>
      </c>
    </row>
    <row r="52" spans="1:6">
      <c r="A52" s="3" t="s">
        <v>46</v>
      </c>
      <c r="B52" s="22">
        <f>B33/(1+公司筹建!B1)*公司筹建!B1</f>
        <v>0</v>
      </c>
      <c r="D52" s="3" t="s">
        <v>87</v>
      </c>
      <c r="E52" s="22" t="e">
        <f>Sheet5!E53+B4-D4</f>
        <v>#DIV/0!</v>
      </c>
    </row>
    <row r="53" spans="1:6">
      <c r="A53" s="3" t="s">
        <v>48</v>
      </c>
      <c r="B53" s="22">
        <f>B52*公司筹建!B2</f>
        <v>0</v>
      </c>
      <c r="D53" s="3" t="s">
        <v>88</v>
      </c>
      <c r="E53" s="22" t="e">
        <f>IF(E44&gt;=0,0,-E44)</f>
        <v>#DIV/0!</v>
      </c>
    </row>
    <row r="54" spans="1:6">
      <c r="A54" s="3" t="s">
        <v>47</v>
      </c>
      <c r="B54" s="22" t="e">
        <f>IF(E57&lt;=0,0,E57)</f>
        <v>#DIV/0!</v>
      </c>
      <c r="D54" s="3" t="s">
        <v>89</v>
      </c>
      <c r="E54" s="22" t="e">
        <f>E52+E53</f>
        <v>#DIV/0!</v>
      </c>
    </row>
    <row r="55" spans="1:6">
      <c r="A55" s="3" t="s">
        <v>49</v>
      </c>
      <c r="B55" s="22" t="e">
        <f>SUM(B34:B54)</f>
        <v>#DIV/0!</v>
      </c>
      <c r="D55" s="3" t="s">
        <v>91</v>
      </c>
      <c r="E55" s="31" t="e">
        <f>E51-E54</f>
        <v>#DIV/0!</v>
      </c>
    </row>
    <row r="56" spans="1:6">
      <c r="A56" s="3" t="s">
        <v>14</v>
      </c>
      <c r="B56" s="22" t="e">
        <f>B33-B55</f>
        <v>#DIV/0!</v>
      </c>
    </row>
    <row r="57" spans="1:6">
      <c r="D57" s="3" t="s">
        <v>47</v>
      </c>
      <c r="E57" s="21" t="e">
        <f>(B33/(1+公司筹建!B1)-SUM(B34:B53)+B52)*公司筹建!B3</f>
        <v>#DIV/0!</v>
      </c>
    </row>
    <row r="58" spans="1:6">
      <c r="A58" s="22">
        <f>Sheet5!B73</f>
        <v>0</v>
      </c>
      <c r="B58" s="22">
        <v>1.2</v>
      </c>
      <c r="C58" s="22" t="s">
        <v>92</v>
      </c>
    </row>
    <row r="59" spans="1:6">
      <c r="A59" s="22">
        <f>A58*1.5</f>
        <v>0</v>
      </c>
      <c r="B59" s="22">
        <v>1.3</v>
      </c>
      <c r="C59" s="22" t="s">
        <v>95</v>
      </c>
      <c r="D59" s="22" t="s">
        <v>93</v>
      </c>
      <c r="E59" s="22" t="s">
        <v>94</v>
      </c>
    </row>
    <row r="60" spans="1:6">
      <c r="A60" s="22">
        <f>A58*2</f>
        <v>0</v>
      </c>
      <c r="B60" s="22">
        <v>1.4</v>
      </c>
      <c r="C60" s="22" t="s">
        <v>96</v>
      </c>
      <c r="D60" s="31">
        <f>E13</f>
        <v>0</v>
      </c>
      <c r="E60" s="31">
        <f>SUM(E14:E17)</f>
        <v>0</v>
      </c>
    </row>
    <row r="61" spans="1:6">
      <c r="A61" s="22">
        <f>A58*2.5</f>
        <v>0</v>
      </c>
      <c r="B61" s="22">
        <v>1.5</v>
      </c>
      <c r="D61" s="31">
        <f>Sheet5!E28-F13</f>
        <v>0</v>
      </c>
      <c r="E61" s="31">
        <f>Sheet5!F28-SUM(F14:F17)</f>
        <v>0</v>
      </c>
    </row>
    <row r="62" spans="1:6">
      <c r="A62" s="22">
        <f>A58*3</f>
        <v>0</v>
      </c>
      <c r="B62" s="22">
        <v>1.6</v>
      </c>
      <c r="D62" s="31">
        <v>3750</v>
      </c>
      <c r="E62" s="31">
        <v>4500</v>
      </c>
    </row>
    <row r="63" spans="1:6" ht="14.4" thickBot="1">
      <c r="D63" s="31">
        <f>D62*2</f>
        <v>7500</v>
      </c>
      <c r="E63" s="31">
        <f>E62*2</f>
        <v>9000</v>
      </c>
    </row>
    <row r="64" spans="1:6" ht="14.4" thickTop="1">
      <c r="A64" s="71" t="s">
        <v>66</v>
      </c>
      <c r="B64" s="72"/>
      <c r="C64" s="72"/>
      <c r="D64" s="72"/>
      <c r="E64" s="72"/>
      <c r="F64" s="73"/>
    </row>
    <row r="65" spans="1:6">
      <c r="A65" s="10" t="s">
        <v>102</v>
      </c>
      <c r="B65" s="10" t="s">
        <v>103</v>
      </c>
      <c r="C65" s="10" t="s">
        <v>104</v>
      </c>
      <c r="D65" s="10" t="s">
        <v>105</v>
      </c>
      <c r="E65" s="10" t="s">
        <v>106</v>
      </c>
      <c r="F65" s="10" t="s">
        <v>107</v>
      </c>
    </row>
    <row r="66" spans="1:6">
      <c r="A66" s="8" t="s">
        <v>108</v>
      </c>
      <c r="B66" s="9"/>
      <c r="C66" s="9"/>
      <c r="D66" s="8"/>
      <c r="E66" s="51">
        <v>0</v>
      </c>
      <c r="F66" s="8"/>
    </row>
    <row r="67" spans="1:6">
      <c r="A67" s="8" t="s">
        <v>109</v>
      </c>
      <c r="B67" s="9"/>
      <c r="C67" s="9"/>
      <c r="D67" s="8"/>
      <c r="E67" s="51">
        <v>0</v>
      </c>
      <c r="F67" s="8"/>
    </row>
    <row r="68" spans="1:6">
      <c r="A68" s="8" t="s">
        <v>110</v>
      </c>
      <c r="B68" s="9"/>
      <c r="C68" s="9"/>
      <c r="D68" s="8"/>
      <c r="E68" s="51">
        <v>0</v>
      </c>
      <c r="F68" s="8"/>
    </row>
    <row r="69" spans="1:6">
      <c r="A69" s="8" t="s">
        <v>111</v>
      </c>
      <c r="B69" s="9"/>
      <c r="C69" s="9"/>
      <c r="D69" s="8"/>
      <c r="E69" s="51">
        <v>0</v>
      </c>
      <c r="F69" s="8"/>
    </row>
    <row r="70" spans="1:6">
      <c r="A70" s="6" t="s">
        <v>112</v>
      </c>
      <c r="B70" s="6" t="s">
        <v>113</v>
      </c>
      <c r="C70" s="6" t="s">
        <v>114</v>
      </c>
      <c r="D70" s="6" t="s">
        <v>106</v>
      </c>
      <c r="E70" s="6" t="s">
        <v>115</v>
      </c>
      <c r="F70" s="6" t="s">
        <v>116</v>
      </c>
    </row>
    <row r="71" spans="1:6">
      <c r="A71" s="9"/>
      <c r="B71" s="9"/>
      <c r="C71" s="9"/>
      <c r="D71" s="51"/>
      <c r="E71" s="9">
        <f>ROUNDDOWN(Sheet5!E71-Sheet6!B10*1.35+Sheet6!B6,0)</f>
        <v>0</v>
      </c>
      <c r="F71" s="8"/>
    </row>
    <row r="72" spans="1:6">
      <c r="A72" s="6" t="s">
        <v>117</v>
      </c>
      <c r="B72" s="6" t="s">
        <v>118</v>
      </c>
      <c r="C72" s="6" t="s">
        <v>119</v>
      </c>
      <c r="D72" s="6" t="s">
        <v>120</v>
      </c>
      <c r="E72" s="6" t="s">
        <v>121</v>
      </c>
      <c r="F72" s="6" t="s">
        <v>107</v>
      </c>
    </row>
    <row r="73" spans="1:6">
      <c r="A73" s="9"/>
      <c r="B73" s="9">
        <f>ROUNDDOWN(A58*0.975,0)+B8*50000</f>
        <v>0</v>
      </c>
      <c r="C73" s="8"/>
      <c r="D73" s="8"/>
      <c r="E73" s="8"/>
      <c r="F73" s="8"/>
    </row>
    <row r="74" spans="1:6" ht="15.6">
      <c r="A74" s="36"/>
      <c r="B74" s="36"/>
      <c r="C74" s="36"/>
      <c r="D74" s="36"/>
      <c r="E74" s="36"/>
      <c r="F74" s="36"/>
    </row>
  </sheetData>
  <mergeCells count="14">
    <mergeCell ref="A64:F64"/>
    <mergeCell ref="A1:F2"/>
    <mergeCell ref="A18:B18"/>
    <mergeCell ref="E18:F18"/>
    <mergeCell ref="A3:F3"/>
    <mergeCell ref="A5:B5"/>
    <mergeCell ref="D5:F5"/>
    <mergeCell ref="A9:B9"/>
    <mergeCell ref="D11:F11"/>
    <mergeCell ref="A32:B32"/>
    <mergeCell ref="D32:E32"/>
    <mergeCell ref="D46:E46"/>
    <mergeCell ref="A19:F19"/>
    <mergeCell ref="A12:B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>
      <selection activeCell="C6" sqref="C6"/>
    </sheetView>
  </sheetViews>
  <sheetFormatPr defaultRowHeight="13.8"/>
  <cols>
    <col min="1" max="13" width="15.77734375" customWidth="1"/>
  </cols>
  <sheetData>
    <row r="1" spans="1:7" ht="13.8" customHeight="1">
      <c r="A1" s="74" t="s">
        <v>98</v>
      </c>
      <c r="B1" s="74"/>
      <c r="C1" s="74"/>
      <c r="D1" s="74"/>
      <c r="E1" s="74"/>
      <c r="F1" s="74"/>
      <c r="G1" s="37" t="s">
        <v>14</v>
      </c>
    </row>
    <row r="2" spans="1:7" ht="13.8" customHeight="1">
      <c r="A2" s="75"/>
      <c r="B2" s="75"/>
      <c r="C2" s="75"/>
      <c r="D2" s="75"/>
      <c r="E2" s="75"/>
      <c r="F2" s="75"/>
      <c r="G2" s="41" t="e">
        <f>B56</f>
        <v>#DIV/0!</v>
      </c>
    </row>
    <row r="3" spans="1:7" ht="15.6">
      <c r="A3" s="78" t="s">
        <v>39</v>
      </c>
      <c r="B3" s="78"/>
      <c r="C3" s="78"/>
      <c r="D3" s="78"/>
      <c r="E3" s="78"/>
      <c r="F3" s="78"/>
      <c r="G3" s="15" t="s">
        <v>91</v>
      </c>
    </row>
    <row r="4" spans="1:7" ht="14.4" thickBot="1">
      <c r="A4" s="30" t="s">
        <v>40</v>
      </c>
      <c r="B4" s="29"/>
      <c r="C4" s="30" t="s">
        <v>41</v>
      </c>
      <c r="D4" s="29"/>
      <c r="E4" s="30" t="s">
        <v>42</v>
      </c>
      <c r="F4" s="29"/>
      <c r="G4" s="41" t="e">
        <f>E54</f>
        <v>#DIV/0!</v>
      </c>
    </row>
    <row r="5" spans="1:7" ht="16.8" thickTop="1" thickBot="1">
      <c r="A5" s="79" t="s">
        <v>17</v>
      </c>
      <c r="B5" s="80"/>
      <c r="C5" s="26"/>
      <c r="D5" s="81" t="s">
        <v>28</v>
      </c>
      <c r="E5" s="77"/>
      <c r="F5" s="77"/>
      <c r="G5" s="15" t="s">
        <v>97</v>
      </c>
    </row>
    <row r="6" spans="1:7" ht="15" thickTop="1" thickBot="1">
      <c r="A6" s="12" t="s">
        <v>18</v>
      </c>
      <c r="B6" s="24"/>
      <c r="C6" s="67" t="s">
        <v>142</v>
      </c>
      <c r="D6" s="27" t="s">
        <v>27</v>
      </c>
      <c r="E6" s="6" t="s">
        <v>29</v>
      </c>
      <c r="F6" s="6" t="s">
        <v>30</v>
      </c>
      <c r="G6" s="41" t="e">
        <f>ROUNDDOWN(Sheet6!G4/1500000,0)</f>
        <v>#DIV/0!</v>
      </c>
    </row>
    <row r="7" spans="1:7" ht="15" thickTop="1" thickBot="1">
      <c r="A7" s="12" t="s">
        <v>19</v>
      </c>
      <c r="B7" s="24"/>
      <c r="C7" s="67" t="e">
        <f>E43</f>
        <v>#DIV/0!</v>
      </c>
      <c r="D7" s="15" t="s">
        <v>25</v>
      </c>
      <c r="E7" s="34"/>
      <c r="F7" s="29"/>
      <c r="G7" s="65" t="s">
        <v>126</v>
      </c>
    </row>
    <row r="8" spans="1:7" ht="15" thickTop="1" thickBot="1">
      <c r="A8" s="12" t="s">
        <v>20</v>
      </c>
      <c r="B8" s="24"/>
      <c r="C8" s="62" t="s">
        <v>72</v>
      </c>
      <c r="D8" s="56" t="s">
        <v>24</v>
      </c>
      <c r="E8" s="34"/>
      <c r="F8" s="29"/>
      <c r="G8" s="66" t="e">
        <f>Sheet8!G6</f>
        <v>#DIV/0!</v>
      </c>
    </row>
    <row r="9" spans="1:7" ht="16.8" thickTop="1" thickBot="1">
      <c r="A9" s="77" t="s">
        <v>21</v>
      </c>
      <c r="B9" s="77"/>
      <c r="C9" s="14"/>
      <c r="D9" s="56" t="s">
        <v>26</v>
      </c>
      <c r="E9" s="34"/>
      <c r="F9" s="29"/>
    </row>
    <row r="10" spans="1:7" ht="15" thickTop="1" thickBot="1">
      <c r="A10" s="12" t="s">
        <v>64</v>
      </c>
      <c r="B10" s="24">
        <f>3*A58</f>
        <v>0</v>
      </c>
      <c r="C10" s="28"/>
      <c r="D10" s="15" t="s">
        <v>23</v>
      </c>
      <c r="E10" s="34"/>
      <c r="F10" s="29"/>
    </row>
    <row r="11" spans="1:7" ht="16.8" thickTop="1" thickBot="1">
      <c r="A11" s="12" t="s">
        <v>65</v>
      </c>
      <c r="B11" s="24"/>
      <c r="C11" s="25" t="s">
        <v>75</v>
      </c>
      <c r="D11" s="84" t="s">
        <v>31</v>
      </c>
      <c r="E11" s="77"/>
      <c r="F11" s="77"/>
    </row>
    <row r="12" spans="1:7" ht="16.2" thickTop="1">
      <c r="A12" s="82" t="s">
        <v>22</v>
      </c>
      <c r="B12" s="83"/>
      <c r="C12" s="54" t="e">
        <f>(E37+Sheet6!E48)/(B6+B7+Sheet6!E71)</f>
        <v>#DIV/0!</v>
      </c>
      <c r="D12" s="55" t="s">
        <v>27</v>
      </c>
      <c r="E12" s="11" t="s">
        <v>37</v>
      </c>
      <c r="F12" s="6" t="s">
        <v>38</v>
      </c>
    </row>
    <row r="13" spans="1:7">
      <c r="A13" s="16" t="s">
        <v>27</v>
      </c>
      <c r="B13" s="17" t="s">
        <v>67</v>
      </c>
      <c r="C13" s="17" t="s">
        <v>99</v>
      </c>
      <c r="D13" s="56" t="s">
        <v>32</v>
      </c>
      <c r="E13" s="32">
        <f>B8*3</f>
        <v>0</v>
      </c>
      <c r="F13" s="29"/>
    </row>
    <row r="14" spans="1:7">
      <c r="A14" s="12" t="s">
        <v>25</v>
      </c>
      <c r="B14" s="24"/>
      <c r="C14" s="47">
        <f>B14+Sheet6!E21</f>
        <v>0</v>
      </c>
      <c r="D14" s="56" t="s">
        <v>33</v>
      </c>
      <c r="E14" s="33"/>
      <c r="F14" s="29"/>
    </row>
    <row r="15" spans="1:7">
      <c r="A15" s="12" t="s">
        <v>24</v>
      </c>
      <c r="B15" s="24"/>
      <c r="C15" s="47">
        <f>B15+Sheet6!E22</f>
        <v>0</v>
      </c>
      <c r="D15" s="56" t="s">
        <v>34</v>
      </c>
      <c r="E15" s="33"/>
      <c r="F15" s="29"/>
    </row>
    <row r="16" spans="1:7">
      <c r="A16" s="12" t="s">
        <v>26</v>
      </c>
      <c r="B16" s="24"/>
      <c r="C16" s="47">
        <f>B16+Sheet6!E23</f>
        <v>0</v>
      </c>
      <c r="D16" s="56" t="s">
        <v>35</v>
      </c>
      <c r="E16" s="32"/>
      <c r="F16" s="29"/>
    </row>
    <row r="17" spans="1:9" ht="14.4" thickBot="1">
      <c r="A17" s="12" t="s">
        <v>23</v>
      </c>
      <c r="B17" s="24"/>
      <c r="C17" s="47">
        <f>B17+Sheet6!E24</f>
        <v>0</v>
      </c>
      <c r="D17" s="56" t="s">
        <v>36</v>
      </c>
      <c r="E17" s="32"/>
      <c r="F17" s="29"/>
    </row>
    <row r="18" spans="1:9" ht="16.8" thickTop="1" thickBot="1">
      <c r="A18" s="76">
        <f>SUM(B14:B17)</f>
        <v>0</v>
      </c>
      <c r="B18" s="77"/>
      <c r="C18" s="50">
        <f>SUM(C14:C17)</f>
        <v>0</v>
      </c>
      <c r="D18" s="13"/>
      <c r="E18" s="77"/>
      <c r="F18" s="77"/>
      <c r="G18" s="64" t="s">
        <v>139</v>
      </c>
      <c r="H18" s="64"/>
      <c r="I18" s="63"/>
    </row>
    <row r="19" spans="1:9" ht="14.4" thickTop="1">
      <c r="A19" s="71" t="s">
        <v>66</v>
      </c>
      <c r="B19" s="72"/>
      <c r="C19" s="72"/>
      <c r="D19" s="72"/>
      <c r="E19" s="72"/>
      <c r="F19" s="73"/>
      <c r="G19" s="60">
        <f>ROUNDDOWN(A58*0.975,0)+B8*50000</f>
        <v>0</v>
      </c>
      <c r="H19" s="61"/>
      <c r="I19" s="12" t="s">
        <v>129</v>
      </c>
    </row>
    <row r="20" spans="1:9">
      <c r="A20" s="10" t="s">
        <v>102</v>
      </c>
      <c r="B20" s="10" t="s">
        <v>103</v>
      </c>
      <c r="C20" s="10" t="s">
        <v>104</v>
      </c>
      <c r="D20" s="10" t="s">
        <v>105</v>
      </c>
      <c r="E20" s="10" t="s">
        <v>106</v>
      </c>
      <c r="F20" s="10" t="s">
        <v>107</v>
      </c>
      <c r="G20" s="57">
        <f>G19*3</f>
        <v>0</v>
      </c>
      <c r="H20" s="40"/>
      <c r="I20" s="12" t="s">
        <v>131</v>
      </c>
    </row>
    <row r="21" spans="1:9">
      <c r="A21" s="8" t="s">
        <v>108</v>
      </c>
      <c r="B21" s="9"/>
      <c r="C21" s="9"/>
      <c r="D21" s="8"/>
      <c r="E21" s="51">
        <v>0</v>
      </c>
      <c r="F21" s="8"/>
      <c r="G21" s="58">
        <f>ROUNDUP(G20*1.35,0)</f>
        <v>0</v>
      </c>
      <c r="H21" s="40"/>
      <c r="I21" s="12" t="s">
        <v>133</v>
      </c>
    </row>
    <row r="22" spans="1:9">
      <c r="A22" s="8" t="s">
        <v>109</v>
      </c>
      <c r="B22" s="9"/>
      <c r="C22" s="9"/>
      <c r="D22" s="8"/>
      <c r="E22" s="51">
        <v>0</v>
      </c>
      <c r="F22" s="8"/>
      <c r="G22" s="45" t="s">
        <v>125</v>
      </c>
      <c r="H22" s="59">
        <f>G21+H21</f>
        <v>0</v>
      </c>
      <c r="I22" s="12"/>
    </row>
    <row r="23" spans="1:9">
      <c r="A23" s="8" t="s">
        <v>110</v>
      </c>
      <c r="B23" s="9"/>
      <c r="C23" s="9"/>
      <c r="D23" s="8"/>
      <c r="E23" s="51">
        <v>0</v>
      </c>
      <c r="F23" s="8"/>
    </row>
    <row r="24" spans="1:9">
      <c r="A24" s="8" t="s">
        <v>111</v>
      </c>
      <c r="B24" s="9"/>
      <c r="C24" s="9"/>
      <c r="D24" s="8"/>
      <c r="E24" s="51">
        <v>0</v>
      </c>
      <c r="F24" s="8"/>
    </row>
    <row r="25" spans="1:9">
      <c r="A25" s="6" t="s">
        <v>112</v>
      </c>
      <c r="B25" s="6" t="s">
        <v>113</v>
      </c>
      <c r="C25" s="6" t="s">
        <v>114</v>
      </c>
      <c r="D25" s="6" t="s">
        <v>106</v>
      </c>
      <c r="E25" s="6" t="s">
        <v>115</v>
      </c>
      <c r="F25" s="6" t="s">
        <v>116</v>
      </c>
    </row>
    <row r="26" spans="1:9">
      <c r="A26" s="9"/>
      <c r="B26" s="9"/>
      <c r="C26" s="9"/>
      <c r="D26" s="51">
        <v>0</v>
      </c>
      <c r="E26" s="9"/>
      <c r="F26" s="8"/>
    </row>
    <row r="27" spans="1:9">
      <c r="A27" s="6" t="s">
        <v>117</v>
      </c>
      <c r="B27" s="6" t="s">
        <v>118</v>
      </c>
      <c r="C27" s="6" t="s">
        <v>119</v>
      </c>
      <c r="D27" s="6" t="s">
        <v>120</v>
      </c>
      <c r="E27" s="6" t="s">
        <v>121</v>
      </c>
      <c r="F27" s="6" t="s">
        <v>107</v>
      </c>
    </row>
    <row r="28" spans="1:9">
      <c r="A28" s="9"/>
      <c r="B28" s="9"/>
      <c r="C28" s="8"/>
      <c r="D28" s="8"/>
      <c r="E28" s="8"/>
      <c r="F28" s="8"/>
    </row>
    <row r="29" spans="1:9" ht="15.6">
      <c r="A29" s="36"/>
      <c r="B29" s="36"/>
      <c r="C29" s="36"/>
      <c r="D29" s="36"/>
      <c r="E29" s="36"/>
      <c r="F29" s="36"/>
    </row>
    <row r="32" spans="1:9">
      <c r="A32" s="68" t="s">
        <v>8</v>
      </c>
      <c r="B32" s="69"/>
      <c r="D32" s="68" t="s">
        <v>68</v>
      </c>
      <c r="E32" s="69"/>
      <c r="F32" s="3" t="s">
        <v>78</v>
      </c>
    </row>
    <row r="33" spans="1:6">
      <c r="A33" s="3" t="s">
        <v>50</v>
      </c>
      <c r="B33" s="22">
        <f>E7*(C14-E21)+E8*(C15-E22)+E9*(C16-E23)+E10*(C17-E24)</f>
        <v>0</v>
      </c>
      <c r="D33" s="3" t="s">
        <v>50</v>
      </c>
      <c r="E33" s="23">
        <f>B33</f>
        <v>0</v>
      </c>
      <c r="F33" s="22" t="e">
        <f>E41</f>
        <v>#DIV/0!</v>
      </c>
    </row>
    <row r="34" spans="1:6">
      <c r="A34" s="3" t="s">
        <v>51</v>
      </c>
      <c r="B34" s="22">
        <f>B11</f>
        <v>0</v>
      </c>
      <c r="D34" s="3" t="s">
        <v>40</v>
      </c>
      <c r="E34" s="22">
        <f>B4</f>
        <v>0</v>
      </c>
      <c r="F34" s="3" t="s">
        <v>90</v>
      </c>
    </row>
    <row r="35" spans="1:6">
      <c r="A35" s="3" t="s">
        <v>52</v>
      </c>
      <c r="B35" s="22">
        <f>IF(B10&lt;=0,0,IF(B10&lt;=A59,10000,IF(B10&lt;=A61,15000,IF(B10&lt;=A62,20000,"超过最大产能"))))</f>
        <v>0</v>
      </c>
      <c r="D35" s="3" t="s">
        <v>69</v>
      </c>
      <c r="E35" s="22">
        <f>SUM(E33:E34)</f>
        <v>0</v>
      </c>
      <c r="F35" s="22" t="e">
        <f>E33/2-Sheet6!E43</f>
        <v>#DIV/0!</v>
      </c>
    </row>
    <row r="36" spans="1:6">
      <c r="A36" s="3" t="s">
        <v>53</v>
      </c>
      <c r="B36" s="22">
        <f>IF(B10&lt;=0,0,IF(B10&lt;=A58,B10*B58,IF(B10&lt;=A59,A58*B58+(B10-A58)*B59,IF(B10&lt;=A60,A58*B58+(B10-A58)*B60,IF(B10&lt;=A61,A60*B59+(B10-A60)*B61,IF(B10&lt;=A62,A60*B59+(B10-A60)*B62,IF(B10&gt;A62,"超过最大产能")))))))</f>
        <v>0</v>
      </c>
      <c r="D36" s="3" t="s">
        <v>70</v>
      </c>
      <c r="E36" s="22" t="e">
        <f>SUM(B34:B54)-B37-B42-B43</f>
        <v>#DIV/0!</v>
      </c>
    </row>
    <row r="37" spans="1:6">
      <c r="A37" s="3" t="s">
        <v>54</v>
      </c>
      <c r="B37" s="22" t="e">
        <f>B10*1.35*C12</f>
        <v>#DIV/0!</v>
      </c>
      <c r="D37" s="3" t="s">
        <v>71</v>
      </c>
      <c r="E37" s="22">
        <f>SUM(B6:B7)*C9</f>
        <v>0</v>
      </c>
    </row>
    <row r="38" spans="1:6">
      <c r="A38" s="3" t="s">
        <v>10</v>
      </c>
      <c r="B38" s="22">
        <f>IF((B6+B7)&lt;1,0,IF((B6+B7)&lt;=500000,40000,IF((B6+B7)&lt;=1000000,80000,IF((B6+B7)&lt;=1500000,120000,IF((B6+B7)&lt;=2000000,160000,IF((B6+B7)&gt;2000000,200000))))))</f>
        <v>0</v>
      </c>
      <c r="D38" s="3" t="s">
        <v>76</v>
      </c>
      <c r="E38" s="22">
        <f>B8*500000</f>
        <v>0</v>
      </c>
    </row>
    <row r="39" spans="1:6">
      <c r="A39" s="3" t="s">
        <v>55</v>
      </c>
      <c r="B39" s="22">
        <f>B7*1</f>
        <v>0</v>
      </c>
      <c r="D39" s="3" t="s">
        <v>41</v>
      </c>
      <c r="E39" s="22">
        <f>D4</f>
        <v>0</v>
      </c>
    </row>
    <row r="40" spans="1:6">
      <c r="A40" s="3" t="s">
        <v>56</v>
      </c>
      <c r="B40" s="22">
        <f>12000*Sheet6!C28</f>
        <v>0</v>
      </c>
      <c r="D40" s="3" t="s">
        <v>77</v>
      </c>
      <c r="E40" s="22" t="e">
        <f>SUM(E36:E39)</f>
        <v>#DIV/0!</v>
      </c>
    </row>
    <row r="41" spans="1:6">
      <c r="A41" s="3" t="s">
        <v>57</v>
      </c>
      <c r="B41" s="22">
        <f>B8*100000</f>
        <v>0</v>
      </c>
      <c r="D41" s="3" t="s">
        <v>78</v>
      </c>
      <c r="E41" s="22" t="e">
        <f>E35-E40</f>
        <v>#DIV/0!</v>
      </c>
    </row>
    <row r="42" spans="1:6">
      <c r="A42" s="3" t="s">
        <v>58</v>
      </c>
      <c r="B42" s="22">
        <f>0.025*Sheet6!E50</f>
        <v>0</v>
      </c>
      <c r="D42" s="3" t="s">
        <v>79</v>
      </c>
      <c r="E42" s="22" t="e">
        <f>IF((Sheet6!E43+Sheet7!E41)&gt;Sheet7!E33/2,(Sheet6!E43+Sheet7!E41),Sheet7!E33/2)</f>
        <v>#DIV/0!</v>
      </c>
    </row>
    <row r="43" spans="1:6">
      <c r="A43" s="3" t="s">
        <v>59</v>
      </c>
      <c r="B43" s="22">
        <f>Sheet6!E49-Sheet7!E48</f>
        <v>0</v>
      </c>
      <c r="D43" s="3" t="s">
        <v>80</v>
      </c>
      <c r="E43" s="22" t="e">
        <f>F33-F35</f>
        <v>#DIV/0!</v>
      </c>
    </row>
    <row r="44" spans="1:6">
      <c r="A44" s="3" t="s">
        <v>60</v>
      </c>
      <c r="B44" s="22">
        <f>SUM(F7:F10)</f>
        <v>0</v>
      </c>
    </row>
    <row r="45" spans="1:6">
      <c r="A45" s="3" t="s">
        <v>61</v>
      </c>
      <c r="B45" s="22">
        <f>B14*0.4+B15*0.1+B16*0.4+B17*0.5</f>
        <v>0</v>
      </c>
      <c r="D45" s="68" t="s">
        <v>81</v>
      </c>
      <c r="E45" s="69"/>
    </row>
    <row r="46" spans="1:6">
      <c r="A46" s="3" t="s">
        <v>62</v>
      </c>
      <c r="B46" s="22">
        <f>1500*SUM(E13:E17)</f>
        <v>0</v>
      </c>
      <c r="D46" s="3" t="s">
        <v>82</v>
      </c>
      <c r="E46" s="23" t="e">
        <f>E42</f>
        <v>#DIV/0!</v>
      </c>
    </row>
    <row r="47" spans="1:6">
      <c r="A47" s="3" t="s">
        <v>12</v>
      </c>
      <c r="B47" s="22">
        <f>D59*D61+E59*E61+D60*D62+E60*E62</f>
        <v>0</v>
      </c>
      <c r="D47" s="3" t="s">
        <v>83</v>
      </c>
      <c r="E47" s="22" t="e">
        <f>C12*E71</f>
        <v>#DIV/0!</v>
      </c>
    </row>
    <row r="48" spans="1:6">
      <c r="A48" s="3" t="s">
        <v>63</v>
      </c>
      <c r="B48" s="22">
        <f>F13*5000+SUM(F14:F17)*6000</f>
        <v>0</v>
      </c>
      <c r="D48" s="3" t="s">
        <v>84</v>
      </c>
      <c r="E48" s="22">
        <f>4*D26</f>
        <v>0</v>
      </c>
    </row>
    <row r="49" spans="1:6">
      <c r="A49" s="3" t="s">
        <v>43</v>
      </c>
      <c r="B49" s="22" t="e">
        <f>Sheet6!E48*0.1</f>
        <v>#DIV/0!</v>
      </c>
      <c r="D49" s="3" t="s">
        <v>85</v>
      </c>
      <c r="E49" s="22">
        <f>Sheet6!E50-B42+Sheet7!E38</f>
        <v>0</v>
      </c>
    </row>
    <row r="50" spans="1:6">
      <c r="A50" s="3" t="s">
        <v>44</v>
      </c>
      <c r="B50" s="22">
        <f>D26*0.5</f>
        <v>0</v>
      </c>
      <c r="D50" s="3" t="s">
        <v>86</v>
      </c>
      <c r="E50" s="22" t="e">
        <f>SUM(E46:E49)</f>
        <v>#DIV/0!</v>
      </c>
    </row>
    <row r="51" spans="1:6">
      <c r="A51" s="3" t="s">
        <v>45</v>
      </c>
      <c r="B51" s="22" t="e">
        <f>公司筹建!B4/4*E51+公司筹建!B4/4*3*Sheet6!E53</f>
        <v>#DIV/0!</v>
      </c>
      <c r="D51" s="3" t="s">
        <v>87</v>
      </c>
      <c r="E51" s="22" t="e">
        <f>Sheet6!E54+B4-D4</f>
        <v>#DIV/0!</v>
      </c>
    </row>
    <row r="52" spans="1:6">
      <c r="A52" s="3" t="s">
        <v>46</v>
      </c>
      <c r="B52" s="22">
        <f>B33/(1+公司筹建!B1)*公司筹建!B1</f>
        <v>0</v>
      </c>
      <c r="D52" s="3" t="s">
        <v>88</v>
      </c>
      <c r="E52" s="22" t="e">
        <f>IF(E43&gt;=0,0,-E43)</f>
        <v>#DIV/0!</v>
      </c>
    </row>
    <row r="53" spans="1:6">
      <c r="A53" s="3" t="s">
        <v>48</v>
      </c>
      <c r="B53" s="22">
        <f>B52*公司筹建!B2</f>
        <v>0</v>
      </c>
      <c r="D53" s="3" t="s">
        <v>89</v>
      </c>
      <c r="E53" s="22" t="e">
        <f>E51+E52</f>
        <v>#DIV/0!</v>
      </c>
    </row>
    <row r="54" spans="1:6">
      <c r="A54" s="3" t="s">
        <v>47</v>
      </c>
      <c r="B54" s="22" t="e">
        <f>IF(E56&lt;=0,0,E56)</f>
        <v>#DIV/0!</v>
      </c>
      <c r="D54" s="3" t="s">
        <v>91</v>
      </c>
      <c r="E54" s="31" t="e">
        <f>E50-E53</f>
        <v>#DIV/0!</v>
      </c>
    </row>
    <row r="55" spans="1:6">
      <c r="A55" s="3" t="s">
        <v>49</v>
      </c>
      <c r="B55" s="22" t="e">
        <f>SUM(B34:B54)</f>
        <v>#DIV/0!</v>
      </c>
    </row>
    <row r="56" spans="1:6">
      <c r="A56" s="3" t="s">
        <v>14</v>
      </c>
      <c r="B56" s="22" t="e">
        <f>B33-B55</f>
        <v>#DIV/0!</v>
      </c>
      <c r="D56" s="3" t="s">
        <v>47</v>
      </c>
      <c r="E56" s="21" t="e">
        <f>(B33/(1+公司筹建!B1)-SUM(B34:B53)+B52)*公司筹建!B3</f>
        <v>#DIV/0!</v>
      </c>
    </row>
    <row r="58" spans="1:6">
      <c r="A58" s="22">
        <f>Sheet6!B73</f>
        <v>0</v>
      </c>
      <c r="B58" s="22">
        <v>1.2</v>
      </c>
      <c r="C58" s="22" t="s">
        <v>92</v>
      </c>
      <c r="D58" s="22" t="s">
        <v>93</v>
      </c>
      <c r="E58" s="22" t="s">
        <v>94</v>
      </c>
    </row>
    <row r="59" spans="1:6">
      <c r="A59" s="22">
        <f>A58*1.5</f>
        <v>0</v>
      </c>
      <c r="B59" s="22">
        <v>1.3</v>
      </c>
      <c r="C59" s="22" t="s">
        <v>95</v>
      </c>
      <c r="D59" s="31">
        <f>E13</f>
        <v>0</v>
      </c>
      <c r="E59" s="31">
        <f>SUM(E14:E17)</f>
        <v>0</v>
      </c>
    </row>
    <row r="60" spans="1:6">
      <c r="A60" s="22">
        <f>A58*2</f>
        <v>0</v>
      </c>
      <c r="B60" s="22">
        <v>1.4</v>
      </c>
      <c r="C60" s="22" t="s">
        <v>96</v>
      </c>
      <c r="D60" s="31">
        <f>Sheet6!E28-F13</f>
        <v>0</v>
      </c>
      <c r="E60" s="31">
        <f>Sheet6!F28-SUM(F14:F17)</f>
        <v>0</v>
      </c>
    </row>
    <row r="61" spans="1:6">
      <c r="A61" s="22">
        <f>A58*2.5</f>
        <v>0</v>
      </c>
      <c r="B61" s="22">
        <v>1.5</v>
      </c>
      <c r="D61" s="31">
        <v>3750</v>
      </c>
      <c r="E61" s="31">
        <v>4500</v>
      </c>
    </row>
    <row r="62" spans="1:6">
      <c r="A62" s="22">
        <f>A58*3</f>
        <v>0</v>
      </c>
      <c r="B62" s="22">
        <v>1.6</v>
      </c>
      <c r="D62" s="31">
        <f>D61*2</f>
        <v>7500</v>
      </c>
      <c r="E62" s="31">
        <f>E61*2</f>
        <v>9000</v>
      </c>
    </row>
    <row r="63" spans="1:6" ht="14.4" thickBot="1"/>
    <row r="64" spans="1:6" ht="14.4" thickTop="1">
      <c r="A64" s="71" t="s">
        <v>66</v>
      </c>
      <c r="B64" s="72"/>
      <c r="C64" s="72"/>
      <c r="D64" s="72"/>
      <c r="E64" s="72"/>
      <c r="F64" s="73"/>
    </row>
    <row r="65" spans="1:6">
      <c r="A65" s="10" t="s">
        <v>102</v>
      </c>
      <c r="B65" s="10" t="s">
        <v>103</v>
      </c>
      <c r="C65" s="10" t="s">
        <v>104</v>
      </c>
      <c r="D65" s="10" t="s">
        <v>105</v>
      </c>
      <c r="E65" s="10" t="s">
        <v>106</v>
      </c>
      <c r="F65" s="10" t="s">
        <v>107</v>
      </c>
    </row>
    <row r="66" spans="1:6">
      <c r="A66" s="8" t="s">
        <v>108</v>
      </c>
      <c r="B66" s="9"/>
      <c r="C66" s="9"/>
      <c r="D66" s="8"/>
      <c r="E66" s="51">
        <v>0</v>
      </c>
      <c r="F66" s="8"/>
    </row>
    <row r="67" spans="1:6">
      <c r="A67" s="8" t="s">
        <v>109</v>
      </c>
      <c r="B67" s="9"/>
      <c r="C67" s="9"/>
      <c r="D67" s="8"/>
      <c r="E67" s="51">
        <v>0</v>
      </c>
      <c r="F67" s="8"/>
    </row>
    <row r="68" spans="1:6">
      <c r="A68" s="8" t="s">
        <v>110</v>
      </c>
      <c r="B68" s="9"/>
      <c r="C68" s="9"/>
      <c r="D68" s="8"/>
      <c r="E68" s="51">
        <v>0</v>
      </c>
      <c r="F68" s="8"/>
    </row>
    <row r="69" spans="1:6">
      <c r="A69" s="8" t="s">
        <v>111</v>
      </c>
      <c r="B69" s="9"/>
      <c r="C69" s="9"/>
      <c r="D69" s="8"/>
      <c r="E69" s="51">
        <v>0</v>
      </c>
      <c r="F69" s="8"/>
    </row>
    <row r="70" spans="1:6">
      <c r="A70" s="6" t="s">
        <v>112</v>
      </c>
      <c r="B70" s="6" t="s">
        <v>113</v>
      </c>
      <c r="C70" s="6" t="s">
        <v>114</v>
      </c>
      <c r="D70" s="6" t="s">
        <v>106</v>
      </c>
      <c r="E70" s="6" t="s">
        <v>115</v>
      </c>
      <c r="F70" s="6" t="s">
        <v>116</v>
      </c>
    </row>
    <row r="71" spans="1:6">
      <c r="A71" s="9"/>
      <c r="B71" s="9"/>
      <c r="C71" s="9"/>
      <c r="D71" s="51"/>
      <c r="E71" s="9">
        <f>ROUNDDOWN(Sheet6!E71-Sheet7!B10*1.35+Sheet7!B6,0)</f>
        <v>0</v>
      </c>
      <c r="F71" s="8"/>
    </row>
    <row r="72" spans="1:6">
      <c r="A72" s="6" t="s">
        <v>117</v>
      </c>
      <c r="B72" s="6" t="s">
        <v>118</v>
      </c>
      <c r="C72" s="6" t="s">
        <v>119</v>
      </c>
      <c r="D72" s="6" t="s">
        <v>120</v>
      </c>
      <c r="E72" s="6" t="s">
        <v>121</v>
      </c>
      <c r="F72" s="6" t="s">
        <v>107</v>
      </c>
    </row>
    <row r="73" spans="1:6">
      <c r="A73" s="9"/>
      <c r="B73" s="9">
        <f>ROUNDDOWN(A58*0.975,0)+B8*50000</f>
        <v>0</v>
      </c>
      <c r="C73" s="8"/>
      <c r="D73" s="8"/>
      <c r="E73" s="8"/>
      <c r="F73" s="8"/>
    </row>
    <row r="74" spans="1:6" ht="15.6">
      <c r="A74" s="36"/>
      <c r="B74" s="36"/>
      <c r="C74" s="36"/>
      <c r="D74" s="36"/>
      <c r="E74" s="36"/>
      <c r="F74" s="36"/>
    </row>
  </sheetData>
  <mergeCells count="14">
    <mergeCell ref="A64:F64"/>
    <mergeCell ref="A1:F2"/>
    <mergeCell ref="A18:B18"/>
    <mergeCell ref="E18:F18"/>
    <mergeCell ref="A3:F3"/>
    <mergeCell ref="A5:B5"/>
    <mergeCell ref="D5:F5"/>
    <mergeCell ref="A9:B9"/>
    <mergeCell ref="D11:F11"/>
    <mergeCell ref="A32:B32"/>
    <mergeCell ref="D32:E32"/>
    <mergeCell ref="D45:E45"/>
    <mergeCell ref="A19:F19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zoomScaleNormal="100" workbookViewId="0">
      <selection activeCell="D9" sqref="D9"/>
    </sheetView>
  </sheetViews>
  <sheetFormatPr defaultRowHeight="13.8"/>
  <cols>
    <col min="1" max="9" width="15.77734375" customWidth="1"/>
    <col min="10" max="10" width="12.33203125" customWidth="1"/>
    <col min="11" max="11" width="11.6640625" customWidth="1"/>
    <col min="13" max="13" width="8.88671875" customWidth="1"/>
  </cols>
  <sheetData>
    <row r="1" spans="1:7">
      <c r="A1" s="74" t="s">
        <v>98</v>
      </c>
      <c r="B1" s="74"/>
      <c r="C1" s="74"/>
      <c r="D1" s="74"/>
      <c r="E1" s="74"/>
      <c r="F1" s="74"/>
      <c r="G1" s="37" t="s">
        <v>14</v>
      </c>
    </row>
    <row r="2" spans="1:7">
      <c r="A2" s="75"/>
      <c r="B2" s="75"/>
      <c r="C2" s="75"/>
      <c r="D2" s="75"/>
      <c r="E2" s="75"/>
      <c r="F2" s="75"/>
      <c r="G2" s="40" t="e">
        <f>B56</f>
        <v>#DIV/0!</v>
      </c>
    </row>
    <row r="3" spans="1:7" ht="15.6">
      <c r="A3" s="78" t="s">
        <v>39</v>
      </c>
      <c r="B3" s="78"/>
      <c r="C3" s="78"/>
      <c r="D3" s="78"/>
      <c r="E3" s="78"/>
      <c r="F3" s="78"/>
      <c r="G3" s="15" t="s">
        <v>91</v>
      </c>
    </row>
    <row r="4" spans="1:7" ht="14.4" thickBot="1">
      <c r="A4" s="30" t="s">
        <v>40</v>
      </c>
      <c r="B4" s="29"/>
      <c r="C4" s="30" t="s">
        <v>41</v>
      </c>
      <c r="D4" s="29"/>
      <c r="E4" s="30" t="s">
        <v>42</v>
      </c>
      <c r="F4" s="29"/>
      <c r="G4" s="40" t="e">
        <f>E54</f>
        <v>#DIV/0!</v>
      </c>
    </row>
    <row r="5" spans="1:7" ht="16.8" thickTop="1" thickBot="1">
      <c r="A5" s="79" t="s">
        <v>17</v>
      </c>
      <c r="B5" s="80"/>
      <c r="C5" s="26"/>
      <c r="D5" s="81" t="s">
        <v>28</v>
      </c>
      <c r="E5" s="77"/>
      <c r="F5" s="77"/>
      <c r="G5" s="15" t="s">
        <v>97</v>
      </c>
    </row>
    <row r="6" spans="1:7" ht="15" thickTop="1" thickBot="1">
      <c r="A6" s="12" t="s">
        <v>18</v>
      </c>
      <c r="B6" s="24"/>
      <c r="C6" s="67" t="s">
        <v>142</v>
      </c>
      <c r="D6" s="27" t="s">
        <v>27</v>
      </c>
      <c r="E6" s="6" t="s">
        <v>29</v>
      </c>
      <c r="F6" s="6" t="s">
        <v>30</v>
      </c>
      <c r="G6" s="40" t="e">
        <f>ROUNDDOWN(Sheet7!G4/1500000,0)</f>
        <v>#DIV/0!</v>
      </c>
    </row>
    <row r="7" spans="1:7" ht="15" thickTop="1" thickBot="1">
      <c r="A7" s="12" t="s">
        <v>19</v>
      </c>
      <c r="B7" s="24"/>
      <c r="C7" s="67" t="e">
        <f>E43</f>
        <v>#DIV/0!</v>
      </c>
      <c r="D7" s="15" t="s">
        <v>25</v>
      </c>
      <c r="E7" s="34"/>
      <c r="F7" s="29"/>
    </row>
    <row r="8" spans="1:7" ht="15" thickTop="1" thickBot="1">
      <c r="A8" s="12" t="s">
        <v>20</v>
      </c>
      <c r="B8" s="24"/>
      <c r="C8" s="62" t="s">
        <v>72</v>
      </c>
      <c r="D8" s="56" t="s">
        <v>24</v>
      </c>
      <c r="E8" s="34"/>
      <c r="F8" s="29"/>
    </row>
    <row r="9" spans="1:7" ht="16.8" thickTop="1" thickBot="1">
      <c r="A9" s="77" t="s">
        <v>21</v>
      </c>
      <c r="B9" s="77"/>
      <c r="C9" s="14"/>
      <c r="D9" s="56" t="s">
        <v>26</v>
      </c>
      <c r="E9" s="34"/>
      <c r="F9" s="29"/>
    </row>
    <row r="10" spans="1:7" ht="15" thickTop="1" thickBot="1">
      <c r="A10" s="12" t="s">
        <v>64</v>
      </c>
      <c r="B10" s="24">
        <f>3*A58</f>
        <v>0</v>
      </c>
      <c r="C10" s="28"/>
      <c r="D10" s="15" t="s">
        <v>23</v>
      </c>
      <c r="E10" s="34"/>
      <c r="F10" s="29"/>
    </row>
    <row r="11" spans="1:7" ht="16.8" thickTop="1" thickBot="1">
      <c r="A11" s="12" t="s">
        <v>65</v>
      </c>
      <c r="B11" s="24"/>
      <c r="C11" s="25" t="s">
        <v>75</v>
      </c>
      <c r="D11" s="84" t="s">
        <v>31</v>
      </c>
      <c r="E11" s="77"/>
      <c r="F11" s="77"/>
    </row>
    <row r="12" spans="1:7" ht="16.2" thickTop="1">
      <c r="A12" s="82" t="s">
        <v>22</v>
      </c>
      <c r="B12" s="83"/>
      <c r="C12" s="54" t="e">
        <f>(E37+Sheet7!E47)/(B6+B7+Sheet7!E71)</f>
        <v>#DIV/0!</v>
      </c>
      <c r="D12" s="55" t="s">
        <v>27</v>
      </c>
      <c r="E12" s="11" t="s">
        <v>37</v>
      </c>
      <c r="F12" s="6" t="s">
        <v>38</v>
      </c>
    </row>
    <row r="13" spans="1:7">
      <c r="A13" s="16" t="s">
        <v>27</v>
      </c>
      <c r="B13" s="17" t="s">
        <v>67</v>
      </c>
      <c r="C13" s="17" t="s">
        <v>99</v>
      </c>
      <c r="D13" s="56" t="s">
        <v>32</v>
      </c>
      <c r="E13" s="32">
        <f>B8*3</f>
        <v>0</v>
      </c>
      <c r="F13" s="29"/>
    </row>
    <row r="14" spans="1:7">
      <c r="A14" s="12" t="s">
        <v>25</v>
      </c>
      <c r="B14" s="24"/>
      <c r="C14" s="47">
        <f>B14+Sheet7!E21</f>
        <v>0</v>
      </c>
      <c r="D14" s="56" t="s">
        <v>33</v>
      </c>
      <c r="E14" s="33"/>
      <c r="F14" s="29"/>
    </row>
    <row r="15" spans="1:7">
      <c r="A15" s="12" t="s">
        <v>24</v>
      </c>
      <c r="B15" s="24"/>
      <c r="C15" s="47">
        <f>B15+Sheet7!E22</f>
        <v>0</v>
      </c>
      <c r="D15" s="56" t="s">
        <v>34</v>
      </c>
      <c r="E15" s="33"/>
      <c r="F15" s="29"/>
    </row>
    <row r="16" spans="1:7">
      <c r="A16" s="12" t="s">
        <v>26</v>
      </c>
      <c r="B16" s="24"/>
      <c r="C16" s="47">
        <f>B16+Sheet7!E23</f>
        <v>0</v>
      </c>
      <c r="D16" s="56" t="s">
        <v>35</v>
      </c>
      <c r="E16" s="32"/>
      <c r="F16" s="29"/>
    </row>
    <row r="17" spans="1:6" ht="14.4" thickBot="1">
      <c r="A17" s="12" t="s">
        <v>23</v>
      </c>
      <c r="B17" s="24"/>
      <c r="C17" s="47">
        <f>B17+Sheet7!E24</f>
        <v>0</v>
      </c>
      <c r="D17" s="56" t="s">
        <v>36</v>
      </c>
      <c r="E17" s="32"/>
      <c r="F17" s="29"/>
    </row>
    <row r="18" spans="1:6" ht="16.8" thickTop="1" thickBot="1">
      <c r="A18" s="76">
        <f>SUM(B14:B17)</f>
        <v>0</v>
      </c>
      <c r="B18" s="77"/>
      <c r="C18" s="13"/>
      <c r="D18" s="13"/>
      <c r="E18" s="77"/>
      <c r="F18" s="77"/>
    </row>
    <row r="19" spans="1:6" ht="14.4" thickTop="1">
      <c r="A19" s="71" t="s">
        <v>66</v>
      </c>
      <c r="B19" s="72"/>
      <c r="C19" s="72"/>
      <c r="D19" s="72"/>
      <c r="E19" s="72"/>
      <c r="F19" s="73"/>
    </row>
    <row r="20" spans="1:6">
      <c r="A20" s="10" t="s">
        <v>102</v>
      </c>
      <c r="B20" s="10" t="s">
        <v>103</v>
      </c>
      <c r="C20" s="10" t="s">
        <v>104</v>
      </c>
      <c r="D20" s="10" t="s">
        <v>105</v>
      </c>
      <c r="E20" s="10" t="s">
        <v>106</v>
      </c>
      <c r="F20" s="10" t="s">
        <v>107</v>
      </c>
    </row>
    <row r="21" spans="1:6">
      <c r="A21" s="8" t="s">
        <v>108</v>
      </c>
      <c r="B21" s="9"/>
      <c r="C21" s="9"/>
      <c r="D21" s="8"/>
      <c r="E21" s="51">
        <v>0</v>
      </c>
      <c r="F21" s="8"/>
    </row>
    <row r="22" spans="1:6">
      <c r="A22" s="8" t="s">
        <v>109</v>
      </c>
      <c r="B22" s="9"/>
      <c r="C22" s="9"/>
      <c r="D22" s="8"/>
      <c r="E22" s="51">
        <v>0</v>
      </c>
      <c r="F22" s="8"/>
    </row>
    <row r="23" spans="1:6">
      <c r="A23" s="8" t="s">
        <v>110</v>
      </c>
      <c r="B23" s="9"/>
      <c r="C23" s="9"/>
      <c r="D23" s="8"/>
      <c r="E23" s="51">
        <v>0</v>
      </c>
      <c r="F23" s="8"/>
    </row>
    <row r="24" spans="1:6">
      <c r="A24" s="8" t="s">
        <v>111</v>
      </c>
      <c r="B24" s="9"/>
      <c r="C24" s="9"/>
      <c r="D24" s="8"/>
      <c r="E24" s="51">
        <v>0</v>
      </c>
      <c r="F24" s="8"/>
    </row>
    <row r="25" spans="1:6">
      <c r="A25" s="6" t="s">
        <v>112</v>
      </c>
      <c r="B25" s="6" t="s">
        <v>113</v>
      </c>
      <c r="C25" s="6" t="s">
        <v>114</v>
      </c>
      <c r="D25" s="6" t="s">
        <v>106</v>
      </c>
      <c r="E25" s="6" t="s">
        <v>115</v>
      </c>
      <c r="F25" s="6" t="s">
        <v>116</v>
      </c>
    </row>
    <row r="26" spans="1:6">
      <c r="A26" s="9"/>
      <c r="B26" s="9"/>
      <c r="C26" s="9"/>
      <c r="D26" s="51">
        <v>0</v>
      </c>
      <c r="E26" s="9"/>
      <c r="F26" s="8"/>
    </row>
    <row r="27" spans="1:6">
      <c r="A27" s="6" t="s">
        <v>117</v>
      </c>
      <c r="B27" s="6" t="s">
        <v>118</v>
      </c>
      <c r="C27" s="6" t="s">
        <v>119</v>
      </c>
      <c r="D27" s="6" t="s">
        <v>120</v>
      </c>
      <c r="E27" s="6" t="s">
        <v>121</v>
      </c>
      <c r="F27" s="6" t="s">
        <v>107</v>
      </c>
    </row>
    <row r="28" spans="1:6">
      <c r="A28" s="9"/>
      <c r="B28" s="9"/>
      <c r="C28" s="8"/>
      <c r="D28" s="8"/>
      <c r="E28" s="8"/>
      <c r="F28" s="8"/>
    </row>
    <row r="29" spans="1:6" ht="15.6">
      <c r="A29" s="36"/>
      <c r="B29" s="36"/>
      <c r="C29" s="36"/>
      <c r="D29" s="36"/>
      <c r="E29" s="36"/>
      <c r="F29" s="36"/>
    </row>
    <row r="32" spans="1:6">
      <c r="A32" s="68" t="s">
        <v>8</v>
      </c>
      <c r="B32" s="69"/>
      <c r="D32" s="68" t="s">
        <v>68</v>
      </c>
      <c r="E32" s="69"/>
      <c r="F32" s="3" t="s">
        <v>78</v>
      </c>
    </row>
    <row r="33" spans="1:27">
      <c r="A33" s="3" t="s">
        <v>50</v>
      </c>
      <c r="B33" s="22">
        <f>E7*(C14-E21)+E8*(C15-E22)+E9*(C16-E23)+E10*(C17-E24)</f>
        <v>0</v>
      </c>
      <c r="D33" s="3" t="s">
        <v>50</v>
      </c>
      <c r="E33" s="23">
        <f>B33</f>
        <v>0</v>
      </c>
      <c r="F33" s="22" t="e">
        <f>E41</f>
        <v>#DIV/0!</v>
      </c>
    </row>
    <row r="34" spans="1:27">
      <c r="A34" s="3" t="s">
        <v>51</v>
      </c>
      <c r="B34" s="22">
        <f>B11</f>
        <v>0</v>
      </c>
      <c r="D34" s="3" t="s">
        <v>40</v>
      </c>
      <c r="E34" s="22">
        <f>B4</f>
        <v>0</v>
      </c>
      <c r="F34" s="3" t="s">
        <v>90</v>
      </c>
      <c r="AA34" t="s">
        <v>100</v>
      </c>
    </row>
    <row r="35" spans="1:27">
      <c r="A35" s="3" t="s">
        <v>52</v>
      </c>
      <c r="B35" s="22">
        <f>IF(B10&lt;=0,0,IF(B10&lt;=A59,10000,IF(B10&lt;=A61,15000,IF(B10&lt;=A62,20000,"超过最大产能"))))</f>
        <v>0</v>
      </c>
      <c r="D35" s="3" t="s">
        <v>69</v>
      </c>
      <c r="E35" s="22">
        <f>SUM(E33:E34)</f>
        <v>0</v>
      </c>
      <c r="F35" s="22" t="e">
        <f>E33/2-Sheet7!E42</f>
        <v>#DIV/0!</v>
      </c>
    </row>
    <row r="36" spans="1:27">
      <c r="A36" s="3" t="s">
        <v>53</v>
      </c>
      <c r="B36" s="22">
        <f>IF(B10&lt;=0,0,IF(B10&lt;=A58,B10*B58,IF(B10&lt;=A59,A58*B58+(B10-A58)*B59,IF(B10&lt;=A60,A58*B58+(B10-A58)*B60,IF(B10&lt;=A61,A60*B59+(B10-A60)*B61,IF(B10&lt;=A62,A60*B59+(B10-A60)*B62,IF(B10&gt;A62,"超过最大产能")))))))</f>
        <v>0</v>
      </c>
      <c r="D36" s="3" t="s">
        <v>70</v>
      </c>
      <c r="E36" s="22" t="e">
        <f>SUM(B34:B54)-B37-B42-B43</f>
        <v>#DIV/0!</v>
      </c>
    </row>
    <row r="37" spans="1:27">
      <c r="A37" s="3" t="s">
        <v>54</v>
      </c>
      <c r="B37" s="22" t="e">
        <f>B10*1.35*C12</f>
        <v>#DIV/0!</v>
      </c>
      <c r="D37" s="3" t="s">
        <v>71</v>
      </c>
      <c r="E37" s="22">
        <f>SUM(B6:B7)*C9</f>
        <v>0</v>
      </c>
    </row>
    <row r="38" spans="1:27">
      <c r="A38" s="3" t="s">
        <v>10</v>
      </c>
      <c r="B38" s="22">
        <f>IF((B6+B7)&lt;1,0,IF((B6+B7)&lt;=500000,40000,IF((B6+B7)&lt;=1000000,80000,IF((B6+B7)&lt;=1500000,120000,IF((B6+B7)&lt;=2000000,160000,IF((B6+B7)&gt;2000000,200000))))))</f>
        <v>0</v>
      </c>
      <c r="D38" s="3" t="s">
        <v>76</v>
      </c>
      <c r="E38" s="22">
        <f>B8*500000</f>
        <v>0</v>
      </c>
    </row>
    <row r="39" spans="1:27">
      <c r="A39" s="3" t="s">
        <v>55</v>
      </c>
      <c r="B39" s="22">
        <f>B7*1</f>
        <v>0</v>
      </c>
      <c r="D39" s="3" t="s">
        <v>41</v>
      </c>
      <c r="E39" s="22">
        <f>D4</f>
        <v>0</v>
      </c>
    </row>
    <row r="40" spans="1:27">
      <c r="A40" s="3" t="s">
        <v>56</v>
      </c>
      <c r="B40" s="22">
        <f>12000*Sheet7!C28</f>
        <v>0</v>
      </c>
      <c r="D40" s="3" t="s">
        <v>77</v>
      </c>
      <c r="E40" s="22" t="e">
        <f>SUM(E36:E39)</f>
        <v>#DIV/0!</v>
      </c>
    </row>
    <row r="41" spans="1:27">
      <c r="A41" s="3" t="s">
        <v>57</v>
      </c>
      <c r="B41" s="22">
        <f>B8*100000</f>
        <v>0</v>
      </c>
      <c r="D41" s="3" t="s">
        <v>78</v>
      </c>
      <c r="E41" s="22" t="e">
        <f>E35-E40</f>
        <v>#DIV/0!</v>
      </c>
    </row>
    <row r="42" spans="1:27">
      <c r="A42" s="3" t="s">
        <v>58</v>
      </c>
      <c r="B42" s="22">
        <f>0.025*Sheet7!E49</f>
        <v>0</v>
      </c>
      <c r="D42" s="3" t="s">
        <v>79</v>
      </c>
      <c r="E42" s="22" t="e">
        <f>IF((Sheet7!E42+Sheet8!E41)&gt;Sheet8!E33/2,(Sheet7!E42+Sheet8!E41),Sheet8!E33/2)</f>
        <v>#DIV/0!</v>
      </c>
    </row>
    <row r="43" spans="1:27">
      <c r="A43" s="3" t="s">
        <v>59</v>
      </c>
      <c r="B43" s="22">
        <f>Sheet7!E48-Sheet8!E48</f>
        <v>0</v>
      </c>
      <c r="D43" s="3" t="s">
        <v>80</v>
      </c>
      <c r="E43" s="22" t="e">
        <f>F33-F35</f>
        <v>#DIV/0!</v>
      </c>
    </row>
    <row r="44" spans="1:27">
      <c r="A44" s="3" t="s">
        <v>60</v>
      </c>
      <c r="B44" s="22">
        <f>SUM(F7:F10)</f>
        <v>0</v>
      </c>
    </row>
    <row r="45" spans="1:27">
      <c r="A45" s="3" t="s">
        <v>61</v>
      </c>
      <c r="B45" s="22">
        <f>B14*0.4+B15*0.1+B16*0.4+B17*0.5</f>
        <v>0</v>
      </c>
      <c r="D45" s="68" t="s">
        <v>81</v>
      </c>
      <c r="E45" s="69"/>
    </row>
    <row r="46" spans="1:27">
      <c r="A46" s="3" t="s">
        <v>62</v>
      </c>
      <c r="B46" s="22">
        <f>1500*SUM(E13:E17)</f>
        <v>0</v>
      </c>
      <c r="D46" s="3" t="s">
        <v>82</v>
      </c>
      <c r="E46" s="23" t="e">
        <f>E42</f>
        <v>#DIV/0!</v>
      </c>
    </row>
    <row r="47" spans="1:27">
      <c r="A47" s="3" t="s">
        <v>12</v>
      </c>
      <c r="B47" s="22">
        <f>D59*D61+E59*E61+D60*D62+E60*E62</f>
        <v>0</v>
      </c>
      <c r="D47" s="3" t="s">
        <v>83</v>
      </c>
      <c r="E47" s="22" t="e">
        <f>C12*E71</f>
        <v>#DIV/0!</v>
      </c>
    </row>
    <row r="48" spans="1:27">
      <c r="A48" s="3" t="s">
        <v>63</v>
      </c>
      <c r="B48" s="22">
        <f>F13*5000+SUM(F14:F17)*6000</f>
        <v>0</v>
      </c>
      <c r="D48" s="3" t="s">
        <v>84</v>
      </c>
      <c r="E48" s="22">
        <f>4*D26</f>
        <v>0</v>
      </c>
    </row>
    <row r="49" spans="1:6">
      <c r="A49" s="3" t="s">
        <v>43</v>
      </c>
      <c r="B49" s="22" t="e">
        <f>Sheet7!E47*0.1</f>
        <v>#DIV/0!</v>
      </c>
      <c r="D49" s="3" t="s">
        <v>85</v>
      </c>
      <c r="E49" s="22">
        <f>Sheet7!E49-B42+Sheet8!E38</f>
        <v>0</v>
      </c>
    </row>
    <row r="50" spans="1:6">
      <c r="A50" s="3" t="s">
        <v>44</v>
      </c>
      <c r="B50" s="22">
        <f>D26*0.5</f>
        <v>0</v>
      </c>
      <c r="D50" s="3" t="s">
        <v>86</v>
      </c>
      <c r="E50" s="22" t="e">
        <f>SUM(E46:E49)</f>
        <v>#DIV/0!</v>
      </c>
    </row>
    <row r="51" spans="1:6">
      <c r="A51" s="3" t="s">
        <v>45</v>
      </c>
      <c r="B51" s="22" t="e">
        <f>公司筹建!B4/4*E51+公司筹建!B4/4*3*Sheet7!E52</f>
        <v>#DIV/0!</v>
      </c>
      <c r="D51" s="3" t="s">
        <v>87</v>
      </c>
      <c r="E51" s="22" t="e">
        <f>Sheet7!E53+B4-D4</f>
        <v>#DIV/0!</v>
      </c>
    </row>
    <row r="52" spans="1:6">
      <c r="A52" s="3" t="s">
        <v>46</v>
      </c>
      <c r="B52" s="22">
        <f>B33/(1+公司筹建!B1)*公司筹建!B1</f>
        <v>0</v>
      </c>
      <c r="D52" s="3" t="s">
        <v>88</v>
      </c>
      <c r="E52" s="22" t="e">
        <f>IF(E43&gt;=0,0,-E43)</f>
        <v>#DIV/0!</v>
      </c>
    </row>
    <row r="53" spans="1:6">
      <c r="A53" s="3" t="s">
        <v>48</v>
      </c>
      <c r="B53" s="22">
        <f>B52*公司筹建!B2</f>
        <v>0</v>
      </c>
      <c r="D53" s="3" t="s">
        <v>89</v>
      </c>
      <c r="E53" s="22" t="e">
        <f>E51+E52</f>
        <v>#DIV/0!</v>
      </c>
    </row>
    <row r="54" spans="1:6">
      <c r="A54" s="3" t="s">
        <v>47</v>
      </c>
      <c r="B54" s="22" t="e">
        <f>IF(E56&lt;=0,0,E56)</f>
        <v>#DIV/0!</v>
      </c>
      <c r="D54" s="3" t="s">
        <v>91</v>
      </c>
      <c r="E54" s="31" t="e">
        <f>E50-E53</f>
        <v>#DIV/0!</v>
      </c>
    </row>
    <row r="55" spans="1:6">
      <c r="A55" s="3" t="s">
        <v>49</v>
      </c>
      <c r="B55" s="22" t="e">
        <f>SUM(B34:B54)</f>
        <v>#DIV/0!</v>
      </c>
    </row>
    <row r="56" spans="1:6">
      <c r="A56" s="3" t="s">
        <v>14</v>
      </c>
      <c r="B56" s="22" t="e">
        <f>B33-B55</f>
        <v>#DIV/0!</v>
      </c>
      <c r="D56" s="3" t="s">
        <v>47</v>
      </c>
      <c r="E56" s="21" t="e">
        <f>(B33/(1+公司筹建!B1)-SUM(B34:B53)+B52)*公司筹建!B3</f>
        <v>#DIV/0!</v>
      </c>
    </row>
    <row r="58" spans="1:6">
      <c r="A58" s="22">
        <f>Sheet7!B73</f>
        <v>0</v>
      </c>
      <c r="B58" s="22">
        <v>1.2</v>
      </c>
      <c r="C58" s="22" t="s">
        <v>92</v>
      </c>
      <c r="D58" s="22" t="s">
        <v>93</v>
      </c>
      <c r="E58" s="22" t="s">
        <v>94</v>
      </c>
    </row>
    <row r="59" spans="1:6">
      <c r="A59" s="22">
        <f>A58*1.5</f>
        <v>0</v>
      </c>
      <c r="B59" s="22">
        <v>1.3</v>
      </c>
      <c r="C59" s="22" t="s">
        <v>95</v>
      </c>
      <c r="D59" s="31">
        <f>E13</f>
        <v>0</v>
      </c>
      <c r="E59" s="31">
        <f>SUM(E14:E17)</f>
        <v>0</v>
      </c>
    </row>
    <row r="60" spans="1:6">
      <c r="A60" s="22">
        <f>A58*2</f>
        <v>0</v>
      </c>
      <c r="B60" s="22">
        <v>1.4</v>
      </c>
      <c r="C60" s="22" t="s">
        <v>96</v>
      </c>
      <c r="D60" s="31">
        <f>Sheet7!E28-F13</f>
        <v>0</v>
      </c>
      <c r="E60" s="31">
        <f>Sheet7!F28-SUM(F14:F17)</f>
        <v>0</v>
      </c>
    </row>
    <row r="61" spans="1:6">
      <c r="A61" s="22">
        <f>A58*2.5</f>
        <v>0</v>
      </c>
      <c r="B61" s="22">
        <v>1.5</v>
      </c>
      <c r="D61" s="31">
        <v>3750</v>
      </c>
      <c r="E61" s="31">
        <v>4500</v>
      </c>
    </row>
    <row r="62" spans="1:6">
      <c r="A62" s="22">
        <f>A58*3</f>
        <v>0</v>
      </c>
      <c r="B62" s="22">
        <v>1.6</v>
      </c>
      <c r="D62" s="31">
        <f>D61*2</f>
        <v>7500</v>
      </c>
      <c r="E62" s="31">
        <f>E61*2</f>
        <v>9000</v>
      </c>
    </row>
    <row r="63" spans="1:6" ht="14.4" thickBot="1"/>
    <row r="64" spans="1:6" ht="14.4" thickTop="1">
      <c r="A64" s="71" t="s">
        <v>66</v>
      </c>
      <c r="B64" s="72"/>
      <c r="C64" s="72"/>
      <c r="D64" s="72"/>
      <c r="E64" s="72"/>
      <c r="F64" s="73"/>
    </row>
    <row r="65" spans="1:6">
      <c r="A65" s="10" t="s">
        <v>102</v>
      </c>
      <c r="B65" s="10" t="s">
        <v>103</v>
      </c>
      <c r="C65" s="10" t="s">
        <v>104</v>
      </c>
      <c r="D65" s="10" t="s">
        <v>105</v>
      </c>
      <c r="E65" s="10" t="s">
        <v>106</v>
      </c>
      <c r="F65" s="10" t="s">
        <v>107</v>
      </c>
    </row>
    <row r="66" spans="1:6">
      <c r="A66" s="8" t="s">
        <v>108</v>
      </c>
      <c r="B66" s="9"/>
      <c r="C66" s="9"/>
      <c r="D66" s="8"/>
      <c r="E66" s="51">
        <v>0</v>
      </c>
      <c r="F66" s="8"/>
    </row>
    <row r="67" spans="1:6">
      <c r="A67" s="8" t="s">
        <v>109</v>
      </c>
      <c r="B67" s="9"/>
      <c r="C67" s="9"/>
      <c r="D67" s="8"/>
      <c r="E67" s="51">
        <v>0</v>
      </c>
      <c r="F67" s="8"/>
    </row>
    <row r="68" spans="1:6">
      <c r="A68" s="8" t="s">
        <v>110</v>
      </c>
      <c r="B68" s="9"/>
      <c r="C68" s="9"/>
      <c r="D68" s="8"/>
      <c r="E68" s="51">
        <v>0</v>
      </c>
      <c r="F68" s="8"/>
    </row>
    <row r="69" spans="1:6">
      <c r="A69" s="8" t="s">
        <v>111</v>
      </c>
      <c r="B69" s="9"/>
      <c r="C69" s="9"/>
      <c r="D69" s="8"/>
      <c r="E69" s="51">
        <v>0</v>
      </c>
      <c r="F69" s="8"/>
    </row>
    <row r="70" spans="1:6">
      <c r="A70" s="6" t="s">
        <v>112</v>
      </c>
      <c r="B70" s="6" t="s">
        <v>113</v>
      </c>
      <c r="C70" s="6" t="s">
        <v>114</v>
      </c>
      <c r="D70" s="6" t="s">
        <v>106</v>
      </c>
      <c r="E70" s="6" t="s">
        <v>115</v>
      </c>
      <c r="F70" s="6" t="s">
        <v>116</v>
      </c>
    </row>
    <row r="71" spans="1:6">
      <c r="A71" s="9"/>
      <c r="B71" s="9"/>
      <c r="C71" s="9"/>
      <c r="D71" s="51"/>
      <c r="E71" s="9">
        <f>ROUNDDOWN(Sheet7!E71-Sheet8!B10*1.35+Sheet8!B6,0)</f>
        <v>0</v>
      </c>
      <c r="F71" s="8"/>
    </row>
    <row r="72" spans="1:6">
      <c r="A72" s="6" t="s">
        <v>117</v>
      </c>
      <c r="B72" s="6" t="s">
        <v>118</v>
      </c>
      <c r="C72" s="6" t="s">
        <v>119</v>
      </c>
      <c r="D72" s="6" t="s">
        <v>120</v>
      </c>
      <c r="E72" s="6" t="s">
        <v>121</v>
      </c>
      <c r="F72" s="6" t="s">
        <v>107</v>
      </c>
    </row>
    <row r="73" spans="1:6">
      <c r="A73" s="9"/>
      <c r="B73" s="9">
        <v>3</v>
      </c>
      <c r="C73" s="8"/>
      <c r="D73" s="8"/>
      <c r="E73" s="8"/>
      <c r="F73" s="8"/>
    </row>
    <row r="74" spans="1:6" ht="15.6">
      <c r="A74" s="36"/>
      <c r="B74" s="36"/>
      <c r="C74" s="36"/>
      <c r="D74" s="36"/>
      <c r="E74" s="36"/>
      <c r="F74" s="36"/>
    </row>
  </sheetData>
  <mergeCells count="14">
    <mergeCell ref="A64:F64"/>
    <mergeCell ref="A1:F2"/>
    <mergeCell ref="A18:B18"/>
    <mergeCell ref="E18:F18"/>
    <mergeCell ref="A32:B32"/>
    <mergeCell ref="D32:E32"/>
    <mergeCell ref="D45:E45"/>
    <mergeCell ref="A19:F19"/>
    <mergeCell ref="A12:B12"/>
    <mergeCell ref="A3:F3"/>
    <mergeCell ref="A5:B5"/>
    <mergeCell ref="D5:F5"/>
    <mergeCell ref="A9:B9"/>
    <mergeCell ref="D11:F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公司筹建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LJH</dc:creator>
  <cp:lastModifiedBy>LJH</cp:lastModifiedBy>
  <dcterms:created xsi:type="dcterms:W3CDTF">2022-01-14T01:45:19Z</dcterms:created>
  <dcterms:modified xsi:type="dcterms:W3CDTF">2022-11-02T09:13:46Z</dcterms:modified>
</cp:coreProperties>
</file>