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逵妹儿\Desktop\"/>
    </mc:Choice>
  </mc:AlternateContent>
  <xr:revisionPtr revIDLastSave="0" documentId="13_ncr:1_{737355C1-2BC5-47B6-BC27-EB636DE988AB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规则设置" sheetId="1" r:id="rId1"/>
    <sheet name="第0季" sheetId="2" r:id="rId2"/>
    <sheet name="第一季" sheetId="3" r:id="rId3"/>
    <sheet name="第二季" sheetId="4" r:id="rId4"/>
    <sheet name="第三季" sheetId="5" r:id="rId5"/>
    <sheet name="第四季" sheetId="6" r:id="rId6"/>
    <sheet name="第五季" sheetId="7" r:id="rId7"/>
    <sheet name="第六季" sheetId="8" r:id="rId8"/>
    <sheet name="第七季" sheetId="9" r:id="rId9"/>
    <sheet name="第八季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0" l="1"/>
  <c r="B26" i="9"/>
  <c r="G38" i="9" l="1"/>
  <c r="H29" i="9"/>
  <c r="G29" i="9"/>
  <c r="G31" i="9"/>
  <c r="G32" i="9"/>
  <c r="G33" i="9" s="1"/>
  <c r="G37" i="9"/>
  <c r="B26" i="7"/>
  <c r="G37" i="7" s="1"/>
  <c r="H20" i="7"/>
  <c r="D4" i="10"/>
  <c r="C4" i="10"/>
  <c r="D4" i="9"/>
  <c r="C4" i="9"/>
  <c r="D4" i="8"/>
  <c r="C4" i="8"/>
  <c r="D4" i="7"/>
  <c r="C4" i="7"/>
  <c r="D4" i="6"/>
  <c r="C4" i="6"/>
  <c r="D4" i="5"/>
  <c r="C4" i="5"/>
  <c r="F4" i="4"/>
  <c r="F4" i="5" s="1"/>
  <c r="F4" i="6" s="1"/>
  <c r="F4" i="7" s="1"/>
  <c r="F4" i="8" s="1"/>
  <c r="F4" i="9" s="1"/>
  <c r="F4" i="10" s="1"/>
  <c r="E4" i="4"/>
  <c r="E4" i="5" s="1"/>
  <c r="E4" i="6" s="1"/>
  <c r="E4" i="7" s="1"/>
  <c r="E4" i="8" s="1"/>
  <c r="E4" i="9" s="1"/>
  <c r="E4" i="10" s="1"/>
  <c r="D4" i="4"/>
  <c r="C4" i="4"/>
  <c r="H32" i="9" l="1"/>
  <c r="H21" i="9"/>
  <c r="H15" i="7"/>
  <c r="H21" i="5"/>
  <c r="H13" i="10"/>
  <c r="H12" i="10"/>
  <c r="C26" i="10"/>
  <c r="C11" i="10" s="1"/>
  <c r="F56" i="9"/>
  <c r="G14" i="7"/>
  <c r="H20" i="5"/>
  <c r="G47" i="9"/>
  <c r="H26" i="3"/>
  <c r="O35" i="2"/>
  <c r="O13" i="2"/>
  <c r="O14" i="2"/>
  <c r="J43" i="2"/>
  <c r="J44" i="2" s="1"/>
  <c r="G34" i="2"/>
  <c r="G33" i="2"/>
  <c r="G32" i="2"/>
  <c r="P16" i="2"/>
  <c r="G21" i="2"/>
  <c r="G22" i="2" s="1"/>
  <c r="V4" i="3"/>
  <c r="D34" i="2"/>
  <c r="D34" i="7"/>
  <c r="C26" i="3"/>
  <c r="C26" i="4"/>
  <c r="G26" i="3"/>
  <c r="F26" i="2"/>
  <c r="M22" i="2" s="1"/>
  <c r="M10" i="2"/>
  <c r="C26" i="9"/>
  <c r="C11" i="9" s="1"/>
  <c r="U23" i="3" l="1"/>
  <c r="R18" i="3" s="1"/>
  <c r="U23" i="4"/>
  <c r="R18" i="4" s="1"/>
  <c r="U23" i="5"/>
  <c r="R18" i="5" s="1"/>
  <c r="U23" i="6"/>
  <c r="R18" i="6" s="1"/>
  <c r="U23" i="7"/>
  <c r="R18" i="7" s="1"/>
  <c r="U23" i="8"/>
  <c r="R18" i="8" s="1"/>
  <c r="U23" i="10"/>
  <c r="R18" i="10" s="1"/>
  <c r="U23" i="9"/>
  <c r="R18" i="9" s="1"/>
  <c r="C10" i="6" l="1"/>
  <c r="G38" i="3" l="1"/>
  <c r="R31" i="6"/>
  <c r="R31" i="3"/>
  <c r="R31" i="4"/>
  <c r="R31" i="5"/>
  <c r="R31" i="7"/>
  <c r="R31" i="8"/>
  <c r="R31" i="9"/>
  <c r="R31" i="10"/>
  <c r="U10" i="3" l="1"/>
  <c r="F26" i="3" s="1"/>
  <c r="U22" i="3" s="1"/>
  <c r="U11" i="3"/>
  <c r="U11" i="4"/>
  <c r="U11" i="5"/>
  <c r="U11" i="7"/>
  <c r="U11" i="8"/>
  <c r="U11" i="9"/>
  <c r="U11" i="10"/>
  <c r="U11" i="6"/>
  <c r="U12" i="3"/>
  <c r="U12" i="4"/>
  <c r="U12" i="5"/>
  <c r="U12" i="7"/>
  <c r="U12" i="8"/>
  <c r="U12" i="9"/>
  <c r="U12" i="10"/>
  <c r="U12" i="6"/>
  <c r="G26" i="4"/>
  <c r="C26" i="5"/>
  <c r="U5" i="10" l="1"/>
  <c r="V22" i="8"/>
  <c r="R17" i="5"/>
  <c r="G26" i="5"/>
  <c r="U6" i="5"/>
  <c r="C10" i="10"/>
  <c r="C10" i="9"/>
  <c r="C10" i="7"/>
  <c r="C10" i="5"/>
  <c r="C10" i="4"/>
  <c r="C10" i="3"/>
  <c r="C10" i="8"/>
  <c r="U13" i="9"/>
  <c r="U6" i="9"/>
  <c r="U5" i="9"/>
  <c r="U13" i="8"/>
  <c r="U6" i="8"/>
  <c r="U5" i="8"/>
  <c r="U13" i="7"/>
  <c r="U6" i="7"/>
  <c r="U5" i="7"/>
  <c r="U13" i="6"/>
  <c r="U6" i="6"/>
  <c r="U27" i="6" s="1"/>
  <c r="U5" i="6"/>
  <c r="U13" i="3"/>
  <c r="U6" i="3"/>
  <c r="U27" i="3" s="1"/>
  <c r="U5" i="3"/>
  <c r="U13" i="4"/>
  <c r="U6" i="4"/>
  <c r="U5" i="4"/>
  <c r="C12" i="4"/>
  <c r="C17" i="4" s="1"/>
  <c r="R24" i="5"/>
  <c r="R30" i="10"/>
  <c r="R23" i="10"/>
  <c r="R17" i="10"/>
  <c r="R16" i="10"/>
  <c r="R15" i="10"/>
  <c r="U13" i="10"/>
  <c r="R13" i="10"/>
  <c r="R9" i="10"/>
  <c r="U6" i="10"/>
  <c r="R30" i="9"/>
  <c r="R24" i="9"/>
  <c r="R23" i="9"/>
  <c r="R17" i="9"/>
  <c r="R16" i="9"/>
  <c r="R15" i="9"/>
  <c r="R9" i="9"/>
  <c r="R30" i="8"/>
  <c r="R24" i="8"/>
  <c r="R23" i="8"/>
  <c r="R17" i="8"/>
  <c r="R16" i="8"/>
  <c r="R15" i="8"/>
  <c r="R13" i="8"/>
  <c r="R9" i="8"/>
  <c r="R30" i="7"/>
  <c r="R24" i="7"/>
  <c r="R23" i="7"/>
  <c r="R17" i="7"/>
  <c r="R16" i="7"/>
  <c r="R15" i="7"/>
  <c r="R9" i="7"/>
  <c r="R30" i="6"/>
  <c r="R24" i="6"/>
  <c r="R23" i="6"/>
  <c r="R17" i="6"/>
  <c r="R16" i="6"/>
  <c r="R15" i="6"/>
  <c r="R13" i="6"/>
  <c r="R9" i="6"/>
  <c r="R30" i="5"/>
  <c r="R23" i="5"/>
  <c r="R16" i="5"/>
  <c r="R15" i="5"/>
  <c r="U13" i="5"/>
  <c r="R9" i="5"/>
  <c r="U5" i="5"/>
  <c r="R30" i="4"/>
  <c r="R23" i="4"/>
  <c r="R17" i="4"/>
  <c r="R16" i="4"/>
  <c r="R15" i="4"/>
  <c r="R13" i="4"/>
  <c r="R9" i="4"/>
  <c r="R13" i="3"/>
  <c r="J13" i="2"/>
  <c r="D34" i="10"/>
  <c r="R28" i="10" s="1"/>
  <c r="G29" i="10"/>
  <c r="D43" i="9" l="1"/>
  <c r="U24" i="9"/>
  <c r="U24" i="5"/>
  <c r="R27" i="10"/>
  <c r="U24" i="10"/>
  <c r="U27" i="5"/>
  <c r="U27" i="8"/>
  <c r="U24" i="8"/>
  <c r="U27" i="7"/>
  <c r="U24" i="7"/>
  <c r="U27" i="9"/>
  <c r="U24" i="6"/>
  <c r="R24" i="4"/>
  <c r="U24" i="4"/>
  <c r="U27" i="10"/>
  <c r="U27" i="4"/>
  <c r="W34" i="10"/>
  <c r="U34" i="10"/>
  <c r="W34" i="9"/>
  <c r="U34" i="9"/>
  <c r="W34" i="8"/>
  <c r="U34" i="8"/>
  <c r="W34" i="7"/>
  <c r="U34" i="7"/>
  <c r="W34" i="6"/>
  <c r="U34" i="6"/>
  <c r="W34" i="5"/>
  <c r="U34" i="5"/>
  <c r="W34" i="4"/>
  <c r="U34" i="4"/>
  <c r="W34" i="3"/>
  <c r="U34" i="3"/>
  <c r="F55" i="2"/>
  <c r="M28" i="2"/>
  <c r="G26" i="2"/>
  <c r="H26" i="9" l="1"/>
  <c r="H26" i="8"/>
  <c r="H26" i="7"/>
  <c r="H26" i="6"/>
  <c r="H26" i="5"/>
  <c r="H26" i="4"/>
  <c r="J25" i="2" l="1"/>
  <c r="J24" i="2"/>
  <c r="G41" i="9" l="1"/>
  <c r="C41" i="9" s="1"/>
  <c r="D41" i="9" s="1"/>
  <c r="R13" i="9" s="1"/>
  <c r="D38" i="9"/>
  <c r="C38" i="9"/>
  <c r="C37" i="9"/>
  <c r="D34" i="9"/>
  <c r="G41" i="8"/>
  <c r="C41" i="8" s="1"/>
  <c r="D41" i="8" s="1"/>
  <c r="G37" i="8" s="1"/>
  <c r="G38" i="8"/>
  <c r="D38" i="8"/>
  <c r="C38" i="8"/>
  <c r="C37" i="8"/>
  <c r="D34" i="8"/>
  <c r="G41" i="7"/>
  <c r="C41" i="7" s="1"/>
  <c r="D41" i="7" s="1"/>
  <c r="G38" i="7"/>
  <c r="D38" i="7"/>
  <c r="C38" i="7"/>
  <c r="C37" i="7"/>
  <c r="G41" i="6"/>
  <c r="C41" i="6" s="1"/>
  <c r="D41" i="6" s="1"/>
  <c r="G37" i="6" s="1"/>
  <c r="G38" i="6"/>
  <c r="D38" i="6"/>
  <c r="C38" i="6"/>
  <c r="C37" i="6"/>
  <c r="D34" i="6"/>
  <c r="D37" i="6" s="1"/>
  <c r="G41" i="5"/>
  <c r="C41" i="5" s="1"/>
  <c r="D41" i="5" s="1"/>
  <c r="G38" i="5"/>
  <c r="D38" i="5"/>
  <c r="C38" i="5"/>
  <c r="C37" i="5"/>
  <c r="D34" i="5"/>
  <c r="G41" i="4"/>
  <c r="C41" i="4" s="1"/>
  <c r="D41" i="4" s="1"/>
  <c r="G38" i="4"/>
  <c r="D38" i="4"/>
  <c r="C38" i="4"/>
  <c r="C37" i="4"/>
  <c r="D34" i="4"/>
  <c r="D34" i="3"/>
  <c r="R28" i="3" s="1"/>
  <c r="G37" i="5" l="1"/>
  <c r="B26" i="5"/>
  <c r="G37" i="4"/>
  <c r="G39" i="4" s="1"/>
  <c r="B26" i="4"/>
  <c r="G39" i="9"/>
  <c r="D37" i="5"/>
  <c r="D39" i="5" s="1"/>
  <c r="R27" i="5"/>
  <c r="G39" i="6"/>
  <c r="C39" i="9"/>
  <c r="C39" i="8"/>
  <c r="G39" i="8"/>
  <c r="C39" i="7"/>
  <c r="D37" i="7"/>
  <c r="R29" i="7" s="1"/>
  <c r="R27" i="7"/>
  <c r="R28" i="7"/>
  <c r="C39" i="6"/>
  <c r="G39" i="5"/>
  <c r="C39" i="5"/>
  <c r="C39" i="4"/>
  <c r="D37" i="9"/>
  <c r="R29" i="9" s="1"/>
  <c r="R27" i="9"/>
  <c r="R28" i="9"/>
  <c r="D37" i="8"/>
  <c r="R29" i="8" s="1"/>
  <c r="R28" i="8"/>
  <c r="R27" i="8"/>
  <c r="D39" i="6"/>
  <c r="R28" i="6"/>
  <c r="R27" i="6"/>
  <c r="R28" i="5"/>
  <c r="D37" i="4"/>
  <c r="R29" i="4" s="1"/>
  <c r="R28" i="4"/>
  <c r="R27" i="4"/>
  <c r="J30" i="2"/>
  <c r="J32" i="2"/>
  <c r="J36" i="2"/>
  <c r="J37" i="2" s="1"/>
  <c r="M11" i="2"/>
  <c r="M24" i="2" s="1"/>
  <c r="J14" i="2"/>
  <c r="J6" i="2"/>
  <c r="J9" i="2"/>
  <c r="J16" i="2"/>
  <c r="J23" i="2"/>
  <c r="C48" i="2"/>
  <c r="C51" i="2"/>
  <c r="C55" i="2"/>
  <c r="D55" i="2" s="1"/>
  <c r="F24" i="5" l="1"/>
  <c r="R13" i="5" s="1"/>
  <c r="R29" i="5"/>
  <c r="D39" i="7"/>
  <c r="R29" i="6"/>
  <c r="D39" i="9"/>
  <c r="D39" i="8"/>
  <c r="D39" i="4"/>
  <c r="G48" i="2"/>
  <c r="C53" i="2"/>
  <c r="C41" i="10"/>
  <c r="D41" i="10" s="1"/>
  <c r="D38" i="10"/>
  <c r="C38" i="10"/>
  <c r="C37" i="10"/>
  <c r="R32" i="10"/>
  <c r="G15" i="10"/>
  <c r="P12" i="10"/>
  <c r="F12" i="10"/>
  <c r="E12" i="10"/>
  <c r="D12" i="10"/>
  <c r="C12" i="10"/>
  <c r="C17" i="10" s="1"/>
  <c r="O9" i="10"/>
  <c r="F9" i="10"/>
  <c r="G10" i="10" s="1"/>
  <c r="O7" i="10"/>
  <c r="O6" i="10"/>
  <c r="O5" i="10"/>
  <c r="O4" i="10"/>
  <c r="D38" i="3"/>
  <c r="C38" i="3"/>
  <c r="C37" i="3"/>
  <c r="R34" i="9"/>
  <c r="R32" i="9"/>
  <c r="R34" i="8"/>
  <c r="R32" i="8"/>
  <c r="R34" i="7"/>
  <c r="R32" i="7"/>
  <c r="R34" i="6"/>
  <c r="R32" i="6"/>
  <c r="R32" i="5"/>
  <c r="R32" i="3"/>
  <c r="R30" i="3"/>
  <c r="R24" i="3"/>
  <c r="R23" i="3"/>
  <c r="R17" i="3"/>
  <c r="R16" i="3"/>
  <c r="R15" i="3"/>
  <c r="R9" i="3"/>
  <c r="R34" i="5"/>
  <c r="R32" i="4"/>
  <c r="R34" i="4"/>
  <c r="G15" i="9"/>
  <c r="F12" i="9"/>
  <c r="E12" i="9"/>
  <c r="D12" i="9"/>
  <c r="C12" i="9"/>
  <c r="G14" i="9"/>
  <c r="O9" i="9"/>
  <c r="F9" i="9"/>
  <c r="G8" i="9" s="1"/>
  <c r="O7" i="9"/>
  <c r="O6" i="9"/>
  <c r="O5" i="9"/>
  <c r="O4" i="9"/>
  <c r="G15" i="8"/>
  <c r="F12" i="8"/>
  <c r="E12" i="8"/>
  <c r="D12" i="8"/>
  <c r="D17" i="8" s="1"/>
  <c r="C12" i="8"/>
  <c r="C17" i="8" s="1"/>
  <c r="O9" i="8"/>
  <c r="F9" i="8"/>
  <c r="G10" i="8" s="1"/>
  <c r="O7" i="8"/>
  <c r="O6" i="8"/>
  <c r="O5" i="8"/>
  <c r="O4" i="8"/>
  <c r="G15" i="7"/>
  <c r="F12" i="7"/>
  <c r="F17" i="7" s="1"/>
  <c r="E12" i="7"/>
  <c r="D12" i="7"/>
  <c r="C12" i="7"/>
  <c r="O9" i="7"/>
  <c r="F9" i="7"/>
  <c r="G10" i="7" s="1"/>
  <c r="O7" i="7"/>
  <c r="O6" i="7"/>
  <c r="O5" i="7"/>
  <c r="O4" i="7"/>
  <c r="G15" i="6"/>
  <c r="F12" i="6"/>
  <c r="E12" i="6"/>
  <c r="D12" i="6"/>
  <c r="C12" i="6"/>
  <c r="C17" i="6" s="1"/>
  <c r="O9" i="6"/>
  <c r="F9" i="6"/>
  <c r="G10" i="6" s="1"/>
  <c r="O7" i="6"/>
  <c r="O6" i="6"/>
  <c r="O5" i="6"/>
  <c r="O4" i="6"/>
  <c r="G15" i="5"/>
  <c r="F12" i="5"/>
  <c r="F17" i="5" s="1"/>
  <c r="E12" i="5"/>
  <c r="D12" i="5"/>
  <c r="C12" i="5"/>
  <c r="C17" i="5" s="1"/>
  <c r="O9" i="5"/>
  <c r="F9" i="5"/>
  <c r="G8" i="5" s="1"/>
  <c r="O7" i="5"/>
  <c r="O6" i="5"/>
  <c r="O5" i="5"/>
  <c r="O4" i="5"/>
  <c r="G15" i="4"/>
  <c r="F12" i="4"/>
  <c r="F17" i="4" s="1"/>
  <c r="E12" i="4"/>
  <c r="E17" i="4" s="1"/>
  <c r="D12" i="4"/>
  <c r="D17" i="4" s="1"/>
  <c r="C19" i="4"/>
  <c r="F9" i="4"/>
  <c r="G10" i="4" s="1"/>
  <c r="E19" i="10" l="1"/>
  <c r="E17" i="10"/>
  <c r="F19" i="10"/>
  <c r="F17" i="10"/>
  <c r="D19" i="10"/>
  <c r="D17" i="10"/>
  <c r="D19" i="9"/>
  <c r="D17" i="9"/>
  <c r="E19" i="9"/>
  <c r="E17" i="9"/>
  <c r="F19" i="9"/>
  <c r="F17" i="9"/>
  <c r="R4" i="9"/>
  <c r="C17" i="9"/>
  <c r="E19" i="8"/>
  <c r="E17" i="8"/>
  <c r="F19" i="8"/>
  <c r="F17" i="8"/>
  <c r="R4" i="7"/>
  <c r="U4" i="7" s="1"/>
  <c r="U7" i="7" s="1"/>
  <c r="C17" i="7"/>
  <c r="D19" i="7"/>
  <c r="D17" i="7"/>
  <c r="E19" i="7"/>
  <c r="E17" i="7"/>
  <c r="E19" i="6"/>
  <c r="E17" i="6"/>
  <c r="D19" i="6"/>
  <c r="D17" i="6"/>
  <c r="F19" i="6"/>
  <c r="F17" i="6"/>
  <c r="E19" i="5"/>
  <c r="E17" i="5"/>
  <c r="D19" i="5"/>
  <c r="D17" i="5"/>
  <c r="F19" i="5"/>
  <c r="R4" i="4"/>
  <c r="R36" i="4" s="1"/>
  <c r="R4" i="5"/>
  <c r="R4" i="6"/>
  <c r="D19" i="8"/>
  <c r="R4" i="8"/>
  <c r="R36" i="8" s="1"/>
  <c r="R4" i="10"/>
  <c r="F19" i="4"/>
  <c r="C19" i="10"/>
  <c r="C19" i="9"/>
  <c r="C19" i="8"/>
  <c r="C19" i="7"/>
  <c r="C19" i="6"/>
  <c r="C19" i="5"/>
  <c r="D19" i="4"/>
  <c r="G9" i="9"/>
  <c r="G9" i="10"/>
  <c r="G14" i="10"/>
  <c r="G16" i="10" s="1"/>
  <c r="C39" i="10"/>
  <c r="G8" i="7"/>
  <c r="G8" i="6"/>
  <c r="U10" i="10"/>
  <c r="F26" i="10" s="1"/>
  <c r="U22" i="10" s="1"/>
  <c r="R14" i="10"/>
  <c r="R25" i="10"/>
  <c r="G26" i="9"/>
  <c r="G12" i="9"/>
  <c r="P5" i="9" s="1"/>
  <c r="G16" i="9"/>
  <c r="G8" i="8"/>
  <c r="G9" i="8"/>
  <c r="G14" i="8"/>
  <c r="G16" i="8" s="1"/>
  <c r="G26" i="8"/>
  <c r="G12" i="8"/>
  <c r="P4" i="8" s="1"/>
  <c r="G16" i="7"/>
  <c r="G12" i="7"/>
  <c r="P5" i="7" s="1"/>
  <c r="F19" i="7"/>
  <c r="C26" i="7"/>
  <c r="G26" i="7"/>
  <c r="P12" i="6"/>
  <c r="G26" i="6"/>
  <c r="G14" i="6"/>
  <c r="G16" i="6" s="1"/>
  <c r="G12" i="6"/>
  <c r="P5" i="6" s="1"/>
  <c r="G10" i="5"/>
  <c r="G12" i="4"/>
  <c r="P5" i="4" s="1"/>
  <c r="U24" i="3"/>
  <c r="D37" i="10"/>
  <c r="D39" i="10" s="1"/>
  <c r="R34" i="10"/>
  <c r="G12" i="10"/>
  <c r="G26" i="10"/>
  <c r="G8" i="10"/>
  <c r="G9" i="5"/>
  <c r="G12" i="5"/>
  <c r="P5" i="5" s="1"/>
  <c r="G14" i="4"/>
  <c r="G16" i="4" s="1"/>
  <c r="P12" i="4"/>
  <c r="G8" i="4"/>
  <c r="P12" i="9"/>
  <c r="G10" i="9"/>
  <c r="B26" i="8"/>
  <c r="C26" i="8"/>
  <c r="P12" i="8"/>
  <c r="G9" i="7"/>
  <c r="P12" i="7"/>
  <c r="G9" i="6"/>
  <c r="C26" i="6"/>
  <c r="P12" i="5"/>
  <c r="G14" i="5"/>
  <c r="G16" i="5" s="1"/>
  <c r="G9" i="4"/>
  <c r="E19" i="4"/>
  <c r="G41" i="3"/>
  <c r="C39" i="3" s="1"/>
  <c r="F9" i="3"/>
  <c r="F12" i="3"/>
  <c r="E12" i="3"/>
  <c r="D12" i="3"/>
  <c r="C12" i="3"/>
  <c r="M23" i="2"/>
  <c r="O9" i="4"/>
  <c r="O7" i="4"/>
  <c r="O6" i="4"/>
  <c r="O5" i="4"/>
  <c r="O4" i="4"/>
  <c r="O9" i="3"/>
  <c r="O7" i="3"/>
  <c r="O6" i="3"/>
  <c r="O5" i="3"/>
  <c r="O4" i="3"/>
  <c r="R29" i="10" l="1"/>
  <c r="G8" i="3"/>
  <c r="D19" i="3"/>
  <c r="D17" i="3"/>
  <c r="E19" i="3"/>
  <c r="E17" i="3"/>
  <c r="F19" i="3"/>
  <c r="F17" i="3"/>
  <c r="R4" i="3"/>
  <c r="C17" i="3"/>
  <c r="R10" i="5"/>
  <c r="R11" i="4"/>
  <c r="P11" i="4" s="1"/>
  <c r="R36" i="10"/>
  <c r="R37" i="10" s="1"/>
  <c r="U4" i="10"/>
  <c r="U7" i="10" s="1"/>
  <c r="U4" i="9"/>
  <c r="U7" i="9" s="1"/>
  <c r="R36" i="9"/>
  <c r="R37" i="9" s="1"/>
  <c r="R36" i="7"/>
  <c r="R36" i="6"/>
  <c r="R37" i="6" s="1"/>
  <c r="R36" i="5"/>
  <c r="R37" i="5" s="1"/>
  <c r="R6" i="10"/>
  <c r="R6" i="9"/>
  <c r="R6" i="8"/>
  <c r="U4" i="8"/>
  <c r="U7" i="8" s="1"/>
  <c r="R37" i="8"/>
  <c r="R6" i="7"/>
  <c r="R10" i="6"/>
  <c r="U4" i="6"/>
  <c r="U7" i="6" s="1"/>
  <c r="R6" i="6"/>
  <c r="U4" i="5"/>
  <c r="U7" i="5" s="1"/>
  <c r="R6" i="5"/>
  <c r="U4" i="4"/>
  <c r="U7" i="4" s="1"/>
  <c r="R6" i="4"/>
  <c r="R37" i="4"/>
  <c r="C19" i="3"/>
  <c r="R11" i="9"/>
  <c r="P11" i="9" s="1"/>
  <c r="U10" i="8"/>
  <c r="F26" i="8" s="1"/>
  <c r="U22" i="8" s="1"/>
  <c r="U10" i="6"/>
  <c r="F26" i="6" s="1"/>
  <c r="U22" i="6" s="1"/>
  <c r="U10" i="5"/>
  <c r="F26" i="5" s="1"/>
  <c r="U22" i="5" s="1"/>
  <c r="U10" i="4"/>
  <c r="R11" i="5"/>
  <c r="P11" i="5" s="1"/>
  <c r="R10" i="10"/>
  <c r="R10" i="4"/>
  <c r="R10" i="8"/>
  <c r="R11" i="6"/>
  <c r="P11" i="6" s="1"/>
  <c r="G44" i="9"/>
  <c r="G45" i="9" s="1"/>
  <c r="G46" i="9" s="1"/>
  <c r="U10" i="9"/>
  <c r="F26" i="9" s="1"/>
  <c r="U22" i="9" s="1"/>
  <c r="C11" i="5"/>
  <c r="R11" i="10"/>
  <c r="P11" i="10" s="1"/>
  <c r="R11" i="8"/>
  <c r="P11" i="8" s="1"/>
  <c r="R10" i="9"/>
  <c r="R25" i="9"/>
  <c r="R14" i="9"/>
  <c r="P4" i="9"/>
  <c r="R25" i="8"/>
  <c r="R14" i="8"/>
  <c r="P5" i="8"/>
  <c r="P4" i="7"/>
  <c r="R25" i="7"/>
  <c r="R14" i="7"/>
  <c r="R10" i="7"/>
  <c r="C11" i="7"/>
  <c r="R11" i="7"/>
  <c r="P11" i="7" s="1"/>
  <c r="P4" i="6"/>
  <c r="R14" i="6"/>
  <c r="R25" i="6"/>
  <c r="R14" i="5"/>
  <c r="R25" i="5"/>
  <c r="R25" i="4"/>
  <c r="R14" i="4"/>
  <c r="P4" i="4"/>
  <c r="P5" i="10"/>
  <c r="P4" i="10"/>
  <c r="P4" i="5"/>
  <c r="C11" i="8"/>
  <c r="C11" i="6"/>
  <c r="C11" i="4"/>
  <c r="C41" i="3"/>
  <c r="D41" i="3" s="1"/>
  <c r="G15" i="3"/>
  <c r="G14" i="3"/>
  <c r="P12" i="3"/>
  <c r="G10" i="3"/>
  <c r="M29" i="2"/>
  <c r="M13" i="2"/>
  <c r="M12" i="2"/>
  <c r="M6" i="2"/>
  <c r="M5" i="2"/>
  <c r="M4" i="2"/>
  <c r="M7" i="2" l="1"/>
  <c r="R36" i="3"/>
  <c r="R37" i="3" s="1"/>
  <c r="R6" i="3"/>
  <c r="R37" i="7"/>
  <c r="F26" i="4"/>
  <c r="R12" i="4" s="1"/>
  <c r="T38" i="4" s="1"/>
  <c r="R38" i="4" s="1"/>
  <c r="U9" i="4" s="1"/>
  <c r="U14" i="4" s="1"/>
  <c r="U4" i="3"/>
  <c r="U7" i="3" s="1"/>
  <c r="R12" i="8"/>
  <c r="T38" i="8" s="1"/>
  <c r="R38" i="8" s="1"/>
  <c r="R12" i="6"/>
  <c r="T38" i="6" s="1"/>
  <c r="R38" i="6" s="1"/>
  <c r="R12" i="5"/>
  <c r="T38" i="5" s="1"/>
  <c r="R38" i="5" s="1"/>
  <c r="R12" i="9"/>
  <c r="T38" i="9" s="1"/>
  <c r="R38" i="9" s="1"/>
  <c r="R12" i="10"/>
  <c r="T38" i="10" s="1"/>
  <c r="R38" i="10" s="1"/>
  <c r="R25" i="3"/>
  <c r="R14" i="3"/>
  <c r="C11" i="3"/>
  <c r="J28" i="2"/>
  <c r="J27" i="2"/>
  <c r="D51" i="2"/>
  <c r="D53" i="2" s="1"/>
  <c r="D37" i="3"/>
  <c r="R27" i="3"/>
  <c r="G12" i="3"/>
  <c r="G16" i="3"/>
  <c r="G9" i="3"/>
  <c r="R11" i="3" s="1"/>
  <c r="U22" i="4" l="1"/>
  <c r="U15" i="4"/>
  <c r="W16" i="4" s="1"/>
  <c r="H6" i="4"/>
  <c r="U9" i="8"/>
  <c r="U14" i="8" s="1"/>
  <c r="U15" i="8" s="1"/>
  <c r="W16" i="8" s="1"/>
  <c r="U9" i="6"/>
  <c r="U14" i="6" s="1"/>
  <c r="U15" i="6" s="1"/>
  <c r="W16" i="6" s="1"/>
  <c r="U9" i="5"/>
  <c r="U14" i="5" s="1"/>
  <c r="U15" i="5" s="1"/>
  <c r="W16" i="5" s="1"/>
  <c r="U9" i="10"/>
  <c r="U14" i="10" s="1"/>
  <c r="U15" i="10" s="1"/>
  <c r="W16" i="10" s="1"/>
  <c r="U28" i="10" s="1"/>
  <c r="U9" i="9"/>
  <c r="U14" i="9" s="1"/>
  <c r="U15" i="9" s="1"/>
  <c r="U16" i="9" s="1"/>
  <c r="R29" i="3"/>
  <c r="D39" i="3"/>
  <c r="R10" i="3"/>
  <c r="P11" i="3"/>
  <c r="J29" i="2"/>
  <c r="F48" i="2"/>
  <c r="E48" i="2" s="1"/>
  <c r="R39" i="10"/>
  <c r="R40" i="10" s="1"/>
  <c r="G18" i="10" s="1"/>
  <c r="G37" i="3"/>
  <c r="G39" i="3" s="1"/>
  <c r="B26" i="3"/>
  <c r="P4" i="3"/>
  <c r="P5" i="3"/>
  <c r="W16" i="9" l="1"/>
  <c r="U16" i="10"/>
  <c r="U21" i="10" s="1"/>
  <c r="U25" i="10" s="1"/>
  <c r="H6" i="10"/>
  <c r="M9" i="2"/>
  <c r="R12" i="3"/>
  <c r="H6" i="6" l="1"/>
  <c r="M14" i="2"/>
  <c r="H4" i="10"/>
  <c r="H2" i="10"/>
  <c r="U29" i="10"/>
  <c r="U30" i="10" s="1"/>
  <c r="H18" i="10" s="1"/>
  <c r="R39" i="9"/>
  <c r="R40" i="9" s="1"/>
  <c r="G18" i="9" s="1"/>
  <c r="R39" i="8"/>
  <c r="R40" i="8" s="1"/>
  <c r="G18" i="8" s="1"/>
  <c r="R39" i="6"/>
  <c r="R40" i="6" s="1"/>
  <c r="G18" i="6" s="1"/>
  <c r="R39" i="5"/>
  <c r="R40" i="5" s="1"/>
  <c r="G18" i="5" s="1"/>
  <c r="R39" i="4"/>
  <c r="R40" i="4" s="1"/>
  <c r="G18" i="4" s="1"/>
  <c r="G21" i="10" l="1"/>
  <c r="M15" i="2"/>
  <c r="M16" i="2" s="1"/>
  <c r="M21" i="2" s="1"/>
  <c r="U21" i="9"/>
  <c r="U25" i="9" s="1"/>
  <c r="U28" i="8"/>
  <c r="U29" i="8" s="1"/>
  <c r="U16" i="6"/>
  <c r="U21" i="6" s="1"/>
  <c r="U25" i="6" s="1"/>
  <c r="H4" i="6"/>
  <c r="J12" i="2"/>
  <c r="U16" i="5"/>
  <c r="U21" i="5" s="1"/>
  <c r="U25" i="5" s="1"/>
  <c r="G22" i="10"/>
  <c r="W31" i="10"/>
  <c r="V34" i="10"/>
  <c r="T34" i="10" s="1"/>
  <c r="H6" i="8"/>
  <c r="H6" i="9"/>
  <c r="H6" i="5"/>
  <c r="M25" i="2" l="1"/>
  <c r="H2" i="8"/>
  <c r="H4" i="8"/>
  <c r="U16" i="8"/>
  <c r="U21" i="8" s="1"/>
  <c r="U25" i="8" s="1"/>
  <c r="U30" i="8" s="1"/>
  <c r="U28" i="4"/>
  <c r="U29" i="4" s="1"/>
  <c r="H2" i="4"/>
  <c r="U16" i="4"/>
  <c r="U21" i="4" s="1"/>
  <c r="U25" i="4" s="1"/>
  <c r="J39" i="2"/>
  <c r="J40" i="2" s="1"/>
  <c r="L38" i="2"/>
  <c r="U28" i="9"/>
  <c r="U29" i="9" s="1"/>
  <c r="U30" i="9" s="1"/>
  <c r="H2" i="9"/>
  <c r="H4" i="9"/>
  <c r="U28" i="6"/>
  <c r="U29" i="6" s="1"/>
  <c r="U30" i="6" s="1"/>
  <c r="H2" i="6"/>
  <c r="G21" i="6" s="1"/>
  <c r="U28" i="5"/>
  <c r="U29" i="5" s="1"/>
  <c r="U30" i="5" s="1"/>
  <c r="H2" i="5"/>
  <c r="H4" i="5"/>
  <c r="H4" i="4"/>
  <c r="V34" i="5" l="1"/>
  <c r="T34" i="5" s="1"/>
  <c r="H18" i="5"/>
  <c r="V34" i="9"/>
  <c r="T34" i="9" s="1"/>
  <c r="H18" i="9"/>
  <c r="V34" i="8"/>
  <c r="T34" i="8" s="1"/>
  <c r="H18" i="8"/>
  <c r="V34" i="6"/>
  <c r="T34" i="6" s="1"/>
  <c r="H18" i="6"/>
  <c r="M30" i="2"/>
  <c r="S26" i="2" s="1"/>
  <c r="G21" i="4"/>
  <c r="G21" i="5"/>
  <c r="G21" i="9"/>
  <c r="G21" i="8"/>
  <c r="U30" i="4"/>
  <c r="G22" i="4"/>
  <c r="G22" i="8"/>
  <c r="G30" i="8"/>
  <c r="W31" i="8"/>
  <c r="G22" i="9"/>
  <c r="G22" i="6"/>
  <c r="G22" i="5"/>
  <c r="V34" i="4" l="1"/>
  <c r="T34" i="4" s="1"/>
  <c r="H18" i="4"/>
  <c r="O31" i="2"/>
  <c r="M34" i="2"/>
  <c r="G29" i="2"/>
  <c r="W31" i="6"/>
  <c r="G30" i="6"/>
  <c r="G30" i="5"/>
  <c r="W31" i="4"/>
  <c r="G30" i="4"/>
  <c r="W31" i="9"/>
  <c r="W31" i="5"/>
  <c r="R34" i="3" l="1"/>
  <c r="T38" i="3" l="1"/>
  <c r="R38" i="3" s="1"/>
  <c r="U9" i="3" s="1"/>
  <c r="U14" i="3" s="1"/>
  <c r="U15" i="3" s="1"/>
  <c r="W16" i="3" s="1"/>
  <c r="U28" i="3" s="1"/>
  <c r="R39" i="3" l="1"/>
  <c r="R40" i="3" s="1"/>
  <c r="G18" i="3" s="1"/>
  <c r="U29" i="3"/>
  <c r="H6" i="3"/>
  <c r="H4" i="3" l="1"/>
  <c r="H2" i="3"/>
  <c r="U16" i="3"/>
  <c r="U21" i="3" s="1"/>
  <c r="U25" i="3" s="1"/>
  <c r="U30" i="3" l="1"/>
  <c r="G21" i="3"/>
  <c r="G22" i="3"/>
  <c r="V34" i="3" l="1"/>
  <c r="T34" i="3" s="1"/>
  <c r="H18" i="3"/>
  <c r="W31" i="3"/>
  <c r="G30" i="3"/>
  <c r="G39" i="7"/>
  <c r="H16" i="7" l="1"/>
  <c r="H35" i="7"/>
  <c r="R13" i="7" l="1"/>
  <c r="U10" i="7"/>
  <c r="F26" i="7" s="1"/>
  <c r="U22" i="7" l="1"/>
  <c r="R12" i="7"/>
  <c r="T38" i="7" l="1"/>
  <c r="R38" i="7" s="1"/>
  <c r="U9" i="7" s="1"/>
  <c r="U14" i="7" s="1"/>
  <c r="R39" i="7" l="1"/>
  <c r="R40" i="7" s="1"/>
  <c r="G18" i="7" s="1"/>
  <c r="H6" i="7"/>
  <c r="U15" i="7"/>
  <c r="W16" i="7" l="1"/>
  <c r="U28" i="7" s="1"/>
  <c r="U29" i="7" s="1"/>
  <c r="U16" i="7"/>
  <c r="U21" i="7" s="1"/>
  <c r="U25" i="7" s="1"/>
  <c r="H4" i="7"/>
  <c r="H2" i="7"/>
  <c r="G22" i="7" l="1"/>
  <c r="G21" i="7"/>
  <c r="U30" i="7"/>
  <c r="W31" i="7" l="1"/>
  <c r="V34" i="7"/>
  <c r="T34" i="7" s="1"/>
  <c r="G30" i="7"/>
  <c r="H18" i="7"/>
</calcChain>
</file>

<file path=xl/sharedStrings.xml><?xml version="1.0" encoding="utf-8"?>
<sst xmlns="http://schemas.openxmlformats.org/spreadsheetml/2006/main" count="2193" uniqueCount="277">
  <si>
    <t>0季</t>
  </si>
  <si>
    <t>初始资金</t>
  </si>
  <si>
    <t>原材料单价</t>
  </si>
  <si>
    <t>研发投入</t>
  </si>
  <si>
    <t>用于提示</t>
  </si>
  <si>
    <t>功能不可用</t>
  </si>
  <si>
    <t>需要填写</t>
  </si>
  <si>
    <t>生产量计算</t>
  </si>
  <si>
    <t>生产线数量（产能）</t>
  </si>
  <si>
    <t>原材料数量</t>
  </si>
  <si>
    <t>技术工人数量</t>
  </si>
  <si>
    <t>用于复查</t>
  </si>
  <si>
    <t>表格使用说明</t>
  </si>
  <si>
    <t>1.规则设置</t>
  </si>
  <si>
    <t>（零售销售量计算）</t>
  </si>
  <si>
    <t>市场需求量</t>
  </si>
  <si>
    <t>产品数量</t>
  </si>
  <si>
    <t>客服人员</t>
  </si>
  <si>
    <t>2.注意事项</t>
  </si>
  <si>
    <t>原料紧急采购单价</t>
  </si>
  <si>
    <t>市场需求量计算</t>
  </si>
  <si>
    <t>价格</t>
  </si>
  <si>
    <t>产品质量</t>
  </si>
  <si>
    <t>品牌知名度</t>
  </si>
  <si>
    <t>市场占有率</t>
  </si>
  <si>
    <t>科研投入</t>
  </si>
  <si>
    <t>营销投入</t>
  </si>
  <si>
    <t>生产线单价</t>
  </si>
  <si>
    <t>一个班次的产能</t>
  </si>
  <si>
    <t>产能计算公式</t>
  </si>
  <si>
    <t>第n+1季产能=第n季产能*0.975+第n季生产线购买数量*500000</t>
  </si>
  <si>
    <t>生产一个产品所需原料</t>
  </si>
  <si>
    <t>班次管理费用</t>
  </si>
  <si>
    <t>0&lt;生产量&lt;=1.5倍产能</t>
  </si>
  <si>
    <t>一个班次</t>
  </si>
  <si>
    <t>1.5&lt;生产量&lt;=2.5倍产能</t>
  </si>
  <si>
    <t>两个班次</t>
  </si>
  <si>
    <t>2.5&lt;生产量&lt;=3倍产能</t>
  </si>
  <si>
    <t>三个班次</t>
  </si>
  <si>
    <t>人工费用</t>
  </si>
  <si>
    <t>人工费用=单位人工成本*生产数量</t>
  </si>
  <si>
    <t>第一班次（正常）</t>
  </si>
  <si>
    <t>第一班次（加班）</t>
  </si>
  <si>
    <t>第二班次（正常）</t>
  </si>
  <si>
    <t>第二班次（加班）</t>
  </si>
  <si>
    <t>第三班次</t>
  </si>
  <si>
    <t>原材料耗用=单位材料成本*耗用原材料数量</t>
  </si>
  <si>
    <t>原材料订购成本</t>
  </si>
  <si>
    <t>原材料订购数量</t>
  </si>
  <si>
    <t>边界点</t>
  </si>
  <si>
    <t>订购成本</t>
  </si>
  <si>
    <t>1-500000</t>
  </si>
  <si>
    <t>500001-1000000</t>
  </si>
  <si>
    <t>100万-150万</t>
  </si>
  <si>
    <t>150万-200万</t>
  </si>
  <si>
    <t>200万以上</t>
  </si>
  <si>
    <t>原材料紧急采购单价</t>
  </si>
  <si>
    <t>一个客服最大销售量</t>
  </si>
  <si>
    <t>生产线维护费用单价</t>
  </si>
  <si>
    <t>设备订购成本单价</t>
  </si>
  <si>
    <t>设备折旧</t>
  </si>
  <si>
    <t>运输费用</t>
  </si>
  <si>
    <t>华北</t>
  </si>
  <si>
    <t>华中</t>
  </si>
  <si>
    <t>华南</t>
  </si>
  <si>
    <t>华东</t>
  </si>
  <si>
    <t>紧急调拨费用</t>
  </si>
  <si>
    <t>固定费用</t>
  </si>
  <si>
    <t>变动费用</t>
  </si>
  <si>
    <t>招聘费</t>
  </si>
  <si>
    <t>培训费</t>
  </si>
  <si>
    <t>员工工资</t>
  </si>
  <si>
    <t>客服（一季）</t>
  </si>
  <si>
    <t>技术工人（一季）</t>
  </si>
  <si>
    <t>实习</t>
  </si>
  <si>
    <t>正式</t>
  </si>
  <si>
    <t>一次性安置费</t>
  </si>
  <si>
    <t>增值税说率</t>
  </si>
  <si>
    <t>附加税税率</t>
  </si>
  <si>
    <t>企业所得税税率</t>
  </si>
  <si>
    <t>贷款年利率</t>
  </si>
  <si>
    <t>折现率</t>
  </si>
  <si>
    <t>原材料存储费用</t>
  </si>
  <si>
    <t>产成品仓储费用</t>
  </si>
  <si>
    <t>产成品存货价值</t>
  </si>
  <si>
    <t>每季生产线上限</t>
  </si>
  <si>
    <t>1/3所有者权益</t>
  </si>
  <si>
    <t>一条生产线需要工人人数</t>
  </si>
  <si>
    <t>预计单位人工成本</t>
  </si>
  <si>
    <t>设置完毕</t>
  </si>
  <si>
    <t>市场决策-制定本季决策</t>
  </si>
  <si>
    <t>利润表</t>
  </si>
  <si>
    <t>现金流量表</t>
  </si>
  <si>
    <t>华北市场</t>
  </si>
  <si>
    <t>华中市场</t>
  </si>
  <si>
    <t>华南市场</t>
  </si>
  <si>
    <t>华东市场</t>
  </si>
  <si>
    <t>一、收入</t>
  </si>
  <si>
    <t>一、流入现金</t>
  </si>
  <si>
    <t>招投标大厅</t>
  </si>
  <si>
    <t>销售收入</t>
  </si>
  <si>
    <t>产品价格</t>
  </si>
  <si>
    <t>其他收入</t>
  </si>
  <si>
    <t>收入合计</t>
  </si>
  <si>
    <t>借款</t>
  </si>
  <si>
    <t>二、费用</t>
  </si>
  <si>
    <t>流入现金合计</t>
  </si>
  <si>
    <t>生产与研发部门</t>
  </si>
  <si>
    <t>（一）产品成本</t>
  </si>
  <si>
    <t>二、流出现金</t>
  </si>
  <si>
    <t>计划生产量</t>
  </si>
  <si>
    <t>研发费用</t>
  </si>
  <si>
    <t>现金费用支出</t>
  </si>
  <si>
    <t>购料支出</t>
  </si>
  <si>
    <t>设备投资支出</t>
  </si>
  <si>
    <t>原材料耗用</t>
  </si>
  <si>
    <t>还款</t>
  </si>
  <si>
    <t>物流部门</t>
  </si>
  <si>
    <t>发放红利</t>
  </si>
  <si>
    <t>原材料紧急采购费用</t>
  </si>
  <si>
    <t>流出现金合计</t>
  </si>
  <si>
    <t>投放量</t>
  </si>
  <si>
    <t>设备维护费用</t>
  </si>
  <si>
    <t>三、本季现金流量</t>
  </si>
  <si>
    <t>紧急调拨</t>
  </si>
  <si>
    <t>设备订购成本</t>
  </si>
  <si>
    <t>四、季末现金余额</t>
  </si>
  <si>
    <t>产成品存货价值修正</t>
  </si>
  <si>
    <t>（二）销售费用</t>
  </si>
  <si>
    <t>资产负债表</t>
  </si>
  <si>
    <t>财务部门</t>
  </si>
  <si>
    <t>招投标费用</t>
  </si>
  <si>
    <t>一、资产</t>
  </si>
  <si>
    <t>投标保证金</t>
  </si>
  <si>
    <t>现金</t>
  </si>
  <si>
    <t>履约保证金</t>
  </si>
  <si>
    <t>原材料存货价值</t>
  </si>
  <si>
    <t>营销费用</t>
  </si>
  <si>
    <t>产品存货价值</t>
  </si>
  <si>
    <t>采购部门</t>
  </si>
  <si>
    <t>生产设备价值</t>
  </si>
  <si>
    <t>原料正常采购</t>
  </si>
  <si>
    <t>原料紧急采购</t>
  </si>
  <si>
    <t>生产线</t>
  </si>
  <si>
    <t>单位材料成本</t>
  </si>
  <si>
    <t>耗用原材料数量</t>
  </si>
  <si>
    <t>资产合计</t>
  </si>
  <si>
    <t>（三）管理费用</t>
  </si>
  <si>
    <t>二、负债</t>
  </si>
  <si>
    <t>注：原材料多买1</t>
  </si>
  <si>
    <t>正常负债</t>
  </si>
  <si>
    <t>人力资源部门</t>
  </si>
  <si>
    <t>非正常负债</t>
  </si>
  <si>
    <t>人力资源管理</t>
  </si>
  <si>
    <t>招聘员工数</t>
  </si>
  <si>
    <t>解聘员工数</t>
  </si>
  <si>
    <t>负债合计</t>
  </si>
  <si>
    <t>一次性生活安置费</t>
  </si>
  <si>
    <t>三、所有者权益</t>
  </si>
  <si>
    <t>实际权益</t>
  </si>
  <si>
    <t>原材料仓储费用</t>
  </si>
  <si>
    <t>误差</t>
  </si>
  <si>
    <t>（四）财务费用</t>
  </si>
  <si>
    <t>技术工人</t>
  </si>
  <si>
    <t>银行利息</t>
  </si>
  <si>
    <t>（五）税费</t>
  </si>
  <si>
    <t>上季度业务状况表</t>
    <phoneticPr fontId="9" type="noConversion"/>
  </si>
  <si>
    <t>增值税</t>
  </si>
  <si>
    <t>招投标渠道</t>
  </si>
  <si>
    <t>附加税</t>
  </si>
  <si>
    <t>企业所得税</t>
  </si>
  <si>
    <t>中标订单量</t>
  </si>
  <si>
    <t>招投标销售量</t>
  </si>
  <si>
    <t>费用合计</t>
  </si>
  <si>
    <t>零售渠道</t>
  </si>
  <si>
    <t>销售量</t>
  </si>
  <si>
    <t>产成品库存</t>
  </si>
  <si>
    <t>三、净利润</t>
  </si>
  <si>
    <t>本季市场需求量</t>
  </si>
  <si>
    <t>本季生产量</t>
  </si>
  <si>
    <t>本季销售量</t>
  </si>
  <si>
    <t>原材料库存</t>
  </si>
  <si>
    <t>总市场占有率</t>
  </si>
  <si>
    <t>下季产能</t>
  </si>
  <si>
    <t>下季实际产能</t>
  </si>
  <si>
    <t>生产线数量</t>
  </si>
  <si>
    <t>员工总数</t>
  </si>
  <si>
    <t>客服</t>
  </si>
  <si>
    <t>原材料采购计算</t>
  </si>
  <si>
    <t>下季生产产品数量</t>
    <phoneticPr fontId="9" type="noConversion"/>
  </si>
  <si>
    <t>订购原材料数量</t>
  </si>
  <si>
    <t>下季预计产能</t>
    <phoneticPr fontId="9" type="noConversion"/>
  </si>
  <si>
    <t>最理想的销售收入</t>
  </si>
  <si>
    <t>销售收入</t>
    <phoneticPr fontId="9" type="noConversion"/>
  </si>
  <si>
    <t>本季现金流量</t>
  </si>
  <si>
    <t>所需现金</t>
  </si>
  <si>
    <t>产能</t>
  </si>
  <si>
    <t>最大生产量</t>
  </si>
  <si>
    <t>市场产品总数</t>
  </si>
  <si>
    <t>复查栏</t>
  </si>
  <si>
    <t>多余的借款额度</t>
  </si>
  <si>
    <t>当季npv计算</t>
  </si>
  <si>
    <t>分红</t>
  </si>
  <si>
    <t>季末所有者权益</t>
  </si>
  <si>
    <t>0季初权益</t>
  </si>
  <si>
    <t>市场占有率（%）</t>
  </si>
  <si>
    <t>市场总销售量</t>
  </si>
  <si>
    <t>总市场占有率（%）</t>
  </si>
  <si>
    <t>原材料计算器</t>
  </si>
  <si>
    <t>本季所需原材料</t>
  </si>
  <si>
    <t>下季所需原材料</t>
  </si>
  <si>
    <t>共计</t>
  </si>
  <si>
    <t>第0季利润表</t>
    <phoneticPr fontId="2" type="noConversion"/>
  </si>
  <si>
    <t>项目</t>
  </si>
  <si>
    <t>上季度</t>
  </si>
  <si>
    <t>本季度</t>
  </si>
  <si>
    <t>其它收入（投标保证金、履约保证金返还）</t>
  </si>
  <si>
    <t>原材料非正常采购费用</t>
  </si>
  <si>
    <t>生产线维护费用</t>
  </si>
  <si>
    <t>生产线订购成本</t>
  </si>
  <si>
    <t>生产线折旧</t>
  </si>
  <si>
    <t>生产线投资支出</t>
  </si>
  <si>
    <t>所需借款</t>
    <phoneticPr fontId="2" type="noConversion"/>
  </si>
  <si>
    <t>第一季利润表</t>
    <phoneticPr fontId="2" type="noConversion"/>
  </si>
  <si>
    <t>第一季现金流量表</t>
    <phoneticPr fontId="2" type="noConversion"/>
  </si>
  <si>
    <t>第二季利润表</t>
    <phoneticPr fontId="2" type="noConversion"/>
  </si>
  <si>
    <t>第二季现金流量表</t>
    <phoneticPr fontId="2" type="noConversion"/>
  </si>
  <si>
    <t>第三季利润表</t>
    <phoneticPr fontId="2" type="noConversion"/>
  </si>
  <si>
    <t>第三季现金流量表</t>
    <phoneticPr fontId="2" type="noConversion"/>
  </si>
  <si>
    <t>第四季利润表</t>
    <phoneticPr fontId="2" type="noConversion"/>
  </si>
  <si>
    <t>第四季现金流量表</t>
    <phoneticPr fontId="2" type="noConversion"/>
  </si>
  <si>
    <t>第五季利润表</t>
    <phoneticPr fontId="2" type="noConversion"/>
  </si>
  <si>
    <t>第五季现金流量表</t>
    <phoneticPr fontId="2" type="noConversion"/>
  </si>
  <si>
    <t>第六季业务状况表</t>
    <phoneticPr fontId="9" type="noConversion"/>
  </si>
  <si>
    <t>第六季利润表</t>
    <phoneticPr fontId="2" type="noConversion"/>
  </si>
  <si>
    <t>第六季现金流量表</t>
    <phoneticPr fontId="2" type="noConversion"/>
  </si>
  <si>
    <t>第五季业务状况表</t>
    <phoneticPr fontId="2" type="noConversion"/>
  </si>
  <si>
    <t>第四季业务状况表</t>
    <phoneticPr fontId="2" type="noConversion"/>
  </si>
  <si>
    <t>第三季业务状况表</t>
    <phoneticPr fontId="2" type="noConversion"/>
  </si>
  <si>
    <t>第二季业务状况表</t>
    <phoneticPr fontId="2" type="noConversion"/>
  </si>
  <si>
    <t>第一季业务状况表</t>
    <phoneticPr fontId="2" type="noConversion"/>
  </si>
  <si>
    <t>第0季业务状况表</t>
    <phoneticPr fontId="2" type="noConversion"/>
  </si>
  <si>
    <t>第一季资产负债表</t>
    <phoneticPr fontId="2" type="noConversion"/>
  </si>
  <si>
    <t>第七季业务状况表</t>
    <phoneticPr fontId="9" type="noConversion"/>
  </si>
  <si>
    <t>第七季利润表</t>
    <phoneticPr fontId="2" type="noConversion"/>
  </si>
  <si>
    <t>第七季现金流量表</t>
    <phoneticPr fontId="2" type="noConversion"/>
  </si>
  <si>
    <t>第0季现金流量表</t>
    <phoneticPr fontId="2" type="noConversion"/>
  </si>
  <si>
    <t>第0季资产负债表</t>
    <phoneticPr fontId="2" type="noConversion"/>
  </si>
  <si>
    <t>下季预计建线数</t>
    <phoneticPr fontId="2" type="noConversion"/>
  </si>
  <si>
    <t>下季预计最大建线数</t>
    <phoneticPr fontId="2" type="noConversion"/>
  </si>
  <si>
    <t>本季最大建线数</t>
    <phoneticPr fontId="2" type="noConversion"/>
  </si>
  <si>
    <t>原料手动采购数</t>
    <phoneticPr fontId="2" type="noConversion"/>
  </si>
  <si>
    <t>手动采购数</t>
    <phoneticPr fontId="2" type="noConversion"/>
  </si>
  <si>
    <t>原材料订购成本（下一季原材料单价为2.25元）</t>
  </si>
  <si>
    <t>复查</t>
    <phoneticPr fontId="2" type="noConversion"/>
  </si>
  <si>
    <t>实际生产量</t>
    <phoneticPr fontId="9" type="noConversion"/>
  </si>
  <si>
    <t>计划生产量</t>
    <phoneticPr fontId="2" type="noConversion"/>
  </si>
  <si>
    <t>单位材料成本</t>
    <phoneticPr fontId="2" type="noConversion"/>
  </si>
  <si>
    <t>非正常负债</t>
    <phoneticPr fontId="2" type="noConversion"/>
  </si>
  <si>
    <t>人力资源部门</t>
    <phoneticPr fontId="2" type="noConversion"/>
  </si>
  <si>
    <t>单位净利润</t>
    <phoneticPr fontId="2" type="noConversion"/>
  </si>
  <si>
    <t>净利润</t>
    <phoneticPr fontId="2" type="noConversion"/>
  </si>
  <si>
    <t>市场</t>
    <phoneticPr fontId="2" type="noConversion"/>
  </si>
  <si>
    <t>、</t>
    <phoneticPr fontId="2" type="noConversion"/>
  </si>
  <si>
    <t xml:space="preserve"> </t>
    <phoneticPr fontId="2" type="noConversion"/>
  </si>
  <si>
    <t>一、流入现金</t>
    <phoneticPr fontId="2" type="noConversion"/>
  </si>
  <si>
    <t>原材料订购成本（下一季原材料单价为1.25元）</t>
  </si>
  <si>
    <t>13-15</t>
    <phoneticPr fontId="2" type="noConversion"/>
  </si>
  <si>
    <t>权益</t>
    <phoneticPr fontId="2" type="noConversion"/>
  </si>
  <si>
    <t>6.5-7</t>
    <phoneticPr fontId="2" type="noConversion"/>
  </si>
  <si>
    <t>6-6.5</t>
    <phoneticPr fontId="2" type="noConversion"/>
  </si>
  <si>
    <t>100-150</t>
    <phoneticPr fontId="2" type="noConversion"/>
  </si>
  <si>
    <t>300-350</t>
    <phoneticPr fontId="2" type="noConversion"/>
  </si>
  <si>
    <t>200-300</t>
    <phoneticPr fontId="2" type="noConversion"/>
  </si>
  <si>
    <t>、流入现金</t>
  </si>
  <si>
    <t>、资产</t>
  </si>
  <si>
    <t>原材料订购成本（下一季原材料单价为2.09元）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</si>
</sst>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76" formatCode="0.00_ "/>
  </numFmts>
  <fonts count="26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rgb="FF00B0F0"/>
      <name val="宋体"/>
      <family val="3"/>
      <charset val="134"/>
    </font>
    <font>
      <sz val="11.25"/>
      <color indexed="8"/>
      <name val="Arial"/>
      <family val="2"/>
    </font>
    <font>
      <b/>
      <i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indexed="8"/>
      <name val="Arial"/>
      <family val="2"/>
    </font>
    <font>
      <b/>
      <i/>
      <sz val="10.5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0.5"/>
      <color indexed="8"/>
      <name val="Arial"/>
      <family val="2"/>
    </font>
    <font>
      <sz val="11.25"/>
      <color rgb="FFFF0000"/>
      <name val="Arial"/>
      <family val="2"/>
    </font>
    <font>
      <sz val="11"/>
      <color rgb="FFBFBFBF"/>
      <name val="宋体"/>
      <family val="3"/>
      <charset val="134"/>
    </font>
    <font>
      <b/>
      <sz val="9"/>
      <color rgb="FFDCDFE2"/>
      <name val="黑体"/>
      <family val="3"/>
      <charset val="134"/>
    </font>
    <font>
      <sz val="9"/>
      <color rgb="FFFFFFFF"/>
      <name val="黑体"/>
      <family val="3"/>
      <charset val="134"/>
    </font>
    <font>
      <b/>
      <sz val="14"/>
      <color indexed="8"/>
      <name val="仿宋"/>
      <family val="3"/>
      <charset val="134"/>
    </font>
    <font>
      <b/>
      <sz val="14"/>
      <color theme="1"/>
      <name val="仿宋"/>
      <family val="3"/>
      <charset val="134"/>
    </font>
    <font>
      <b/>
      <sz val="10"/>
      <color rgb="FFDCDFE2"/>
      <name val="黑体"/>
      <family val="3"/>
      <charset val="134"/>
    </font>
    <font>
      <b/>
      <sz val="4"/>
      <color rgb="FFDCDFE2"/>
      <name val="黑体"/>
      <family val="3"/>
      <charset val="134"/>
    </font>
    <font>
      <sz val="4"/>
      <color rgb="FFFFFFFF"/>
      <name val="黑体"/>
      <family val="3"/>
      <charset val="134"/>
    </font>
    <font>
      <sz val="10"/>
      <color rgb="FFFFFFFF"/>
      <name val="黑体"/>
      <family val="3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C0C0C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FFFC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636575"/>
        <bgColor indexed="64"/>
      </patternFill>
    </fill>
    <fill>
      <patternFill patternType="solid">
        <fgColor rgb="FFA2ABB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FFFFFF"/>
      </bottom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/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3" fillId="3" borderId="9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6" borderId="15" xfId="0" applyFill="1" applyBorder="1" applyAlignment="1">
      <alignment vertical="center"/>
    </xf>
    <xf numFmtId="0" fontId="0" fillId="6" borderId="16" xfId="0" applyFill="1" applyBorder="1" applyAlignment="1">
      <alignment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17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8" xfId="0" applyBorder="1" applyAlignment="1" applyProtection="1">
      <alignment vertical="center"/>
      <protection locked="0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19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2" xfId="0" applyBorder="1" applyAlignment="1" applyProtection="1">
      <alignment vertical="center"/>
      <protection locked="0"/>
    </xf>
    <xf numFmtId="0" fontId="0" fillId="0" borderId="26" xfId="0" applyBorder="1" applyAlignment="1">
      <alignment vertical="center"/>
    </xf>
    <xf numFmtId="0" fontId="0" fillId="0" borderId="27" xfId="0" applyBorder="1" applyAlignment="1" applyProtection="1">
      <alignment vertical="center"/>
      <protection locked="0"/>
    </xf>
    <xf numFmtId="0" fontId="0" fillId="0" borderId="2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 applyProtection="1">
      <alignment vertical="center"/>
      <protection locked="0"/>
    </xf>
    <xf numFmtId="0" fontId="0" fillId="0" borderId="13" xfId="0" applyBorder="1" applyAlignment="1">
      <alignment vertical="center"/>
    </xf>
    <xf numFmtId="0" fontId="0" fillId="0" borderId="28" xfId="0" applyBorder="1" applyAlignment="1" applyProtection="1">
      <alignment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 applyProtection="1">
      <alignment vertical="center"/>
      <protection locked="0"/>
    </xf>
    <xf numFmtId="0" fontId="0" fillId="7" borderId="11" xfId="0" applyFill="1" applyBorder="1" applyAlignment="1" applyProtection="1">
      <alignment vertical="center"/>
      <protection locked="0"/>
    </xf>
    <xf numFmtId="0" fontId="0" fillId="7" borderId="25" xfId="0" applyFill="1" applyBorder="1" applyAlignment="1" applyProtection="1">
      <alignment vertical="center"/>
      <protection locked="0"/>
    </xf>
    <xf numFmtId="0" fontId="0" fillId="7" borderId="12" xfId="0" applyFill="1" applyBorder="1" applyAlignment="1" applyProtection="1">
      <alignment vertical="center"/>
      <protection locked="0"/>
    </xf>
    <xf numFmtId="58" fontId="0" fillId="0" borderId="18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41" fontId="0" fillId="0" borderId="32" xfId="0" applyNumberFormat="1" applyBorder="1" applyAlignment="1">
      <alignment horizontal="right" vertical="center"/>
    </xf>
    <xf numFmtId="41" fontId="0" fillId="3" borderId="24" xfId="0" applyNumberFormat="1" applyFill="1" applyBorder="1" applyAlignment="1" applyProtection="1">
      <alignment horizontal="right" vertical="center"/>
      <protection locked="0"/>
    </xf>
    <xf numFmtId="41" fontId="0" fillId="3" borderId="10" xfId="0" applyNumberFormat="1" applyFill="1" applyBorder="1" applyAlignment="1" applyProtection="1">
      <alignment horizontal="right" vertical="center"/>
      <protection locked="0"/>
    </xf>
    <xf numFmtId="41" fontId="0" fillId="0" borderId="10" xfId="0" applyNumberFormat="1" applyBorder="1" applyAlignment="1" applyProtection="1">
      <alignment horizontal="right" vertical="center"/>
      <protection locked="0"/>
    </xf>
    <xf numFmtId="41" fontId="0" fillId="0" borderId="10" xfId="0" applyNumberFormat="1" applyBorder="1" applyAlignment="1">
      <alignment horizontal="right" vertical="center"/>
    </xf>
    <xf numFmtId="0" fontId="6" fillId="0" borderId="33" xfId="0" applyFont="1" applyBorder="1" applyAlignment="1" applyProtection="1">
      <alignment horizontal="center" vertical="center" wrapText="1"/>
      <protection locked="0"/>
    </xf>
    <xf numFmtId="0" fontId="6" fillId="0" borderId="34" xfId="0" applyFont="1" applyBorder="1" applyAlignment="1" applyProtection="1">
      <alignment horizontal="center" vertical="center" wrapText="1"/>
      <protection locked="0"/>
    </xf>
    <xf numFmtId="0" fontId="0" fillId="3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6" fillId="0" borderId="35" xfId="0" applyNumberFormat="1" applyFont="1" applyBorder="1" applyAlignment="1" applyProtection="1">
      <alignment horizontal="center" vertical="center" wrapText="1"/>
      <protection locked="0"/>
    </xf>
    <xf numFmtId="3" fontId="6" fillId="0" borderId="36" xfId="0" applyNumberFormat="1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24" xfId="0" applyNumberFormat="1" applyBorder="1" applyAlignment="1" applyProtection="1">
      <alignment horizontal="right" vertical="center"/>
      <protection locked="0"/>
    </xf>
    <xf numFmtId="0" fontId="4" fillId="0" borderId="11" xfId="0" applyFont="1" applyBorder="1" applyAlignment="1">
      <alignment vertical="center"/>
    </xf>
    <xf numFmtId="41" fontId="0" fillId="0" borderId="12" xfId="0" applyNumberFormat="1" applyBorder="1" applyAlignment="1" applyProtection="1">
      <alignment horizontal="right" vertical="center"/>
      <protection locked="0"/>
    </xf>
    <xf numFmtId="41" fontId="0" fillId="0" borderId="25" xfId="0" applyNumberFormat="1" applyBorder="1" applyAlignment="1" applyProtection="1">
      <alignment horizontal="right" vertical="center"/>
      <protection locked="0"/>
    </xf>
    <xf numFmtId="0" fontId="0" fillId="0" borderId="30" xfId="0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6" fillId="9" borderId="35" xfId="0" applyFont="1" applyFill="1" applyBorder="1" applyAlignment="1" applyProtection="1">
      <alignment horizontal="center" vertical="center" wrapText="1"/>
      <protection locked="0"/>
    </xf>
    <xf numFmtId="0" fontId="6" fillId="9" borderId="36" xfId="0" applyFont="1" applyFill="1" applyBorder="1" applyAlignment="1" applyProtection="1">
      <alignment horizontal="center" vertical="center" wrapText="1"/>
      <protection locked="0"/>
    </xf>
    <xf numFmtId="0" fontId="0" fillId="9" borderId="18" xfId="0" applyFill="1" applyBorder="1" applyAlignment="1" applyProtection="1">
      <alignment vertical="center"/>
      <protection locked="0"/>
    </xf>
    <xf numFmtId="41" fontId="0" fillId="0" borderId="18" xfId="0" applyNumberForma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41" fontId="0" fillId="9" borderId="24" xfId="0" applyNumberFormat="1" applyFill="1" applyBorder="1" applyAlignment="1" applyProtection="1">
      <alignment horizontal="right" vertical="center"/>
      <protection locked="0"/>
    </xf>
    <xf numFmtId="41" fontId="0" fillId="0" borderId="12" xfId="0" applyNumberFormat="1" applyBorder="1" applyAlignment="1">
      <alignment horizontal="right" vertical="center"/>
    </xf>
    <xf numFmtId="41" fontId="0" fillId="9" borderId="0" xfId="0" applyNumberFormat="1" applyFill="1" applyAlignment="1" applyProtection="1">
      <alignment horizontal="right" vertical="center"/>
      <protection locked="0"/>
    </xf>
    <xf numFmtId="41" fontId="0" fillId="11" borderId="10" xfId="0" applyNumberFormat="1" applyFill="1" applyBorder="1" applyAlignment="1" applyProtection="1">
      <alignment horizontal="right" vertical="center"/>
      <protection locked="0"/>
    </xf>
    <xf numFmtId="41" fontId="0" fillId="0" borderId="0" xfId="0" applyNumberFormat="1" applyAlignment="1">
      <alignment horizontal="right" vertical="center"/>
    </xf>
    <xf numFmtId="0" fontId="11" fillId="0" borderId="9" xfId="0" applyFont="1" applyBorder="1" applyAlignment="1">
      <alignment vertical="center"/>
    </xf>
    <xf numFmtId="41" fontId="0" fillId="0" borderId="25" xfId="0" applyNumberFormat="1" applyBorder="1" applyAlignment="1">
      <alignment horizontal="right" vertical="center"/>
    </xf>
    <xf numFmtId="0" fontId="12" fillId="0" borderId="9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41" fontId="12" fillId="3" borderId="24" xfId="0" applyNumberFormat="1" applyFont="1" applyFill="1" applyBorder="1" applyAlignment="1">
      <alignment horizontal="right" vertical="center"/>
    </xf>
    <xf numFmtId="41" fontId="0" fillId="0" borderId="10" xfId="0" applyNumberFormat="1" applyBorder="1" applyAlignment="1">
      <alignment horizontal="right" vertical="center" wrapText="1"/>
    </xf>
    <xf numFmtId="0" fontId="12" fillId="0" borderId="41" xfId="0" applyFont="1" applyBorder="1" applyAlignment="1">
      <alignment horizontal="center" vertical="center"/>
    </xf>
    <xf numFmtId="41" fontId="12" fillId="3" borderId="42" xfId="0" applyNumberFormat="1" applyFont="1" applyFill="1" applyBorder="1" applyAlignment="1">
      <alignment horizontal="right" vertical="center"/>
    </xf>
    <xf numFmtId="0" fontId="12" fillId="0" borderId="43" xfId="0" applyFont="1" applyBorder="1" applyAlignment="1">
      <alignment vertical="center"/>
    </xf>
    <xf numFmtId="0" fontId="12" fillId="12" borderId="4" xfId="0" applyFont="1" applyFill="1" applyBorder="1" applyAlignment="1">
      <alignment vertical="center"/>
    </xf>
    <xf numFmtId="0" fontId="12" fillId="12" borderId="23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3" fillId="0" borderId="11" xfId="0" applyFont="1" applyBorder="1" applyAlignment="1">
      <alignment vertical="center"/>
    </xf>
    <xf numFmtId="0" fontId="12" fillId="12" borderId="9" xfId="0" applyFont="1" applyFill="1" applyBorder="1" applyAlignment="1">
      <alignment horizontal="center" vertical="center"/>
    </xf>
    <xf numFmtId="3" fontId="14" fillId="12" borderId="24" xfId="0" applyNumberFormat="1" applyFont="1" applyFill="1" applyBorder="1" applyAlignment="1" applyProtection="1">
      <alignment horizontal="center" vertical="center" wrapText="1"/>
      <protection locked="0"/>
    </xf>
    <xf numFmtId="0" fontId="14" fillId="12" borderId="24" xfId="0" applyFont="1" applyFill="1" applyBorder="1" applyAlignment="1" applyProtection="1">
      <alignment horizontal="center" vertical="center" wrapText="1"/>
      <protection locked="0"/>
    </xf>
    <xf numFmtId="0" fontId="14" fillId="12" borderId="10" xfId="0" applyFont="1" applyFill="1" applyBorder="1" applyAlignment="1">
      <alignment horizontal="center" vertical="center" wrapText="1"/>
    </xf>
    <xf numFmtId="0" fontId="12" fillId="12" borderId="24" xfId="0" applyFont="1" applyFill="1" applyBorder="1" applyAlignment="1">
      <alignment horizontal="center" vertical="center"/>
    </xf>
    <xf numFmtId="0" fontId="12" fillId="12" borderId="10" xfId="0" applyFont="1" applyFill="1" applyBorder="1" applyAlignment="1">
      <alignment horizontal="center" vertical="center"/>
    </xf>
    <xf numFmtId="3" fontId="14" fillId="12" borderId="9" xfId="0" applyNumberFormat="1" applyFont="1" applyFill="1" applyBorder="1" applyAlignment="1">
      <alignment horizontal="center" vertical="center" wrapText="1"/>
    </xf>
    <xf numFmtId="3" fontId="14" fillId="12" borderId="24" xfId="0" applyNumberFormat="1" applyFont="1" applyFill="1" applyBorder="1" applyAlignment="1">
      <alignment horizontal="center" vertical="center" wrapText="1"/>
    </xf>
    <xf numFmtId="176" fontId="14" fillId="12" borderId="10" xfId="0" applyNumberFormat="1" applyFont="1" applyFill="1" applyBorder="1" applyAlignment="1">
      <alignment horizontal="center" vertical="center" wrapText="1"/>
    </xf>
    <xf numFmtId="41" fontId="12" fillId="12" borderId="11" xfId="0" applyNumberFormat="1" applyFont="1" applyFill="1" applyBorder="1" applyAlignment="1">
      <alignment horizontal="right" vertical="center"/>
    </xf>
    <xf numFmtId="41" fontId="12" fillId="12" borderId="25" xfId="0" applyNumberFormat="1" applyFont="1" applyFill="1" applyBorder="1" applyAlignment="1">
      <alignment horizontal="right" vertical="center"/>
    </xf>
    <xf numFmtId="41" fontId="12" fillId="12" borderId="12" xfId="0" applyNumberFormat="1" applyFont="1" applyFill="1" applyBorder="1" applyAlignment="1">
      <alignment horizontal="right" vertical="center"/>
    </xf>
    <xf numFmtId="0" fontId="8" fillId="0" borderId="2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41" fontId="0" fillId="0" borderId="12" xfId="0" applyNumberFormat="1" applyBorder="1" applyAlignment="1">
      <alignment vertical="center"/>
    </xf>
    <xf numFmtId="41" fontId="0" fillId="2" borderId="18" xfId="0" applyNumberForma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1" fontId="0" fillId="13" borderId="10" xfId="0" applyNumberFormat="1" applyFill="1" applyBorder="1" applyAlignment="1" applyProtection="1">
      <alignment horizontal="right" vertical="center"/>
      <protection locked="0"/>
    </xf>
    <xf numFmtId="41" fontId="0" fillId="0" borderId="0" xfId="0" applyNumberFormat="1" applyAlignment="1">
      <alignment vertical="center"/>
    </xf>
    <xf numFmtId="0" fontId="6" fillId="9" borderId="33" xfId="0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vertical="center"/>
    </xf>
    <xf numFmtId="41" fontId="0" fillId="2" borderId="22" xfId="0" applyNumberFormat="1" applyFill="1" applyBorder="1" applyAlignment="1">
      <alignment horizontal="right" vertical="center"/>
    </xf>
    <xf numFmtId="43" fontId="0" fillId="0" borderId="0" xfId="0" applyNumberFormat="1" applyAlignment="1">
      <alignment vertical="center"/>
    </xf>
    <xf numFmtId="0" fontId="0" fillId="0" borderId="21" xfId="0" applyBorder="1" applyAlignment="1">
      <alignment horizontal="center" vertical="center"/>
    </xf>
    <xf numFmtId="41" fontId="0" fillId="2" borderId="29" xfId="0" applyNumberFormat="1" applyFill="1" applyBorder="1" applyAlignment="1" applyProtection="1">
      <alignment horizontal="center" vertical="center"/>
      <protection locked="0"/>
    </xf>
    <xf numFmtId="41" fontId="0" fillId="2" borderId="28" xfId="0" applyNumberFormat="1" applyFill="1" applyBorder="1" applyAlignment="1" applyProtection="1">
      <alignment horizontal="center" vertical="center"/>
      <protection locked="0"/>
    </xf>
    <xf numFmtId="41" fontId="0" fillId="2" borderId="0" xfId="0" applyNumberFormat="1" applyFill="1" applyAlignment="1">
      <alignment vertical="center"/>
    </xf>
    <xf numFmtId="41" fontId="0" fillId="9" borderId="10" xfId="0" applyNumberFormat="1" applyFill="1" applyBorder="1" applyAlignment="1" applyProtection="1">
      <alignment horizontal="right" vertical="center"/>
      <protection locked="0"/>
    </xf>
    <xf numFmtId="41" fontId="0" fillId="2" borderId="15" xfId="0" applyNumberFormat="1" applyFill="1" applyBorder="1" applyAlignment="1">
      <alignment vertical="center"/>
    </xf>
    <xf numFmtId="0" fontId="15" fillId="5" borderId="44" xfId="0" applyFont="1" applyFill="1" applyBorder="1" applyAlignment="1">
      <alignment vertical="center"/>
    </xf>
    <xf numFmtId="0" fontId="15" fillId="5" borderId="31" xfId="0" applyFont="1" applyFill="1" applyBorder="1" applyAlignment="1">
      <alignment vertical="center"/>
    </xf>
    <xf numFmtId="41" fontId="0" fillId="14" borderId="0" xfId="0" applyNumberFormat="1" applyFill="1" applyAlignment="1">
      <alignment vertical="center"/>
    </xf>
    <xf numFmtId="41" fontId="0" fillId="15" borderId="0" xfId="0" applyNumberFormat="1" applyFill="1" applyAlignment="1">
      <alignment vertical="center"/>
    </xf>
    <xf numFmtId="41" fontId="0" fillId="9" borderId="12" xfId="0" applyNumberFormat="1" applyFill="1" applyBorder="1" applyAlignment="1" applyProtection="1">
      <alignment horizontal="right" vertical="center"/>
      <protection locked="0"/>
    </xf>
    <xf numFmtId="41" fontId="0" fillId="15" borderId="11" xfId="0" applyNumberFormat="1" applyFill="1" applyBorder="1" applyAlignment="1">
      <alignment vertical="center"/>
    </xf>
    <xf numFmtId="41" fontId="0" fillId="0" borderId="25" xfId="0" applyNumberFormat="1" applyBorder="1" applyAlignment="1">
      <alignment vertical="center"/>
    </xf>
    <xf numFmtId="41" fontId="0" fillId="0" borderId="5" xfId="0" applyNumberFormat="1" applyBorder="1" applyAlignment="1">
      <alignment vertical="center"/>
    </xf>
    <xf numFmtId="41" fontId="0" fillId="0" borderId="10" xfId="0" applyNumberFormat="1" applyBorder="1" applyAlignment="1">
      <alignment vertical="center"/>
    </xf>
    <xf numFmtId="3" fontId="17" fillId="17" borderId="45" xfId="0" applyNumberFormat="1" applyFont="1" applyFill="1" applyBorder="1" applyAlignment="1">
      <alignment vertical="center" wrapText="1"/>
    </xf>
    <xf numFmtId="0" fontId="16" fillId="16" borderId="4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3" fontId="6" fillId="11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41" fontId="0" fillId="0" borderId="3" xfId="0" applyNumberFormat="1" applyBorder="1" applyAlignment="1">
      <alignment vertical="center"/>
    </xf>
    <xf numFmtId="41" fontId="0" fillId="0" borderId="20" xfId="0" applyNumberFormat="1" applyBorder="1" applyAlignment="1">
      <alignment vertical="center"/>
    </xf>
    <xf numFmtId="41" fontId="0" fillId="0" borderId="8" xfId="0" applyNumberFormat="1" applyBorder="1" applyAlignment="1">
      <alignment vertical="center"/>
    </xf>
    <xf numFmtId="0" fontId="6" fillId="9" borderId="34" xfId="0" applyFont="1" applyFill="1" applyBorder="1" applyAlignment="1" applyProtection="1">
      <alignment horizontal="center" vertical="center" wrapText="1"/>
      <protection locked="0"/>
    </xf>
    <xf numFmtId="3" fontId="6" fillId="9" borderId="35" xfId="0" applyNumberFormat="1" applyFont="1" applyFill="1" applyBorder="1" applyAlignment="1" applyProtection="1">
      <alignment horizontal="center" vertical="center" wrapText="1"/>
      <protection locked="0"/>
    </xf>
    <xf numFmtId="3" fontId="6" fillId="9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20" fillId="16" borderId="45" xfId="0" applyFont="1" applyFill="1" applyBorder="1" applyAlignment="1">
      <alignment horizontal="center" vertical="center" wrapText="1"/>
    </xf>
    <xf numFmtId="43" fontId="0" fillId="0" borderId="18" xfId="0" applyNumberFormat="1" applyBorder="1" applyAlignment="1">
      <alignment vertical="center" wrapText="1"/>
    </xf>
    <xf numFmtId="41" fontId="0" fillId="11" borderId="24" xfId="0" applyNumberFormat="1" applyFill="1" applyBorder="1" applyAlignment="1" applyProtection="1">
      <alignment horizontal="right" vertical="center"/>
      <protection locked="0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1" fontId="0" fillId="18" borderId="10" xfId="0" applyNumberFormat="1" applyFill="1" applyBorder="1" applyAlignment="1" applyProtection="1">
      <alignment horizontal="right" vertical="center"/>
      <protection locked="0"/>
    </xf>
    <xf numFmtId="0" fontId="0" fillId="18" borderId="18" xfId="0" applyFill="1" applyBorder="1" applyAlignment="1">
      <alignment vertical="center"/>
    </xf>
    <xf numFmtId="0" fontId="0" fillId="0" borderId="17" xfId="0" applyBorder="1"/>
    <xf numFmtId="41" fontId="0" fillId="0" borderId="18" xfId="0" applyNumberFormat="1" applyBorder="1" applyAlignment="1">
      <alignment vertical="center" wrapText="1"/>
    </xf>
    <xf numFmtId="41" fontId="0" fillId="11" borderId="12" xfId="0" applyNumberFormat="1" applyFill="1" applyBorder="1" applyAlignment="1" applyProtection="1">
      <alignment horizontal="right" vertical="center"/>
      <protection locked="0"/>
    </xf>
    <xf numFmtId="0" fontId="0" fillId="0" borderId="9" xfId="0" applyBorder="1" applyAlignment="1">
      <alignment horizontal="center" vertical="center"/>
    </xf>
    <xf numFmtId="3" fontId="6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0" xfId="0" applyBorder="1" applyAlignment="1">
      <alignment vertical="center"/>
    </xf>
    <xf numFmtId="3" fontId="6" fillId="18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15" fillId="19" borderId="44" xfId="0" applyFont="1" applyFill="1" applyBorder="1" applyAlignment="1">
      <alignment vertical="center"/>
    </xf>
    <xf numFmtId="0" fontId="0" fillId="0" borderId="41" xfId="0" applyBorder="1" applyAlignment="1">
      <alignment vertical="center"/>
    </xf>
    <xf numFmtId="41" fontId="0" fillId="0" borderId="42" xfId="0" applyNumberFormat="1" applyBorder="1" applyAlignment="1">
      <alignment vertical="center"/>
    </xf>
    <xf numFmtId="41" fontId="0" fillId="0" borderId="43" xfId="0" applyNumberForma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0" fillId="0" borderId="32" xfId="0" applyBorder="1" applyAlignment="1">
      <alignment vertical="center"/>
    </xf>
    <xf numFmtId="41" fontId="0" fillId="0" borderId="25" xfId="0" applyNumberFormat="1" applyFill="1" applyBorder="1" applyAlignment="1" applyProtection="1">
      <alignment vertical="center"/>
      <protection locked="0"/>
    </xf>
    <xf numFmtId="41" fontId="0" fillId="2" borderId="8" xfId="0" applyNumberFormat="1" applyFill="1" applyBorder="1" applyAlignment="1">
      <alignment horizontal="right" vertical="center"/>
    </xf>
    <xf numFmtId="0" fontId="8" fillId="0" borderId="24" xfId="0" applyFont="1" applyBorder="1" applyAlignment="1">
      <alignment vertical="center"/>
    </xf>
    <xf numFmtId="41" fontId="0" fillId="11" borderId="25" xfId="0" applyNumberFormat="1" applyFill="1" applyBorder="1" applyAlignment="1" applyProtection="1">
      <alignment vertical="center"/>
      <protection locked="0"/>
    </xf>
    <xf numFmtId="41" fontId="0" fillId="18" borderId="11" xfId="0" applyNumberFormat="1" applyFill="1" applyBorder="1" applyAlignment="1" applyProtection="1">
      <alignment vertical="center"/>
      <protection locked="0"/>
    </xf>
    <xf numFmtId="41" fontId="0" fillId="9" borderId="0" xfId="0" applyNumberFormat="1" applyFill="1" applyAlignment="1" applyProtection="1">
      <alignment horizontal="right" vertical="center" wrapText="1"/>
      <protection locked="0"/>
    </xf>
    <xf numFmtId="0" fontId="0" fillId="0" borderId="31" xfId="0" applyBorder="1" applyAlignment="1">
      <alignment horizontal="center" vertical="center"/>
    </xf>
    <xf numFmtId="0" fontId="22" fillId="17" borderId="45" xfId="0" applyFont="1" applyFill="1" applyBorder="1" applyAlignment="1">
      <alignment vertical="center" wrapText="1"/>
    </xf>
    <xf numFmtId="3" fontId="22" fillId="17" borderId="45" xfId="0" applyNumberFormat="1" applyFont="1" applyFill="1" applyBorder="1" applyAlignment="1">
      <alignment vertical="center" wrapText="1"/>
    </xf>
    <xf numFmtId="0" fontId="21" fillId="16" borderId="4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43" fontId="0" fillId="0" borderId="24" xfId="0" applyNumberFormat="1" applyBorder="1" applyAlignment="1" applyProtection="1">
      <alignment horizontal="right" vertical="center"/>
      <protection locked="0"/>
    </xf>
    <xf numFmtId="43" fontId="0" fillId="0" borderId="10" xfId="0" applyNumberFormat="1" applyBorder="1" applyAlignment="1" applyProtection="1">
      <alignment horizontal="right" vertical="center"/>
      <protection locked="0"/>
    </xf>
    <xf numFmtId="0" fontId="23" fillId="17" borderId="45" xfId="0" applyFont="1" applyFill="1" applyBorder="1" applyAlignment="1">
      <alignment vertical="center" wrapText="1"/>
    </xf>
    <xf numFmtId="0" fontId="20" fillId="16" borderId="45" xfId="0" applyFont="1" applyFill="1" applyBorder="1" applyAlignment="1">
      <alignment horizontal="left" vertical="center" wrapText="1"/>
    </xf>
    <xf numFmtId="41" fontId="0" fillId="0" borderId="0" xfId="0" applyNumberFormat="1"/>
    <xf numFmtId="43" fontId="0" fillId="0" borderId="0" xfId="0" applyNumberFormat="1"/>
    <xf numFmtId="0" fontId="24" fillId="0" borderId="0" xfId="0" applyFont="1" applyAlignment="1">
      <alignment vertical="center"/>
    </xf>
    <xf numFmtId="0" fontId="24" fillId="0" borderId="0" xfId="0" applyFont="1" applyAlignment="1" applyProtection="1">
      <alignment vertical="center"/>
      <protection locked="0"/>
    </xf>
    <xf numFmtId="41" fontId="0" fillId="20" borderId="24" xfId="0" applyNumberForma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center" vertical="center"/>
    </xf>
    <xf numFmtId="41" fontId="0" fillId="6" borderId="0" xfId="0" applyNumberFormat="1" applyFill="1" applyAlignment="1">
      <alignment vertical="center"/>
    </xf>
    <xf numFmtId="0" fontId="24" fillId="0" borderId="0" xfId="0" applyFont="1" applyAlignment="1">
      <alignment horizontal="center" vertical="center"/>
    </xf>
    <xf numFmtId="41" fontId="0" fillId="6" borderId="0" xfId="0" applyNumberFormat="1" applyFill="1"/>
    <xf numFmtId="41" fontId="0" fillId="6" borderId="0" xfId="0" applyNumberFormat="1" applyFill="1" applyAlignment="1">
      <alignment horizontal="center"/>
    </xf>
    <xf numFmtId="41" fontId="0" fillId="6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/>
    </xf>
    <xf numFmtId="41" fontId="6" fillId="3" borderId="3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8" borderId="8" xfId="1" applyFont="1" applyFill="1" applyBorder="1" applyAlignment="1" applyProtection="1">
      <alignment horizontal="center" vertical="center"/>
      <protection locked="0"/>
    </xf>
    <xf numFmtId="0" fontId="5" fillId="8" borderId="0" xfId="1" applyFont="1" applyFill="1" applyAlignment="1" applyProtection="1">
      <alignment horizontal="center" vertical="center"/>
      <protection locked="0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1" fontId="0" fillId="0" borderId="11" xfId="0" applyNumberFormat="1" applyBorder="1" applyAlignment="1" applyProtection="1">
      <alignment horizontal="center" vertical="center"/>
      <protection locked="0"/>
    </xf>
    <xf numFmtId="41" fontId="0" fillId="0" borderId="25" xfId="0" applyNumberFormat="1" applyBorder="1" applyAlignment="1" applyProtection="1">
      <alignment horizontal="center" vertical="center"/>
      <protection locked="0"/>
    </xf>
    <xf numFmtId="41" fontId="0" fillId="9" borderId="25" xfId="0" applyNumberFormat="1" applyFill="1" applyBorder="1" applyAlignment="1" applyProtection="1">
      <alignment horizontal="center" vertical="center"/>
      <protection locked="0"/>
    </xf>
    <xf numFmtId="41" fontId="0" fillId="9" borderId="12" xfId="0" applyNumberFormat="1" applyFill="1" applyBorder="1" applyAlignment="1" applyProtection="1">
      <alignment horizontal="center" vertical="center"/>
      <protection locked="0"/>
    </xf>
    <xf numFmtId="0" fontId="12" fillId="0" borderId="4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41" fontId="0" fillId="0" borderId="37" xfId="0" applyNumberFormat="1" applyBorder="1" applyAlignment="1" applyProtection="1">
      <alignment horizontal="center" vertical="center"/>
      <protection locked="0"/>
    </xf>
    <xf numFmtId="41" fontId="0" fillId="0" borderId="38" xfId="0" applyNumberFormat="1" applyBorder="1" applyAlignment="1" applyProtection="1">
      <alignment horizontal="center" vertical="center"/>
      <protection locked="0"/>
    </xf>
    <xf numFmtId="41" fontId="0" fillId="0" borderId="39" xfId="0" applyNumberFormat="1" applyBorder="1" applyAlignment="1" applyProtection="1">
      <alignment horizontal="center" vertical="center"/>
      <protection locked="0"/>
    </xf>
    <xf numFmtId="0" fontId="0" fillId="0" borderId="25" xfId="0" applyBorder="1" applyAlignment="1">
      <alignment horizontal="center" vertical="center"/>
    </xf>
    <xf numFmtId="0" fontId="19" fillId="11" borderId="57" xfId="0" applyFont="1" applyFill="1" applyBorder="1" applyAlignment="1">
      <alignment horizontal="center"/>
    </xf>
    <xf numFmtId="0" fontId="19" fillId="11" borderId="58" xfId="0" applyFont="1" applyFill="1" applyBorder="1" applyAlignment="1">
      <alignment horizontal="center"/>
    </xf>
    <xf numFmtId="0" fontId="19" fillId="11" borderId="59" xfId="0" applyFont="1" applyFill="1" applyBorder="1" applyAlignment="1">
      <alignment horizontal="center"/>
    </xf>
    <xf numFmtId="41" fontId="0" fillId="9" borderId="37" xfId="0" applyNumberFormat="1" applyFill="1" applyBorder="1" applyAlignment="1" applyProtection="1">
      <alignment horizontal="center" vertical="center"/>
      <protection locked="0"/>
    </xf>
    <xf numFmtId="41" fontId="0" fillId="9" borderId="38" xfId="0" applyNumberFormat="1" applyFill="1" applyBorder="1" applyAlignment="1" applyProtection="1">
      <alignment horizontal="center" vertical="center"/>
      <protection locked="0"/>
    </xf>
    <xf numFmtId="41" fontId="0" fillId="9" borderId="39" xfId="0" applyNumberFormat="1" applyFill="1" applyBorder="1" applyAlignment="1" applyProtection="1">
      <alignment horizontal="center" vertical="center"/>
      <protection locked="0"/>
    </xf>
    <xf numFmtId="0" fontId="0" fillId="0" borderId="50" xfId="0" applyBorder="1" applyAlignment="1">
      <alignment horizontal="center" vertic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9" fillId="0" borderId="59" xfId="0" applyFont="1" applyBorder="1" applyAlignment="1">
      <alignment horizont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7" fillId="17" borderId="45" xfId="0" applyFont="1" applyFill="1" applyBorder="1" applyAlignment="1">
      <alignment vertical="center" wrapText="1"/>
    </xf>
    <xf numFmtId="0" fontId="16" fillId="16" borderId="45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685249</xdr:colOff>
      <xdr:row>41</xdr:row>
      <xdr:rowOff>60105</xdr:rowOff>
    </xdr:from>
    <xdr:ext cx="3262432" cy="439736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0B29D79-D7EF-4892-B889-4F8E812AEFE3}"/>
            </a:ext>
          </a:extLst>
        </xdr:cNvPr>
        <xdr:cNvSpPr/>
      </xdr:nvSpPr>
      <xdr:spPr>
        <a:xfrm>
          <a:off x="2186389" y="7619145"/>
          <a:ext cx="3262432" cy="439736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r>
            <a:rPr lang="zh-CN" altLang="zh-CN" sz="2000">
              <a:solidFill>
                <a:sysClr val="windowText" lastClr="000000">
                  <a:alpha val="44000"/>
                </a:sysClr>
              </a:solidFill>
              <a:effectLst/>
              <a:latin typeface="+mn-lt"/>
              <a:ea typeface="+mn-ea"/>
              <a:cs typeface="+mn-cs"/>
            </a:rPr>
            <a:t>复制粘贴上季度业务状况表</a:t>
          </a:r>
          <a:endParaRPr lang="zh-CN" altLang="zh-CN" sz="8800">
            <a:solidFill>
              <a:sysClr val="windowText" lastClr="000000">
                <a:alpha val="44000"/>
              </a:sysClr>
            </a:soli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85"/>
  <sheetViews>
    <sheetView topLeftCell="A61" workbookViewId="0">
      <selection activeCell="J73" sqref="J73"/>
    </sheetView>
  </sheetViews>
  <sheetFormatPr defaultColWidth="9" defaultRowHeight="13.8" x14ac:dyDescent="0.25"/>
  <cols>
    <col min="1" max="1" width="9" style="1"/>
    <col min="2" max="2" width="22.77734375" style="1" customWidth="1"/>
    <col min="3" max="3" width="18.6640625" style="1" customWidth="1"/>
    <col min="4" max="4" width="24" style="1" customWidth="1"/>
    <col min="5" max="5" width="15.5546875" style="1" customWidth="1"/>
    <col min="6" max="6" width="9" style="1"/>
    <col min="7" max="7" width="13.88671875" style="1" customWidth="1"/>
    <col min="8" max="8" width="11.88671875" style="1" customWidth="1"/>
    <col min="9" max="10" width="9" style="1"/>
    <col min="11" max="11" width="11.33203125" style="1" customWidth="1"/>
    <col min="12" max="13" width="9" style="1"/>
    <col min="14" max="14" width="15" style="1" customWidth="1"/>
    <col min="15" max="257" width="9" style="1"/>
    <col min="258" max="258" width="22.77734375" style="1" customWidth="1"/>
    <col min="259" max="259" width="18.6640625" style="1" customWidth="1"/>
    <col min="260" max="260" width="24" style="1" customWidth="1"/>
    <col min="261" max="261" width="15.5546875" style="1" customWidth="1"/>
    <col min="262" max="262" width="9" style="1"/>
    <col min="263" max="263" width="13.88671875" style="1" customWidth="1"/>
    <col min="264" max="264" width="11.88671875" style="1" customWidth="1"/>
    <col min="265" max="266" width="9" style="1"/>
    <col min="267" max="267" width="11.33203125" style="1" customWidth="1"/>
    <col min="268" max="269" width="9" style="1"/>
    <col min="270" max="270" width="15" style="1" customWidth="1"/>
    <col min="271" max="513" width="9" style="1"/>
    <col min="514" max="514" width="22.77734375" style="1" customWidth="1"/>
    <col min="515" max="515" width="18.6640625" style="1" customWidth="1"/>
    <col min="516" max="516" width="24" style="1" customWidth="1"/>
    <col min="517" max="517" width="15.5546875" style="1" customWidth="1"/>
    <col min="518" max="518" width="9" style="1"/>
    <col min="519" max="519" width="13.88671875" style="1" customWidth="1"/>
    <col min="520" max="520" width="11.88671875" style="1" customWidth="1"/>
    <col min="521" max="522" width="9" style="1"/>
    <col min="523" max="523" width="11.33203125" style="1" customWidth="1"/>
    <col min="524" max="525" width="9" style="1"/>
    <col min="526" max="526" width="15" style="1" customWidth="1"/>
    <col min="527" max="769" width="9" style="1"/>
    <col min="770" max="770" width="22.77734375" style="1" customWidth="1"/>
    <col min="771" max="771" width="18.6640625" style="1" customWidth="1"/>
    <col min="772" max="772" width="24" style="1" customWidth="1"/>
    <col min="773" max="773" width="15.5546875" style="1" customWidth="1"/>
    <col min="774" max="774" width="9" style="1"/>
    <col min="775" max="775" width="13.88671875" style="1" customWidth="1"/>
    <col min="776" max="776" width="11.88671875" style="1" customWidth="1"/>
    <col min="777" max="778" width="9" style="1"/>
    <col min="779" max="779" width="11.33203125" style="1" customWidth="1"/>
    <col min="780" max="781" width="9" style="1"/>
    <col min="782" max="782" width="15" style="1" customWidth="1"/>
    <col min="783" max="1025" width="9" style="1"/>
    <col min="1026" max="1026" width="22.77734375" style="1" customWidth="1"/>
    <col min="1027" max="1027" width="18.6640625" style="1" customWidth="1"/>
    <col min="1028" max="1028" width="24" style="1" customWidth="1"/>
    <col min="1029" max="1029" width="15.5546875" style="1" customWidth="1"/>
    <col min="1030" max="1030" width="9" style="1"/>
    <col min="1031" max="1031" width="13.88671875" style="1" customWidth="1"/>
    <col min="1032" max="1032" width="11.88671875" style="1" customWidth="1"/>
    <col min="1033" max="1034" width="9" style="1"/>
    <col min="1035" max="1035" width="11.33203125" style="1" customWidth="1"/>
    <col min="1036" max="1037" width="9" style="1"/>
    <col min="1038" max="1038" width="15" style="1" customWidth="1"/>
    <col min="1039" max="1281" width="9" style="1"/>
    <col min="1282" max="1282" width="22.77734375" style="1" customWidth="1"/>
    <col min="1283" max="1283" width="18.6640625" style="1" customWidth="1"/>
    <col min="1284" max="1284" width="24" style="1" customWidth="1"/>
    <col min="1285" max="1285" width="15.5546875" style="1" customWidth="1"/>
    <col min="1286" max="1286" width="9" style="1"/>
    <col min="1287" max="1287" width="13.88671875" style="1" customWidth="1"/>
    <col min="1288" max="1288" width="11.88671875" style="1" customWidth="1"/>
    <col min="1289" max="1290" width="9" style="1"/>
    <col min="1291" max="1291" width="11.33203125" style="1" customWidth="1"/>
    <col min="1292" max="1293" width="9" style="1"/>
    <col min="1294" max="1294" width="15" style="1" customWidth="1"/>
    <col min="1295" max="1537" width="9" style="1"/>
    <col min="1538" max="1538" width="22.77734375" style="1" customWidth="1"/>
    <col min="1539" max="1539" width="18.6640625" style="1" customWidth="1"/>
    <col min="1540" max="1540" width="24" style="1" customWidth="1"/>
    <col min="1541" max="1541" width="15.5546875" style="1" customWidth="1"/>
    <col min="1542" max="1542" width="9" style="1"/>
    <col min="1543" max="1543" width="13.88671875" style="1" customWidth="1"/>
    <col min="1544" max="1544" width="11.88671875" style="1" customWidth="1"/>
    <col min="1545" max="1546" width="9" style="1"/>
    <col min="1547" max="1547" width="11.33203125" style="1" customWidth="1"/>
    <col min="1548" max="1549" width="9" style="1"/>
    <col min="1550" max="1550" width="15" style="1" customWidth="1"/>
    <col min="1551" max="1793" width="9" style="1"/>
    <col min="1794" max="1794" width="22.77734375" style="1" customWidth="1"/>
    <col min="1795" max="1795" width="18.6640625" style="1" customWidth="1"/>
    <col min="1796" max="1796" width="24" style="1" customWidth="1"/>
    <col min="1797" max="1797" width="15.5546875" style="1" customWidth="1"/>
    <col min="1798" max="1798" width="9" style="1"/>
    <col min="1799" max="1799" width="13.88671875" style="1" customWidth="1"/>
    <col min="1800" max="1800" width="11.88671875" style="1" customWidth="1"/>
    <col min="1801" max="1802" width="9" style="1"/>
    <col min="1803" max="1803" width="11.33203125" style="1" customWidth="1"/>
    <col min="1804" max="1805" width="9" style="1"/>
    <col min="1806" max="1806" width="15" style="1" customWidth="1"/>
    <col min="1807" max="2049" width="9" style="1"/>
    <col min="2050" max="2050" width="22.77734375" style="1" customWidth="1"/>
    <col min="2051" max="2051" width="18.6640625" style="1" customWidth="1"/>
    <col min="2052" max="2052" width="24" style="1" customWidth="1"/>
    <col min="2053" max="2053" width="15.5546875" style="1" customWidth="1"/>
    <col min="2054" max="2054" width="9" style="1"/>
    <col min="2055" max="2055" width="13.88671875" style="1" customWidth="1"/>
    <col min="2056" max="2056" width="11.88671875" style="1" customWidth="1"/>
    <col min="2057" max="2058" width="9" style="1"/>
    <col min="2059" max="2059" width="11.33203125" style="1" customWidth="1"/>
    <col min="2060" max="2061" width="9" style="1"/>
    <col min="2062" max="2062" width="15" style="1" customWidth="1"/>
    <col min="2063" max="2305" width="9" style="1"/>
    <col min="2306" max="2306" width="22.77734375" style="1" customWidth="1"/>
    <col min="2307" max="2307" width="18.6640625" style="1" customWidth="1"/>
    <col min="2308" max="2308" width="24" style="1" customWidth="1"/>
    <col min="2309" max="2309" width="15.5546875" style="1" customWidth="1"/>
    <col min="2310" max="2310" width="9" style="1"/>
    <col min="2311" max="2311" width="13.88671875" style="1" customWidth="1"/>
    <col min="2312" max="2312" width="11.88671875" style="1" customWidth="1"/>
    <col min="2313" max="2314" width="9" style="1"/>
    <col min="2315" max="2315" width="11.33203125" style="1" customWidth="1"/>
    <col min="2316" max="2317" width="9" style="1"/>
    <col min="2318" max="2318" width="15" style="1" customWidth="1"/>
    <col min="2319" max="2561" width="9" style="1"/>
    <col min="2562" max="2562" width="22.77734375" style="1" customWidth="1"/>
    <col min="2563" max="2563" width="18.6640625" style="1" customWidth="1"/>
    <col min="2564" max="2564" width="24" style="1" customWidth="1"/>
    <col min="2565" max="2565" width="15.5546875" style="1" customWidth="1"/>
    <col min="2566" max="2566" width="9" style="1"/>
    <col min="2567" max="2567" width="13.88671875" style="1" customWidth="1"/>
    <col min="2568" max="2568" width="11.88671875" style="1" customWidth="1"/>
    <col min="2569" max="2570" width="9" style="1"/>
    <col min="2571" max="2571" width="11.33203125" style="1" customWidth="1"/>
    <col min="2572" max="2573" width="9" style="1"/>
    <col min="2574" max="2574" width="15" style="1" customWidth="1"/>
    <col min="2575" max="2817" width="9" style="1"/>
    <col min="2818" max="2818" width="22.77734375" style="1" customWidth="1"/>
    <col min="2819" max="2819" width="18.6640625" style="1" customWidth="1"/>
    <col min="2820" max="2820" width="24" style="1" customWidth="1"/>
    <col min="2821" max="2821" width="15.5546875" style="1" customWidth="1"/>
    <col min="2822" max="2822" width="9" style="1"/>
    <col min="2823" max="2823" width="13.88671875" style="1" customWidth="1"/>
    <col min="2824" max="2824" width="11.88671875" style="1" customWidth="1"/>
    <col min="2825" max="2826" width="9" style="1"/>
    <col min="2827" max="2827" width="11.33203125" style="1" customWidth="1"/>
    <col min="2828" max="2829" width="9" style="1"/>
    <col min="2830" max="2830" width="15" style="1" customWidth="1"/>
    <col min="2831" max="3073" width="9" style="1"/>
    <col min="3074" max="3074" width="22.77734375" style="1" customWidth="1"/>
    <col min="3075" max="3075" width="18.6640625" style="1" customWidth="1"/>
    <col min="3076" max="3076" width="24" style="1" customWidth="1"/>
    <col min="3077" max="3077" width="15.5546875" style="1" customWidth="1"/>
    <col min="3078" max="3078" width="9" style="1"/>
    <col min="3079" max="3079" width="13.88671875" style="1" customWidth="1"/>
    <col min="3080" max="3080" width="11.88671875" style="1" customWidth="1"/>
    <col min="3081" max="3082" width="9" style="1"/>
    <col min="3083" max="3083" width="11.33203125" style="1" customWidth="1"/>
    <col min="3084" max="3085" width="9" style="1"/>
    <col min="3086" max="3086" width="15" style="1" customWidth="1"/>
    <col min="3087" max="3329" width="9" style="1"/>
    <col min="3330" max="3330" width="22.77734375" style="1" customWidth="1"/>
    <col min="3331" max="3331" width="18.6640625" style="1" customWidth="1"/>
    <col min="3332" max="3332" width="24" style="1" customWidth="1"/>
    <col min="3333" max="3333" width="15.5546875" style="1" customWidth="1"/>
    <col min="3334" max="3334" width="9" style="1"/>
    <col min="3335" max="3335" width="13.88671875" style="1" customWidth="1"/>
    <col min="3336" max="3336" width="11.88671875" style="1" customWidth="1"/>
    <col min="3337" max="3338" width="9" style="1"/>
    <col min="3339" max="3339" width="11.33203125" style="1" customWidth="1"/>
    <col min="3340" max="3341" width="9" style="1"/>
    <col min="3342" max="3342" width="15" style="1" customWidth="1"/>
    <col min="3343" max="3585" width="9" style="1"/>
    <col min="3586" max="3586" width="22.77734375" style="1" customWidth="1"/>
    <col min="3587" max="3587" width="18.6640625" style="1" customWidth="1"/>
    <col min="3588" max="3588" width="24" style="1" customWidth="1"/>
    <col min="3589" max="3589" width="15.5546875" style="1" customWidth="1"/>
    <col min="3590" max="3590" width="9" style="1"/>
    <col min="3591" max="3591" width="13.88671875" style="1" customWidth="1"/>
    <col min="3592" max="3592" width="11.88671875" style="1" customWidth="1"/>
    <col min="3593" max="3594" width="9" style="1"/>
    <col min="3595" max="3595" width="11.33203125" style="1" customWidth="1"/>
    <col min="3596" max="3597" width="9" style="1"/>
    <col min="3598" max="3598" width="15" style="1" customWidth="1"/>
    <col min="3599" max="3841" width="9" style="1"/>
    <col min="3842" max="3842" width="22.77734375" style="1" customWidth="1"/>
    <col min="3843" max="3843" width="18.6640625" style="1" customWidth="1"/>
    <col min="3844" max="3844" width="24" style="1" customWidth="1"/>
    <col min="3845" max="3845" width="15.5546875" style="1" customWidth="1"/>
    <col min="3846" max="3846" width="9" style="1"/>
    <col min="3847" max="3847" width="13.88671875" style="1" customWidth="1"/>
    <col min="3848" max="3848" width="11.88671875" style="1" customWidth="1"/>
    <col min="3849" max="3850" width="9" style="1"/>
    <col min="3851" max="3851" width="11.33203125" style="1" customWidth="1"/>
    <col min="3852" max="3853" width="9" style="1"/>
    <col min="3854" max="3854" width="15" style="1" customWidth="1"/>
    <col min="3855" max="4097" width="9" style="1"/>
    <col min="4098" max="4098" width="22.77734375" style="1" customWidth="1"/>
    <col min="4099" max="4099" width="18.6640625" style="1" customWidth="1"/>
    <col min="4100" max="4100" width="24" style="1" customWidth="1"/>
    <col min="4101" max="4101" width="15.5546875" style="1" customWidth="1"/>
    <col min="4102" max="4102" width="9" style="1"/>
    <col min="4103" max="4103" width="13.88671875" style="1" customWidth="1"/>
    <col min="4104" max="4104" width="11.88671875" style="1" customWidth="1"/>
    <col min="4105" max="4106" width="9" style="1"/>
    <col min="4107" max="4107" width="11.33203125" style="1" customWidth="1"/>
    <col min="4108" max="4109" width="9" style="1"/>
    <col min="4110" max="4110" width="15" style="1" customWidth="1"/>
    <col min="4111" max="4353" width="9" style="1"/>
    <col min="4354" max="4354" width="22.77734375" style="1" customWidth="1"/>
    <col min="4355" max="4355" width="18.6640625" style="1" customWidth="1"/>
    <col min="4356" max="4356" width="24" style="1" customWidth="1"/>
    <col min="4357" max="4357" width="15.5546875" style="1" customWidth="1"/>
    <col min="4358" max="4358" width="9" style="1"/>
    <col min="4359" max="4359" width="13.88671875" style="1" customWidth="1"/>
    <col min="4360" max="4360" width="11.88671875" style="1" customWidth="1"/>
    <col min="4361" max="4362" width="9" style="1"/>
    <col min="4363" max="4363" width="11.33203125" style="1" customWidth="1"/>
    <col min="4364" max="4365" width="9" style="1"/>
    <col min="4366" max="4366" width="15" style="1" customWidth="1"/>
    <col min="4367" max="4609" width="9" style="1"/>
    <col min="4610" max="4610" width="22.77734375" style="1" customWidth="1"/>
    <col min="4611" max="4611" width="18.6640625" style="1" customWidth="1"/>
    <col min="4612" max="4612" width="24" style="1" customWidth="1"/>
    <col min="4613" max="4613" width="15.5546875" style="1" customWidth="1"/>
    <col min="4614" max="4614" width="9" style="1"/>
    <col min="4615" max="4615" width="13.88671875" style="1" customWidth="1"/>
    <col min="4616" max="4616" width="11.88671875" style="1" customWidth="1"/>
    <col min="4617" max="4618" width="9" style="1"/>
    <col min="4619" max="4619" width="11.33203125" style="1" customWidth="1"/>
    <col min="4620" max="4621" width="9" style="1"/>
    <col min="4622" max="4622" width="15" style="1" customWidth="1"/>
    <col min="4623" max="4865" width="9" style="1"/>
    <col min="4866" max="4866" width="22.77734375" style="1" customWidth="1"/>
    <col min="4867" max="4867" width="18.6640625" style="1" customWidth="1"/>
    <col min="4868" max="4868" width="24" style="1" customWidth="1"/>
    <col min="4869" max="4869" width="15.5546875" style="1" customWidth="1"/>
    <col min="4870" max="4870" width="9" style="1"/>
    <col min="4871" max="4871" width="13.88671875" style="1" customWidth="1"/>
    <col min="4872" max="4872" width="11.88671875" style="1" customWidth="1"/>
    <col min="4873" max="4874" width="9" style="1"/>
    <col min="4875" max="4875" width="11.33203125" style="1" customWidth="1"/>
    <col min="4876" max="4877" width="9" style="1"/>
    <col min="4878" max="4878" width="15" style="1" customWidth="1"/>
    <col min="4879" max="5121" width="9" style="1"/>
    <col min="5122" max="5122" width="22.77734375" style="1" customWidth="1"/>
    <col min="5123" max="5123" width="18.6640625" style="1" customWidth="1"/>
    <col min="5124" max="5124" width="24" style="1" customWidth="1"/>
    <col min="5125" max="5125" width="15.5546875" style="1" customWidth="1"/>
    <col min="5126" max="5126" width="9" style="1"/>
    <col min="5127" max="5127" width="13.88671875" style="1" customWidth="1"/>
    <col min="5128" max="5128" width="11.88671875" style="1" customWidth="1"/>
    <col min="5129" max="5130" width="9" style="1"/>
    <col min="5131" max="5131" width="11.33203125" style="1" customWidth="1"/>
    <col min="5132" max="5133" width="9" style="1"/>
    <col min="5134" max="5134" width="15" style="1" customWidth="1"/>
    <col min="5135" max="5377" width="9" style="1"/>
    <col min="5378" max="5378" width="22.77734375" style="1" customWidth="1"/>
    <col min="5379" max="5379" width="18.6640625" style="1" customWidth="1"/>
    <col min="5380" max="5380" width="24" style="1" customWidth="1"/>
    <col min="5381" max="5381" width="15.5546875" style="1" customWidth="1"/>
    <col min="5382" max="5382" width="9" style="1"/>
    <col min="5383" max="5383" width="13.88671875" style="1" customWidth="1"/>
    <col min="5384" max="5384" width="11.88671875" style="1" customWidth="1"/>
    <col min="5385" max="5386" width="9" style="1"/>
    <col min="5387" max="5387" width="11.33203125" style="1" customWidth="1"/>
    <col min="5388" max="5389" width="9" style="1"/>
    <col min="5390" max="5390" width="15" style="1" customWidth="1"/>
    <col min="5391" max="5633" width="9" style="1"/>
    <col min="5634" max="5634" width="22.77734375" style="1" customWidth="1"/>
    <col min="5635" max="5635" width="18.6640625" style="1" customWidth="1"/>
    <col min="5636" max="5636" width="24" style="1" customWidth="1"/>
    <col min="5637" max="5637" width="15.5546875" style="1" customWidth="1"/>
    <col min="5638" max="5638" width="9" style="1"/>
    <col min="5639" max="5639" width="13.88671875" style="1" customWidth="1"/>
    <col min="5640" max="5640" width="11.88671875" style="1" customWidth="1"/>
    <col min="5641" max="5642" width="9" style="1"/>
    <col min="5643" max="5643" width="11.33203125" style="1" customWidth="1"/>
    <col min="5644" max="5645" width="9" style="1"/>
    <col min="5646" max="5646" width="15" style="1" customWidth="1"/>
    <col min="5647" max="5889" width="9" style="1"/>
    <col min="5890" max="5890" width="22.77734375" style="1" customWidth="1"/>
    <col min="5891" max="5891" width="18.6640625" style="1" customWidth="1"/>
    <col min="5892" max="5892" width="24" style="1" customWidth="1"/>
    <col min="5893" max="5893" width="15.5546875" style="1" customWidth="1"/>
    <col min="5894" max="5894" width="9" style="1"/>
    <col min="5895" max="5895" width="13.88671875" style="1" customWidth="1"/>
    <col min="5896" max="5896" width="11.88671875" style="1" customWidth="1"/>
    <col min="5897" max="5898" width="9" style="1"/>
    <col min="5899" max="5899" width="11.33203125" style="1" customWidth="1"/>
    <col min="5900" max="5901" width="9" style="1"/>
    <col min="5902" max="5902" width="15" style="1" customWidth="1"/>
    <col min="5903" max="6145" width="9" style="1"/>
    <col min="6146" max="6146" width="22.77734375" style="1" customWidth="1"/>
    <col min="6147" max="6147" width="18.6640625" style="1" customWidth="1"/>
    <col min="6148" max="6148" width="24" style="1" customWidth="1"/>
    <col min="6149" max="6149" width="15.5546875" style="1" customWidth="1"/>
    <col min="6150" max="6150" width="9" style="1"/>
    <col min="6151" max="6151" width="13.88671875" style="1" customWidth="1"/>
    <col min="6152" max="6152" width="11.88671875" style="1" customWidth="1"/>
    <col min="6153" max="6154" width="9" style="1"/>
    <col min="6155" max="6155" width="11.33203125" style="1" customWidth="1"/>
    <col min="6156" max="6157" width="9" style="1"/>
    <col min="6158" max="6158" width="15" style="1" customWidth="1"/>
    <col min="6159" max="6401" width="9" style="1"/>
    <col min="6402" max="6402" width="22.77734375" style="1" customWidth="1"/>
    <col min="6403" max="6403" width="18.6640625" style="1" customWidth="1"/>
    <col min="6404" max="6404" width="24" style="1" customWidth="1"/>
    <col min="6405" max="6405" width="15.5546875" style="1" customWidth="1"/>
    <col min="6406" max="6406" width="9" style="1"/>
    <col min="6407" max="6407" width="13.88671875" style="1" customWidth="1"/>
    <col min="6408" max="6408" width="11.88671875" style="1" customWidth="1"/>
    <col min="6409" max="6410" width="9" style="1"/>
    <col min="6411" max="6411" width="11.33203125" style="1" customWidth="1"/>
    <col min="6412" max="6413" width="9" style="1"/>
    <col min="6414" max="6414" width="15" style="1" customWidth="1"/>
    <col min="6415" max="6657" width="9" style="1"/>
    <col min="6658" max="6658" width="22.77734375" style="1" customWidth="1"/>
    <col min="6659" max="6659" width="18.6640625" style="1" customWidth="1"/>
    <col min="6660" max="6660" width="24" style="1" customWidth="1"/>
    <col min="6661" max="6661" width="15.5546875" style="1" customWidth="1"/>
    <col min="6662" max="6662" width="9" style="1"/>
    <col min="6663" max="6663" width="13.88671875" style="1" customWidth="1"/>
    <col min="6664" max="6664" width="11.88671875" style="1" customWidth="1"/>
    <col min="6665" max="6666" width="9" style="1"/>
    <col min="6667" max="6667" width="11.33203125" style="1" customWidth="1"/>
    <col min="6668" max="6669" width="9" style="1"/>
    <col min="6670" max="6670" width="15" style="1" customWidth="1"/>
    <col min="6671" max="6913" width="9" style="1"/>
    <col min="6914" max="6914" width="22.77734375" style="1" customWidth="1"/>
    <col min="6915" max="6915" width="18.6640625" style="1" customWidth="1"/>
    <col min="6916" max="6916" width="24" style="1" customWidth="1"/>
    <col min="6917" max="6917" width="15.5546875" style="1" customWidth="1"/>
    <col min="6918" max="6918" width="9" style="1"/>
    <col min="6919" max="6919" width="13.88671875" style="1" customWidth="1"/>
    <col min="6920" max="6920" width="11.88671875" style="1" customWidth="1"/>
    <col min="6921" max="6922" width="9" style="1"/>
    <col min="6923" max="6923" width="11.33203125" style="1" customWidth="1"/>
    <col min="6924" max="6925" width="9" style="1"/>
    <col min="6926" max="6926" width="15" style="1" customWidth="1"/>
    <col min="6927" max="7169" width="9" style="1"/>
    <col min="7170" max="7170" width="22.77734375" style="1" customWidth="1"/>
    <col min="7171" max="7171" width="18.6640625" style="1" customWidth="1"/>
    <col min="7172" max="7172" width="24" style="1" customWidth="1"/>
    <col min="7173" max="7173" width="15.5546875" style="1" customWidth="1"/>
    <col min="7174" max="7174" width="9" style="1"/>
    <col min="7175" max="7175" width="13.88671875" style="1" customWidth="1"/>
    <col min="7176" max="7176" width="11.88671875" style="1" customWidth="1"/>
    <col min="7177" max="7178" width="9" style="1"/>
    <col min="7179" max="7179" width="11.33203125" style="1" customWidth="1"/>
    <col min="7180" max="7181" width="9" style="1"/>
    <col min="7182" max="7182" width="15" style="1" customWidth="1"/>
    <col min="7183" max="7425" width="9" style="1"/>
    <col min="7426" max="7426" width="22.77734375" style="1" customWidth="1"/>
    <col min="7427" max="7427" width="18.6640625" style="1" customWidth="1"/>
    <col min="7428" max="7428" width="24" style="1" customWidth="1"/>
    <col min="7429" max="7429" width="15.5546875" style="1" customWidth="1"/>
    <col min="7430" max="7430" width="9" style="1"/>
    <col min="7431" max="7431" width="13.88671875" style="1" customWidth="1"/>
    <col min="7432" max="7432" width="11.88671875" style="1" customWidth="1"/>
    <col min="7433" max="7434" width="9" style="1"/>
    <col min="7435" max="7435" width="11.33203125" style="1" customWidth="1"/>
    <col min="7436" max="7437" width="9" style="1"/>
    <col min="7438" max="7438" width="15" style="1" customWidth="1"/>
    <col min="7439" max="7681" width="9" style="1"/>
    <col min="7682" max="7682" width="22.77734375" style="1" customWidth="1"/>
    <col min="7683" max="7683" width="18.6640625" style="1" customWidth="1"/>
    <col min="7684" max="7684" width="24" style="1" customWidth="1"/>
    <col min="7685" max="7685" width="15.5546875" style="1" customWidth="1"/>
    <col min="7686" max="7686" width="9" style="1"/>
    <col min="7687" max="7687" width="13.88671875" style="1" customWidth="1"/>
    <col min="7688" max="7688" width="11.88671875" style="1" customWidth="1"/>
    <col min="7689" max="7690" width="9" style="1"/>
    <col min="7691" max="7691" width="11.33203125" style="1" customWidth="1"/>
    <col min="7692" max="7693" width="9" style="1"/>
    <col min="7694" max="7694" width="15" style="1" customWidth="1"/>
    <col min="7695" max="7937" width="9" style="1"/>
    <col min="7938" max="7938" width="22.77734375" style="1" customWidth="1"/>
    <col min="7939" max="7939" width="18.6640625" style="1" customWidth="1"/>
    <col min="7940" max="7940" width="24" style="1" customWidth="1"/>
    <col min="7941" max="7941" width="15.5546875" style="1" customWidth="1"/>
    <col min="7942" max="7942" width="9" style="1"/>
    <col min="7943" max="7943" width="13.88671875" style="1" customWidth="1"/>
    <col min="7944" max="7944" width="11.88671875" style="1" customWidth="1"/>
    <col min="7945" max="7946" width="9" style="1"/>
    <col min="7947" max="7947" width="11.33203125" style="1" customWidth="1"/>
    <col min="7948" max="7949" width="9" style="1"/>
    <col min="7950" max="7950" width="15" style="1" customWidth="1"/>
    <col min="7951" max="8193" width="9" style="1"/>
    <col min="8194" max="8194" width="22.77734375" style="1" customWidth="1"/>
    <col min="8195" max="8195" width="18.6640625" style="1" customWidth="1"/>
    <col min="8196" max="8196" width="24" style="1" customWidth="1"/>
    <col min="8197" max="8197" width="15.5546875" style="1" customWidth="1"/>
    <col min="8198" max="8198" width="9" style="1"/>
    <col min="8199" max="8199" width="13.88671875" style="1" customWidth="1"/>
    <col min="8200" max="8200" width="11.88671875" style="1" customWidth="1"/>
    <col min="8201" max="8202" width="9" style="1"/>
    <col min="8203" max="8203" width="11.33203125" style="1" customWidth="1"/>
    <col min="8204" max="8205" width="9" style="1"/>
    <col min="8206" max="8206" width="15" style="1" customWidth="1"/>
    <col min="8207" max="8449" width="9" style="1"/>
    <col min="8450" max="8450" width="22.77734375" style="1" customWidth="1"/>
    <col min="8451" max="8451" width="18.6640625" style="1" customWidth="1"/>
    <col min="8452" max="8452" width="24" style="1" customWidth="1"/>
    <col min="8453" max="8453" width="15.5546875" style="1" customWidth="1"/>
    <col min="8454" max="8454" width="9" style="1"/>
    <col min="8455" max="8455" width="13.88671875" style="1" customWidth="1"/>
    <col min="8456" max="8456" width="11.88671875" style="1" customWidth="1"/>
    <col min="8457" max="8458" width="9" style="1"/>
    <col min="8459" max="8459" width="11.33203125" style="1" customWidth="1"/>
    <col min="8460" max="8461" width="9" style="1"/>
    <col min="8462" max="8462" width="15" style="1" customWidth="1"/>
    <col min="8463" max="8705" width="9" style="1"/>
    <col min="8706" max="8706" width="22.77734375" style="1" customWidth="1"/>
    <col min="8707" max="8707" width="18.6640625" style="1" customWidth="1"/>
    <col min="8708" max="8708" width="24" style="1" customWidth="1"/>
    <col min="8709" max="8709" width="15.5546875" style="1" customWidth="1"/>
    <col min="8710" max="8710" width="9" style="1"/>
    <col min="8711" max="8711" width="13.88671875" style="1" customWidth="1"/>
    <col min="8712" max="8712" width="11.88671875" style="1" customWidth="1"/>
    <col min="8713" max="8714" width="9" style="1"/>
    <col min="8715" max="8715" width="11.33203125" style="1" customWidth="1"/>
    <col min="8716" max="8717" width="9" style="1"/>
    <col min="8718" max="8718" width="15" style="1" customWidth="1"/>
    <col min="8719" max="8961" width="9" style="1"/>
    <col min="8962" max="8962" width="22.77734375" style="1" customWidth="1"/>
    <col min="8963" max="8963" width="18.6640625" style="1" customWidth="1"/>
    <col min="8964" max="8964" width="24" style="1" customWidth="1"/>
    <col min="8965" max="8965" width="15.5546875" style="1" customWidth="1"/>
    <col min="8966" max="8966" width="9" style="1"/>
    <col min="8967" max="8967" width="13.88671875" style="1" customWidth="1"/>
    <col min="8968" max="8968" width="11.88671875" style="1" customWidth="1"/>
    <col min="8969" max="8970" width="9" style="1"/>
    <col min="8971" max="8971" width="11.33203125" style="1" customWidth="1"/>
    <col min="8972" max="8973" width="9" style="1"/>
    <col min="8974" max="8974" width="15" style="1" customWidth="1"/>
    <col min="8975" max="9217" width="9" style="1"/>
    <col min="9218" max="9218" width="22.77734375" style="1" customWidth="1"/>
    <col min="9219" max="9219" width="18.6640625" style="1" customWidth="1"/>
    <col min="9220" max="9220" width="24" style="1" customWidth="1"/>
    <col min="9221" max="9221" width="15.5546875" style="1" customWidth="1"/>
    <col min="9222" max="9222" width="9" style="1"/>
    <col min="9223" max="9223" width="13.88671875" style="1" customWidth="1"/>
    <col min="9224" max="9224" width="11.88671875" style="1" customWidth="1"/>
    <col min="9225" max="9226" width="9" style="1"/>
    <col min="9227" max="9227" width="11.33203125" style="1" customWidth="1"/>
    <col min="9228" max="9229" width="9" style="1"/>
    <col min="9230" max="9230" width="15" style="1" customWidth="1"/>
    <col min="9231" max="9473" width="9" style="1"/>
    <col min="9474" max="9474" width="22.77734375" style="1" customWidth="1"/>
    <col min="9475" max="9475" width="18.6640625" style="1" customWidth="1"/>
    <col min="9476" max="9476" width="24" style="1" customWidth="1"/>
    <col min="9477" max="9477" width="15.5546875" style="1" customWidth="1"/>
    <col min="9478" max="9478" width="9" style="1"/>
    <col min="9479" max="9479" width="13.88671875" style="1" customWidth="1"/>
    <col min="9480" max="9480" width="11.88671875" style="1" customWidth="1"/>
    <col min="9481" max="9482" width="9" style="1"/>
    <col min="9483" max="9483" width="11.33203125" style="1" customWidth="1"/>
    <col min="9484" max="9485" width="9" style="1"/>
    <col min="9486" max="9486" width="15" style="1" customWidth="1"/>
    <col min="9487" max="9729" width="9" style="1"/>
    <col min="9730" max="9730" width="22.77734375" style="1" customWidth="1"/>
    <col min="9731" max="9731" width="18.6640625" style="1" customWidth="1"/>
    <col min="9732" max="9732" width="24" style="1" customWidth="1"/>
    <col min="9733" max="9733" width="15.5546875" style="1" customWidth="1"/>
    <col min="9734" max="9734" width="9" style="1"/>
    <col min="9735" max="9735" width="13.88671875" style="1" customWidth="1"/>
    <col min="9736" max="9736" width="11.88671875" style="1" customWidth="1"/>
    <col min="9737" max="9738" width="9" style="1"/>
    <col min="9739" max="9739" width="11.33203125" style="1" customWidth="1"/>
    <col min="9740" max="9741" width="9" style="1"/>
    <col min="9742" max="9742" width="15" style="1" customWidth="1"/>
    <col min="9743" max="9985" width="9" style="1"/>
    <col min="9986" max="9986" width="22.77734375" style="1" customWidth="1"/>
    <col min="9987" max="9987" width="18.6640625" style="1" customWidth="1"/>
    <col min="9988" max="9988" width="24" style="1" customWidth="1"/>
    <col min="9989" max="9989" width="15.5546875" style="1" customWidth="1"/>
    <col min="9990" max="9990" width="9" style="1"/>
    <col min="9991" max="9991" width="13.88671875" style="1" customWidth="1"/>
    <col min="9992" max="9992" width="11.88671875" style="1" customWidth="1"/>
    <col min="9993" max="9994" width="9" style="1"/>
    <col min="9995" max="9995" width="11.33203125" style="1" customWidth="1"/>
    <col min="9996" max="9997" width="9" style="1"/>
    <col min="9998" max="9998" width="15" style="1" customWidth="1"/>
    <col min="9999" max="10241" width="9" style="1"/>
    <col min="10242" max="10242" width="22.77734375" style="1" customWidth="1"/>
    <col min="10243" max="10243" width="18.6640625" style="1" customWidth="1"/>
    <col min="10244" max="10244" width="24" style="1" customWidth="1"/>
    <col min="10245" max="10245" width="15.5546875" style="1" customWidth="1"/>
    <col min="10246" max="10246" width="9" style="1"/>
    <col min="10247" max="10247" width="13.88671875" style="1" customWidth="1"/>
    <col min="10248" max="10248" width="11.88671875" style="1" customWidth="1"/>
    <col min="10249" max="10250" width="9" style="1"/>
    <col min="10251" max="10251" width="11.33203125" style="1" customWidth="1"/>
    <col min="10252" max="10253" width="9" style="1"/>
    <col min="10254" max="10254" width="15" style="1" customWidth="1"/>
    <col min="10255" max="10497" width="9" style="1"/>
    <col min="10498" max="10498" width="22.77734375" style="1" customWidth="1"/>
    <col min="10499" max="10499" width="18.6640625" style="1" customWidth="1"/>
    <col min="10500" max="10500" width="24" style="1" customWidth="1"/>
    <col min="10501" max="10501" width="15.5546875" style="1" customWidth="1"/>
    <col min="10502" max="10502" width="9" style="1"/>
    <col min="10503" max="10503" width="13.88671875" style="1" customWidth="1"/>
    <col min="10504" max="10504" width="11.88671875" style="1" customWidth="1"/>
    <col min="10505" max="10506" width="9" style="1"/>
    <col min="10507" max="10507" width="11.33203125" style="1" customWidth="1"/>
    <col min="10508" max="10509" width="9" style="1"/>
    <col min="10510" max="10510" width="15" style="1" customWidth="1"/>
    <col min="10511" max="10753" width="9" style="1"/>
    <col min="10754" max="10754" width="22.77734375" style="1" customWidth="1"/>
    <col min="10755" max="10755" width="18.6640625" style="1" customWidth="1"/>
    <col min="10756" max="10756" width="24" style="1" customWidth="1"/>
    <col min="10757" max="10757" width="15.5546875" style="1" customWidth="1"/>
    <col min="10758" max="10758" width="9" style="1"/>
    <col min="10759" max="10759" width="13.88671875" style="1" customWidth="1"/>
    <col min="10760" max="10760" width="11.88671875" style="1" customWidth="1"/>
    <col min="10761" max="10762" width="9" style="1"/>
    <col min="10763" max="10763" width="11.33203125" style="1" customWidth="1"/>
    <col min="10764" max="10765" width="9" style="1"/>
    <col min="10766" max="10766" width="15" style="1" customWidth="1"/>
    <col min="10767" max="11009" width="9" style="1"/>
    <col min="11010" max="11010" width="22.77734375" style="1" customWidth="1"/>
    <col min="11011" max="11011" width="18.6640625" style="1" customWidth="1"/>
    <col min="11012" max="11012" width="24" style="1" customWidth="1"/>
    <col min="11013" max="11013" width="15.5546875" style="1" customWidth="1"/>
    <col min="11014" max="11014" width="9" style="1"/>
    <col min="11015" max="11015" width="13.88671875" style="1" customWidth="1"/>
    <col min="11016" max="11016" width="11.88671875" style="1" customWidth="1"/>
    <col min="11017" max="11018" width="9" style="1"/>
    <col min="11019" max="11019" width="11.33203125" style="1" customWidth="1"/>
    <col min="11020" max="11021" width="9" style="1"/>
    <col min="11022" max="11022" width="15" style="1" customWidth="1"/>
    <col min="11023" max="11265" width="9" style="1"/>
    <col min="11266" max="11266" width="22.77734375" style="1" customWidth="1"/>
    <col min="11267" max="11267" width="18.6640625" style="1" customWidth="1"/>
    <col min="11268" max="11268" width="24" style="1" customWidth="1"/>
    <col min="11269" max="11269" width="15.5546875" style="1" customWidth="1"/>
    <col min="11270" max="11270" width="9" style="1"/>
    <col min="11271" max="11271" width="13.88671875" style="1" customWidth="1"/>
    <col min="11272" max="11272" width="11.88671875" style="1" customWidth="1"/>
    <col min="11273" max="11274" width="9" style="1"/>
    <col min="11275" max="11275" width="11.33203125" style="1" customWidth="1"/>
    <col min="11276" max="11277" width="9" style="1"/>
    <col min="11278" max="11278" width="15" style="1" customWidth="1"/>
    <col min="11279" max="11521" width="9" style="1"/>
    <col min="11522" max="11522" width="22.77734375" style="1" customWidth="1"/>
    <col min="11523" max="11523" width="18.6640625" style="1" customWidth="1"/>
    <col min="11524" max="11524" width="24" style="1" customWidth="1"/>
    <col min="11525" max="11525" width="15.5546875" style="1" customWidth="1"/>
    <col min="11526" max="11526" width="9" style="1"/>
    <col min="11527" max="11527" width="13.88671875" style="1" customWidth="1"/>
    <col min="11528" max="11528" width="11.88671875" style="1" customWidth="1"/>
    <col min="11529" max="11530" width="9" style="1"/>
    <col min="11531" max="11531" width="11.33203125" style="1" customWidth="1"/>
    <col min="11532" max="11533" width="9" style="1"/>
    <col min="11534" max="11534" width="15" style="1" customWidth="1"/>
    <col min="11535" max="11777" width="9" style="1"/>
    <col min="11778" max="11778" width="22.77734375" style="1" customWidth="1"/>
    <col min="11779" max="11779" width="18.6640625" style="1" customWidth="1"/>
    <col min="11780" max="11780" width="24" style="1" customWidth="1"/>
    <col min="11781" max="11781" width="15.5546875" style="1" customWidth="1"/>
    <col min="11782" max="11782" width="9" style="1"/>
    <col min="11783" max="11783" width="13.88671875" style="1" customWidth="1"/>
    <col min="11784" max="11784" width="11.88671875" style="1" customWidth="1"/>
    <col min="11785" max="11786" width="9" style="1"/>
    <col min="11787" max="11787" width="11.33203125" style="1" customWidth="1"/>
    <col min="11788" max="11789" width="9" style="1"/>
    <col min="11790" max="11790" width="15" style="1" customWidth="1"/>
    <col min="11791" max="12033" width="9" style="1"/>
    <col min="12034" max="12034" width="22.77734375" style="1" customWidth="1"/>
    <col min="12035" max="12035" width="18.6640625" style="1" customWidth="1"/>
    <col min="12036" max="12036" width="24" style="1" customWidth="1"/>
    <col min="12037" max="12037" width="15.5546875" style="1" customWidth="1"/>
    <col min="12038" max="12038" width="9" style="1"/>
    <col min="12039" max="12039" width="13.88671875" style="1" customWidth="1"/>
    <col min="12040" max="12040" width="11.88671875" style="1" customWidth="1"/>
    <col min="12041" max="12042" width="9" style="1"/>
    <col min="12043" max="12043" width="11.33203125" style="1" customWidth="1"/>
    <col min="12044" max="12045" width="9" style="1"/>
    <col min="12046" max="12046" width="15" style="1" customWidth="1"/>
    <col min="12047" max="12289" width="9" style="1"/>
    <col min="12290" max="12290" width="22.77734375" style="1" customWidth="1"/>
    <col min="12291" max="12291" width="18.6640625" style="1" customWidth="1"/>
    <col min="12292" max="12292" width="24" style="1" customWidth="1"/>
    <col min="12293" max="12293" width="15.5546875" style="1" customWidth="1"/>
    <col min="12294" max="12294" width="9" style="1"/>
    <col min="12295" max="12295" width="13.88671875" style="1" customWidth="1"/>
    <col min="12296" max="12296" width="11.88671875" style="1" customWidth="1"/>
    <col min="12297" max="12298" width="9" style="1"/>
    <col min="12299" max="12299" width="11.33203125" style="1" customWidth="1"/>
    <col min="12300" max="12301" width="9" style="1"/>
    <col min="12302" max="12302" width="15" style="1" customWidth="1"/>
    <col min="12303" max="12545" width="9" style="1"/>
    <col min="12546" max="12546" width="22.77734375" style="1" customWidth="1"/>
    <col min="12547" max="12547" width="18.6640625" style="1" customWidth="1"/>
    <col min="12548" max="12548" width="24" style="1" customWidth="1"/>
    <col min="12549" max="12549" width="15.5546875" style="1" customWidth="1"/>
    <col min="12550" max="12550" width="9" style="1"/>
    <col min="12551" max="12551" width="13.88671875" style="1" customWidth="1"/>
    <col min="12552" max="12552" width="11.88671875" style="1" customWidth="1"/>
    <col min="12553" max="12554" width="9" style="1"/>
    <col min="12555" max="12555" width="11.33203125" style="1" customWidth="1"/>
    <col min="12556" max="12557" width="9" style="1"/>
    <col min="12558" max="12558" width="15" style="1" customWidth="1"/>
    <col min="12559" max="12801" width="9" style="1"/>
    <col min="12802" max="12802" width="22.77734375" style="1" customWidth="1"/>
    <col min="12803" max="12803" width="18.6640625" style="1" customWidth="1"/>
    <col min="12804" max="12804" width="24" style="1" customWidth="1"/>
    <col min="12805" max="12805" width="15.5546875" style="1" customWidth="1"/>
    <col min="12806" max="12806" width="9" style="1"/>
    <col min="12807" max="12807" width="13.88671875" style="1" customWidth="1"/>
    <col min="12808" max="12808" width="11.88671875" style="1" customWidth="1"/>
    <col min="12809" max="12810" width="9" style="1"/>
    <col min="12811" max="12811" width="11.33203125" style="1" customWidth="1"/>
    <col min="12812" max="12813" width="9" style="1"/>
    <col min="12814" max="12814" width="15" style="1" customWidth="1"/>
    <col min="12815" max="13057" width="9" style="1"/>
    <col min="13058" max="13058" width="22.77734375" style="1" customWidth="1"/>
    <col min="13059" max="13059" width="18.6640625" style="1" customWidth="1"/>
    <col min="13060" max="13060" width="24" style="1" customWidth="1"/>
    <col min="13061" max="13061" width="15.5546875" style="1" customWidth="1"/>
    <col min="13062" max="13062" width="9" style="1"/>
    <col min="13063" max="13063" width="13.88671875" style="1" customWidth="1"/>
    <col min="13064" max="13064" width="11.88671875" style="1" customWidth="1"/>
    <col min="13065" max="13066" width="9" style="1"/>
    <col min="13067" max="13067" width="11.33203125" style="1" customWidth="1"/>
    <col min="13068" max="13069" width="9" style="1"/>
    <col min="13070" max="13070" width="15" style="1" customWidth="1"/>
    <col min="13071" max="13313" width="9" style="1"/>
    <col min="13314" max="13314" width="22.77734375" style="1" customWidth="1"/>
    <col min="13315" max="13315" width="18.6640625" style="1" customWidth="1"/>
    <col min="13316" max="13316" width="24" style="1" customWidth="1"/>
    <col min="13317" max="13317" width="15.5546875" style="1" customWidth="1"/>
    <col min="13318" max="13318" width="9" style="1"/>
    <col min="13319" max="13319" width="13.88671875" style="1" customWidth="1"/>
    <col min="13320" max="13320" width="11.88671875" style="1" customWidth="1"/>
    <col min="13321" max="13322" width="9" style="1"/>
    <col min="13323" max="13323" width="11.33203125" style="1" customWidth="1"/>
    <col min="13324" max="13325" width="9" style="1"/>
    <col min="13326" max="13326" width="15" style="1" customWidth="1"/>
    <col min="13327" max="13569" width="9" style="1"/>
    <col min="13570" max="13570" width="22.77734375" style="1" customWidth="1"/>
    <col min="13571" max="13571" width="18.6640625" style="1" customWidth="1"/>
    <col min="13572" max="13572" width="24" style="1" customWidth="1"/>
    <col min="13573" max="13573" width="15.5546875" style="1" customWidth="1"/>
    <col min="13574" max="13574" width="9" style="1"/>
    <col min="13575" max="13575" width="13.88671875" style="1" customWidth="1"/>
    <col min="13576" max="13576" width="11.88671875" style="1" customWidth="1"/>
    <col min="13577" max="13578" width="9" style="1"/>
    <col min="13579" max="13579" width="11.33203125" style="1" customWidth="1"/>
    <col min="13580" max="13581" width="9" style="1"/>
    <col min="13582" max="13582" width="15" style="1" customWidth="1"/>
    <col min="13583" max="13825" width="9" style="1"/>
    <col min="13826" max="13826" width="22.77734375" style="1" customWidth="1"/>
    <col min="13827" max="13827" width="18.6640625" style="1" customWidth="1"/>
    <col min="13828" max="13828" width="24" style="1" customWidth="1"/>
    <col min="13829" max="13829" width="15.5546875" style="1" customWidth="1"/>
    <col min="13830" max="13830" width="9" style="1"/>
    <col min="13831" max="13831" width="13.88671875" style="1" customWidth="1"/>
    <col min="13832" max="13832" width="11.88671875" style="1" customWidth="1"/>
    <col min="13833" max="13834" width="9" style="1"/>
    <col min="13835" max="13835" width="11.33203125" style="1" customWidth="1"/>
    <col min="13836" max="13837" width="9" style="1"/>
    <col min="13838" max="13838" width="15" style="1" customWidth="1"/>
    <col min="13839" max="14081" width="9" style="1"/>
    <col min="14082" max="14082" width="22.77734375" style="1" customWidth="1"/>
    <col min="14083" max="14083" width="18.6640625" style="1" customWidth="1"/>
    <col min="14084" max="14084" width="24" style="1" customWidth="1"/>
    <col min="14085" max="14085" width="15.5546875" style="1" customWidth="1"/>
    <col min="14086" max="14086" width="9" style="1"/>
    <col min="14087" max="14087" width="13.88671875" style="1" customWidth="1"/>
    <col min="14088" max="14088" width="11.88671875" style="1" customWidth="1"/>
    <col min="14089" max="14090" width="9" style="1"/>
    <col min="14091" max="14091" width="11.33203125" style="1" customWidth="1"/>
    <col min="14092" max="14093" width="9" style="1"/>
    <col min="14094" max="14094" width="15" style="1" customWidth="1"/>
    <col min="14095" max="14337" width="9" style="1"/>
    <col min="14338" max="14338" width="22.77734375" style="1" customWidth="1"/>
    <col min="14339" max="14339" width="18.6640625" style="1" customWidth="1"/>
    <col min="14340" max="14340" width="24" style="1" customWidth="1"/>
    <col min="14341" max="14341" width="15.5546875" style="1" customWidth="1"/>
    <col min="14342" max="14342" width="9" style="1"/>
    <col min="14343" max="14343" width="13.88671875" style="1" customWidth="1"/>
    <col min="14344" max="14344" width="11.88671875" style="1" customWidth="1"/>
    <col min="14345" max="14346" width="9" style="1"/>
    <col min="14347" max="14347" width="11.33203125" style="1" customWidth="1"/>
    <col min="14348" max="14349" width="9" style="1"/>
    <col min="14350" max="14350" width="15" style="1" customWidth="1"/>
    <col min="14351" max="14593" width="9" style="1"/>
    <col min="14594" max="14594" width="22.77734375" style="1" customWidth="1"/>
    <col min="14595" max="14595" width="18.6640625" style="1" customWidth="1"/>
    <col min="14596" max="14596" width="24" style="1" customWidth="1"/>
    <col min="14597" max="14597" width="15.5546875" style="1" customWidth="1"/>
    <col min="14598" max="14598" width="9" style="1"/>
    <col min="14599" max="14599" width="13.88671875" style="1" customWidth="1"/>
    <col min="14600" max="14600" width="11.88671875" style="1" customWidth="1"/>
    <col min="14601" max="14602" width="9" style="1"/>
    <col min="14603" max="14603" width="11.33203125" style="1" customWidth="1"/>
    <col min="14604" max="14605" width="9" style="1"/>
    <col min="14606" max="14606" width="15" style="1" customWidth="1"/>
    <col min="14607" max="14849" width="9" style="1"/>
    <col min="14850" max="14850" width="22.77734375" style="1" customWidth="1"/>
    <col min="14851" max="14851" width="18.6640625" style="1" customWidth="1"/>
    <col min="14852" max="14852" width="24" style="1" customWidth="1"/>
    <col min="14853" max="14853" width="15.5546875" style="1" customWidth="1"/>
    <col min="14854" max="14854" width="9" style="1"/>
    <col min="14855" max="14855" width="13.88671875" style="1" customWidth="1"/>
    <col min="14856" max="14856" width="11.88671875" style="1" customWidth="1"/>
    <col min="14857" max="14858" width="9" style="1"/>
    <col min="14859" max="14859" width="11.33203125" style="1" customWidth="1"/>
    <col min="14860" max="14861" width="9" style="1"/>
    <col min="14862" max="14862" width="15" style="1" customWidth="1"/>
    <col min="14863" max="15105" width="9" style="1"/>
    <col min="15106" max="15106" width="22.77734375" style="1" customWidth="1"/>
    <col min="15107" max="15107" width="18.6640625" style="1" customWidth="1"/>
    <col min="15108" max="15108" width="24" style="1" customWidth="1"/>
    <col min="15109" max="15109" width="15.5546875" style="1" customWidth="1"/>
    <col min="15110" max="15110" width="9" style="1"/>
    <col min="15111" max="15111" width="13.88671875" style="1" customWidth="1"/>
    <col min="15112" max="15112" width="11.88671875" style="1" customWidth="1"/>
    <col min="15113" max="15114" width="9" style="1"/>
    <col min="15115" max="15115" width="11.33203125" style="1" customWidth="1"/>
    <col min="15116" max="15117" width="9" style="1"/>
    <col min="15118" max="15118" width="15" style="1" customWidth="1"/>
    <col min="15119" max="15361" width="9" style="1"/>
    <col min="15362" max="15362" width="22.77734375" style="1" customWidth="1"/>
    <col min="15363" max="15363" width="18.6640625" style="1" customWidth="1"/>
    <col min="15364" max="15364" width="24" style="1" customWidth="1"/>
    <col min="15365" max="15365" width="15.5546875" style="1" customWidth="1"/>
    <col min="15366" max="15366" width="9" style="1"/>
    <col min="15367" max="15367" width="13.88671875" style="1" customWidth="1"/>
    <col min="15368" max="15368" width="11.88671875" style="1" customWidth="1"/>
    <col min="15369" max="15370" width="9" style="1"/>
    <col min="15371" max="15371" width="11.33203125" style="1" customWidth="1"/>
    <col min="15372" max="15373" width="9" style="1"/>
    <col min="15374" max="15374" width="15" style="1" customWidth="1"/>
    <col min="15375" max="15617" width="9" style="1"/>
    <col min="15618" max="15618" width="22.77734375" style="1" customWidth="1"/>
    <col min="15619" max="15619" width="18.6640625" style="1" customWidth="1"/>
    <col min="15620" max="15620" width="24" style="1" customWidth="1"/>
    <col min="15621" max="15621" width="15.5546875" style="1" customWidth="1"/>
    <col min="15622" max="15622" width="9" style="1"/>
    <col min="15623" max="15623" width="13.88671875" style="1" customWidth="1"/>
    <col min="15624" max="15624" width="11.88671875" style="1" customWidth="1"/>
    <col min="15625" max="15626" width="9" style="1"/>
    <col min="15627" max="15627" width="11.33203125" style="1" customWidth="1"/>
    <col min="15628" max="15629" width="9" style="1"/>
    <col min="15630" max="15630" width="15" style="1" customWidth="1"/>
    <col min="15631" max="15873" width="9" style="1"/>
    <col min="15874" max="15874" width="22.77734375" style="1" customWidth="1"/>
    <col min="15875" max="15875" width="18.6640625" style="1" customWidth="1"/>
    <col min="15876" max="15876" width="24" style="1" customWidth="1"/>
    <col min="15877" max="15877" width="15.5546875" style="1" customWidth="1"/>
    <col min="15878" max="15878" width="9" style="1"/>
    <col min="15879" max="15879" width="13.88671875" style="1" customWidth="1"/>
    <col min="15880" max="15880" width="11.88671875" style="1" customWidth="1"/>
    <col min="15881" max="15882" width="9" style="1"/>
    <col min="15883" max="15883" width="11.33203125" style="1" customWidth="1"/>
    <col min="15884" max="15885" width="9" style="1"/>
    <col min="15886" max="15886" width="15" style="1" customWidth="1"/>
    <col min="15887" max="16113" width="9" style="1"/>
    <col min="16114" max="16143" width="8.88671875" style="1" customWidth="1"/>
    <col min="16144" max="16384" width="9" style="1"/>
  </cols>
  <sheetData>
    <row r="1" spans="2:14" ht="14.4" thickBot="1" x14ac:dyDescent="0.3"/>
    <row r="2" spans="2:14" x14ac:dyDescent="0.25">
      <c r="B2" s="2" t="s">
        <v>0</v>
      </c>
      <c r="C2" s="3" t="s">
        <v>1</v>
      </c>
      <c r="D2" s="3" t="s">
        <v>2</v>
      </c>
      <c r="E2" s="4" t="s">
        <v>3</v>
      </c>
      <c r="I2" s="5"/>
      <c r="J2" s="6" t="s">
        <v>4</v>
      </c>
    </row>
    <row r="3" spans="2:14" ht="15" thickBot="1" x14ac:dyDescent="0.3">
      <c r="B3" s="7"/>
      <c r="C3" s="8">
        <v>6500000</v>
      </c>
      <c r="D3" s="8">
        <v>1.5</v>
      </c>
      <c r="E3" s="9">
        <v>500000</v>
      </c>
      <c r="I3" s="10"/>
      <c r="J3" s="11" t="s">
        <v>5</v>
      </c>
    </row>
    <row r="4" spans="2:14" ht="14.4" thickBot="1" x14ac:dyDescent="0.3">
      <c r="I4" s="12"/>
      <c r="J4" s="11" t="s">
        <v>6</v>
      </c>
    </row>
    <row r="5" spans="2:14" ht="14.4" thickBot="1" x14ac:dyDescent="0.3">
      <c r="B5" s="2" t="s">
        <v>7</v>
      </c>
      <c r="C5" s="3" t="s">
        <v>8</v>
      </c>
      <c r="D5" s="3" t="s">
        <v>9</v>
      </c>
      <c r="E5" s="4" t="s">
        <v>10</v>
      </c>
      <c r="I5" s="13"/>
      <c r="J5" s="14" t="s">
        <v>11</v>
      </c>
    </row>
    <row r="6" spans="2:14" ht="14.4" thickBot="1" x14ac:dyDescent="0.3">
      <c r="B6" s="15"/>
      <c r="C6" s="8"/>
      <c r="D6" s="8"/>
      <c r="E6" s="9"/>
    </row>
    <row r="7" spans="2:14" ht="14.4" thickBot="1" x14ac:dyDescent="0.3">
      <c r="I7" s="227" t="s">
        <v>12</v>
      </c>
      <c r="J7" s="228"/>
      <c r="K7" s="16" t="s">
        <v>13</v>
      </c>
    </row>
    <row r="8" spans="2:14" x14ac:dyDescent="0.25">
      <c r="B8" s="2" t="s">
        <v>14</v>
      </c>
      <c r="C8" s="3" t="s">
        <v>15</v>
      </c>
      <c r="D8" s="3" t="s">
        <v>16</v>
      </c>
      <c r="E8" s="4" t="s">
        <v>17</v>
      </c>
      <c r="K8" s="17" t="s">
        <v>18</v>
      </c>
      <c r="L8" s="18"/>
      <c r="M8" s="18"/>
      <c r="N8" s="18"/>
    </row>
    <row r="9" spans="2:14" ht="14.4" thickBot="1" x14ac:dyDescent="0.3">
      <c r="B9" s="15"/>
      <c r="C9" s="8"/>
      <c r="D9" s="8"/>
      <c r="E9" s="9"/>
    </row>
    <row r="10" spans="2:14" ht="14.4" thickBot="1" x14ac:dyDescent="0.3"/>
    <row r="11" spans="2:14" ht="14.4" x14ac:dyDescent="0.25">
      <c r="B11" s="19" t="s">
        <v>19</v>
      </c>
      <c r="D11" s="20" t="s">
        <v>20</v>
      </c>
      <c r="E11" s="3" t="s">
        <v>21</v>
      </c>
      <c r="F11" s="3" t="s">
        <v>22</v>
      </c>
      <c r="G11" s="3" t="s">
        <v>23</v>
      </c>
      <c r="H11" s="4" t="s">
        <v>24</v>
      </c>
    </row>
    <row r="12" spans="2:14" ht="14.4" thickBot="1" x14ac:dyDescent="0.3">
      <c r="B12" s="21"/>
      <c r="D12" s="7"/>
      <c r="E12" s="22"/>
      <c r="F12" s="22" t="s">
        <v>25</v>
      </c>
      <c r="G12" s="22" t="s">
        <v>26</v>
      </c>
      <c r="H12" s="23"/>
    </row>
    <row r="13" spans="2:14" ht="14.4" thickBot="1" x14ac:dyDescent="0.3">
      <c r="H13" s="24"/>
    </row>
    <row r="14" spans="2:14" x14ac:dyDescent="0.25">
      <c r="B14" s="2" t="s">
        <v>27</v>
      </c>
      <c r="C14" s="3" t="s">
        <v>28</v>
      </c>
      <c r="D14" s="4"/>
    </row>
    <row r="15" spans="2:14" x14ac:dyDescent="0.25">
      <c r="B15" s="25"/>
      <c r="C15" s="24">
        <v>50000</v>
      </c>
      <c r="D15" s="26"/>
    </row>
    <row r="16" spans="2:14" x14ac:dyDescent="0.25">
      <c r="B16" s="229" t="s">
        <v>29</v>
      </c>
      <c r="C16" s="230"/>
      <c r="D16" s="231"/>
    </row>
    <row r="17" spans="2:5" ht="14.4" thickBot="1" x14ac:dyDescent="0.3">
      <c r="B17" s="232" t="s">
        <v>30</v>
      </c>
      <c r="C17" s="233"/>
      <c r="D17" s="234"/>
    </row>
    <row r="18" spans="2:5" ht="14.4" thickBot="1" x14ac:dyDescent="0.3"/>
    <row r="19" spans="2:5" x14ac:dyDescent="0.25">
      <c r="B19" s="19" t="s">
        <v>31</v>
      </c>
    </row>
    <row r="20" spans="2:5" ht="14.4" thickBot="1" x14ac:dyDescent="0.3">
      <c r="B20" s="21">
        <v>1.35</v>
      </c>
    </row>
    <row r="22" spans="2:5" ht="14.4" thickBot="1" x14ac:dyDescent="0.3"/>
    <row r="23" spans="2:5" x14ac:dyDescent="0.25">
      <c r="B23" s="235" t="s">
        <v>32</v>
      </c>
      <c r="C23" s="236"/>
      <c r="D23" s="237"/>
    </row>
    <row r="24" spans="2:5" x14ac:dyDescent="0.25">
      <c r="B24" s="27" t="s">
        <v>33</v>
      </c>
      <c r="C24" s="1" t="s">
        <v>34</v>
      </c>
      <c r="D24" s="26">
        <v>10000</v>
      </c>
    </row>
    <row r="25" spans="2:5" x14ac:dyDescent="0.25">
      <c r="B25" s="27" t="s">
        <v>35</v>
      </c>
      <c r="C25" s="1" t="s">
        <v>36</v>
      </c>
      <c r="D25" s="26">
        <v>15000</v>
      </c>
    </row>
    <row r="26" spans="2:5" ht="14.4" thickBot="1" x14ac:dyDescent="0.3">
      <c r="B26" s="7" t="s">
        <v>37</v>
      </c>
      <c r="C26" s="22" t="s">
        <v>38</v>
      </c>
      <c r="D26" s="9">
        <v>20000</v>
      </c>
    </row>
    <row r="27" spans="2:5" ht="14.4" thickBot="1" x14ac:dyDescent="0.3"/>
    <row r="28" spans="2:5" x14ac:dyDescent="0.25">
      <c r="B28" s="220" t="s">
        <v>39</v>
      </c>
      <c r="C28" s="222"/>
      <c r="D28" s="230" t="s">
        <v>40</v>
      </c>
      <c r="E28" s="230"/>
    </row>
    <row r="29" spans="2:5" x14ac:dyDescent="0.25">
      <c r="B29" s="28" t="s">
        <v>41</v>
      </c>
      <c r="C29" s="11" t="s">
        <v>42</v>
      </c>
    </row>
    <row r="30" spans="2:5" x14ac:dyDescent="0.25">
      <c r="B30" s="29">
        <v>1.2</v>
      </c>
      <c r="C30" s="30">
        <v>1.3</v>
      </c>
    </row>
    <row r="31" spans="2:5" x14ac:dyDescent="0.25">
      <c r="B31" s="28" t="s">
        <v>43</v>
      </c>
      <c r="C31" s="11" t="s">
        <v>44</v>
      </c>
    </row>
    <row r="32" spans="2:5" x14ac:dyDescent="0.25">
      <c r="B32" s="29">
        <v>1.4</v>
      </c>
      <c r="C32" s="30">
        <v>1.5</v>
      </c>
    </row>
    <row r="33" spans="2:4" x14ac:dyDescent="0.25">
      <c r="B33" s="28" t="s">
        <v>45</v>
      </c>
      <c r="C33" s="11"/>
    </row>
    <row r="34" spans="2:4" ht="14.4" thickBot="1" x14ac:dyDescent="0.3">
      <c r="B34" s="31">
        <v>1.6</v>
      </c>
      <c r="C34" s="14"/>
    </row>
    <row r="35" spans="2:4" ht="14.4" thickBot="1" x14ac:dyDescent="0.3"/>
    <row r="36" spans="2:4" ht="14.4" thickBot="1" x14ac:dyDescent="0.3">
      <c r="B36" s="32" t="s">
        <v>46</v>
      </c>
      <c r="C36" s="33"/>
    </row>
    <row r="37" spans="2:4" ht="14.4" thickBot="1" x14ac:dyDescent="0.3"/>
    <row r="38" spans="2:4" x14ac:dyDescent="0.25">
      <c r="B38" s="220" t="s">
        <v>47</v>
      </c>
      <c r="C38" s="221"/>
      <c r="D38" s="222"/>
    </row>
    <row r="39" spans="2:4" x14ac:dyDescent="0.25">
      <c r="B39" s="28" t="s">
        <v>48</v>
      </c>
      <c r="C39" s="34" t="s">
        <v>49</v>
      </c>
      <c r="D39" s="11" t="s">
        <v>50</v>
      </c>
    </row>
    <row r="40" spans="2:4" x14ac:dyDescent="0.25">
      <c r="B40" s="28" t="s">
        <v>51</v>
      </c>
      <c r="C40" s="34">
        <v>1</v>
      </c>
      <c r="D40" s="30">
        <v>40000</v>
      </c>
    </row>
    <row r="41" spans="2:4" x14ac:dyDescent="0.25">
      <c r="B41" s="28" t="s">
        <v>52</v>
      </c>
      <c r="C41" s="34">
        <v>500000</v>
      </c>
      <c r="D41" s="30">
        <v>80000</v>
      </c>
    </row>
    <row r="42" spans="2:4" x14ac:dyDescent="0.25">
      <c r="B42" s="28" t="s">
        <v>53</v>
      </c>
      <c r="C42" s="34">
        <v>1000000</v>
      </c>
      <c r="D42" s="30">
        <v>120000</v>
      </c>
    </row>
    <row r="43" spans="2:4" x14ac:dyDescent="0.25">
      <c r="B43" s="28" t="s">
        <v>54</v>
      </c>
      <c r="C43" s="34">
        <v>1500000</v>
      </c>
      <c r="D43" s="30">
        <v>160000</v>
      </c>
    </row>
    <row r="44" spans="2:4" ht="14.4" thickBot="1" x14ac:dyDescent="0.3">
      <c r="B44" s="35" t="s">
        <v>55</v>
      </c>
      <c r="C44" s="36">
        <v>2000000</v>
      </c>
      <c r="D44" s="37">
        <v>200000</v>
      </c>
    </row>
    <row r="45" spans="2:4" ht="14.4" thickBot="1" x14ac:dyDescent="0.3"/>
    <row r="46" spans="2:4" x14ac:dyDescent="0.25">
      <c r="B46" s="38" t="s">
        <v>56</v>
      </c>
      <c r="D46" s="38" t="s">
        <v>57</v>
      </c>
    </row>
    <row r="47" spans="2:4" ht="14.4" thickBot="1" x14ac:dyDescent="0.3">
      <c r="B47" s="39">
        <v>1</v>
      </c>
      <c r="D47" s="40">
        <v>100000</v>
      </c>
    </row>
    <row r="48" spans="2:4" ht="14.4" thickBot="1" x14ac:dyDescent="0.3"/>
    <row r="49" spans="2:6" x14ac:dyDescent="0.25">
      <c r="B49" s="41" t="s">
        <v>58</v>
      </c>
      <c r="C49" s="42" t="s">
        <v>59</v>
      </c>
      <c r="D49" s="6" t="s">
        <v>27</v>
      </c>
    </row>
    <row r="50" spans="2:6" ht="14.4" thickBot="1" x14ac:dyDescent="0.3">
      <c r="B50" s="31">
        <v>12000</v>
      </c>
      <c r="C50" s="43">
        <v>100000</v>
      </c>
      <c r="D50" s="37">
        <v>500000</v>
      </c>
    </row>
    <row r="51" spans="2:6" ht="14.4" thickBot="1" x14ac:dyDescent="0.3"/>
    <row r="52" spans="2:6" ht="14.4" thickBot="1" x14ac:dyDescent="0.3">
      <c r="B52" s="44" t="s">
        <v>60</v>
      </c>
      <c r="C52" s="45">
        <v>2.5000000000000001E-2</v>
      </c>
    </row>
    <row r="53" spans="2:6" ht="14.4" thickBot="1" x14ac:dyDescent="0.3"/>
    <row r="54" spans="2:6" x14ac:dyDescent="0.25">
      <c r="B54" s="41" t="s">
        <v>61</v>
      </c>
      <c r="C54" s="42" t="s">
        <v>62</v>
      </c>
      <c r="D54" s="42" t="s">
        <v>63</v>
      </c>
      <c r="E54" s="42" t="s">
        <v>64</v>
      </c>
      <c r="F54" s="6" t="s">
        <v>65</v>
      </c>
    </row>
    <row r="55" spans="2:6" ht="14.4" thickBot="1" x14ac:dyDescent="0.3">
      <c r="B55" s="35"/>
      <c r="C55" s="43">
        <v>0.4</v>
      </c>
      <c r="D55" s="43">
        <v>0.1</v>
      </c>
      <c r="E55" s="43">
        <v>0.4</v>
      </c>
      <c r="F55" s="37">
        <v>0.5</v>
      </c>
    </row>
    <row r="56" spans="2:6" ht="14.4" thickBot="1" x14ac:dyDescent="0.3"/>
    <row r="57" spans="2:6" x14ac:dyDescent="0.25">
      <c r="B57" s="41" t="s">
        <v>66</v>
      </c>
      <c r="C57" s="42" t="s">
        <v>62</v>
      </c>
      <c r="D57" s="42" t="s">
        <v>63</v>
      </c>
      <c r="E57" s="42" t="s">
        <v>64</v>
      </c>
      <c r="F57" s="6" t="s">
        <v>65</v>
      </c>
    </row>
    <row r="58" spans="2:6" x14ac:dyDescent="0.25">
      <c r="B58" s="46" t="s">
        <v>67</v>
      </c>
      <c r="C58" s="47">
        <v>10000</v>
      </c>
      <c r="D58" s="47">
        <v>10000</v>
      </c>
      <c r="E58" s="47">
        <v>10000</v>
      </c>
      <c r="F58" s="30">
        <v>10000</v>
      </c>
    </row>
    <row r="59" spans="2:6" x14ac:dyDescent="0.25">
      <c r="B59" s="223" t="s">
        <v>68</v>
      </c>
      <c r="C59" s="47">
        <v>0.4</v>
      </c>
      <c r="D59" s="47">
        <v>0.4</v>
      </c>
      <c r="E59" s="47">
        <v>0.7</v>
      </c>
      <c r="F59" s="30">
        <v>0.8</v>
      </c>
    </row>
    <row r="60" spans="2:6" x14ac:dyDescent="0.25">
      <c r="B60" s="223"/>
      <c r="C60" s="47">
        <v>0.7</v>
      </c>
      <c r="D60" s="47">
        <v>0.4</v>
      </c>
      <c r="E60" s="47">
        <v>0.4</v>
      </c>
      <c r="F60" s="30">
        <v>0.5</v>
      </c>
    </row>
    <row r="61" spans="2:6" ht="14.4" thickBot="1" x14ac:dyDescent="0.3">
      <c r="B61" s="224"/>
      <c r="C61" s="43">
        <v>0.8</v>
      </c>
      <c r="D61" s="43">
        <v>0.5</v>
      </c>
      <c r="E61" s="43">
        <v>0.4</v>
      </c>
      <c r="F61" s="37">
        <v>0.5</v>
      </c>
    </row>
    <row r="62" spans="2:6" ht="14.4" thickBot="1" x14ac:dyDescent="0.3"/>
    <row r="63" spans="2:6" x14ac:dyDescent="0.25">
      <c r="B63" s="41" t="s">
        <v>69</v>
      </c>
      <c r="C63" s="6" t="s">
        <v>70</v>
      </c>
    </row>
    <row r="64" spans="2:6" ht="14.4" thickBot="1" x14ac:dyDescent="0.3">
      <c r="B64" s="31">
        <v>500</v>
      </c>
      <c r="C64" s="37">
        <v>1000</v>
      </c>
    </row>
    <row r="65" spans="2:7" ht="14.4" thickBot="1" x14ac:dyDescent="0.3"/>
    <row r="66" spans="2:7" x14ac:dyDescent="0.25">
      <c r="B66" s="2" t="s">
        <v>71</v>
      </c>
      <c r="C66" s="3" t="s">
        <v>72</v>
      </c>
      <c r="D66" s="4" t="s">
        <v>73</v>
      </c>
    </row>
    <row r="67" spans="2:7" x14ac:dyDescent="0.25">
      <c r="B67" s="27" t="s">
        <v>74</v>
      </c>
      <c r="C67" s="24">
        <v>4500</v>
      </c>
      <c r="D67" s="26">
        <v>3750</v>
      </c>
    </row>
    <row r="68" spans="2:7" x14ac:dyDescent="0.25">
      <c r="B68" s="27" t="s">
        <v>75</v>
      </c>
      <c r="C68" s="24">
        <v>9000</v>
      </c>
      <c r="D68" s="26">
        <v>7500</v>
      </c>
    </row>
    <row r="69" spans="2:7" x14ac:dyDescent="0.25">
      <c r="B69" s="27"/>
      <c r="C69" s="24"/>
      <c r="D69" s="26"/>
    </row>
    <row r="70" spans="2:7" ht="14.4" thickBot="1" x14ac:dyDescent="0.3">
      <c r="B70" s="7" t="s">
        <v>76</v>
      </c>
      <c r="C70" s="8">
        <v>6000</v>
      </c>
      <c r="D70" s="9">
        <v>5000</v>
      </c>
    </row>
    <row r="71" spans="2:7" ht="14.4" thickBot="1" x14ac:dyDescent="0.3"/>
    <row r="72" spans="2:7" x14ac:dyDescent="0.25">
      <c r="B72" s="41" t="s">
        <v>77</v>
      </c>
      <c r="C72" s="42" t="s">
        <v>78</v>
      </c>
      <c r="D72" s="42" t="s">
        <v>79</v>
      </c>
      <c r="E72" s="42" t="s">
        <v>80</v>
      </c>
      <c r="F72" s="6" t="s">
        <v>81</v>
      </c>
    </row>
    <row r="73" spans="2:7" ht="14.4" thickBot="1" x14ac:dyDescent="0.3">
      <c r="B73" s="48">
        <v>0.06</v>
      </c>
      <c r="C73" s="49">
        <v>7.0000000000000007E-2</v>
      </c>
      <c r="D73" s="49">
        <v>0.25</v>
      </c>
      <c r="E73" s="49">
        <v>0.04</v>
      </c>
      <c r="F73" s="50">
        <v>0.03</v>
      </c>
      <c r="G73" s="24"/>
    </row>
    <row r="74" spans="2:7" ht="14.4" thickBot="1" x14ac:dyDescent="0.3"/>
    <row r="75" spans="2:7" x14ac:dyDescent="0.25">
      <c r="B75" s="2" t="s">
        <v>82</v>
      </c>
      <c r="C75" s="4" t="s">
        <v>83</v>
      </c>
    </row>
    <row r="76" spans="2:7" ht="14.4" thickBot="1" x14ac:dyDescent="0.3">
      <c r="B76" s="15">
        <v>0.1</v>
      </c>
      <c r="C76" s="9">
        <v>0.5</v>
      </c>
    </row>
    <row r="77" spans="2:7" ht="14.4" thickBot="1" x14ac:dyDescent="0.3"/>
    <row r="78" spans="2:7" x14ac:dyDescent="0.25">
      <c r="B78" s="19" t="s">
        <v>84</v>
      </c>
      <c r="D78" s="19" t="s">
        <v>85</v>
      </c>
    </row>
    <row r="79" spans="2:7" ht="14.4" thickBot="1" x14ac:dyDescent="0.3">
      <c r="B79" s="21">
        <v>4</v>
      </c>
      <c r="D79" s="51" t="s">
        <v>86</v>
      </c>
    </row>
    <row r="80" spans="2:7" ht="14.4" thickBot="1" x14ac:dyDescent="0.3"/>
    <row r="81" spans="2:4" x14ac:dyDescent="0.25">
      <c r="B81" s="19" t="s">
        <v>87</v>
      </c>
      <c r="D81" s="19" t="s">
        <v>88</v>
      </c>
    </row>
    <row r="82" spans="2:4" ht="14.4" thickBot="1" x14ac:dyDescent="0.3">
      <c r="B82" s="21">
        <v>3</v>
      </c>
      <c r="D82" s="52">
        <v>1.4</v>
      </c>
    </row>
    <row r="84" spans="2:4" ht="14.4" thickBot="1" x14ac:dyDescent="0.3">
      <c r="B84" s="225" t="s">
        <v>89</v>
      </c>
      <c r="C84" s="226"/>
    </row>
    <row r="85" spans="2:4" x14ac:dyDescent="0.25">
      <c r="B85" s="226"/>
      <c r="C85" s="226"/>
    </row>
  </sheetData>
  <mergeCells count="9">
    <mergeCell ref="B38:D38"/>
    <mergeCell ref="B59:B61"/>
    <mergeCell ref="B84:C85"/>
    <mergeCell ref="I7:J7"/>
    <mergeCell ref="B16:D16"/>
    <mergeCell ref="B17:D17"/>
    <mergeCell ref="B23:D23"/>
    <mergeCell ref="B28:C28"/>
    <mergeCell ref="D28:E28"/>
  </mergeCells>
  <phoneticPr fontId="2" type="noConversion"/>
  <hyperlinks>
    <hyperlink ref="B84" location="第0季!A1" display="设置完毕" xr:uid="{51857C6F-AC26-493F-A6F0-3371A800F362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F8BF-93BB-4C30-A787-F3E58B4B5444}">
  <dimension ref="A1:W55"/>
  <sheetViews>
    <sheetView tabSelected="1" zoomScale="85" zoomScaleNormal="85" workbookViewId="0">
      <selection activeCell="H16" sqref="H16"/>
    </sheetView>
  </sheetViews>
  <sheetFormatPr defaultColWidth="15.77734375" defaultRowHeight="13.8" x14ac:dyDescent="0.25"/>
  <cols>
    <col min="1" max="1" width="8.77734375" customWidth="1"/>
  </cols>
  <sheetData>
    <row r="1" spans="1:23" ht="18" customHeight="1" thickBot="1" x14ac:dyDescent="0.3">
      <c r="A1" s="1"/>
      <c r="B1" s="1"/>
      <c r="C1" s="1"/>
      <c r="D1" s="1"/>
      <c r="E1" s="1"/>
      <c r="F1" s="1"/>
      <c r="G1" s="1"/>
      <c r="P1" s="1"/>
      <c r="Q1" s="1"/>
      <c r="R1" s="1"/>
      <c r="S1" s="1"/>
      <c r="T1" s="1"/>
      <c r="U1" s="1"/>
      <c r="V1" s="1"/>
      <c r="W1" s="1"/>
    </row>
    <row r="2" spans="1:23" ht="18" customHeight="1" thickBot="1" x14ac:dyDescent="0.3">
      <c r="A2" s="1"/>
      <c r="B2" s="241" t="s">
        <v>90</v>
      </c>
      <c r="C2" s="265"/>
      <c r="D2" s="265"/>
      <c r="E2" s="265"/>
      <c r="F2" s="242"/>
      <c r="G2" s="2" t="s">
        <v>194</v>
      </c>
      <c r="H2" s="163">
        <f>U15</f>
        <v>5828827.1420735307</v>
      </c>
      <c r="I2" s="277" t="s">
        <v>243</v>
      </c>
      <c r="J2" s="277"/>
      <c r="K2" s="277"/>
      <c r="L2" s="277"/>
      <c r="M2" s="277"/>
      <c r="N2" s="278"/>
      <c r="P2" s="1"/>
      <c r="Q2" s="241" t="s">
        <v>91</v>
      </c>
      <c r="R2" s="242"/>
      <c r="S2" s="1"/>
      <c r="T2" s="241" t="s">
        <v>92</v>
      </c>
      <c r="U2" s="242"/>
      <c r="V2" s="1"/>
      <c r="W2" s="1"/>
    </row>
    <row r="3" spans="1:23" ht="18" customHeight="1" thickBot="1" x14ac:dyDescent="0.3">
      <c r="A3" s="1"/>
      <c r="B3" s="53"/>
      <c r="C3" s="156" t="s">
        <v>93</v>
      </c>
      <c r="D3" s="156" t="s">
        <v>94</v>
      </c>
      <c r="E3" s="156" t="s">
        <v>95</v>
      </c>
      <c r="F3" s="157" t="s">
        <v>96</v>
      </c>
      <c r="G3" s="27"/>
      <c r="H3" s="164"/>
      <c r="I3" s="148" t="s">
        <v>174</v>
      </c>
      <c r="J3" s="148" t="s">
        <v>15</v>
      </c>
      <c r="K3" s="148" t="s">
        <v>175</v>
      </c>
      <c r="L3" s="148" t="s">
        <v>205</v>
      </c>
      <c r="M3" s="148" t="s">
        <v>176</v>
      </c>
      <c r="N3" s="148" t="s">
        <v>17</v>
      </c>
      <c r="O3" s="1" t="s">
        <v>206</v>
      </c>
      <c r="P3" s="19" t="s">
        <v>192</v>
      </c>
      <c r="Q3" s="56" t="s">
        <v>97</v>
      </c>
      <c r="R3" s="57"/>
      <c r="S3" s="1"/>
      <c r="T3" s="56" t="s">
        <v>98</v>
      </c>
      <c r="U3" s="57"/>
      <c r="V3" s="1"/>
      <c r="W3" s="1"/>
    </row>
    <row r="4" spans="1:23" ht="18" customHeight="1" thickBot="1" x14ac:dyDescent="0.3">
      <c r="A4" s="1"/>
      <c r="B4" s="152" t="s">
        <v>99</v>
      </c>
      <c r="C4" s="58">
        <f>第七季!C4</f>
        <v>6</v>
      </c>
      <c r="D4" s="58">
        <f>第七季!D4</f>
        <v>5</v>
      </c>
      <c r="E4" s="58">
        <f>第七季!E4</f>
        <v>5</v>
      </c>
      <c r="F4" s="59">
        <f>第七季!F4</f>
        <v>4</v>
      </c>
      <c r="G4" s="27" t="s">
        <v>195</v>
      </c>
      <c r="H4" s="164">
        <f>0.5*U4-U15-O28</f>
        <v>-1499725.5420735311</v>
      </c>
      <c r="I4" s="279" t="s">
        <v>93</v>
      </c>
      <c r="J4" s="147">
        <v>1007377</v>
      </c>
      <c r="K4" s="147">
        <v>1007377</v>
      </c>
      <c r="L4" s="279">
        <v>14.93</v>
      </c>
      <c r="M4" s="147">
        <v>249554</v>
      </c>
      <c r="N4" s="279">
        <v>16</v>
      </c>
      <c r="O4" s="1">
        <f>K4/(L4/100)</f>
        <v>6747334.2263898198</v>
      </c>
      <c r="P4" s="124">
        <f>IF(G12&lt;=N11*规则设置!D47,C5*C12+D5*D12+E5*E12+F5*F12,(C5*N4+D5*N5+E5*N6+F5*N7)*规则设置!D47)-(M4*C5+M5*D5+M6*E5+M7*F5)</f>
        <v>19813855.199999999</v>
      </c>
      <c r="Q4" s="125" t="s">
        <v>193</v>
      </c>
      <c r="R4" s="126">
        <f>C5*C12+D5*D12+E5*E12+F5*F12</f>
        <v>24416211.199999999</v>
      </c>
      <c r="S4" s="1"/>
      <c r="T4" s="181" t="s">
        <v>100</v>
      </c>
      <c r="U4" s="61">
        <f>R4</f>
        <v>24416211.199999999</v>
      </c>
    </row>
    <row r="5" spans="1:23" ht="18" customHeight="1" thickBot="1" x14ac:dyDescent="0.3">
      <c r="A5" s="1"/>
      <c r="B5" s="152" t="s">
        <v>101</v>
      </c>
      <c r="C5" s="128">
        <v>7.4</v>
      </c>
      <c r="D5" s="128">
        <v>7.4</v>
      </c>
      <c r="E5" s="128">
        <v>6.5</v>
      </c>
      <c r="F5" s="166">
        <v>7.4</v>
      </c>
      <c r="G5" s="27"/>
      <c r="H5" s="164"/>
      <c r="I5" s="279" t="s">
        <v>94</v>
      </c>
      <c r="J5" s="147">
        <v>800262</v>
      </c>
      <c r="K5" s="147">
        <v>800262</v>
      </c>
      <c r="L5" s="279">
        <v>12.35</v>
      </c>
      <c r="M5" s="147">
        <v>193674</v>
      </c>
      <c r="N5" s="279">
        <v>14</v>
      </c>
      <c r="O5" s="1">
        <f>K5/(L5/100)</f>
        <v>6479854.2510121455</v>
      </c>
      <c r="P5" s="129">
        <f>IF(G12&lt;=N11*规则设置!D47,,"注意填写库存！")</f>
        <v>0</v>
      </c>
      <c r="Q5" s="64" t="s">
        <v>102</v>
      </c>
      <c r="R5" s="61"/>
      <c r="S5" s="1"/>
      <c r="T5" s="181" t="s">
        <v>102</v>
      </c>
      <c r="U5" s="61">
        <f>R5</f>
        <v>0</v>
      </c>
    </row>
    <row r="6" spans="1:23" ht="18" customHeight="1" thickBot="1" x14ac:dyDescent="0.3">
      <c r="A6" s="1"/>
      <c r="B6" s="153" t="s">
        <v>26</v>
      </c>
      <c r="C6" s="167">
        <v>1000000</v>
      </c>
      <c r="D6" s="167">
        <v>1000000</v>
      </c>
      <c r="E6" s="167">
        <v>0</v>
      </c>
      <c r="F6" s="167">
        <v>1000000</v>
      </c>
      <c r="G6" s="7" t="s">
        <v>222</v>
      </c>
      <c r="H6" s="165">
        <f>ROUNDUP(U14-0.5*U4-O28-1,0)</f>
        <v>-1499727</v>
      </c>
      <c r="I6" s="279" t="s">
        <v>95</v>
      </c>
      <c r="J6" s="279">
        <v>0</v>
      </c>
      <c r="K6" s="279">
        <v>0</v>
      </c>
      <c r="L6" s="279">
        <v>0</v>
      </c>
      <c r="M6" s="279">
        <v>0</v>
      </c>
      <c r="N6" s="279">
        <v>0</v>
      </c>
      <c r="O6" s="1" t="e">
        <f>K6/(L6/100)</f>
        <v>#DIV/0!</v>
      </c>
      <c r="P6" s="1"/>
      <c r="Q6" s="181" t="s">
        <v>103</v>
      </c>
      <c r="R6" s="61">
        <f>R4+R5</f>
        <v>24416211.199999999</v>
      </c>
      <c r="S6" s="1"/>
      <c r="T6" s="181" t="s">
        <v>104</v>
      </c>
      <c r="U6" s="61">
        <f>C21</f>
        <v>0</v>
      </c>
    </row>
    <row r="7" spans="1:23" ht="18" customHeight="1" thickBot="1" x14ac:dyDescent="0.3">
      <c r="A7" s="1"/>
      <c r="B7" s="1"/>
      <c r="C7" s="1"/>
      <c r="D7" s="1"/>
      <c r="E7" s="214" t="s">
        <v>269</v>
      </c>
      <c r="F7" s="24"/>
      <c r="G7" s="1"/>
      <c r="I7" s="279" t="s">
        <v>96</v>
      </c>
      <c r="J7" s="147">
        <v>775641</v>
      </c>
      <c r="K7" s="147">
        <v>775641</v>
      </c>
      <c r="L7" s="279">
        <v>12.32</v>
      </c>
      <c r="M7" s="147">
        <v>178712</v>
      </c>
      <c r="N7" s="279">
        <v>14</v>
      </c>
      <c r="O7" s="1">
        <f>K7/(L7/100)</f>
        <v>6295787.3376623373</v>
      </c>
      <c r="P7" s="1"/>
      <c r="Q7" s="68" t="s">
        <v>105</v>
      </c>
      <c r="R7" s="61"/>
      <c r="S7" s="1"/>
      <c r="T7" s="181" t="s">
        <v>106</v>
      </c>
      <c r="U7" s="61">
        <f>SUM(U4:U6)</f>
        <v>24416211.199999999</v>
      </c>
    </row>
    <row r="8" spans="1:23" ht="18" customHeight="1" thickBot="1" x14ac:dyDescent="0.3">
      <c r="A8" s="1"/>
      <c r="B8" s="235" t="s">
        <v>107</v>
      </c>
      <c r="C8" s="236"/>
      <c r="D8" s="265"/>
      <c r="E8" s="242"/>
      <c r="F8" s="154" t="s">
        <v>196</v>
      </c>
      <c r="G8" s="127">
        <f>ROUNDDOWN(F9*1.5,0)</f>
        <v>1338774</v>
      </c>
      <c r="H8" t="s">
        <v>262</v>
      </c>
      <c r="I8" s="148" t="s">
        <v>178</v>
      </c>
      <c r="J8" s="148" t="s">
        <v>179</v>
      </c>
      <c r="K8" s="148" t="s">
        <v>180</v>
      </c>
      <c r="L8" s="148" t="s">
        <v>176</v>
      </c>
      <c r="M8" s="148" t="s">
        <v>181</v>
      </c>
      <c r="N8" s="148" t="s">
        <v>207</v>
      </c>
      <c r="O8" s="1"/>
      <c r="P8" s="1"/>
      <c r="Q8" s="70" t="s">
        <v>108</v>
      </c>
      <c r="R8" s="61"/>
      <c r="S8" s="1"/>
      <c r="T8" s="68" t="s">
        <v>109</v>
      </c>
      <c r="U8" s="61"/>
    </row>
    <row r="9" spans="1:23" ht="18" customHeight="1" thickBot="1" x14ac:dyDescent="0.3">
      <c r="A9" s="1"/>
      <c r="B9" s="125" t="s">
        <v>255</v>
      </c>
      <c r="C9" s="194" t="s">
        <v>256</v>
      </c>
      <c r="D9" s="269" t="s">
        <v>3</v>
      </c>
      <c r="E9" s="270"/>
      <c r="F9" s="79">
        <f>I11</f>
        <v>892516</v>
      </c>
      <c r="G9" s="127">
        <f>ROUNDDOWN(F9*2.5,0)</f>
        <v>2231290</v>
      </c>
      <c r="H9">
        <v>3</v>
      </c>
      <c r="I9" s="147">
        <v>2583280</v>
      </c>
      <c r="J9" s="147">
        <v>2746206</v>
      </c>
      <c r="K9" s="147">
        <v>2583280</v>
      </c>
      <c r="L9" s="147">
        <v>621940</v>
      </c>
      <c r="M9" s="147">
        <v>3614770</v>
      </c>
      <c r="N9" s="279">
        <v>9.9</v>
      </c>
      <c r="O9" s="1">
        <f>K9/(N9/100)</f>
        <v>26093737.373737372</v>
      </c>
      <c r="P9" s="1"/>
      <c r="Q9" s="181" t="s">
        <v>111</v>
      </c>
      <c r="R9" s="61">
        <f>D10</f>
        <v>1</v>
      </c>
      <c r="S9" s="1"/>
      <c r="T9" s="181" t="s">
        <v>112</v>
      </c>
      <c r="U9" s="61">
        <f>SUM(R9+R10+R11+R13+R14+R15+R16+R20+R21+R22+R24+R25+R27+R28+R29+R30+R31+R32+R34+R36+R37+R38+R23)</f>
        <v>12587384.05792647</v>
      </c>
      <c r="V9" s="1"/>
      <c r="W9" s="1"/>
    </row>
    <row r="10" spans="1:23" ht="18" customHeight="1" thickBot="1" x14ac:dyDescent="0.3">
      <c r="A10" s="1"/>
      <c r="B10" s="196">
        <v>2677548</v>
      </c>
      <c r="C10" s="195">
        <f>I11*3</f>
        <v>2677548</v>
      </c>
      <c r="D10" s="262">
        <v>1</v>
      </c>
      <c r="E10" s="264"/>
      <c r="F10" s="1"/>
      <c r="G10" s="127">
        <f>ROUNDDOWN(F9*3,0)</f>
        <v>2677548</v>
      </c>
      <c r="I10" s="148" t="s">
        <v>183</v>
      </c>
      <c r="J10" s="148" t="s">
        <v>184</v>
      </c>
      <c r="K10" s="148" t="s">
        <v>185</v>
      </c>
      <c r="L10" s="148" t="s">
        <v>186</v>
      </c>
      <c r="M10" s="148" t="s">
        <v>163</v>
      </c>
      <c r="N10" s="148" t="s">
        <v>17</v>
      </c>
      <c r="O10" s="1"/>
      <c r="P10" s="1"/>
      <c r="Q10" s="181" t="s">
        <v>32</v>
      </c>
      <c r="R10" s="60">
        <f>IF(B10&lt;=0,0,IF(B10&lt;=G8,规则设置!D24,IF(B10&lt;=G9,规则设置!D25,IF(B10&lt;=G10,规则设置!D26,"请检查计划产量!"))))</f>
        <v>20000</v>
      </c>
      <c r="S10" s="1"/>
      <c r="T10" s="181" t="s">
        <v>113</v>
      </c>
      <c r="U10" s="61">
        <f>(B26+C26)*E26</f>
        <v>0</v>
      </c>
      <c r="V10" s="1"/>
      <c r="W10" s="1"/>
    </row>
    <row r="11" spans="1:23" ht="18" customHeight="1" thickBot="1" x14ac:dyDescent="0.3">
      <c r="A11" s="1"/>
      <c r="B11" s="32" t="s">
        <v>197</v>
      </c>
      <c r="C11" s="130">
        <f>ROUNDDOWN((M9+C26)/规则设置!B20,0)</f>
        <v>2677607</v>
      </c>
      <c r="D11" s="1"/>
      <c r="E11" s="1"/>
      <c r="F11" s="1"/>
      <c r="G11" s="1"/>
      <c r="I11" s="147">
        <v>892516</v>
      </c>
      <c r="J11" s="147">
        <v>892516</v>
      </c>
      <c r="K11" s="279">
        <v>20</v>
      </c>
      <c r="L11" s="279">
        <v>104</v>
      </c>
      <c r="M11" s="279">
        <v>60</v>
      </c>
      <c r="N11" s="279">
        <v>44</v>
      </c>
      <c r="O11" s="1"/>
      <c r="P11" s="131">
        <f>R11/B10</f>
        <v>1.4</v>
      </c>
      <c r="Q11" s="181" t="s">
        <v>39</v>
      </c>
      <c r="R11" s="60">
        <f>IF(B10&lt;=0,0,IF(B10&lt;=F9,规则设置!B30*B10,IF(B10&lt;=G8,规则设置!B30*B10+规则设置!C30*(B10-F9),IF(B10&lt;=2*F9,规则设置!B30*B10+规则设置!B32*(B10-F9),IF(B10&lt;=G9,规则设置!B30*F9+规则设置!B32*F9+规则设置!C32*(B10-2*F9),IF(B10&lt;=G10,规则设置!B30*F9+规则设置!B32*F9+规则设置!B34*(B10-2*F9),"检查计划产量！"))))))</f>
        <v>3748567.1999999997</v>
      </c>
      <c r="S11" s="1"/>
      <c r="T11" s="181" t="s">
        <v>114</v>
      </c>
      <c r="U11" s="61">
        <f>规则设置!D50*D26</f>
        <v>0</v>
      </c>
      <c r="V11" s="1"/>
      <c r="W11" s="1"/>
    </row>
    <row r="12" spans="1:23" ht="18" customHeight="1" thickBot="1" x14ac:dyDescent="0.3">
      <c r="A12" s="1"/>
      <c r="B12" s="158" t="s">
        <v>198</v>
      </c>
      <c r="C12" s="133">
        <f>M4+C15</f>
        <v>1249554</v>
      </c>
      <c r="D12" s="133">
        <f>M5+D15</f>
        <v>1051222</v>
      </c>
      <c r="E12" s="133">
        <f>M6+E15</f>
        <v>0</v>
      </c>
      <c r="F12" s="134">
        <f>M7+F15</f>
        <v>998712</v>
      </c>
      <c r="G12" s="127">
        <f>SUM(C12:F12)</f>
        <v>3299488</v>
      </c>
      <c r="H12">
        <f>M9/1.35</f>
        <v>2677607.4074074072</v>
      </c>
      <c r="P12" s="135">
        <f>B10*规则设置!D82</f>
        <v>3748567.1999999997</v>
      </c>
      <c r="Q12" s="181" t="s">
        <v>115</v>
      </c>
      <c r="R12" s="61">
        <f>F26*G26</f>
        <v>4518361.7500110939</v>
      </c>
      <c r="S12" s="1"/>
      <c r="T12" s="181" t="s">
        <v>116</v>
      </c>
      <c r="U12" s="61">
        <f>E21</f>
        <v>6000000</v>
      </c>
      <c r="V12" s="1"/>
      <c r="W12" s="1"/>
    </row>
    <row r="13" spans="1:23" ht="18" customHeight="1" thickBot="1" x14ac:dyDescent="0.3">
      <c r="A13" s="1"/>
      <c r="B13" s="241" t="s">
        <v>117</v>
      </c>
      <c r="C13" s="265"/>
      <c r="D13" s="265"/>
      <c r="E13" s="265"/>
      <c r="F13" s="242"/>
      <c r="G13" s="1"/>
      <c r="H13">
        <f>3440792*1.35</f>
        <v>4645069.2</v>
      </c>
      <c r="I13" s="266" t="s">
        <v>244</v>
      </c>
      <c r="J13" s="267"/>
      <c r="K13" s="268"/>
      <c r="M13" s="266" t="s">
        <v>245</v>
      </c>
      <c r="N13" s="267"/>
      <c r="O13" s="268"/>
      <c r="P13" s="1"/>
      <c r="Q13" s="181" t="s">
        <v>47</v>
      </c>
      <c r="R13" s="60">
        <f>IF(F24&lt;1,0,IF(F24&lt;=规则设置!C41,规则设置!D40,IF(F24&lt;=规则设置!C42,规则设置!D41,IF(F24&lt;=规则设置!C43,规则设置!D42,IF(F24&lt;=规则设置!C44,规则设置!D43,规则设置!D44)))))</f>
        <v>0</v>
      </c>
      <c r="S13" s="1"/>
      <c r="T13" s="181" t="s">
        <v>118</v>
      </c>
      <c r="U13" s="61">
        <f>C22</f>
        <v>0</v>
      </c>
      <c r="V13" s="1"/>
      <c r="W13" s="1"/>
    </row>
    <row r="14" spans="1:23" ht="18" customHeight="1" thickBot="1" x14ac:dyDescent="0.3">
      <c r="A14" s="1"/>
      <c r="B14" s="149"/>
      <c r="C14" s="150" t="s">
        <v>93</v>
      </c>
      <c r="D14" s="150" t="s">
        <v>94</v>
      </c>
      <c r="E14" s="150" t="s">
        <v>95</v>
      </c>
      <c r="F14" s="151" t="s">
        <v>96</v>
      </c>
      <c r="G14" s="127">
        <f>B10</f>
        <v>2677548</v>
      </c>
      <c r="I14" s="148" t="s">
        <v>213</v>
      </c>
      <c r="J14" s="148" t="s">
        <v>214</v>
      </c>
      <c r="K14" s="148" t="s">
        <v>215</v>
      </c>
      <c r="M14" s="148" t="s">
        <v>213</v>
      </c>
      <c r="N14" s="148" t="s">
        <v>214</v>
      </c>
      <c r="O14" s="148" t="s">
        <v>215</v>
      </c>
      <c r="P14" s="1"/>
      <c r="Q14" s="181" t="s">
        <v>119</v>
      </c>
      <c r="R14" s="61">
        <f>C26*(规则设置!B47)</f>
        <v>0</v>
      </c>
      <c r="S14" s="1"/>
      <c r="T14" s="181" t="s">
        <v>120</v>
      </c>
      <c r="U14" s="61">
        <f>SUM(U9:U13)</f>
        <v>18587384.057926469</v>
      </c>
      <c r="V14" s="1"/>
      <c r="W14" s="1"/>
    </row>
    <row r="15" spans="1:23" ht="18" customHeight="1" thickBot="1" x14ac:dyDescent="0.3">
      <c r="A15" s="1"/>
      <c r="B15" s="152" t="s">
        <v>121</v>
      </c>
      <c r="C15" s="88">
        <v>1000000</v>
      </c>
      <c r="D15" s="88">
        <v>857548</v>
      </c>
      <c r="E15" s="88">
        <v>0</v>
      </c>
      <c r="F15" s="136">
        <v>820000</v>
      </c>
      <c r="G15" s="137">
        <f>SUM(C15:F15)</f>
        <v>2677548</v>
      </c>
      <c r="I15" s="280" t="s">
        <v>97</v>
      </c>
      <c r="J15" s="279"/>
      <c r="K15" s="279"/>
      <c r="M15" s="280" t="s">
        <v>98</v>
      </c>
      <c r="N15" s="279"/>
      <c r="O15" s="279"/>
      <c r="P15" s="1"/>
      <c r="Q15" s="181" t="s">
        <v>122</v>
      </c>
      <c r="R15" s="61">
        <f>K11*规则设置!B50</f>
        <v>240000</v>
      </c>
      <c r="S15" s="1"/>
      <c r="T15" s="68" t="s">
        <v>123</v>
      </c>
      <c r="U15" s="61">
        <f>U7-U14</f>
        <v>5828827.1420735307</v>
      </c>
      <c r="V15" s="1"/>
      <c r="W15" s="1" t="s">
        <v>258</v>
      </c>
    </row>
    <row r="16" spans="1:23" ht="18" customHeight="1" thickBot="1" x14ac:dyDescent="0.3">
      <c r="A16" s="1"/>
      <c r="B16" s="152" t="s">
        <v>124</v>
      </c>
      <c r="C16" s="74"/>
      <c r="D16" s="74"/>
      <c r="E16" s="74"/>
      <c r="F16" s="60"/>
      <c r="G16" s="1">
        <f>G14-G15</f>
        <v>0</v>
      </c>
      <c r="I16" s="280" t="s">
        <v>100</v>
      </c>
      <c r="J16" s="147">
        <v>17171057</v>
      </c>
      <c r="K16" s="147">
        <v>15758008</v>
      </c>
      <c r="M16" s="280" t="s">
        <v>100</v>
      </c>
      <c r="N16" s="147">
        <v>17171057</v>
      </c>
      <c r="O16" s="147">
        <v>15758008</v>
      </c>
      <c r="P16" s="1"/>
      <c r="Q16" s="181" t="s">
        <v>125</v>
      </c>
      <c r="R16" s="61">
        <f>规则设置!C50*D26</f>
        <v>0</v>
      </c>
      <c r="S16" s="1"/>
      <c r="T16" s="75" t="s">
        <v>126</v>
      </c>
      <c r="U16" s="76">
        <f>IF((O28+U15)&gt;=0.5*U4,O28+U15,0.5*U4)</f>
        <v>13707831.142073531</v>
      </c>
      <c r="V16" s="1"/>
      <c r="W16" s="1">
        <f>IF((O28+U15)&gt;=0.5*U4,0,1)</f>
        <v>0</v>
      </c>
    </row>
    <row r="17" spans="1:23" ht="18" customHeight="1" thickBot="1" x14ac:dyDescent="0.3">
      <c r="A17" s="1"/>
      <c r="B17" s="152" t="s">
        <v>260</v>
      </c>
      <c r="C17" s="203">
        <f>((C12*C5-(C6+D10/H9+C15*1.35*E26))/C12)</f>
        <v>4.5469817764311635</v>
      </c>
      <c r="D17" s="203">
        <f>((D12*D5-(D6+D10/H9+D15*1.35*E26))/D12)</f>
        <v>4.3562937673171485</v>
      </c>
      <c r="E17" s="203" t="e">
        <f>((E12*E5-(E6+D10/H9+E15*1.35*E26))/E12)</f>
        <v>#DIV/0!</v>
      </c>
      <c r="F17" s="204">
        <f>((F12*F5-(F6+D10/H9+F15*1.35*E26))/F12)</f>
        <v>4.2926974609964299</v>
      </c>
      <c r="G17" s="214" t="s">
        <v>261</v>
      </c>
      <c r="H17" s="218" t="s">
        <v>268</v>
      </c>
      <c r="I17" s="280" t="s">
        <v>216</v>
      </c>
      <c r="J17" s="279">
        <v>0</v>
      </c>
      <c r="K17" s="279">
        <v>0</v>
      </c>
      <c r="M17" s="280" t="s">
        <v>216</v>
      </c>
      <c r="N17" s="279">
        <v>0</v>
      </c>
      <c r="O17" s="279">
        <v>0</v>
      </c>
      <c r="P17" s="1"/>
      <c r="Q17" s="181" t="s">
        <v>60</v>
      </c>
      <c r="R17" s="61">
        <f>规则设置!C52*O36</f>
        <v>223129.875</v>
      </c>
      <c r="S17" s="1"/>
      <c r="T17" s="1"/>
      <c r="U17" s="1"/>
      <c r="V17" s="1"/>
      <c r="W17" s="1"/>
    </row>
    <row r="18" spans="1:23" ht="18" customHeight="1" thickBot="1" x14ac:dyDescent="0.3">
      <c r="A18" s="1"/>
      <c r="B18" s="153"/>
      <c r="C18" s="77"/>
      <c r="D18" s="77"/>
      <c r="E18" s="77"/>
      <c r="F18" s="76"/>
      <c r="G18" s="213">
        <f>R40</f>
        <v>4599575.5170624331</v>
      </c>
      <c r="H18" s="215">
        <f>U30</f>
        <v>16319824.517062437</v>
      </c>
      <c r="I18" s="280" t="s">
        <v>103</v>
      </c>
      <c r="J18" s="147">
        <v>17171057</v>
      </c>
      <c r="K18" s="147">
        <v>15758008</v>
      </c>
      <c r="M18" s="280" t="s">
        <v>104</v>
      </c>
      <c r="N18" s="279">
        <v>0</v>
      </c>
      <c r="O18" s="279">
        <v>0</v>
      </c>
      <c r="P18" s="1"/>
      <c r="Q18" s="181" t="s">
        <v>127</v>
      </c>
      <c r="R18" s="61">
        <f>O35-U23</f>
        <v>2487760</v>
      </c>
      <c r="S18" s="1"/>
      <c r="T18" s="1"/>
      <c r="U18" s="1"/>
      <c r="V18" s="1"/>
      <c r="W18" s="1"/>
    </row>
    <row r="19" spans="1:23" ht="18" customHeight="1" thickBot="1" x14ac:dyDescent="0.3">
      <c r="A19" s="1"/>
      <c r="B19" s="138" t="s">
        <v>199</v>
      </c>
      <c r="C19" s="138">
        <f>IF(C12&gt;规则设置!D47*N4,"请核对产品数量！",)</f>
        <v>0</v>
      </c>
      <c r="D19" s="138">
        <f>IF(D12&gt;规则设置!D47*N5,"请核对产品数量！",)</f>
        <v>0</v>
      </c>
      <c r="E19" s="138">
        <f>IF(E12&gt;规则设置!D47*N6,"请核对产品数量！",)</f>
        <v>0</v>
      </c>
      <c r="F19" s="139">
        <f>IF(F12&gt;规则设置!D47*N7,"请核对产品数量！",)</f>
        <v>0</v>
      </c>
      <c r="G19" s="214">
        <v>400</v>
      </c>
      <c r="I19" s="280" t="s">
        <v>105</v>
      </c>
      <c r="J19" s="279"/>
      <c r="K19" s="279"/>
      <c r="M19" s="280" t="s">
        <v>106</v>
      </c>
      <c r="N19" s="147">
        <v>17171057</v>
      </c>
      <c r="O19" s="147">
        <v>15758008</v>
      </c>
      <c r="P19" s="1"/>
      <c r="Q19" s="70" t="s">
        <v>128</v>
      </c>
      <c r="R19" s="61"/>
      <c r="S19" s="1"/>
      <c r="T19" s="241" t="s">
        <v>129</v>
      </c>
      <c r="U19" s="242"/>
      <c r="V19" s="1"/>
      <c r="W19" s="1"/>
    </row>
    <row r="20" spans="1:23" ht="18" customHeight="1" thickBot="1" x14ac:dyDescent="0.3">
      <c r="A20" s="1"/>
      <c r="B20" s="241" t="s">
        <v>130</v>
      </c>
      <c r="C20" s="265"/>
      <c r="D20" s="265"/>
      <c r="E20" s="242"/>
      <c r="F20" s="1"/>
      <c r="G20" s="1"/>
      <c r="I20" s="280" t="s">
        <v>108</v>
      </c>
      <c r="J20" s="279"/>
      <c r="K20" s="279"/>
      <c r="M20" s="280" t="s">
        <v>109</v>
      </c>
      <c r="N20" s="279"/>
      <c r="O20" s="279"/>
      <c r="P20" s="1"/>
      <c r="Q20" s="64" t="s">
        <v>131</v>
      </c>
      <c r="R20" s="61"/>
      <c r="S20" s="1"/>
      <c r="T20" s="56" t="s">
        <v>132</v>
      </c>
      <c r="U20" s="57"/>
      <c r="V20" s="1"/>
      <c r="W20" s="1"/>
    </row>
    <row r="21" spans="1:23" ht="18" customHeight="1" thickBot="1" x14ac:dyDescent="0.3">
      <c r="A21" s="1"/>
      <c r="B21" s="155" t="s">
        <v>104</v>
      </c>
      <c r="C21" s="173">
        <v>0</v>
      </c>
      <c r="D21" s="156" t="s">
        <v>116</v>
      </c>
      <c r="E21" s="136">
        <v>6000000</v>
      </c>
      <c r="F21" s="1" t="s">
        <v>200</v>
      </c>
      <c r="G21" s="140">
        <f>ROUNDUP(H2-H4,0)</f>
        <v>7328553</v>
      </c>
      <c r="I21" s="280" t="s">
        <v>111</v>
      </c>
      <c r="J21" s="147">
        <v>2000000</v>
      </c>
      <c r="K21" s="279">
        <v>1</v>
      </c>
      <c r="M21" s="280" t="s">
        <v>112</v>
      </c>
      <c r="N21" s="147">
        <v>13958223</v>
      </c>
      <c r="O21" s="147">
        <v>11124404</v>
      </c>
      <c r="P21" s="1"/>
      <c r="Q21" s="64" t="s">
        <v>133</v>
      </c>
      <c r="R21" s="61"/>
      <c r="S21" s="1"/>
      <c r="T21" s="181" t="s">
        <v>134</v>
      </c>
      <c r="U21" s="61">
        <f>U16</f>
        <v>13707831.142073531</v>
      </c>
      <c r="V21" s="1"/>
      <c r="W21" s="1"/>
    </row>
    <row r="22" spans="1:23" ht="18" customHeight="1" thickBot="1" x14ac:dyDescent="0.3">
      <c r="A22" s="1"/>
      <c r="B22" s="153" t="s">
        <v>118</v>
      </c>
      <c r="C22" s="262">
        <v>0</v>
      </c>
      <c r="D22" s="263"/>
      <c r="E22" s="264"/>
      <c r="F22" s="1"/>
      <c r="G22" s="141">
        <f>ROUNDUP(H2-H4,0)+ROUNDUP(H2-H4,0)*规则设置!E73/4</f>
        <v>7401838.5300000003</v>
      </c>
      <c r="I22" s="280" t="s">
        <v>32</v>
      </c>
      <c r="J22" s="147">
        <v>20000</v>
      </c>
      <c r="K22" s="147">
        <v>20000</v>
      </c>
      <c r="M22" s="280" t="s">
        <v>113</v>
      </c>
      <c r="N22" s="279">
        <v>0</v>
      </c>
      <c r="O22" s="147">
        <v>4012211</v>
      </c>
      <c r="P22" s="1"/>
      <c r="Q22" s="64" t="s">
        <v>135</v>
      </c>
      <c r="R22" s="61"/>
      <c r="S22" s="1"/>
      <c r="T22" s="181" t="s">
        <v>136</v>
      </c>
      <c r="U22" s="61">
        <f>(F24+C26+M9-B10*1.35)*F26</f>
        <v>100.24998890627552</v>
      </c>
      <c r="V22" s="127"/>
      <c r="W22" s="1"/>
    </row>
    <row r="23" spans="1:23" ht="18" customHeight="1" thickBot="1" x14ac:dyDescent="0.3">
      <c r="A23" s="1"/>
      <c r="B23" s="1"/>
      <c r="C23" s="1"/>
      <c r="D23" s="1"/>
      <c r="E23" s="1"/>
      <c r="F23" s="1"/>
      <c r="G23" s="1"/>
      <c r="I23" s="280" t="s">
        <v>39</v>
      </c>
      <c r="J23" s="147">
        <v>3943270</v>
      </c>
      <c r="K23" s="147">
        <v>3844688</v>
      </c>
      <c r="M23" s="280" t="s">
        <v>221</v>
      </c>
      <c r="N23" s="279">
        <v>0</v>
      </c>
      <c r="O23" s="279">
        <v>0</v>
      </c>
      <c r="P23" s="1"/>
      <c r="Q23" s="80" t="s">
        <v>137</v>
      </c>
      <c r="R23" s="61">
        <f>SUM(C6:F6)</f>
        <v>3000000</v>
      </c>
      <c r="S23" s="1"/>
      <c r="T23" s="181" t="s">
        <v>138</v>
      </c>
      <c r="U23" s="61">
        <f>规则设置!B79*(B10-C15-D15-E15-F15)</f>
        <v>0</v>
      </c>
      <c r="V23" s="1"/>
      <c r="W23" s="1"/>
    </row>
    <row r="24" spans="1:23" ht="18" customHeight="1" thickBot="1" x14ac:dyDescent="0.3">
      <c r="A24" s="1"/>
      <c r="B24" s="241" t="s">
        <v>139</v>
      </c>
      <c r="C24" s="265"/>
      <c r="D24" s="242"/>
      <c r="E24" s="1"/>
      <c r="F24" s="1">
        <v>0</v>
      </c>
      <c r="G24" s="1"/>
      <c r="I24" s="280" t="s">
        <v>115</v>
      </c>
      <c r="J24" s="147">
        <v>4753049</v>
      </c>
      <c r="K24" s="147">
        <v>4634222</v>
      </c>
      <c r="M24" s="280" t="s">
        <v>116</v>
      </c>
      <c r="N24" s="147">
        <v>3500000</v>
      </c>
      <c r="O24" s="147">
        <v>1500000</v>
      </c>
      <c r="P24" s="1"/>
      <c r="Q24" s="80" t="s">
        <v>61</v>
      </c>
      <c r="R24" s="61">
        <f>规则设置!C55*C15+规则设置!D55*D15+规则设置!E55*E15+规则设置!F55*F15</f>
        <v>895754.8</v>
      </c>
      <c r="S24" s="1"/>
      <c r="T24" s="181" t="s">
        <v>140</v>
      </c>
      <c r="U24" s="61">
        <f>O36-R17+U11</f>
        <v>8702065.125</v>
      </c>
      <c r="V24" s="1"/>
      <c r="W24" s="1"/>
    </row>
    <row r="25" spans="1:23" ht="18" customHeight="1" thickBot="1" x14ac:dyDescent="0.3">
      <c r="A25" s="1"/>
      <c r="B25" s="155" t="s">
        <v>141</v>
      </c>
      <c r="C25" s="156" t="s">
        <v>142</v>
      </c>
      <c r="D25" s="157" t="s">
        <v>143</v>
      </c>
      <c r="E25" s="19" t="s">
        <v>2</v>
      </c>
      <c r="F25" s="19" t="s">
        <v>144</v>
      </c>
      <c r="G25" s="19" t="s">
        <v>145</v>
      </c>
      <c r="I25" s="280" t="s">
        <v>276</v>
      </c>
      <c r="J25" s="279">
        <v>0</v>
      </c>
      <c r="K25" s="147">
        <v>200000</v>
      </c>
      <c r="M25" s="280" t="s">
        <v>118</v>
      </c>
      <c r="N25" s="279">
        <v>0</v>
      </c>
      <c r="O25" s="279">
        <v>0</v>
      </c>
      <c r="P25" s="1"/>
      <c r="Q25" s="181" t="s">
        <v>66</v>
      </c>
      <c r="R25" s="61">
        <f>规则设置!B12*C26</f>
        <v>0</v>
      </c>
      <c r="S25" s="1"/>
      <c r="T25" s="181" t="s">
        <v>146</v>
      </c>
      <c r="U25" s="61">
        <f>SUM(U21:U24)</f>
        <v>22409996.517062437</v>
      </c>
      <c r="V25" s="1"/>
      <c r="W25" s="1"/>
    </row>
    <row r="26" spans="1:23" ht="18" customHeight="1" thickBot="1" x14ac:dyDescent="0.3">
      <c r="A26" s="1"/>
      <c r="B26" s="159"/>
      <c r="C26" s="219">
        <f>IF(B10*1.35-M9&lt;=0,0,B10*1.35-M9)</f>
        <v>0</v>
      </c>
      <c r="D26" s="82">
        <v>0</v>
      </c>
      <c r="E26" s="83">
        <v>1.9</v>
      </c>
      <c r="F26" s="52">
        <f>(U10+O34)/(F24+M9+C26)</f>
        <v>1.249999861678613</v>
      </c>
      <c r="G26" s="84">
        <f>规则设置!B20*B10</f>
        <v>3614689.8000000003</v>
      </c>
      <c r="I26" s="280" t="s">
        <v>217</v>
      </c>
      <c r="J26" s="279">
        <v>0</v>
      </c>
      <c r="K26" s="279">
        <v>0</v>
      </c>
      <c r="M26" s="280" t="s">
        <v>120</v>
      </c>
      <c r="N26" s="147">
        <v>17458223</v>
      </c>
      <c r="O26" s="147">
        <v>16636615</v>
      </c>
      <c r="P26" s="1"/>
      <c r="Q26" s="70" t="s">
        <v>147</v>
      </c>
      <c r="R26" s="61"/>
      <c r="S26" s="1"/>
      <c r="T26" s="85" t="s">
        <v>148</v>
      </c>
      <c r="U26" s="61"/>
      <c r="V26" s="1"/>
      <c r="W26" s="1"/>
    </row>
    <row r="27" spans="1:23" ht="18" customHeight="1" thickBot="1" x14ac:dyDescent="0.3">
      <c r="A27" s="1"/>
      <c r="B27" s="1"/>
      <c r="C27" s="1"/>
      <c r="D27" s="1"/>
      <c r="E27" s="1"/>
      <c r="F27" s="1"/>
      <c r="G27" s="1"/>
      <c r="I27" s="280" t="s">
        <v>218</v>
      </c>
      <c r="J27" s="147">
        <v>240000</v>
      </c>
      <c r="K27" s="147">
        <v>240000</v>
      </c>
      <c r="M27" s="280" t="s">
        <v>123</v>
      </c>
      <c r="N27" s="147">
        <v>-287167</v>
      </c>
      <c r="O27" s="147">
        <v>-878607</v>
      </c>
      <c r="P27" s="1"/>
      <c r="Q27" s="86" t="s">
        <v>69</v>
      </c>
      <c r="R27" s="61">
        <f>SUM(D30:D34)*规则设置!B64</f>
        <v>0</v>
      </c>
      <c r="S27" s="1"/>
      <c r="T27" s="181" t="s">
        <v>150</v>
      </c>
      <c r="U27" s="61">
        <f>O41+U6-U12</f>
        <v>6090172</v>
      </c>
      <c r="V27" s="1"/>
      <c r="W27" s="1"/>
    </row>
    <row r="28" spans="1:23" ht="18" customHeight="1" thickBot="1" x14ac:dyDescent="0.3">
      <c r="A28" s="1"/>
      <c r="B28" s="241" t="s">
        <v>259</v>
      </c>
      <c r="C28" s="265"/>
      <c r="D28" s="265"/>
      <c r="E28" s="242"/>
      <c r="F28" s="1"/>
      <c r="G28" s="19" t="s">
        <v>250</v>
      </c>
      <c r="I28" s="280" t="s">
        <v>219</v>
      </c>
      <c r="J28" s="279">
        <v>0</v>
      </c>
      <c r="K28" s="279">
        <v>0</v>
      </c>
      <c r="M28" s="280" t="s">
        <v>126</v>
      </c>
      <c r="N28" s="147">
        <v>8712340</v>
      </c>
      <c r="O28" s="147">
        <v>7879004</v>
      </c>
      <c r="P28" s="1"/>
      <c r="Q28" s="80" t="s">
        <v>70</v>
      </c>
      <c r="R28" s="61">
        <f>SUM(D30:D34)*规则设置!C64</f>
        <v>0</v>
      </c>
      <c r="S28" s="1"/>
      <c r="T28" s="181" t="s">
        <v>152</v>
      </c>
      <c r="U28" s="60">
        <f>IF(W16=0,0,0.5*U4-U15-O28)</f>
        <v>0</v>
      </c>
      <c r="V28" s="1"/>
      <c r="W28" s="1"/>
    </row>
    <row r="29" spans="1:23" ht="18" customHeight="1" thickBot="1" x14ac:dyDescent="0.3">
      <c r="A29" s="1"/>
      <c r="B29" s="271" t="s">
        <v>153</v>
      </c>
      <c r="C29" s="272"/>
      <c r="D29" s="156" t="s">
        <v>154</v>
      </c>
      <c r="E29" s="157" t="s">
        <v>155</v>
      </c>
      <c r="F29" s="1"/>
      <c r="G29" s="84">
        <f>ROUNDDOWN(O42/3/规则设置!D50,0)</f>
        <v>7</v>
      </c>
      <c r="I29" s="280" t="s">
        <v>220</v>
      </c>
      <c r="J29" s="147">
        <v>234719</v>
      </c>
      <c r="K29" s="147">
        <v>228851</v>
      </c>
      <c r="P29" s="1"/>
      <c r="Q29" s="80" t="s">
        <v>71</v>
      </c>
      <c r="R29" s="61">
        <f>规则设置!C67*C37+规则设置!D67*D37+规则设置!C68*C38+规则设置!D68*D38</f>
        <v>846000</v>
      </c>
      <c r="S29" s="1"/>
      <c r="T29" s="181" t="s">
        <v>156</v>
      </c>
      <c r="U29" s="61">
        <f>SUM(U27:U28)</f>
        <v>6090172</v>
      </c>
      <c r="V29" s="1"/>
      <c r="W29" s="1"/>
    </row>
    <row r="30" spans="1:23" ht="18" customHeight="1" thickBot="1" x14ac:dyDescent="0.3">
      <c r="A30" s="1"/>
      <c r="B30" s="273" t="s">
        <v>17</v>
      </c>
      <c r="C30" s="87" t="s">
        <v>93</v>
      </c>
      <c r="D30" s="173"/>
      <c r="E30" s="136">
        <v>0</v>
      </c>
      <c r="F30" s="1"/>
      <c r="G30" s="1"/>
      <c r="I30" s="280" t="s">
        <v>127</v>
      </c>
      <c r="J30" s="147">
        <v>-1727012</v>
      </c>
      <c r="K30" s="147">
        <v>-651704</v>
      </c>
      <c r="M30" s="235" t="s">
        <v>129</v>
      </c>
      <c r="N30" s="236"/>
      <c r="O30" s="237"/>
      <c r="P30" s="1"/>
      <c r="Q30" s="80" t="s">
        <v>157</v>
      </c>
      <c r="R30" s="61">
        <f>SUM(E30:E33)*规则设置!C70+E34*规则设置!D70</f>
        <v>0</v>
      </c>
      <c r="S30" s="1"/>
      <c r="T30" s="75" t="s">
        <v>158</v>
      </c>
      <c r="U30" s="89">
        <f>U25-U29</f>
        <v>16319824.517062437</v>
      </c>
      <c r="V30" s="1" t="s">
        <v>159</v>
      </c>
      <c r="W30" s="90"/>
    </row>
    <row r="31" spans="1:23" ht="18" customHeight="1" thickBot="1" x14ac:dyDescent="0.3">
      <c r="A31" s="1"/>
      <c r="B31" s="274"/>
      <c r="C31" s="87" t="s">
        <v>94</v>
      </c>
      <c r="D31" s="173"/>
      <c r="E31" s="136">
        <v>0</v>
      </c>
      <c r="F31" s="1"/>
      <c r="G31" s="1"/>
      <c r="I31" s="280" t="s">
        <v>128</v>
      </c>
      <c r="J31" s="279"/>
      <c r="K31" s="279"/>
      <c r="M31" s="148" t="s">
        <v>213</v>
      </c>
      <c r="N31" s="148" t="s">
        <v>214</v>
      </c>
      <c r="O31" s="148" t="s">
        <v>215</v>
      </c>
      <c r="P31" s="1"/>
      <c r="Q31" s="80" t="s">
        <v>160</v>
      </c>
      <c r="R31" s="61">
        <f>规则设置!B76*O34</f>
        <v>451846.2</v>
      </c>
      <c r="S31" s="1"/>
      <c r="T31" s="1"/>
      <c r="U31" s="1"/>
      <c r="V31" s="1" t="s">
        <v>161</v>
      </c>
      <c r="W31" s="92">
        <f>U30-W30</f>
        <v>16319824.517062437</v>
      </c>
    </row>
    <row r="32" spans="1:23" ht="18" customHeight="1" thickBot="1" x14ac:dyDescent="0.3">
      <c r="A32" s="1"/>
      <c r="B32" s="274"/>
      <c r="C32" s="87" t="s">
        <v>95</v>
      </c>
      <c r="D32" s="173"/>
      <c r="E32" s="136">
        <v>0</v>
      </c>
      <c r="F32" s="1"/>
      <c r="G32" s="1"/>
      <c r="I32" s="280" t="s">
        <v>131</v>
      </c>
      <c r="J32" s="279">
        <v>0</v>
      </c>
      <c r="K32" s="279">
        <v>0</v>
      </c>
      <c r="M32" s="280" t="s">
        <v>132</v>
      </c>
      <c r="N32" s="279"/>
      <c r="O32" s="279"/>
      <c r="P32" s="1"/>
      <c r="Q32" s="80" t="s">
        <v>83</v>
      </c>
      <c r="R32" s="61">
        <f>规则设置!C76*L9</f>
        <v>310970</v>
      </c>
      <c r="S32" s="1"/>
      <c r="T32" s="1"/>
      <c r="U32" s="1"/>
      <c r="V32" s="1"/>
      <c r="W32" s="1"/>
    </row>
    <row r="33" spans="1:23" ht="18" customHeight="1" thickBot="1" x14ac:dyDescent="0.3">
      <c r="A33" s="1"/>
      <c r="B33" s="243"/>
      <c r="C33" s="87" t="s">
        <v>96</v>
      </c>
      <c r="D33" s="173"/>
      <c r="E33" s="136">
        <v>0</v>
      </c>
      <c r="F33" s="1"/>
      <c r="G33" s="1"/>
      <c r="I33" s="280" t="s">
        <v>133</v>
      </c>
      <c r="J33" s="279">
        <v>0</v>
      </c>
      <c r="K33" s="279">
        <v>0</v>
      </c>
      <c r="M33" s="280" t="s">
        <v>134</v>
      </c>
      <c r="N33" s="147">
        <v>8712340</v>
      </c>
      <c r="O33" s="147">
        <v>7879004</v>
      </c>
      <c r="P33" s="1"/>
      <c r="Q33" s="93" t="s">
        <v>162</v>
      </c>
      <c r="R33" s="61"/>
      <c r="S33" s="1"/>
      <c r="T33" s="41" t="s">
        <v>201</v>
      </c>
      <c r="U33" s="42" t="s">
        <v>202</v>
      </c>
      <c r="V33" s="42" t="s">
        <v>203</v>
      </c>
      <c r="W33" s="6" t="s">
        <v>204</v>
      </c>
    </row>
    <row r="34" spans="1:23" ht="18" customHeight="1" thickBot="1" x14ac:dyDescent="0.3">
      <c r="A34" s="1"/>
      <c r="B34" s="275" t="s">
        <v>163</v>
      </c>
      <c r="C34" s="276"/>
      <c r="D34" s="94">
        <f>规则设置!B82*D26</f>
        <v>0</v>
      </c>
      <c r="E34" s="180"/>
      <c r="F34" s="1"/>
      <c r="G34" s="1"/>
      <c r="I34" s="280" t="s">
        <v>135</v>
      </c>
      <c r="J34" s="279">
        <v>0</v>
      </c>
      <c r="K34" s="279">
        <v>0</v>
      </c>
      <c r="M34" s="280" t="s">
        <v>136</v>
      </c>
      <c r="N34" s="147">
        <v>5140475</v>
      </c>
      <c r="O34" s="147">
        <v>4518462</v>
      </c>
      <c r="P34" s="1"/>
      <c r="Q34" s="80" t="s">
        <v>164</v>
      </c>
      <c r="R34" s="61">
        <f>U27*(规则设置!E73/4)+O40*3*(规则设置!E73/4)</f>
        <v>62259.85</v>
      </c>
      <c r="S34" s="1"/>
      <c r="T34" s="143">
        <f>U34+V34-W34</f>
        <v>9698336.9896401353</v>
      </c>
      <c r="U34" s="144">
        <f>C22/((1+规则设置!F73/4))</f>
        <v>0</v>
      </c>
      <c r="V34" s="144">
        <f>U30/(1+规则设置!F73/4)</f>
        <v>16198336.989640135</v>
      </c>
      <c r="W34" s="123">
        <f>规则设置!C3</f>
        <v>6500000</v>
      </c>
    </row>
    <row r="35" spans="1:23" ht="18" customHeight="1" thickBot="1" x14ac:dyDescent="0.3">
      <c r="A35" s="1"/>
      <c r="B35" s="1"/>
      <c r="C35" s="1"/>
      <c r="D35" s="1"/>
      <c r="E35" s="1"/>
      <c r="I35" s="280" t="s">
        <v>137</v>
      </c>
      <c r="J35" s="147">
        <v>3600000</v>
      </c>
      <c r="K35" s="147">
        <v>3000000</v>
      </c>
      <c r="M35" s="280" t="s">
        <v>84</v>
      </c>
      <c r="N35" s="147">
        <v>1836056</v>
      </c>
      <c r="O35" s="147">
        <v>2487760</v>
      </c>
      <c r="P35" s="1"/>
      <c r="Q35" s="93" t="s">
        <v>165</v>
      </c>
      <c r="R35" s="61"/>
      <c r="S35" s="1"/>
      <c r="T35" s="1"/>
      <c r="U35" s="1"/>
      <c r="V35" s="1"/>
      <c r="W35" s="1"/>
    </row>
    <row r="36" spans="1:23" ht="18" customHeight="1" thickBot="1" x14ac:dyDescent="0.3">
      <c r="A36" s="1"/>
      <c r="B36" s="41" t="s">
        <v>71</v>
      </c>
      <c r="C36" s="42" t="s">
        <v>187</v>
      </c>
      <c r="D36" s="6" t="s">
        <v>163</v>
      </c>
      <c r="I36" s="280" t="s">
        <v>61</v>
      </c>
      <c r="J36" s="147">
        <v>941662</v>
      </c>
      <c r="K36" s="147">
        <v>939103</v>
      </c>
      <c r="M36" s="280" t="s">
        <v>140</v>
      </c>
      <c r="N36" s="147">
        <v>9154046</v>
      </c>
      <c r="O36" s="147">
        <v>8925195</v>
      </c>
      <c r="P36" s="1"/>
      <c r="Q36" s="80" t="s">
        <v>167</v>
      </c>
      <c r="R36" s="61">
        <f>(R4/(1+规则设置!B73))*规则设置!B73</f>
        <v>1382049.6905660375</v>
      </c>
      <c r="S36" s="1"/>
      <c r="T36" s="1"/>
      <c r="U36" s="1"/>
      <c r="V36" s="1"/>
      <c r="W36" s="1"/>
    </row>
    <row r="37" spans="1:23" ht="18" customHeight="1" thickBot="1" x14ac:dyDescent="0.3">
      <c r="A37" s="1"/>
      <c r="B37" s="28" t="s">
        <v>74</v>
      </c>
      <c r="C37" s="34">
        <f>SUM(D30:D33)</f>
        <v>0</v>
      </c>
      <c r="D37" s="11">
        <f>D34</f>
        <v>0</v>
      </c>
      <c r="I37" s="280" t="s">
        <v>66</v>
      </c>
      <c r="J37" s="279">
        <v>0</v>
      </c>
      <c r="K37" s="279">
        <v>0</v>
      </c>
      <c r="M37" s="280" t="s">
        <v>146</v>
      </c>
      <c r="N37" s="147">
        <v>24842917</v>
      </c>
      <c r="O37" s="147">
        <v>23810421</v>
      </c>
      <c r="P37" s="1"/>
      <c r="Q37" s="80" t="s">
        <v>169</v>
      </c>
      <c r="R37" s="61">
        <f>规则设置!C73*R36</f>
        <v>96743.478339622641</v>
      </c>
      <c r="S37" s="1"/>
      <c r="T37" s="98" t="s">
        <v>170</v>
      </c>
      <c r="U37" s="1"/>
      <c r="V37" s="1"/>
      <c r="W37" s="1"/>
    </row>
    <row r="38" spans="1:23" ht="18" customHeight="1" thickBot="1" x14ac:dyDescent="0.3">
      <c r="A38" s="1"/>
      <c r="B38" s="35" t="s">
        <v>75</v>
      </c>
      <c r="C38" s="144">
        <f>N11-SUM(E30:E33)</f>
        <v>44</v>
      </c>
      <c r="D38" s="123">
        <f>M11-E34</f>
        <v>60</v>
      </c>
      <c r="I38" s="280" t="s">
        <v>147</v>
      </c>
      <c r="J38" s="279"/>
      <c r="K38" s="279"/>
      <c r="M38" s="280" t="s">
        <v>148</v>
      </c>
      <c r="N38" s="279"/>
      <c r="O38" s="279"/>
      <c r="P38" s="1"/>
      <c r="Q38" s="80" t="s">
        <v>170</v>
      </c>
      <c r="R38" s="101">
        <f>IF(T38&gt;0,T38,)</f>
        <v>1533191.8390208103</v>
      </c>
      <c r="S38" s="1"/>
      <c r="T38" s="172">
        <f>(R4/(1+规则设置!B73)-SUM(R9:R34)-R37)*规则设置!D73</f>
        <v>1533191.8390208103</v>
      </c>
      <c r="U38" s="1"/>
      <c r="V38" s="1"/>
      <c r="W38" s="1"/>
    </row>
    <row r="39" spans="1:23" ht="18" customHeight="1" thickBot="1" x14ac:dyDescent="0.3">
      <c r="A39" s="1"/>
      <c r="B39" s="138" t="s">
        <v>254</v>
      </c>
      <c r="C39" s="138">
        <f>IF((C38+C37)*规则设置!D47&lt;G41*规则设置!B82,"请核对招聘员工数",0)</f>
        <v>0</v>
      </c>
      <c r="D39" s="138">
        <f>IF((D37+D38)/规则设置!B82&lt;(K11+D26),"请核对工人数量",0)</f>
        <v>0</v>
      </c>
      <c r="I39" s="280" t="s">
        <v>69</v>
      </c>
      <c r="J39" s="147">
        <v>1500</v>
      </c>
      <c r="K39" s="147">
        <v>1000</v>
      </c>
      <c r="M39" s="280" t="s">
        <v>150</v>
      </c>
      <c r="N39" s="147">
        <v>13544901</v>
      </c>
      <c r="O39" s="147">
        <v>12044901</v>
      </c>
      <c r="P39" s="1"/>
      <c r="Q39" s="80" t="s">
        <v>173</v>
      </c>
      <c r="R39" s="61">
        <f>SUM(R9:R38)</f>
        <v>19816635.682937566</v>
      </c>
      <c r="S39" s="1"/>
      <c r="T39" s="1"/>
      <c r="U39" s="1"/>
      <c r="V39" s="1"/>
      <c r="W39" s="1"/>
    </row>
    <row r="40" spans="1:23" ht="18" customHeight="1" thickBot="1" x14ac:dyDescent="0.3">
      <c r="A40" s="1"/>
      <c r="B40" s="253" t="s">
        <v>188</v>
      </c>
      <c r="C40" s="121" t="s">
        <v>189</v>
      </c>
      <c r="D40" s="6" t="s">
        <v>190</v>
      </c>
      <c r="I40" s="280" t="s">
        <v>70</v>
      </c>
      <c r="J40" s="147">
        <v>3000</v>
      </c>
      <c r="K40" s="147">
        <v>2000</v>
      </c>
      <c r="M40" s="280" t="s">
        <v>152</v>
      </c>
      <c r="N40" s="279">
        <v>0</v>
      </c>
      <c r="O40" s="147">
        <v>45271</v>
      </c>
      <c r="Q40" s="108" t="s">
        <v>177</v>
      </c>
      <c r="R40" s="89">
        <f>R6-R39</f>
        <v>4599575.5170624331</v>
      </c>
      <c r="S40" s="1"/>
      <c r="T40" s="1"/>
      <c r="U40" s="1"/>
      <c r="V40" s="1"/>
      <c r="W40" s="1"/>
    </row>
    <row r="41" spans="1:23" ht="18" customHeight="1" thickBot="1" x14ac:dyDescent="0.3">
      <c r="A41" s="1"/>
      <c r="B41" s="254"/>
      <c r="C41" s="192">
        <f>G41*3</f>
        <v>0</v>
      </c>
      <c r="D41" s="123">
        <f>ROUNDUP(规则设置!B20*C41,0)</f>
        <v>0</v>
      </c>
      <c r="I41" s="280" t="s">
        <v>71</v>
      </c>
      <c r="J41" s="147">
        <v>814500</v>
      </c>
      <c r="K41" s="147">
        <v>837000</v>
      </c>
      <c r="L41" s="1"/>
      <c r="M41" s="280" t="s">
        <v>156</v>
      </c>
      <c r="N41" s="147">
        <v>13544901</v>
      </c>
      <c r="O41" s="147">
        <v>12090172</v>
      </c>
    </row>
    <row r="42" spans="1:23" ht="18" customHeight="1" thickBot="1" x14ac:dyDescent="0.3">
      <c r="A42" s="1"/>
      <c r="I42" s="280" t="s">
        <v>157</v>
      </c>
      <c r="J42" s="279">
        <v>0</v>
      </c>
      <c r="K42" s="279">
        <v>0</v>
      </c>
      <c r="L42" s="1"/>
      <c r="M42" s="280" t="s">
        <v>158</v>
      </c>
      <c r="N42" s="147">
        <v>11298016</v>
      </c>
      <c r="O42" s="147">
        <v>11720250</v>
      </c>
    </row>
    <row r="43" spans="1:23" ht="18" customHeight="1" thickBot="1" x14ac:dyDescent="0.3">
      <c r="A43" s="1"/>
      <c r="I43" s="280" t="s">
        <v>160</v>
      </c>
      <c r="J43" s="147">
        <v>989352</v>
      </c>
      <c r="K43" s="147">
        <v>514048</v>
      </c>
      <c r="L43" s="1"/>
      <c r="M43" s="1"/>
      <c r="N43" s="1"/>
      <c r="O43" s="1"/>
    </row>
    <row r="44" spans="1:23" ht="18" customHeight="1" thickBot="1" x14ac:dyDescent="0.3">
      <c r="A44" s="1"/>
      <c r="I44" s="280" t="s">
        <v>83</v>
      </c>
      <c r="J44" s="147">
        <v>229507</v>
      </c>
      <c r="K44" s="147">
        <v>310970</v>
      </c>
      <c r="L44" s="1"/>
      <c r="M44" s="1"/>
      <c r="N44" s="1"/>
      <c r="O44" s="1"/>
    </row>
    <row r="45" spans="1:23" ht="18" customHeight="1" thickBot="1" x14ac:dyDescent="0.3">
      <c r="A45" s="1"/>
      <c r="I45" s="280" t="s">
        <v>162</v>
      </c>
      <c r="J45" s="279"/>
      <c r="K45" s="279"/>
      <c r="L45" s="1"/>
      <c r="M45" s="1"/>
      <c r="N45" s="1"/>
      <c r="O45" s="1"/>
    </row>
    <row r="46" spans="1:23" ht="18" customHeight="1" thickBot="1" x14ac:dyDescent="0.3">
      <c r="A46" s="1"/>
      <c r="I46" s="280" t="s">
        <v>164</v>
      </c>
      <c r="J46" s="147">
        <v>135449</v>
      </c>
      <c r="K46" s="147">
        <v>120449</v>
      </c>
      <c r="L46" s="1"/>
      <c r="M46" s="1"/>
      <c r="N46" s="1"/>
      <c r="O46" s="1"/>
    </row>
    <row r="47" spans="1:23" ht="18" customHeight="1" thickBot="1" x14ac:dyDescent="0.3">
      <c r="A47" s="1"/>
      <c r="I47" s="280" t="s">
        <v>165</v>
      </c>
      <c r="J47" s="279"/>
      <c r="K47" s="279"/>
      <c r="L47" s="1"/>
      <c r="M47" s="1"/>
      <c r="N47" s="1"/>
      <c r="O47" s="1"/>
    </row>
    <row r="48" spans="1:23" ht="18" customHeight="1" thickBot="1" x14ac:dyDescent="0.3">
      <c r="A48" s="1"/>
      <c r="I48" s="280" t="s">
        <v>167</v>
      </c>
      <c r="J48" s="147">
        <v>971947</v>
      </c>
      <c r="K48" s="147">
        <v>891963</v>
      </c>
      <c r="L48" s="1"/>
      <c r="M48" s="1"/>
      <c r="N48" s="1"/>
      <c r="O48" s="1"/>
    </row>
    <row r="49" spans="1:15" ht="18" customHeight="1" thickBot="1" x14ac:dyDescent="0.3">
      <c r="A49" s="1"/>
      <c r="C49" s="1"/>
      <c r="D49" s="1"/>
      <c r="E49" s="1"/>
      <c r="F49" s="1"/>
      <c r="G49" s="1"/>
      <c r="H49" s="1"/>
      <c r="I49" s="280" t="s">
        <v>169</v>
      </c>
      <c r="J49" s="147">
        <v>68036</v>
      </c>
      <c r="K49" s="147">
        <v>62437</v>
      </c>
      <c r="L49" s="1"/>
      <c r="M49" s="1"/>
      <c r="N49" s="1"/>
      <c r="O49" s="1"/>
    </row>
    <row r="50" spans="1:15" ht="18" customHeight="1" thickBot="1" x14ac:dyDescent="0.3">
      <c r="A50" s="1"/>
      <c r="E50" s="1"/>
      <c r="F50" s="1"/>
      <c r="G50" s="1"/>
      <c r="H50" s="1"/>
      <c r="I50" s="280" t="s">
        <v>170</v>
      </c>
      <c r="J50" s="279">
        <v>0</v>
      </c>
      <c r="K50" s="147">
        <v>140745</v>
      </c>
      <c r="L50" s="1"/>
      <c r="M50" s="1"/>
      <c r="N50" s="1"/>
      <c r="O50" s="1"/>
    </row>
    <row r="51" spans="1:15" ht="18" customHeight="1" thickBot="1" x14ac:dyDescent="0.3">
      <c r="A51" s="1"/>
      <c r="E51" s="1"/>
      <c r="F51" s="1"/>
      <c r="G51" s="1"/>
      <c r="H51" s="1"/>
      <c r="I51" s="280" t="s">
        <v>173</v>
      </c>
      <c r="J51" s="147">
        <v>17218980</v>
      </c>
      <c r="K51" s="147">
        <v>15335773</v>
      </c>
      <c r="L51" s="1"/>
      <c r="M51" s="1"/>
      <c r="N51" s="1"/>
      <c r="O51" s="1"/>
    </row>
    <row r="52" spans="1:15" ht="18" customHeight="1" thickBot="1" x14ac:dyDescent="0.3">
      <c r="A52" s="1"/>
      <c r="E52" s="1"/>
      <c r="H52" s="1"/>
      <c r="I52" s="280" t="s">
        <v>177</v>
      </c>
      <c r="J52" s="147">
        <v>-47923</v>
      </c>
      <c r="K52" s="147">
        <v>422235</v>
      </c>
      <c r="L52" s="1"/>
      <c r="M52" s="1"/>
      <c r="N52" s="1"/>
      <c r="O52" s="1"/>
    </row>
    <row r="53" spans="1:15" ht="18" customHeight="1" x14ac:dyDescent="0.25">
      <c r="A53" s="1"/>
      <c r="E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1"/>
      <c r="E54" s="1"/>
      <c r="H54" s="1"/>
      <c r="J54" s="1"/>
      <c r="K54" s="1"/>
      <c r="L54" s="1"/>
      <c r="M54" s="1"/>
      <c r="N54" s="1"/>
      <c r="O54" s="1"/>
    </row>
    <row r="55" spans="1:15" ht="18" customHeight="1" x14ac:dyDescent="0.25">
      <c r="A55" s="1"/>
      <c r="E55" s="1"/>
      <c r="H55" s="1"/>
      <c r="J55" s="1"/>
      <c r="K55" s="1"/>
      <c r="L55" s="1"/>
      <c r="M55" s="1"/>
      <c r="N55" s="1"/>
      <c r="O55" s="1"/>
    </row>
  </sheetData>
  <mergeCells count="20">
    <mergeCell ref="M30:O30"/>
    <mergeCell ref="B34:C34"/>
    <mergeCell ref="B40:B41"/>
    <mergeCell ref="B20:E20"/>
    <mergeCell ref="C22:E22"/>
    <mergeCell ref="B24:D24"/>
    <mergeCell ref="B28:E28"/>
    <mergeCell ref="B29:C29"/>
    <mergeCell ref="B30:B33"/>
    <mergeCell ref="T19:U19"/>
    <mergeCell ref="B2:F2"/>
    <mergeCell ref="I2:N2"/>
    <mergeCell ref="Q2:R2"/>
    <mergeCell ref="T2:U2"/>
    <mergeCell ref="B8:E8"/>
    <mergeCell ref="D9:E9"/>
    <mergeCell ref="D10:E10"/>
    <mergeCell ref="B13:F13"/>
    <mergeCell ref="I13:K13"/>
    <mergeCell ref="M13:O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BC05-1AB2-4332-98DC-1CB2E68CA620}">
  <dimension ref="B1:WVW55"/>
  <sheetViews>
    <sheetView topLeftCell="A25" zoomScale="69" zoomScaleNormal="69" workbookViewId="0">
      <selection activeCell="F31" sqref="F31"/>
    </sheetView>
  </sheetViews>
  <sheetFormatPr defaultColWidth="8.88671875" defaultRowHeight="13.8" x14ac:dyDescent="0.25"/>
  <cols>
    <col min="1" max="1" width="5.109375" style="1" customWidth="1"/>
    <col min="2" max="7" width="16.77734375" style="1" customWidth="1"/>
    <col min="8" max="8" width="11.21875" style="1" customWidth="1"/>
    <col min="9" max="10" width="19.77734375" style="1" customWidth="1"/>
    <col min="11" max="11" width="7.6640625" style="1" customWidth="1"/>
    <col min="12" max="13" width="19.77734375" style="1" customWidth="1"/>
    <col min="14" max="14" width="10.21875" style="1" customWidth="1"/>
    <col min="15" max="15" width="15.33203125" style="1" customWidth="1"/>
    <col min="16" max="18" width="8.88671875" style="1"/>
    <col min="19" max="19" width="12" style="1" bestFit="1" customWidth="1"/>
    <col min="20" max="256" width="8.88671875" style="1"/>
    <col min="257" max="257" width="5.109375" style="1" customWidth="1"/>
    <col min="258" max="263" width="16.77734375" style="1" customWidth="1"/>
    <col min="264" max="264" width="11.21875" style="1" customWidth="1"/>
    <col min="265" max="266" width="19.77734375" style="1" customWidth="1"/>
    <col min="267" max="267" width="7.6640625" style="1" customWidth="1"/>
    <col min="268" max="269" width="19.77734375" style="1" customWidth="1"/>
    <col min="270" max="270" width="10.21875" style="1" customWidth="1"/>
    <col min="271" max="271" width="15.33203125" style="1" customWidth="1"/>
    <col min="272" max="512" width="8.88671875" style="1"/>
    <col min="513" max="513" width="5.109375" style="1" customWidth="1"/>
    <col min="514" max="519" width="16.77734375" style="1" customWidth="1"/>
    <col min="520" max="520" width="11.21875" style="1" customWidth="1"/>
    <col min="521" max="522" width="19.77734375" style="1" customWidth="1"/>
    <col min="523" max="523" width="7.6640625" style="1" customWidth="1"/>
    <col min="524" max="525" width="19.77734375" style="1" customWidth="1"/>
    <col min="526" max="526" width="10.21875" style="1" customWidth="1"/>
    <col min="527" max="527" width="15.33203125" style="1" customWidth="1"/>
    <col min="528" max="768" width="8.88671875" style="1"/>
    <col min="769" max="769" width="5.109375" style="1" customWidth="1"/>
    <col min="770" max="775" width="16.77734375" style="1" customWidth="1"/>
    <col min="776" max="776" width="11.21875" style="1" customWidth="1"/>
    <col min="777" max="778" width="19.77734375" style="1" customWidth="1"/>
    <col min="779" max="779" width="7.6640625" style="1" customWidth="1"/>
    <col min="780" max="781" width="19.77734375" style="1" customWidth="1"/>
    <col min="782" max="782" width="10.21875" style="1" customWidth="1"/>
    <col min="783" max="783" width="15.33203125" style="1" customWidth="1"/>
    <col min="784" max="1024" width="8.88671875" style="1"/>
    <col min="1025" max="1025" width="5.109375" style="1" customWidth="1"/>
    <col min="1026" max="1031" width="16.77734375" style="1" customWidth="1"/>
    <col min="1032" max="1032" width="11.21875" style="1" customWidth="1"/>
    <col min="1033" max="1034" width="19.77734375" style="1" customWidth="1"/>
    <col min="1035" max="1035" width="7.6640625" style="1" customWidth="1"/>
    <col min="1036" max="1037" width="19.77734375" style="1" customWidth="1"/>
    <col min="1038" max="1038" width="10.21875" style="1" customWidth="1"/>
    <col min="1039" max="1039" width="15.33203125" style="1" customWidth="1"/>
    <col min="1040" max="1280" width="8.88671875" style="1"/>
    <col min="1281" max="1281" width="5.109375" style="1" customWidth="1"/>
    <col min="1282" max="1287" width="16.77734375" style="1" customWidth="1"/>
    <col min="1288" max="1288" width="11.21875" style="1" customWidth="1"/>
    <col min="1289" max="1290" width="19.77734375" style="1" customWidth="1"/>
    <col min="1291" max="1291" width="7.6640625" style="1" customWidth="1"/>
    <col min="1292" max="1293" width="19.77734375" style="1" customWidth="1"/>
    <col min="1294" max="1294" width="10.21875" style="1" customWidth="1"/>
    <col min="1295" max="1295" width="15.33203125" style="1" customWidth="1"/>
    <col min="1296" max="1536" width="8.88671875" style="1"/>
    <col min="1537" max="1537" width="5.109375" style="1" customWidth="1"/>
    <col min="1538" max="1543" width="16.77734375" style="1" customWidth="1"/>
    <col min="1544" max="1544" width="11.21875" style="1" customWidth="1"/>
    <col min="1545" max="1546" width="19.77734375" style="1" customWidth="1"/>
    <col min="1547" max="1547" width="7.6640625" style="1" customWidth="1"/>
    <col min="1548" max="1549" width="19.77734375" style="1" customWidth="1"/>
    <col min="1550" max="1550" width="10.21875" style="1" customWidth="1"/>
    <col min="1551" max="1551" width="15.33203125" style="1" customWidth="1"/>
    <col min="1552" max="1792" width="8.88671875" style="1"/>
    <col min="1793" max="1793" width="5.109375" style="1" customWidth="1"/>
    <col min="1794" max="1799" width="16.77734375" style="1" customWidth="1"/>
    <col min="1800" max="1800" width="11.21875" style="1" customWidth="1"/>
    <col min="1801" max="1802" width="19.77734375" style="1" customWidth="1"/>
    <col min="1803" max="1803" width="7.6640625" style="1" customWidth="1"/>
    <col min="1804" max="1805" width="19.77734375" style="1" customWidth="1"/>
    <col min="1806" max="1806" width="10.21875" style="1" customWidth="1"/>
    <col min="1807" max="1807" width="15.33203125" style="1" customWidth="1"/>
    <col min="1808" max="2048" width="8.88671875" style="1"/>
    <col min="2049" max="2049" width="5.109375" style="1" customWidth="1"/>
    <col min="2050" max="2055" width="16.77734375" style="1" customWidth="1"/>
    <col min="2056" max="2056" width="11.21875" style="1" customWidth="1"/>
    <col min="2057" max="2058" width="19.77734375" style="1" customWidth="1"/>
    <col min="2059" max="2059" width="7.6640625" style="1" customWidth="1"/>
    <col min="2060" max="2061" width="19.77734375" style="1" customWidth="1"/>
    <col min="2062" max="2062" width="10.21875" style="1" customWidth="1"/>
    <col min="2063" max="2063" width="15.33203125" style="1" customWidth="1"/>
    <col min="2064" max="2304" width="8.88671875" style="1"/>
    <col min="2305" max="2305" width="5.109375" style="1" customWidth="1"/>
    <col min="2306" max="2311" width="16.77734375" style="1" customWidth="1"/>
    <col min="2312" max="2312" width="11.21875" style="1" customWidth="1"/>
    <col min="2313" max="2314" width="19.77734375" style="1" customWidth="1"/>
    <col min="2315" max="2315" width="7.6640625" style="1" customWidth="1"/>
    <col min="2316" max="2317" width="19.77734375" style="1" customWidth="1"/>
    <col min="2318" max="2318" width="10.21875" style="1" customWidth="1"/>
    <col min="2319" max="2319" width="15.33203125" style="1" customWidth="1"/>
    <col min="2320" max="2689" width="8.88671875" style="1"/>
    <col min="2690" max="2690" width="5.109375" style="1" customWidth="1"/>
    <col min="2691" max="2696" width="16.77734375" style="1" customWidth="1"/>
    <col min="2697" max="2697" width="11.21875" style="1" customWidth="1"/>
    <col min="2698" max="2699" width="19.77734375" style="1" customWidth="1"/>
    <col min="2700" max="2700" width="7.6640625" style="1" customWidth="1"/>
    <col min="2701" max="2702" width="19.77734375" style="1" customWidth="1"/>
    <col min="2703" max="2703" width="10.21875" style="1" customWidth="1"/>
    <col min="2704" max="2704" width="15.33203125" style="1" customWidth="1"/>
    <col min="2705" max="2945" width="8.88671875" style="1"/>
    <col min="2946" max="2946" width="5.109375" style="1" customWidth="1"/>
    <col min="2947" max="2952" width="16.77734375" style="1" customWidth="1"/>
    <col min="2953" max="2953" width="11.21875" style="1" customWidth="1"/>
    <col min="2954" max="2955" width="19.77734375" style="1" customWidth="1"/>
    <col min="2956" max="2956" width="7.6640625" style="1" customWidth="1"/>
    <col min="2957" max="2958" width="19.77734375" style="1" customWidth="1"/>
    <col min="2959" max="2959" width="10.21875" style="1" customWidth="1"/>
    <col min="2960" max="2960" width="15.33203125" style="1" customWidth="1"/>
    <col min="2961" max="3201" width="8.88671875" style="1"/>
    <col min="3202" max="3202" width="5.109375" style="1" customWidth="1"/>
    <col min="3203" max="3208" width="16.77734375" style="1" customWidth="1"/>
    <col min="3209" max="3209" width="11.21875" style="1" customWidth="1"/>
    <col min="3210" max="3211" width="19.77734375" style="1" customWidth="1"/>
    <col min="3212" max="3212" width="7.6640625" style="1" customWidth="1"/>
    <col min="3213" max="3214" width="19.77734375" style="1" customWidth="1"/>
    <col min="3215" max="3215" width="10.21875" style="1" customWidth="1"/>
    <col min="3216" max="3216" width="15.33203125" style="1" customWidth="1"/>
    <col min="3217" max="3457" width="8.88671875" style="1"/>
    <col min="3458" max="3458" width="5.109375" style="1" customWidth="1"/>
    <col min="3459" max="3464" width="16.77734375" style="1" customWidth="1"/>
    <col min="3465" max="3465" width="11.21875" style="1" customWidth="1"/>
    <col min="3466" max="3467" width="19.77734375" style="1" customWidth="1"/>
    <col min="3468" max="3468" width="7.6640625" style="1" customWidth="1"/>
    <col min="3469" max="3470" width="19.77734375" style="1" customWidth="1"/>
    <col min="3471" max="3471" width="10.21875" style="1" customWidth="1"/>
    <col min="3472" max="3472" width="15.33203125" style="1" customWidth="1"/>
    <col min="3473" max="3713" width="8.88671875" style="1"/>
    <col min="3714" max="3714" width="5.109375" style="1" customWidth="1"/>
    <col min="3715" max="3720" width="16.77734375" style="1" customWidth="1"/>
    <col min="3721" max="3721" width="11.21875" style="1" customWidth="1"/>
    <col min="3722" max="3723" width="19.77734375" style="1" customWidth="1"/>
    <col min="3724" max="3724" width="7.6640625" style="1" customWidth="1"/>
    <col min="3725" max="3726" width="19.77734375" style="1" customWidth="1"/>
    <col min="3727" max="3727" width="10.21875" style="1" customWidth="1"/>
    <col min="3728" max="3728" width="15.33203125" style="1" customWidth="1"/>
    <col min="3729" max="3969" width="8.88671875" style="1"/>
    <col min="3970" max="3970" width="5.109375" style="1" customWidth="1"/>
    <col min="3971" max="3976" width="16.77734375" style="1" customWidth="1"/>
    <col min="3977" max="3977" width="11.21875" style="1" customWidth="1"/>
    <col min="3978" max="3979" width="19.77734375" style="1" customWidth="1"/>
    <col min="3980" max="3980" width="7.6640625" style="1" customWidth="1"/>
    <col min="3981" max="3982" width="19.77734375" style="1" customWidth="1"/>
    <col min="3983" max="3983" width="10.21875" style="1" customWidth="1"/>
    <col min="3984" max="3984" width="15.33203125" style="1" customWidth="1"/>
    <col min="3985" max="4225" width="8.88671875" style="1"/>
    <col min="4226" max="4226" width="5.109375" style="1" customWidth="1"/>
    <col min="4227" max="4232" width="16.77734375" style="1" customWidth="1"/>
    <col min="4233" max="4233" width="11.21875" style="1" customWidth="1"/>
    <col min="4234" max="4235" width="19.77734375" style="1" customWidth="1"/>
    <col min="4236" max="4236" width="7.6640625" style="1" customWidth="1"/>
    <col min="4237" max="4238" width="19.77734375" style="1" customWidth="1"/>
    <col min="4239" max="4239" width="10.21875" style="1" customWidth="1"/>
    <col min="4240" max="4240" width="15.33203125" style="1" customWidth="1"/>
    <col min="4241" max="4481" width="8.88671875" style="1"/>
    <col min="4482" max="4482" width="5.109375" style="1" customWidth="1"/>
    <col min="4483" max="4488" width="16.77734375" style="1" customWidth="1"/>
    <col min="4489" max="4489" width="11.21875" style="1" customWidth="1"/>
    <col min="4490" max="4491" width="19.77734375" style="1" customWidth="1"/>
    <col min="4492" max="4492" width="7.6640625" style="1" customWidth="1"/>
    <col min="4493" max="4494" width="19.77734375" style="1" customWidth="1"/>
    <col min="4495" max="4495" width="10.21875" style="1" customWidth="1"/>
    <col min="4496" max="4496" width="15.33203125" style="1" customWidth="1"/>
    <col min="4497" max="4737" width="8.88671875" style="1"/>
    <col min="4738" max="4738" width="5.109375" style="1" customWidth="1"/>
    <col min="4739" max="4744" width="16.77734375" style="1" customWidth="1"/>
    <col min="4745" max="4745" width="11.21875" style="1" customWidth="1"/>
    <col min="4746" max="4747" width="19.77734375" style="1" customWidth="1"/>
    <col min="4748" max="4748" width="7.6640625" style="1" customWidth="1"/>
    <col min="4749" max="4750" width="19.77734375" style="1" customWidth="1"/>
    <col min="4751" max="4751" width="10.21875" style="1" customWidth="1"/>
    <col min="4752" max="4752" width="15.33203125" style="1" customWidth="1"/>
    <col min="4753" max="4993" width="8.88671875" style="1"/>
    <col min="4994" max="4994" width="5.109375" style="1" customWidth="1"/>
    <col min="4995" max="5000" width="16.77734375" style="1" customWidth="1"/>
    <col min="5001" max="5001" width="11.21875" style="1" customWidth="1"/>
    <col min="5002" max="5003" width="19.77734375" style="1" customWidth="1"/>
    <col min="5004" max="5004" width="7.6640625" style="1" customWidth="1"/>
    <col min="5005" max="5006" width="19.77734375" style="1" customWidth="1"/>
    <col min="5007" max="5007" width="10.21875" style="1" customWidth="1"/>
    <col min="5008" max="5008" width="15.33203125" style="1" customWidth="1"/>
    <col min="5009" max="5249" width="8.88671875" style="1"/>
    <col min="5250" max="5250" width="5.109375" style="1" customWidth="1"/>
    <col min="5251" max="5256" width="16.77734375" style="1" customWidth="1"/>
    <col min="5257" max="5257" width="11.21875" style="1" customWidth="1"/>
    <col min="5258" max="5259" width="19.77734375" style="1" customWidth="1"/>
    <col min="5260" max="5260" width="7.6640625" style="1" customWidth="1"/>
    <col min="5261" max="5262" width="19.77734375" style="1" customWidth="1"/>
    <col min="5263" max="5263" width="10.21875" style="1" customWidth="1"/>
    <col min="5264" max="5264" width="15.33203125" style="1" customWidth="1"/>
    <col min="5265" max="5505" width="8.88671875" style="1"/>
    <col min="5506" max="5506" width="5.109375" style="1" customWidth="1"/>
    <col min="5507" max="5512" width="16.77734375" style="1" customWidth="1"/>
    <col min="5513" max="5513" width="11.21875" style="1" customWidth="1"/>
    <col min="5514" max="5515" width="19.77734375" style="1" customWidth="1"/>
    <col min="5516" max="5516" width="7.6640625" style="1" customWidth="1"/>
    <col min="5517" max="5518" width="19.77734375" style="1" customWidth="1"/>
    <col min="5519" max="5519" width="10.21875" style="1" customWidth="1"/>
    <col min="5520" max="5520" width="15.33203125" style="1" customWidth="1"/>
    <col min="5521" max="5761" width="8.88671875" style="1"/>
    <col min="5762" max="5762" width="5.109375" style="1" customWidth="1"/>
    <col min="5763" max="5768" width="16.77734375" style="1" customWidth="1"/>
    <col min="5769" max="5769" width="11.21875" style="1" customWidth="1"/>
    <col min="5770" max="5771" width="19.77734375" style="1" customWidth="1"/>
    <col min="5772" max="5772" width="7.6640625" style="1" customWidth="1"/>
    <col min="5773" max="5774" width="19.77734375" style="1" customWidth="1"/>
    <col min="5775" max="5775" width="10.21875" style="1" customWidth="1"/>
    <col min="5776" max="5776" width="15.33203125" style="1" customWidth="1"/>
    <col min="5777" max="6017" width="8.88671875" style="1"/>
    <col min="6018" max="6018" width="5.109375" style="1" customWidth="1"/>
    <col min="6019" max="6024" width="16.77734375" style="1" customWidth="1"/>
    <col min="6025" max="6025" width="11.21875" style="1" customWidth="1"/>
    <col min="6026" max="6027" width="19.77734375" style="1" customWidth="1"/>
    <col min="6028" max="6028" width="7.6640625" style="1" customWidth="1"/>
    <col min="6029" max="6030" width="19.77734375" style="1" customWidth="1"/>
    <col min="6031" max="6031" width="10.21875" style="1" customWidth="1"/>
    <col min="6032" max="6032" width="15.33203125" style="1" customWidth="1"/>
    <col min="6033" max="6273" width="8.88671875" style="1"/>
    <col min="6274" max="6274" width="5.109375" style="1" customWidth="1"/>
    <col min="6275" max="6280" width="16.77734375" style="1" customWidth="1"/>
    <col min="6281" max="6281" width="11.21875" style="1" customWidth="1"/>
    <col min="6282" max="6283" width="19.77734375" style="1" customWidth="1"/>
    <col min="6284" max="6284" width="7.6640625" style="1" customWidth="1"/>
    <col min="6285" max="6286" width="19.77734375" style="1" customWidth="1"/>
    <col min="6287" max="6287" width="10.21875" style="1" customWidth="1"/>
    <col min="6288" max="6288" width="15.33203125" style="1" customWidth="1"/>
    <col min="6289" max="6529" width="8.88671875" style="1"/>
    <col min="6530" max="6530" width="5.109375" style="1" customWidth="1"/>
    <col min="6531" max="6536" width="16.77734375" style="1" customWidth="1"/>
    <col min="6537" max="6537" width="11.21875" style="1" customWidth="1"/>
    <col min="6538" max="6539" width="19.77734375" style="1" customWidth="1"/>
    <col min="6540" max="6540" width="7.6640625" style="1" customWidth="1"/>
    <col min="6541" max="6542" width="19.77734375" style="1" customWidth="1"/>
    <col min="6543" max="6543" width="10.21875" style="1" customWidth="1"/>
    <col min="6544" max="6544" width="15.33203125" style="1" customWidth="1"/>
    <col min="6545" max="6785" width="8.88671875" style="1"/>
    <col min="6786" max="6786" width="5.109375" style="1" customWidth="1"/>
    <col min="6787" max="6792" width="16.77734375" style="1" customWidth="1"/>
    <col min="6793" max="6793" width="11.21875" style="1" customWidth="1"/>
    <col min="6794" max="6795" width="19.77734375" style="1" customWidth="1"/>
    <col min="6796" max="6796" width="7.6640625" style="1" customWidth="1"/>
    <col min="6797" max="6798" width="19.77734375" style="1" customWidth="1"/>
    <col min="6799" max="6799" width="10.21875" style="1" customWidth="1"/>
    <col min="6800" max="6800" width="15.33203125" style="1" customWidth="1"/>
    <col min="6801" max="7041" width="8.88671875" style="1"/>
    <col min="7042" max="7042" width="5.109375" style="1" customWidth="1"/>
    <col min="7043" max="7048" width="16.77734375" style="1" customWidth="1"/>
    <col min="7049" max="7049" width="11.21875" style="1" customWidth="1"/>
    <col min="7050" max="7051" width="19.77734375" style="1" customWidth="1"/>
    <col min="7052" max="7052" width="7.6640625" style="1" customWidth="1"/>
    <col min="7053" max="7054" width="19.77734375" style="1" customWidth="1"/>
    <col min="7055" max="7055" width="10.21875" style="1" customWidth="1"/>
    <col min="7056" max="7056" width="15.33203125" style="1" customWidth="1"/>
    <col min="7057" max="7297" width="8.88671875" style="1"/>
    <col min="7298" max="7298" width="5.109375" style="1" customWidth="1"/>
    <col min="7299" max="7304" width="16.77734375" style="1" customWidth="1"/>
    <col min="7305" max="7305" width="11.21875" style="1" customWidth="1"/>
    <col min="7306" max="7307" width="19.77734375" style="1" customWidth="1"/>
    <col min="7308" max="7308" width="7.6640625" style="1" customWidth="1"/>
    <col min="7309" max="7310" width="19.77734375" style="1" customWidth="1"/>
    <col min="7311" max="7311" width="10.21875" style="1" customWidth="1"/>
    <col min="7312" max="7312" width="15.33203125" style="1" customWidth="1"/>
    <col min="7313" max="7553" width="8.88671875" style="1"/>
    <col min="7554" max="7554" width="5.109375" style="1" customWidth="1"/>
    <col min="7555" max="7560" width="16.77734375" style="1" customWidth="1"/>
    <col min="7561" max="7561" width="11.21875" style="1" customWidth="1"/>
    <col min="7562" max="7563" width="19.77734375" style="1" customWidth="1"/>
    <col min="7564" max="7564" width="7.6640625" style="1" customWidth="1"/>
    <col min="7565" max="7566" width="19.77734375" style="1" customWidth="1"/>
    <col min="7567" max="7567" width="10.21875" style="1" customWidth="1"/>
    <col min="7568" max="7568" width="15.33203125" style="1" customWidth="1"/>
    <col min="7569" max="7809" width="8.88671875" style="1"/>
    <col min="7810" max="7810" width="5.109375" style="1" customWidth="1"/>
    <col min="7811" max="7816" width="16.77734375" style="1" customWidth="1"/>
    <col min="7817" max="7817" width="11.21875" style="1" customWidth="1"/>
    <col min="7818" max="7819" width="19.77734375" style="1" customWidth="1"/>
    <col min="7820" max="7820" width="7.6640625" style="1" customWidth="1"/>
    <col min="7821" max="7822" width="19.77734375" style="1" customWidth="1"/>
    <col min="7823" max="7823" width="10.21875" style="1" customWidth="1"/>
    <col min="7824" max="7824" width="15.33203125" style="1" customWidth="1"/>
    <col min="7825" max="8065" width="8.88671875" style="1"/>
    <col min="8066" max="8066" width="5.109375" style="1" customWidth="1"/>
    <col min="8067" max="8072" width="16.77734375" style="1" customWidth="1"/>
    <col min="8073" max="8073" width="11.21875" style="1" customWidth="1"/>
    <col min="8074" max="8075" width="19.77734375" style="1" customWidth="1"/>
    <col min="8076" max="8076" width="7.6640625" style="1" customWidth="1"/>
    <col min="8077" max="8078" width="19.77734375" style="1" customWidth="1"/>
    <col min="8079" max="8079" width="10.21875" style="1" customWidth="1"/>
    <col min="8080" max="8080" width="15.33203125" style="1" customWidth="1"/>
    <col min="8081" max="8321" width="8.88671875" style="1"/>
    <col min="8322" max="8322" width="5.109375" style="1" customWidth="1"/>
    <col min="8323" max="8328" width="16.77734375" style="1" customWidth="1"/>
    <col min="8329" max="8329" width="11.21875" style="1" customWidth="1"/>
    <col min="8330" max="8331" width="19.77734375" style="1" customWidth="1"/>
    <col min="8332" max="8332" width="7.6640625" style="1" customWidth="1"/>
    <col min="8333" max="8334" width="19.77734375" style="1" customWidth="1"/>
    <col min="8335" max="8335" width="10.21875" style="1" customWidth="1"/>
    <col min="8336" max="8336" width="15.33203125" style="1" customWidth="1"/>
    <col min="8337" max="8577" width="8.88671875" style="1"/>
    <col min="8578" max="8578" width="5.109375" style="1" customWidth="1"/>
    <col min="8579" max="8584" width="16.77734375" style="1" customWidth="1"/>
    <col min="8585" max="8585" width="11.21875" style="1" customWidth="1"/>
    <col min="8586" max="8587" width="19.77734375" style="1" customWidth="1"/>
    <col min="8588" max="8588" width="7.6640625" style="1" customWidth="1"/>
    <col min="8589" max="8590" width="19.77734375" style="1" customWidth="1"/>
    <col min="8591" max="8591" width="10.21875" style="1" customWidth="1"/>
    <col min="8592" max="8592" width="15.33203125" style="1" customWidth="1"/>
    <col min="8593" max="8833" width="8.88671875" style="1"/>
    <col min="8834" max="8834" width="5.109375" style="1" customWidth="1"/>
    <col min="8835" max="8840" width="16.77734375" style="1" customWidth="1"/>
    <col min="8841" max="8841" width="11.21875" style="1" customWidth="1"/>
    <col min="8842" max="8843" width="19.77734375" style="1" customWidth="1"/>
    <col min="8844" max="8844" width="7.6640625" style="1" customWidth="1"/>
    <col min="8845" max="8846" width="19.77734375" style="1" customWidth="1"/>
    <col min="8847" max="8847" width="10.21875" style="1" customWidth="1"/>
    <col min="8848" max="8848" width="15.33203125" style="1" customWidth="1"/>
    <col min="8849" max="9089" width="8.88671875" style="1"/>
    <col min="9090" max="9090" width="5.109375" style="1" customWidth="1"/>
    <col min="9091" max="9096" width="16.77734375" style="1" customWidth="1"/>
    <col min="9097" max="9097" width="11.21875" style="1" customWidth="1"/>
    <col min="9098" max="9099" width="19.77734375" style="1" customWidth="1"/>
    <col min="9100" max="9100" width="7.6640625" style="1" customWidth="1"/>
    <col min="9101" max="9102" width="19.77734375" style="1" customWidth="1"/>
    <col min="9103" max="9103" width="10.21875" style="1" customWidth="1"/>
    <col min="9104" max="9104" width="15.33203125" style="1" customWidth="1"/>
    <col min="9105" max="9345" width="8.88671875" style="1"/>
    <col min="9346" max="9346" width="5.109375" style="1" customWidth="1"/>
    <col min="9347" max="9352" width="16.77734375" style="1" customWidth="1"/>
    <col min="9353" max="9353" width="11.21875" style="1" customWidth="1"/>
    <col min="9354" max="9355" width="19.77734375" style="1" customWidth="1"/>
    <col min="9356" max="9356" width="7.6640625" style="1" customWidth="1"/>
    <col min="9357" max="9358" width="19.77734375" style="1" customWidth="1"/>
    <col min="9359" max="9359" width="10.21875" style="1" customWidth="1"/>
    <col min="9360" max="9360" width="15.33203125" style="1" customWidth="1"/>
    <col min="9361" max="9601" width="8.88671875" style="1"/>
    <col min="9602" max="9602" width="5.109375" style="1" customWidth="1"/>
    <col min="9603" max="9608" width="16.77734375" style="1" customWidth="1"/>
    <col min="9609" max="9609" width="11.21875" style="1" customWidth="1"/>
    <col min="9610" max="9611" width="19.77734375" style="1" customWidth="1"/>
    <col min="9612" max="9612" width="7.6640625" style="1" customWidth="1"/>
    <col min="9613" max="9614" width="19.77734375" style="1" customWidth="1"/>
    <col min="9615" max="9615" width="10.21875" style="1" customWidth="1"/>
    <col min="9616" max="9616" width="15.33203125" style="1" customWidth="1"/>
    <col min="9617" max="9857" width="8.88671875" style="1"/>
    <col min="9858" max="9858" width="5.109375" style="1" customWidth="1"/>
    <col min="9859" max="9864" width="16.77734375" style="1" customWidth="1"/>
    <col min="9865" max="9865" width="11.21875" style="1" customWidth="1"/>
    <col min="9866" max="9867" width="19.77734375" style="1" customWidth="1"/>
    <col min="9868" max="9868" width="7.6640625" style="1" customWidth="1"/>
    <col min="9869" max="9870" width="19.77734375" style="1" customWidth="1"/>
    <col min="9871" max="9871" width="10.21875" style="1" customWidth="1"/>
    <col min="9872" max="9872" width="15.33203125" style="1" customWidth="1"/>
    <col min="9873" max="10113" width="8.88671875" style="1"/>
    <col min="10114" max="10114" width="5.109375" style="1" customWidth="1"/>
    <col min="10115" max="10120" width="16.77734375" style="1" customWidth="1"/>
    <col min="10121" max="10121" width="11.21875" style="1" customWidth="1"/>
    <col min="10122" max="10123" width="19.77734375" style="1" customWidth="1"/>
    <col min="10124" max="10124" width="7.6640625" style="1" customWidth="1"/>
    <col min="10125" max="10126" width="19.77734375" style="1" customWidth="1"/>
    <col min="10127" max="10127" width="10.21875" style="1" customWidth="1"/>
    <col min="10128" max="10128" width="15.33203125" style="1" customWidth="1"/>
    <col min="10129" max="10369" width="8.88671875" style="1"/>
    <col min="10370" max="10370" width="5.109375" style="1" customWidth="1"/>
    <col min="10371" max="10376" width="16.77734375" style="1" customWidth="1"/>
    <col min="10377" max="10377" width="11.21875" style="1" customWidth="1"/>
    <col min="10378" max="10379" width="19.77734375" style="1" customWidth="1"/>
    <col min="10380" max="10380" width="7.6640625" style="1" customWidth="1"/>
    <col min="10381" max="10382" width="19.77734375" style="1" customWidth="1"/>
    <col min="10383" max="10383" width="10.21875" style="1" customWidth="1"/>
    <col min="10384" max="10384" width="15.33203125" style="1" customWidth="1"/>
    <col min="10385" max="10625" width="8.88671875" style="1"/>
    <col min="10626" max="10626" width="5.109375" style="1" customWidth="1"/>
    <col min="10627" max="10632" width="16.77734375" style="1" customWidth="1"/>
    <col min="10633" max="10633" width="11.21875" style="1" customWidth="1"/>
    <col min="10634" max="10635" width="19.77734375" style="1" customWidth="1"/>
    <col min="10636" max="10636" width="7.6640625" style="1" customWidth="1"/>
    <col min="10637" max="10638" width="19.77734375" style="1" customWidth="1"/>
    <col min="10639" max="10639" width="10.21875" style="1" customWidth="1"/>
    <col min="10640" max="10640" width="15.33203125" style="1" customWidth="1"/>
    <col min="10641" max="10881" width="8.88671875" style="1"/>
    <col min="10882" max="10882" width="5.109375" style="1" customWidth="1"/>
    <col min="10883" max="10888" width="16.77734375" style="1" customWidth="1"/>
    <col min="10889" max="10889" width="11.21875" style="1" customWidth="1"/>
    <col min="10890" max="10891" width="19.77734375" style="1" customWidth="1"/>
    <col min="10892" max="10892" width="7.6640625" style="1" customWidth="1"/>
    <col min="10893" max="10894" width="19.77734375" style="1" customWidth="1"/>
    <col min="10895" max="10895" width="10.21875" style="1" customWidth="1"/>
    <col min="10896" max="10896" width="15.33203125" style="1" customWidth="1"/>
    <col min="10897" max="11137" width="8.88671875" style="1"/>
    <col min="11138" max="11138" width="5.109375" style="1" customWidth="1"/>
    <col min="11139" max="11144" width="16.77734375" style="1" customWidth="1"/>
    <col min="11145" max="11145" width="11.21875" style="1" customWidth="1"/>
    <col min="11146" max="11147" width="19.77734375" style="1" customWidth="1"/>
    <col min="11148" max="11148" width="7.6640625" style="1" customWidth="1"/>
    <col min="11149" max="11150" width="19.77734375" style="1" customWidth="1"/>
    <col min="11151" max="11151" width="10.21875" style="1" customWidth="1"/>
    <col min="11152" max="11152" width="15.33203125" style="1" customWidth="1"/>
    <col min="11153" max="11393" width="8.88671875" style="1"/>
    <col min="11394" max="11394" width="5.109375" style="1" customWidth="1"/>
    <col min="11395" max="11400" width="16.77734375" style="1" customWidth="1"/>
    <col min="11401" max="11401" width="11.21875" style="1" customWidth="1"/>
    <col min="11402" max="11403" width="19.77734375" style="1" customWidth="1"/>
    <col min="11404" max="11404" width="7.6640625" style="1" customWidth="1"/>
    <col min="11405" max="11406" width="19.77734375" style="1" customWidth="1"/>
    <col min="11407" max="11407" width="10.21875" style="1" customWidth="1"/>
    <col min="11408" max="11408" width="15.33203125" style="1" customWidth="1"/>
    <col min="11409" max="11649" width="8.88671875" style="1"/>
    <col min="11650" max="11650" width="5.109375" style="1" customWidth="1"/>
    <col min="11651" max="11656" width="16.77734375" style="1" customWidth="1"/>
    <col min="11657" max="11657" width="11.21875" style="1" customWidth="1"/>
    <col min="11658" max="11659" width="19.77734375" style="1" customWidth="1"/>
    <col min="11660" max="11660" width="7.6640625" style="1" customWidth="1"/>
    <col min="11661" max="11662" width="19.77734375" style="1" customWidth="1"/>
    <col min="11663" max="11663" width="10.21875" style="1" customWidth="1"/>
    <col min="11664" max="11664" width="15.33203125" style="1" customWidth="1"/>
    <col min="11665" max="11905" width="8.88671875" style="1"/>
    <col min="11906" max="11906" width="5.109375" style="1" customWidth="1"/>
    <col min="11907" max="11912" width="16.77734375" style="1" customWidth="1"/>
    <col min="11913" max="11913" width="11.21875" style="1" customWidth="1"/>
    <col min="11914" max="11915" width="19.77734375" style="1" customWidth="1"/>
    <col min="11916" max="11916" width="7.6640625" style="1" customWidth="1"/>
    <col min="11917" max="11918" width="19.77734375" style="1" customWidth="1"/>
    <col min="11919" max="11919" width="10.21875" style="1" customWidth="1"/>
    <col min="11920" max="11920" width="15.33203125" style="1" customWidth="1"/>
    <col min="11921" max="12161" width="8.88671875" style="1"/>
    <col min="12162" max="12162" width="5.109375" style="1" customWidth="1"/>
    <col min="12163" max="12168" width="16.77734375" style="1" customWidth="1"/>
    <col min="12169" max="12169" width="11.21875" style="1" customWidth="1"/>
    <col min="12170" max="12171" width="19.77734375" style="1" customWidth="1"/>
    <col min="12172" max="12172" width="7.6640625" style="1" customWidth="1"/>
    <col min="12173" max="12174" width="19.77734375" style="1" customWidth="1"/>
    <col min="12175" max="12175" width="10.21875" style="1" customWidth="1"/>
    <col min="12176" max="12176" width="15.33203125" style="1" customWidth="1"/>
    <col min="12177" max="12417" width="8.88671875" style="1"/>
    <col min="12418" max="12418" width="5.109375" style="1" customWidth="1"/>
    <col min="12419" max="12424" width="16.77734375" style="1" customWidth="1"/>
    <col min="12425" max="12425" width="11.21875" style="1" customWidth="1"/>
    <col min="12426" max="12427" width="19.77734375" style="1" customWidth="1"/>
    <col min="12428" max="12428" width="7.6640625" style="1" customWidth="1"/>
    <col min="12429" max="12430" width="19.77734375" style="1" customWidth="1"/>
    <col min="12431" max="12431" width="10.21875" style="1" customWidth="1"/>
    <col min="12432" max="12432" width="15.33203125" style="1" customWidth="1"/>
    <col min="12433" max="12673" width="8.88671875" style="1"/>
    <col min="12674" max="12674" width="5.109375" style="1" customWidth="1"/>
    <col min="12675" max="12680" width="16.77734375" style="1" customWidth="1"/>
    <col min="12681" max="12681" width="11.21875" style="1" customWidth="1"/>
    <col min="12682" max="12683" width="19.77734375" style="1" customWidth="1"/>
    <col min="12684" max="12684" width="7.6640625" style="1" customWidth="1"/>
    <col min="12685" max="12686" width="19.77734375" style="1" customWidth="1"/>
    <col min="12687" max="12687" width="10.21875" style="1" customWidth="1"/>
    <col min="12688" max="12688" width="15.33203125" style="1" customWidth="1"/>
    <col min="12689" max="12929" width="8.88671875" style="1"/>
    <col min="12930" max="12930" width="5.109375" style="1" customWidth="1"/>
    <col min="12931" max="12936" width="16.77734375" style="1" customWidth="1"/>
    <col min="12937" max="12937" width="11.21875" style="1" customWidth="1"/>
    <col min="12938" max="12939" width="19.77734375" style="1" customWidth="1"/>
    <col min="12940" max="12940" width="7.6640625" style="1" customWidth="1"/>
    <col min="12941" max="12942" width="19.77734375" style="1" customWidth="1"/>
    <col min="12943" max="12943" width="10.21875" style="1" customWidth="1"/>
    <col min="12944" max="12944" width="15.33203125" style="1" customWidth="1"/>
    <col min="12945" max="13185" width="8.88671875" style="1"/>
    <col min="13186" max="13186" width="5.109375" style="1" customWidth="1"/>
    <col min="13187" max="13192" width="16.77734375" style="1" customWidth="1"/>
    <col min="13193" max="13193" width="11.21875" style="1" customWidth="1"/>
    <col min="13194" max="13195" width="19.77734375" style="1" customWidth="1"/>
    <col min="13196" max="13196" width="7.6640625" style="1" customWidth="1"/>
    <col min="13197" max="13198" width="19.77734375" style="1" customWidth="1"/>
    <col min="13199" max="13199" width="10.21875" style="1" customWidth="1"/>
    <col min="13200" max="13200" width="15.33203125" style="1" customWidth="1"/>
    <col min="13201" max="13441" width="8.88671875" style="1"/>
    <col min="13442" max="13442" width="5.109375" style="1" customWidth="1"/>
    <col min="13443" max="13448" width="16.77734375" style="1" customWidth="1"/>
    <col min="13449" max="13449" width="11.21875" style="1" customWidth="1"/>
    <col min="13450" max="13451" width="19.77734375" style="1" customWidth="1"/>
    <col min="13452" max="13452" width="7.6640625" style="1" customWidth="1"/>
    <col min="13453" max="13454" width="19.77734375" style="1" customWidth="1"/>
    <col min="13455" max="13455" width="10.21875" style="1" customWidth="1"/>
    <col min="13456" max="13456" width="15.33203125" style="1" customWidth="1"/>
    <col min="13457" max="13697" width="8.88671875" style="1"/>
    <col min="13698" max="13698" width="5.109375" style="1" customWidth="1"/>
    <col min="13699" max="13704" width="16.77734375" style="1" customWidth="1"/>
    <col min="13705" max="13705" width="11.21875" style="1" customWidth="1"/>
    <col min="13706" max="13707" width="19.77734375" style="1" customWidth="1"/>
    <col min="13708" max="13708" width="7.6640625" style="1" customWidth="1"/>
    <col min="13709" max="13710" width="19.77734375" style="1" customWidth="1"/>
    <col min="13711" max="13711" width="10.21875" style="1" customWidth="1"/>
    <col min="13712" max="13712" width="15.33203125" style="1" customWidth="1"/>
    <col min="13713" max="13953" width="8.88671875" style="1"/>
    <col min="13954" max="13954" width="5.109375" style="1" customWidth="1"/>
    <col min="13955" max="13960" width="16.77734375" style="1" customWidth="1"/>
    <col min="13961" max="13961" width="11.21875" style="1" customWidth="1"/>
    <col min="13962" max="13963" width="19.77734375" style="1" customWidth="1"/>
    <col min="13964" max="13964" width="7.6640625" style="1" customWidth="1"/>
    <col min="13965" max="13966" width="19.77734375" style="1" customWidth="1"/>
    <col min="13967" max="13967" width="10.21875" style="1" customWidth="1"/>
    <col min="13968" max="13968" width="15.33203125" style="1" customWidth="1"/>
    <col min="13969" max="14209" width="8.88671875" style="1"/>
    <col min="14210" max="14210" width="5.109375" style="1" customWidth="1"/>
    <col min="14211" max="14216" width="16.77734375" style="1" customWidth="1"/>
    <col min="14217" max="14217" width="11.21875" style="1" customWidth="1"/>
    <col min="14218" max="14219" width="19.77734375" style="1" customWidth="1"/>
    <col min="14220" max="14220" width="7.6640625" style="1" customWidth="1"/>
    <col min="14221" max="14222" width="19.77734375" style="1" customWidth="1"/>
    <col min="14223" max="14223" width="10.21875" style="1" customWidth="1"/>
    <col min="14224" max="14224" width="15.33203125" style="1" customWidth="1"/>
    <col min="14225" max="14465" width="8.88671875" style="1"/>
    <col min="14466" max="14466" width="5.109375" style="1" customWidth="1"/>
    <col min="14467" max="14472" width="16.77734375" style="1" customWidth="1"/>
    <col min="14473" max="14473" width="11.21875" style="1" customWidth="1"/>
    <col min="14474" max="14475" width="19.77734375" style="1" customWidth="1"/>
    <col min="14476" max="14476" width="7.6640625" style="1" customWidth="1"/>
    <col min="14477" max="14478" width="19.77734375" style="1" customWidth="1"/>
    <col min="14479" max="14479" width="10.21875" style="1" customWidth="1"/>
    <col min="14480" max="14480" width="15.33203125" style="1" customWidth="1"/>
    <col min="14481" max="14721" width="8.88671875" style="1"/>
    <col min="14722" max="14722" width="5.109375" style="1" customWidth="1"/>
    <col min="14723" max="14728" width="16.77734375" style="1" customWidth="1"/>
    <col min="14729" max="14729" width="11.21875" style="1" customWidth="1"/>
    <col min="14730" max="14731" width="19.77734375" style="1" customWidth="1"/>
    <col min="14732" max="14732" width="7.6640625" style="1" customWidth="1"/>
    <col min="14733" max="14734" width="19.77734375" style="1" customWidth="1"/>
    <col min="14735" max="14735" width="10.21875" style="1" customWidth="1"/>
    <col min="14736" max="14736" width="15.33203125" style="1" customWidth="1"/>
    <col min="14737" max="14977" width="8.88671875" style="1"/>
    <col min="14978" max="14978" width="5.109375" style="1" customWidth="1"/>
    <col min="14979" max="14984" width="16.77734375" style="1" customWidth="1"/>
    <col min="14985" max="14985" width="11.21875" style="1" customWidth="1"/>
    <col min="14986" max="14987" width="19.77734375" style="1" customWidth="1"/>
    <col min="14988" max="14988" width="7.6640625" style="1" customWidth="1"/>
    <col min="14989" max="14990" width="19.77734375" style="1" customWidth="1"/>
    <col min="14991" max="14991" width="10.21875" style="1" customWidth="1"/>
    <col min="14992" max="14992" width="15.33203125" style="1" customWidth="1"/>
    <col min="14993" max="15233" width="8.88671875" style="1"/>
    <col min="15234" max="15234" width="5.109375" style="1" customWidth="1"/>
    <col min="15235" max="15240" width="16.77734375" style="1" customWidth="1"/>
    <col min="15241" max="15241" width="11.21875" style="1" customWidth="1"/>
    <col min="15242" max="15243" width="19.77734375" style="1" customWidth="1"/>
    <col min="15244" max="15244" width="7.6640625" style="1" customWidth="1"/>
    <col min="15245" max="15246" width="19.77734375" style="1" customWidth="1"/>
    <col min="15247" max="15247" width="10.21875" style="1" customWidth="1"/>
    <col min="15248" max="15248" width="15.33203125" style="1" customWidth="1"/>
    <col min="15249" max="15489" width="8.88671875" style="1"/>
    <col min="15490" max="15504" width="8.88671875" style="1" customWidth="1"/>
    <col min="15505" max="16120" width="8.88671875" style="1"/>
    <col min="16121" max="16121" width="6" style="1" customWidth="1"/>
    <col min="16122" max="16143" width="8.88671875" style="1" hidden="1" customWidth="1"/>
    <col min="16144" max="16384" width="8.88671875" style="1"/>
  </cols>
  <sheetData>
    <row r="1" spans="2:16" ht="18" customHeight="1" thickBot="1" x14ac:dyDescent="0.3"/>
    <row r="2" spans="2:16" ht="18" customHeight="1" thickBot="1" x14ac:dyDescent="0.3">
      <c r="B2" s="238" t="s">
        <v>90</v>
      </c>
      <c r="C2" s="239"/>
      <c r="D2" s="239"/>
      <c r="E2" s="239"/>
      <c r="F2" s="240"/>
      <c r="I2" s="241" t="s">
        <v>91</v>
      </c>
      <c r="J2" s="242"/>
      <c r="L2" s="238" t="s">
        <v>92</v>
      </c>
      <c r="M2" s="240"/>
    </row>
    <row r="3" spans="2:16" ht="18" customHeight="1" x14ac:dyDescent="0.25">
      <c r="B3" s="53"/>
      <c r="C3" s="54" t="s">
        <v>93</v>
      </c>
      <c r="D3" s="54" t="s">
        <v>94</v>
      </c>
      <c r="E3" s="54" t="s">
        <v>95</v>
      </c>
      <c r="F3" s="55" t="s">
        <v>96</v>
      </c>
      <c r="I3" s="56" t="s">
        <v>97</v>
      </c>
      <c r="J3" s="57"/>
      <c r="L3" s="56" t="s">
        <v>98</v>
      </c>
      <c r="M3" s="57"/>
    </row>
    <row r="4" spans="2:16" ht="18" customHeight="1" thickBot="1" x14ac:dyDescent="0.3">
      <c r="B4" s="46" t="s">
        <v>99</v>
      </c>
      <c r="C4" s="58"/>
      <c r="D4" s="58"/>
      <c r="E4" s="58"/>
      <c r="F4" s="59"/>
      <c r="I4" s="162" t="s">
        <v>100</v>
      </c>
      <c r="J4" s="60"/>
      <c r="L4" s="46" t="s">
        <v>100</v>
      </c>
      <c r="M4" s="61">
        <f>J4</f>
        <v>0</v>
      </c>
    </row>
    <row r="5" spans="2:16" ht="18" customHeight="1" thickBot="1" x14ac:dyDescent="0.3">
      <c r="B5" s="46" t="s">
        <v>101</v>
      </c>
      <c r="C5" s="62"/>
      <c r="D5" s="62"/>
      <c r="E5" s="62"/>
      <c r="F5" s="63"/>
      <c r="I5" s="64" t="s">
        <v>102</v>
      </c>
      <c r="J5" s="61"/>
      <c r="L5" s="46" t="s">
        <v>102</v>
      </c>
      <c r="M5" s="61">
        <f>J5</f>
        <v>0</v>
      </c>
    </row>
    <row r="6" spans="2:16" ht="18" customHeight="1" thickBot="1" x14ac:dyDescent="0.3">
      <c r="B6" s="65" t="s">
        <v>26</v>
      </c>
      <c r="C6" s="66"/>
      <c r="D6" s="66"/>
      <c r="E6" s="66"/>
      <c r="F6" s="67"/>
      <c r="I6" s="162" t="s">
        <v>103</v>
      </c>
      <c r="J6" s="61">
        <f>J4+J5</f>
        <v>0</v>
      </c>
      <c r="L6" s="46" t="s">
        <v>104</v>
      </c>
      <c r="M6" s="61">
        <f>C21</f>
        <v>0</v>
      </c>
    </row>
    <row r="7" spans="2:16" ht="18" customHeight="1" thickBot="1" x14ac:dyDescent="0.3">
      <c r="F7" s="24"/>
      <c r="I7" s="68" t="s">
        <v>105</v>
      </c>
      <c r="J7" s="61"/>
      <c r="L7" s="46" t="s">
        <v>106</v>
      </c>
      <c r="M7" s="61">
        <f>SUM(M4:M6)</f>
        <v>0</v>
      </c>
    </row>
    <row r="8" spans="2:16" ht="18" customHeight="1" thickBot="1" x14ac:dyDescent="0.3">
      <c r="B8" s="238" t="s">
        <v>107</v>
      </c>
      <c r="C8" s="239"/>
      <c r="D8" s="239"/>
      <c r="E8" s="240"/>
      <c r="F8" s="69"/>
      <c r="I8" s="70" t="s">
        <v>108</v>
      </c>
      <c r="J8" s="61"/>
      <c r="L8" s="68" t="s">
        <v>109</v>
      </c>
      <c r="M8" s="61"/>
    </row>
    <row r="9" spans="2:16" ht="18" customHeight="1" x14ac:dyDescent="0.25">
      <c r="B9" s="243" t="s">
        <v>110</v>
      </c>
      <c r="C9" s="244"/>
      <c r="D9" s="244" t="s">
        <v>3</v>
      </c>
      <c r="E9" s="245"/>
      <c r="F9" s="69"/>
      <c r="I9" s="162" t="s">
        <v>111</v>
      </c>
      <c r="J9" s="61">
        <f>D10</f>
        <v>2117750</v>
      </c>
      <c r="L9" s="46" t="s">
        <v>112</v>
      </c>
      <c r="M9" s="61">
        <f>SUM(J9+J10+J11+J13+J14+J15+J16+J20+J21+J22+J24+J25+J27+J28+J29+J30+J31+J32+J34+J36+J37+J38+J23)</f>
        <v>3000000</v>
      </c>
    </row>
    <row r="10" spans="2:16" ht="18" customHeight="1" thickBot="1" x14ac:dyDescent="0.3">
      <c r="B10" s="246"/>
      <c r="C10" s="247"/>
      <c r="D10" s="248">
        <v>2117750</v>
      </c>
      <c r="E10" s="249"/>
      <c r="I10" s="162" t="s">
        <v>32</v>
      </c>
      <c r="J10" s="60">
        <v>0</v>
      </c>
      <c r="L10" s="46" t="s">
        <v>113</v>
      </c>
      <c r="M10" s="61">
        <f>(F24+C26)*E26</f>
        <v>0</v>
      </c>
    </row>
    <row r="11" spans="2:16" ht="18" customHeight="1" x14ac:dyDescent="0.25">
      <c r="I11" s="162" t="s">
        <v>39</v>
      </c>
      <c r="J11" s="60">
        <v>0</v>
      </c>
      <c r="L11" s="46" t="s">
        <v>114</v>
      </c>
      <c r="M11" s="61">
        <f>规则设置!D50*D26</f>
        <v>3500000</v>
      </c>
    </row>
    <row r="12" spans="2:16" ht="18" customHeight="1" thickBot="1" x14ac:dyDescent="0.3">
      <c r="B12" s="230"/>
      <c r="C12" s="230"/>
      <c r="D12" s="230"/>
      <c r="E12" s="230"/>
      <c r="F12" s="230"/>
      <c r="I12" s="162" t="s">
        <v>115</v>
      </c>
      <c r="J12" s="61">
        <f>F26*G26</f>
        <v>0</v>
      </c>
      <c r="L12" s="46" t="s">
        <v>116</v>
      </c>
      <c r="M12" s="61">
        <f>E21</f>
        <v>0</v>
      </c>
    </row>
    <row r="13" spans="2:16" ht="18" customHeight="1" thickBot="1" x14ac:dyDescent="0.3">
      <c r="B13" s="235" t="s">
        <v>117</v>
      </c>
      <c r="C13" s="236"/>
      <c r="D13" s="236"/>
      <c r="E13" s="236"/>
      <c r="F13" s="237"/>
      <c r="I13" s="162" t="s">
        <v>47</v>
      </c>
      <c r="J13" s="60">
        <f>IF(F24&lt;1,0,IF(F24&lt;=规则设置!C41,规则设置!D40,IF(F24&lt;=规则设置!C42,规则设置!D41,IF(F24&lt;=规则设置!C43,规则设置!D42,IF(F24&lt;=规则设置!C44,规则设置!D43,规则设置!D44)))))</f>
        <v>0</v>
      </c>
      <c r="L13" s="46" t="s">
        <v>118</v>
      </c>
      <c r="M13" s="61">
        <f>C22</f>
        <v>0</v>
      </c>
      <c r="O13" s="1">
        <f>2117750/1.35</f>
        <v>1568703.7037037036</v>
      </c>
    </row>
    <row r="14" spans="2:16" ht="18" customHeight="1" x14ac:dyDescent="0.25">
      <c r="B14" s="71"/>
      <c r="C14" s="72" t="s">
        <v>93</v>
      </c>
      <c r="D14" s="72" t="s">
        <v>94</v>
      </c>
      <c r="E14" s="72" t="s">
        <v>95</v>
      </c>
      <c r="F14" s="73" t="s">
        <v>96</v>
      </c>
      <c r="I14" s="162" t="s">
        <v>119</v>
      </c>
      <c r="J14" s="61">
        <f>C26*规则设置!B47</f>
        <v>0</v>
      </c>
      <c r="L14" s="46" t="s">
        <v>120</v>
      </c>
      <c r="M14" s="61">
        <f>SUM(M9:M13)</f>
        <v>6500000</v>
      </c>
      <c r="O14" s="1">
        <f>6500000-4382250</f>
        <v>2117750</v>
      </c>
    </row>
    <row r="15" spans="2:16" ht="18" customHeight="1" x14ac:dyDescent="0.25">
      <c r="B15" s="46" t="s">
        <v>121</v>
      </c>
      <c r="C15" s="74"/>
      <c r="D15" s="74"/>
      <c r="E15" s="74"/>
      <c r="F15" s="60"/>
      <c r="I15" s="162" t="s">
        <v>122</v>
      </c>
      <c r="J15" s="61"/>
      <c r="L15" s="68" t="s">
        <v>123</v>
      </c>
      <c r="M15" s="61">
        <f>M7-M14</f>
        <v>-6500000</v>
      </c>
    </row>
    <row r="16" spans="2:16" ht="18" customHeight="1" thickBot="1" x14ac:dyDescent="0.3">
      <c r="B16" s="46" t="s">
        <v>124</v>
      </c>
      <c r="C16" s="74"/>
      <c r="D16" s="74"/>
      <c r="E16" s="74"/>
      <c r="F16" s="60"/>
      <c r="I16" s="162" t="s">
        <v>125</v>
      </c>
      <c r="J16" s="61">
        <f>规则设置!C50*D26</f>
        <v>700000</v>
      </c>
      <c r="L16" s="75" t="s">
        <v>126</v>
      </c>
      <c r="M16" s="76">
        <f>IF((规则设置!C3+M15)&gt;=0.5*M4,规则设置!C3+M15,0.5*M4)</f>
        <v>0</v>
      </c>
      <c r="P16" s="1">
        <f>5617750-3500000</f>
        <v>2117750</v>
      </c>
    </row>
    <row r="17" spans="2:19" ht="18" customHeight="1" x14ac:dyDescent="0.25">
      <c r="B17" s="46"/>
      <c r="C17" s="74"/>
      <c r="D17" s="74"/>
      <c r="E17" s="74"/>
      <c r="F17" s="60"/>
      <c r="I17" s="162" t="s">
        <v>60</v>
      </c>
      <c r="J17" s="61"/>
    </row>
    <row r="18" spans="2:19" ht="18" customHeight="1" thickBot="1" x14ac:dyDescent="0.3">
      <c r="B18" s="65"/>
      <c r="C18" s="77"/>
      <c r="D18" s="77"/>
      <c r="E18" s="77"/>
      <c r="F18" s="76"/>
      <c r="I18" s="162" t="s">
        <v>127</v>
      </c>
      <c r="J18" s="61"/>
    </row>
    <row r="19" spans="2:19" ht="18" customHeight="1" thickBot="1" x14ac:dyDescent="0.3">
      <c r="I19" s="70" t="s">
        <v>128</v>
      </c>
      <c r="J19" s="61"/>
      <c r="L19" s="238" t="s">
        <v>129</v>
      </c>
      <c r="M19" s="240"/>
    </row>
    <row r="20" spans="2:19" ht="18" customHeight="1" thickBot="1" x14ac:dyDescent="0.3">
      <c r="B20" s="238" t="s">
        <v>130</v>
      </c>
      <c r="C20" s="239"/>
      <c r="D20" s="239"/>
      <c r="E20" s="240"/>
      <c r="I20" s="64" t="s">
        <v>131</v>
      </c>
      <c r="J20" s="61"/>
      <c r="L20" s="56" t="s">
        <v>132</v>
      </c>
      <c r="M20" s="57"/>
    </row>
    <row r="21" spans="2:19" ht="18" customHeight="1" x14ac:dyDescent="0.25">
      <c r="B21" s="78" t="s">
        <v>104</v>
      </c>
      <c r="C21" s="74"/>
      <c r="D21" s="54" t="s">
        <v>116</v>
      </c>
      <c r="E21" s="60"/>
      <c r="G21" s="1">
        <f>7*150000*1.35</f>
        <v>1417500</v>
      </c>
      <c r="I21" s="64" t="s">
        <v>133</v>
      </c>
      <c r="J21" s="61"/>
      <c r="L21" s="46" t="s">
        <v>134</v>
      </c>
      <c r="M21" s="61">
        <f>M16</f>
        <v>0</v>
      </c>
    </row>
    <row r="22" spans="2:19" ht="18" customHeight="1" thickBot="1" x14ac:dyDescent="0.3">
      <c r="B22" s="65" t="s">
        <v>118</v>
      </c>
      <c r="C22" s="255"/>
      <c r="D22" s="256"/>
      <c r="E22" s="257"/>
      <c r="G22" s="1">
        <f>G21*1.5</f>
        <v>2126250</v>
      </c>
      <c r="I22" s="64" t="s">
        <v>135</v>
      </c>
      <c r="J22" s="61"/>
      <c r="L22" s="46" t="s">
        <v>136</v>
      </c>
      <c r="M22" s="61">
        <f>F24*F26</f>
        <v>0</v>
      </c>
    </row>
    <row r="23" spans="2:19" ht="18" customHeight="1" thickBot="1" x14ac:dyDescent="0.3">
      <c r="I23" s="80" t="s">
        <v>137</v>
      </c>
      <c r="J23" s="61">
        <f>SUM(C6:F6)</f>
        <v>0</v>
      </c>
      <c r="L23" s="46" t="s">
        <v>138</v>
      </c>
      <c r="M23" s="61">
        <f>规则设置!B79*E46</f>
        <v>0</v>
      </c>
    </row>
    <row r="24" spans="2:19" ht="18" customHeight="1" thickBot="1" x14ac:dyDescent="0.3">
      <c r="B24" s="238" t="s">
        <v>139</v>
      </c>
      <c r="C24" s="239"/>
      <c r="D24" s="240"/>
      <c r="E24" s="32" t="s">
        <v>251</v>
      </c>
      <c r="F24" s="184">
        <v>0</v>
      </c>
      <c r="I24" s="80" t="s">
        <v>61</v>
      </c>
      <c r="J24" s="61">
        <f>规则设置!C55*C15+规则设置!D55*D15+规则设置!E55*E15+规则设置!F55*F15</f>
        <v>0</v>
      </c>
      <c r="L24" s="46" t="s">
        <v>140</v>
      </c>
      <c r="M24" s="61">
        <f>J17+M11</f>
        <v>3500000</v>
      </c>
    </row>
    <row r="25" spans="2:19" ht="18" customHeight="1" thickBot="1" x14ac:dyDescent="0.3">
      <c r="B25" s="78" t="s">
        <v>141</v>
      </c>
      <c r="C25" s="54" t="s">
        <v>142</v>
      </c>
      <c r="D25" s="55" t="s">
        <v>143</v>
      </c>
      <c r="E25" s="183" t="s">
        <v>2</v>
      </c>
      <c r="F25" s="183" t="s">
        <v>144</v>
      </c>
      <c r="G25" s="19" t="s">
        <v>145</v>
      </c>
      <c r="I25" s="162" t="s">
        <v>66</v>
      </c>
      <c r="J25" s="61">
        <f>规则设置!B12*C26</f>
        <v>0</v>
      </c>
      <c r="L25" s="46" t="s">
        <v>146</v>
      </c>
      <c r="M25" s="61">
        <f>SUM(M21:M24)</f>
        <v>3500000</v>
      </c>
    </row>
    <row r="26" spans="2:19" ht="18" customHeight="1" thickBot="1" x14ac:dyDescent="0.3">
      <c r="B26" s="182">
        <v>0</v>
      </c>
      <c r="C26" s="81"/>
      <c r="D26" s="82">
        <v>7</v>
      </c>
      <c r="E26" s="83">
        <v>1.5</v>
      </c>
      <c r="F26" s="84" t="b">
        <f>IF(F24&gt;0,M10/F24)</f>
        <v>0</v>
      </c>
      <c r="G26" s="84">
        <f>规则设置!B20*B10</f>
        <v>0</v>
      </c>
      <c r="I26" s="70" t="s">
        <v>147</v>
      </c>
      <c r="J26" s="61"/>
      <c r="L26" s="85" t="s">
        <v>148</v>
      </c>
      <c r="M26" s="61"/>
      <c r="S26" s="127">
        <f>M30-3500000</f>
        <v>0</v>
      </c>
    </row>
    <row r="27" spans="2:19" ht="18" customHeight="1" thickBot="1" x14ac:dyDescent="0.3">
      <c r="B27" s="1" t="s">
        <v>149</v>
      </c>
      <c r="I27" s="86" t="s">
        <v>69</v>
      </c>
      <c r="J27" s="61">
        <f>SUM(D30:D34)*规则设置!B64</f>
        <v>16500</v>
      </c>
      <c r="L27" s="46" t="s">
        <v>150</v>
      </c>
      <c r="M27" s="61"/>
    </row>
    <row r="28" spans="2:19" ht="18" customHeight="1" thickBot="1" x14ac:dyDescent="0.3">
      <c r="B28" s="238" t="s">
        <v>151</v>
      </c>
      <c r="C28" s="239"/>
      <c r="D28" s="239"/>
      <c r="E28" s="240"/>
      <c r="G28" s="19" t="s">
        <v>249</v>
      </c>
      <c r="I28" s="80" t="s">
        <v>70</v>
      </c>
      <c r="J28" s="61">
        <f>SUM(D30:D34)*规则设置!C64</f>
        <v>33000</v>
      </c>
      <c r="L28" s="46" t="s">
        <v>152</v>
      </c>
      <c r="M28" s="60">
        <f>IF(O16=0,0,0.5*M4-M15-规则设置!C3)</f>
        <v>0</v>
      </c>
    </row>
    <row r="29" spans="2:19" ht="18" customHeight="1" thickBot="1" x14ac:dyDescent="0.3">
      <c r="B29" s="243" t="s">
        <v>153</v>
      </c>
      <c r="C29" s="244"/>
      <c r="D29" s="54" t="s">
        <v>154</v>
      </c>
      <c r="E29" s="55" t="s">
        <v>155</v>
      </c>
      <c r="G29" s="52">
        <f>ROUNDDOWN(M30/3/规则设置!D50,0)</f>
        <v>2</v>
      </c>
      <c r="I29" s="80" t="s">
        <v>71</v>
      </c>
      <c r="J29" s="61">
        <f>规则设置!C67*C51+规则设置!D67*D51+规则设置!C68*C52+规则设置!D68*D52</f>
        <v>132750</v>
      </c>
      <c r="L29" s="46" t="s">
        <v>156</v>
      </c>
      <c r="M29" s="61">
        <f>SUM(M27:M28)</f>
        <v>0</v>
      </c>
    </row>
    <row r="30" spans="2:19" ht="18" customHeight="1" thickBot="1" x14ac:dyDescent="0.3">
      <c r="B30" s="223" t="s">
        <v>17</v>
      </c>
      <c r="C30" s="87" t="s">
        <v>93</v>
      </c>
      <c r="D30" s="88">
        <v>4</v>
      </c>
      <c r="E30" s="60"/>
      <c r="I30" s="80" t="s">
        <v>157</v>
      </c>
      <c r="J30" s="61">
        <f>SUM(E30:E33)*规则设置!C70+E34*规则设置!D70</f>
        <v>0</v>
      </c>
      <c r="L30" s="75" t="s">
        <v>158</v>
      </c>
      <c r="M30" s="89">
        <f>M25-M29</f>
        <v>3500000</v>
      </c>
      <c r="N30" s="1" t="s">
        <v>159</v>
      </c>
      <c r="O30" s="90"/>
    </row>
    <row r="31" spans="2:19" ht="18" customHeight="1" x14ac:dyDescent="0.25">
      <c r="B31" s="223"/>
      <c r="C31" s="87" t="s">
        <v>94</v>
      </c>
      <c r="D31" s="88">
        <v>4</v>
      </c>
      <c r="E31" s="91"/>
      <c r="I31" s="80" t="s">
        <v>160</v>
      </c>
      <c r="J31" s="61"/>
      <c r="N31" s="1" t="s">
        <v>161</v>
      </c>
      <c r="O31" s="92">
        <f>M30-O30</f>
        <v>3500000</v>
      </c>
    </row>
    <row r="32" spans="2:19" ht="18" customHeight="1" x14ac:dyDescent="0.25">
      <c r="B32" s="223"/>
      <c r="C32" s="87" t="s">
        <v>95</v>
      </c>
      <c r="D32" s="88">
        <v>0</v>
      </c>
      <c r="E32" s="60"/>
      <c r="G32" s="1">
        <f>8*150000*1.35</f>
        <v>1620000</v>
      </c>
      <c r="I32" s="80" t="s">
        <v>83</v>
      </c>
      <c r="J32" s="61">
        <f>规则设置!C76*E46</f>
        <v>0</v>
      </c>
    </row>
    <row r="33" spans="2:15" ht="18" customHeight="1" x14ac:dyDescent="0.25">
      <c r="B33" s="223"/>
      <c r="C33" s="87" t="s">
        <v>96</v>
      </c>
      <c r="D33" s="88">
        <v>4</v>
      </c>
      <c r="E33" s="60"/>
      <c r="G33" s="1">
        <f>7*150000*1.35</f>
        <v>1417500</v>
      </c>
      <c r="I33" s="93" t="s">
        <v>162</v>
      </c>
      <c r="J33" s="61"/>
    </row>
    <row r="34" spans="2:15" ht="18" customHeight="1" thickBot="1" x14ac:dyDescent="0.3">
      <c r="B34" s="224" t="s">
        <v>163</v>
      </c>
      <c r="C34" s="258"/>
      <c r="D34" s="94">
        <f>规则设置!B82*D26</f>
        <v>21</v>
      </c>
      <c r="E34" s="76"/>
      <c r="G34" s="1">
        <f>7*150000</f>
        <v>1050000</v>
      </c>
      <c r="I34" s="80" t="s">
        <v>164</v>
      </c>
      <c r="J34" s="61"/>
      <c r="M34" s="127">
        <f>M30-3500000</f>
        <v>0</v>
      </c>
    </row>
    <row r="35" spans="2:15" ht="18" customHeight="1" thickBot="1" x14ac:dyDescent="0.3">
      <c r="I35" s="93" t="s">
        <v>165</v>
      </c>
      <c r="J35" s="61"/>
      <c r="O35" s="1">
        <f>5617750-3500000</f>
        <v>2117750</v>
      </c>
    </row>
    <row r="36" spans="2:15" ht="18" customHeight="1" thickBot="1" x14ac:dyDescent="0.3">
      <c r="B36" s="250" t="s">
        <v>166</v>
      </c>
      <c r="C36" s="251"/>
      <c r="D36" s="251"/>
      <c r="E36" s="251"/>
      <c r="F36" s="251"/>
      <c r="G36" s="252"/>
      <c r="I36" s="80" t="s">
        <v>167</v>
      </c>
      <c r="J36" s="61">
        <f>(J4/(1+规则设置!B73))*规则设置!B73</f>
        <v>0</v>
      </c>
    </row>
    <row r="37" spans="2:15" ht="18" customHeight="1" x14ac:dyDescent="0.25">
      <c r="B37" s="95" t="s">
        <v>168</v>
      </c>
      <c r="C37" s="96" t="s">
        <v>93</v>
      </c>
      <c r="D37" s="96" t="s">
        <v>94</v>
      </c>
      <c r="E37" s="96" t="s">
        <v>95</v>
      </c>
      <c r="F37" s="96" t="s">
        <v>96</v>
      </c>
      <c r="G37" s="97"/>
      <c r="I37" s="80" t="s">
        <v>169</v>
      </c>
      <c r="J37" s="61">
        <f>规则设置!C73*J36</f>
        <v>0</v>
      </c>
      <c r="L37" s="98" t="s">
        <v>170</v>
      </c>
    </row>
    <row r="38" spans="2:15" ht="18" customHeight="1" thickBot="1" x14ac:dyDescent="0.3">
      <c r="B38" s="99" t="s">
        <v>171</v>
      </c>
      <c r="C38" s="100"/>
      <c r="D38" s="100"/>
      <c r="E38" s="100"/>
      <c r="F38" s="100"/>
      <c r="G38" s="97"/>
      <c r="I38" s="80" t="s">
        <v>170</v>
      </c>
      <c r="J38" s="101"/>
      <c r="L38" s="179">
        <f>(J4/(1+规则设置!B73)-SUM(J9:J34)-J37)*规则设置!D73</f>
        <v>-750000</v>
      </c>
    </row>
    <row r="39" spans="2:15" ht="18" customHeight="1" thickBot="1" x14ac:dyDescent="0.3">
      <c r="B39" s="102" t="s">
        <v>172</v>
      </c>
      <c r="C39" s="103"/>
      <c r="D39" s="103"/>
      <c r="E39" s="103"/>
      <c r="F39" s="103"/>
      <c r="G39" s="104"/>
      <c r="I39" s="80" t="s">
        <v>173</v>
      </c>
      <c r="J39" s="61">
        <f>SUM(J9:J38)</f>
        <v>3000000</v>
      </c>
    </row>
    <row r="40" spans="2:15" ht="18" customHeight="1" thickBot="1" x14ac:dyDescent="0.3">
      <c r="B40" s="105" t="s">
        <v>174</v>
      </c>
      <c r="C40" s="106" t="s">
        <v>15</v>
      </c>
      <c r="D40" s="106" t="s">
        <v>175</v>
      </c>
      <c r="E40" s="106" t="s">
        <v>24</v>
      </c>
      <c r="F40" s="106" t="s">
        <v>176</v>
      </c>
      <c r="G40" s="107" t="s">
        <v>17</v>
      </c>
      <c r="I40" s="108" t="s">
        <v>177</v>
      </c>
      <c r="J40" s="89">
        <f>J6-J39</f>
        <v>-3000000</v>
      </c>
    </row>
    <row r="41" spans="2:15" ht="18" customHeight="1" x14ac:dyDescent="0.25">
      <c r="B41" s="109" t="s">
        <v>93</v>
      </c>
      <c r="C41" s="110"/>
      <c r="D41" s="110"/>
      <c r="E41" s="111"/>
      <c r="F41" s="110"/>
      <c r="G41" s="112"/>
    </row>
    <row r="42" spans="2:15" ht="18" customHeight="1" x14ac:dyDescent="0.25">
      <c r="B42" s="109" t="s">
        <v>94</v>
      </c>
      <c r="C42" s="110"/>
      <c r="D42" s="110"/>
      <c r="E42" s="111"/>
      <c r="F42" s="110"/>
      <c r="G42" s="112"/>
    </row>
    <row r="43" spans="2:15" ht="18" customHeight="1" x14ac:dyDescent="0.25">
      <c r="B43" s="109" t="s">
        <v>95</v>
      </c>
      <c r="C43" s="110"/>
      <c r="D43" s="110"/>
      <c r="E43" s="111"/>
      <c r="F43" s="110"/>
      <c r="G43" s="112"/>
      <c r="J43" s="1">
        <f>6500000-882250</f>
        <v>5617750</v>
      </c>
    </row>
    <row r="44" spans="2:15" ht="18" customHeight="1" x14ac:dyDescent="0.25">
      <c r="B44" s="109" t="s">
        <v>96</v>
      </c>
      <c r="C44" s="110"/>
      <c r="D44" s="110"/>
      <c r="E44" s="111"/>
      <c r="F44" s="110"/>
      <c r="G44" s="112"/>
      <c r="J44" s="1">
        <f>J43/1.35</f>
        <v>4161296.2962962962</v>
      </c>
    </row>
    <row r="45" spans="2:15" ht="18" customHeight="1" x14ac:dyDescent="0.25">
      <c r="B45" s="109" t="s">
        <v>178</v>
      </c>
      <c r="C45" s="113" t="s">
        <v>179</v>
      </c>
      <c r="D45" s="113" t="s">
        <v>180</v>
      </c>
      <c r="E45" s="113" t="s">
        <v>176</v>
      </c>
      <c r="F45" s="113" t="s">
        <v>181</v>
      </c>
      <c r="G45" s="114" t="s">
        <v>182</v>
      </c>
    </row>
    <row r="46" spans="2:15" ht="18" customHeight="1" x14ac:dyDescent="0.25">
      <c r="B46" s="115"/>
      <c r="C46" s="116"/>
      <c r="D46" s="116"/>
      <c r="E46" s="110"/>
      <c r="F46" s="110"/>
      <c r="G46" s="117"/>
    </row>
    <row r="47" spans="2:15" ht="18" customHeight="1" x14ac:dyDescent="0.25">
      <c r="B47" s="109" t="s">
        <v>183</v>
      </c>
      <c r="C47" s="113" t="s">
        <v>184</v>
      </c>
      <c r="D47" s="113" t="s">
        <v>185</v>
      </c>
      <c r="E47" s="113" t="s">
        <v>186</v>
      </c>
      <c r="F47" s="113" t="s">
        <v>163</v>
      </c>
      <c r="G47" s="114" t="s">
        <v>17</v>
      </c>
    </row>
    <row r="48" spans="2:15" ht="18" customHeight="1" thickBot="1" x14ac:dyDescent="0.3">
      <c r="B48" s="118"/>
      <c r="C48" s="119">
        <f>B48</f>
        <v>0</v>
      </c>
      <c r="D48" s="119"/>
      <c r="E48" s="119">
        <f>SUM(F48:G48)</f>
        <v>33</v>
      </c>
      <c r="F48" s="119">
        <f>SUM(D51:D52)</f>
        <v>21</v>
      </c>
      <c r="G48" s="120">
        <f>SUM(C51:C52)</f>
        <v>12</v>
      </c>
    </row>
    <row r="49" spans="2:6" ht="18" customHeight="1" thickBot="1" x14ac:dyDescent="0.3"/>
    <row r="50" spans="2:6" ht="18" customHeight="1" x14ac:dyDescent="0.25">
      <c r="B50" s="41" t="s">
        <v>71</v>
      </c>
      <c r="C50" s="42" t="s">
        <v>187</v>
      </c>
      <c r="D50" s="6" t="s">
        <v>163</v>
      </c>
    </row>
    <row r="51" spans="2:6" ht="18" customHeight="1" x14ac:dyDescent="0.25">
      <c r="B51" s="28" t="s">
        <v>74</v>
      </c>
      <c r="C51" s="34">
        <f>SUM(D30:D33)</f>
        <v>12</v>
      </c>
      <c r="D51" s="11">
        <f>D34</f>
        <v>21</v>
      </c>
    </row>
    <row r="52" spans="2:6" ht="18" customHeight="1" thickBot="1" x14ac:dyDescent="0.3">
      <c r="B52" s="35" t="s">
        <v>75</v>
      </c>
      <c r="C52" s="36">
        <v>0</v>
      </c>
      <c r="D52" s="14">
        <v>0</v>
      </c>
    </row>
    <row r="53" spans="2:6" ht="18" customHeight="1" thickBot="1" x14ac:dyDescent="0.3">
      <c r="B53" s="138" t="s">
        <v>254</v>
      </c>
      <c r="C53" s="138">
        <f>IF((C52+C51)*规则设置!D47&lt;F55*规则设置!B82,"请核对招聘员工数",0)</f>
        <v>0</v>
      </c>
      <c r="D53" s="138">
        <f>IF((D51+D52)/规则设置!B82&lt;D26,"请核对工人数量",0)</f>
        <v>0</v>
      </c>
    </row>
    <row r="54" spans="2:6" ht="18" customHeight="1" x14ac:dyDescent="0.25">
      <c r="B54" s="253" t="s">
        <v>188</v>
      </c>
      <c r="C54" s="121" t="s">
        <v>189</v>
      </c>
      <c r="D54" s="6" t="s">
        <v>190</v>
      </c>
      <c r="E54" s="27"/>
      <c r="F54" s="122" t="s">
        <v>191</v>
      </c>
    </row>
    <row r="55" spans="2:6" ht="18" customHeight="1" thickBot="1" x14ac:dyDescent="0.3">
      <c r="B55" s="254"/>
      <c r="C55" s="192">
        <f>F55*3</f>
        <v>1050000</v>
      </c>
      <c r="D55" s="123">
        <f>ROUNDUP(规则设置!B20*C55,0)</f>
        <v>1417500</v>
      </c>
      <c r="F55" s="52">
        <f>ROUNDDOWN(D26*规则设置!C15,0)</f>
        <v>350000</v>
      </c>
    </row>
  </sheetData>
  <mergeCells count="20">
    <mergeCell ref="B36:G36"/>
    <mergeCell ref="B54:B55"/>
    <mergeCell ref="C22:E22"/>
    <mergeCell ref="B24:D24"/>
    <mergeCell ref="B28:E28"/>
    <mergeCell ref="B29:C29"/>
    <mergeCell ref="B30:B33"/>
    <mergeCell ref="B34:C34"/>
    <mergeCell ref="B20:E20"/>
    <mergeCell ref="B2:F2"/>
    <mergeCell ref="I2:J2"/>
    <mergeCell ref="L2:M2"/>
    <mergeCell ref="B8:E8"/>
    <mergeCell ref="B9:C9"/>
    <mergeCell ref="D9:E9"/>
    <mergeCell ref="B10:C10"/>
    <mergeCell ref="D10:E10"/>
    <mergeCell ref="B12:F12"/>
    <mergeCell ref="B13:F13"/>
    <mergeCell ref="L19:M1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FE95-E5F6-44DA-A9B8-B9807D413354}">
  <dimension ref="A1:W55"/>
  <sheetViews>
    <sheetView topLeftCell="A9" zoomScale="85" zoomScaleNormal="85" workbookViewId="0">
      <selection activeCell="H12" sqref="H12"/>
    </sheetView>
  </sheetViews>
  <sheetFormatPr defaultColWidth="15.77734375" defaultRowHeight="18" customHeight="1" x14ac:dyDescent="0.25"/>
  <cols>
    <col min="1" max="1" width="8.77734375" customWidth="1"/>
    <col min="3" max="3" width="18.6640625" bestFit="1" customWidth="1"/>
    <col min="18" max="18" width="19.21875" bestFit="1" customWidth="1"/>
  </cols>
  <sheetData>
    <row r="1" spans="1:23" ht="18" customHeight="1" thickBot="1" x14ac:dyDescent="0.3">
      <c r="A1" s="1"/>
      <c r="B1" s="1"/>
      <c r="C1" s="1"/>
      <c r="D1" s="1"/>
      <c r="E1" s="1"/>
      <c r="F1" s="1"/>
      <c r="G1" s="1"/>
      <c r="P1" s="1"/>
      <c r="Q1" s="1"/>
      <c r="R1" s="1"/>
      <c r="S1" s="1"/>
      <c r="T1" s="1"/>
      <c r="U1" s="1"/>
      <c r="V1" s="1"/>
      <c r="W1" s="1"/>
    </row>
    <row r="2" spans="1:23" ht="18" customHeight="1" thickBot="1" x14ac:dyDescent="0.3">
      <c r="A2" s="1"/>
      <c r="B2" s="241" t="s">
        <v>90</v>
      </c>
      <c r="C2" s="265"/>
      <c r="D2" s="265"/>
      <c r="E2" s="265"/>
      <c r="F2" s="242"/>
      <c r="G2" s="2" t="s">
        <v>194</v>
      </c>
      <c r="H2" s="163">
        <f>U15</f>
        <v>4644172.4056603778</v>
      </c>
      <c r="I2" s="266" t="s">
        <v>241</v>
      </c>
      <c r="J2" s="267"/>
      <c r="K2" s="267"/>
      <c r="L2" s="267"/>
      <c r="M2" s="267"/>
      <c r="N2" s="268"/>
      <c r="P2" s="1"/>
      <c r="Q2" s="241" t="s">
        <v>91</v>
      </c>
      <c r="R2" s="242"/>
      <c r="S2" s="1"/>
      <c r="T2" s="241" t="s">
        <v>92</v>
      </c>
      <c r="U2" s="242"/>
      <c r="V2" s="1"/>
      <c r="W2" s="1"/>
    </row>
    <row r="3" spans="1:23" ht="18" customHeight="1" thickBot="1" x14ac:dyDescent="0.3">
      <c r="A3" s="1"/>
      <c r="B3" s="53"/>
      <c r="C3" s="156" t="s">
        <v>93</v>
      </c>
      <c r="D3" s="156" t="s">
        <v>94</v>
      </c>
      <c r="E3" s="156" t="s">
        <v>95</v>
      </c>
      <c r="F3" s="157" t="s">
        <v>96</v>
      </c>
      <c r="G3" s="27"/>
      <c r="H3" s="164"/>
      <c r="I3" s="148" t="s">
        <v>174</v>
      </c>
      <c r="J3" s="148" t="s">
        <v>15</v>
      </c>
      <c r="K3" s="148" t="s">
        <v>175</v>
      </c>
      <c r="L3" s="148" t="s">
        <v>205</v>
      </c>
      <c r="M3" s="148" t="s">
        <v>176</v>
      </c>
      <c r="N3" s="148" t="s">
        <v>17</v>
      </c>
      <c r="O3" s="1" t="s">
        <v>206</v>
      </c>
      <c r="P3" s="19" t="s">
        <v>192</v>
      </c>
      <c r="Q3" s="56" t="s">
        <v>97</v>
      </c>
      <c r="R3" s="57"/>
      <c r="S3" s="1"/>
      <c r="T3" s="56" t="s">
        <v>98</v>
      </c>
      <c r="U3" s="57"/>
      <c r="V3" s="1"/>
      <c r="W3" s="1"/>
    </row>
    <row r="4" spans="1:23" ht="18" customHeight="1" thickBot="1" x14ac:dyDescent="0.3">
      <c r="A4" s="1"/>
      <c r="B4" s="152" t="s">
        <v>99</v>
      </c>
      <c r="C4" s="58">
        <v>6</v>
      </c>
      <c r="D4" s="58">
        <v>5</v>
      </c>
      <c r="E4" s="58">
        <v>5</v>
      </c>
      <c r="F4" s="59">
        <v>4</v>
      </c>
      <c r="G4" s="27" t="s">
        <v>195</v>
      </c>
      <c r="H4" s="164">
        <f>0.5*U4-U15-O28</f>
        <v>-479172.40566037782</v>
      </c>
      <c r="I4" s="279" t="s">
        <v>93</v>
      </c>
      <c r="J4" s="279">
        <v>0</v>
      </c>
      <c r="K4" s="279">
        <v>0</v>
      </c>
      <c r="L4" s="279">
        <v>10</v>
      </c>
      <c r="M4" s="279">
        <v>0</v>
      </c>
      <c r="N4" s="279">
        <v>4</v>
      </c>
      <c r="O4" s="1">
        <f>K4/(L4/100)</f>
        <v>0</v>
      </c>
      <c r="P4" s="124">
        <f>IF(G12&lt;=N11*规则设置!D47,C5*C12+D5*D12+E5*E12+F5*F12,(C5*N4+D5*N5+E5*N6+F5*N7)*规则设置!D47)-(M4*C5+M5*D5+M6*E5+M7*F5)</f>
        <v>8330000</v>
      </c>
      <c r="Q4" s="125" t="s">
        <v>193</v>
      </c>
      <c r="R4" s="126">
        <f>C5*C12+D5*D12+E5*E12+F5*F12</f>
        <v>8330000</v>
      </c>
      <c r="S4" s="1"/>
      <c r="T4" s="185" t="s">
        <v>100</v>
      </c>
      <c r="U4" s="61">
        <f>R4</f>
        <v>8330000</v>
      </c>
      <c r="V4">
        <f>300000*C5</f>
        <v>2370000</v>
      </c>
    </row>
    <row r="5" spans="1:23" ht="18" customHeight="1" thickBot="1" x14ac:dyDescent="0.3">
      <c r="A5" s="1"/>
      <c r="B5" s="152" t="s">
        <v>101</v>
      </c>
      <c r="C5" s="128">
        <v>7.9</v>
      </c>
      <c r="D5" s="128">
        <v>8</v>
      </c>
      <c r="E5" s="128">
        <v>7.8</v>
      </c>
      <c r="F5" s="166">
        <v>7.9</v>
      </c>
      <c r="G5" s="27"/>
      <c r="H5" s="164"/>
      <c r="I5" s="279" t="s">
        <v>94</v>
      </c>
      <c r="J5" s="279">
        <v>0</v>
      </c>
      <c r="K5" s="279">
        <v>0</v>
      </c>
      <c r="L5" s="279">
        <v>10</v>
      </c>
      <c r="M5" s="279">
        <v>0</v>
      </c>
      <c r="N5" s="279">
        <v>4</v>
      </c>
      <c r="O5" s="1">
        <f>K5/(L5/100)</f>
        <v>0</v>
      </c>
      <c r="P5" s="129">
        <f>IF(G12&lt;=N11*规则设置!D47,,"注意填写库存！")</f>
        <v>0</v>
      </c>
      <c r="Q5" s="64" t="s">
        <v>102</v>
      </c>
      <c r="R5" s="61"/>
      <c r="S5" s="1"/>
      <c r="T5" s="185" t="s">
        <v>102</v>
      </c>
      <c r="U5" s="61">
        <f>R5</f>
        <v>0</v>
      </c>
    </row>
    <row r="6" spans="1:23" ht="18" customHeight="1" thickBot="1" x14ac:dyDescent="0.3">
      <c r="A6" s="1"/>
      <c r="B6" s="153" t="s">
        <v>26</v>
      </c>
      <c r="C6" s="167">
        <v>850000</v>
      </c>
      <c r="D6" s="167">
        <v>850000</v>
      </c>
      <c r="E6" s="167">
        <v>0</v>
      </c>
      <c r="F6" s="167">
        <v>850000</v>
      </c>
      <c r="G6" s="7" t="s">
        <v>222</v>
      </c>
      <c r="H6" s="165">
        <f>ROUNDUP(U14-0.5*U4-O28+1,0)</f>
        <v>11520829</v>
      </c>
      <c r="I6" s="279" t="s">
        <v>95</v>
      </c>
      <c r="J6" s="279">
        <v>0</v>
      </c>
      <c r="K6" s="279">
        <v>0</v>
      </c>
      <c r="L6" s="279">
        <v>10</v>
      </c>
      <c r="M6" s="279">
        <v>0</v>
      </c>
      <c r="N6" s="279">
        <v>0</v>
      </c>
      <c r="O6" s="1">
        <f>K6/(L6/100)</f>
        <v>0</v>
      </c>
      <c r="P6" s="1"/>
      <c r="Q6" s="152" t="s">
        <v>103</v>
      </c>
      <c r="R6" s="61">
        <f>R4+R5</f>
        <v>8330000</v>
      </c>
      <c r="S6" s="1"/>
      <c r="T6" s="185" t="s">
        <v>104</v>
      </c>
      <c r="U6" s="61">
        <f>C21</f>
        <v>12000000</v>
      </c>
    </row>
    <row r="7" spans="1:23" ht="18" customHeight="1" thickBot="1" x14ac:dyDescent="0.3">
      <c r="A7" s="1"/>
      <c r="B7" s="1"/>
      <c r="C7" s="1"/>
      <c r="D7" s="1"/>
      <c r="E7" s="1"/>
      <c r="F7" s="24"/>
      <c r="G7" s="1"/>
      <c r="I7" s="279" t="s">
        <v>96</v>
      </c>
      <c r="J7" s="279">
        <v>0</v>
      </c>
      <c r="K7" s="279">
        <v>0</v>
      </c>
      <c r="L7" s="279">
        <v>10</v>
      </c>
      <c r="M7" s="279">
        <v>0</v>
      </c>
      <c r="N7" s="279">
        <v>4</v>
      </c>
      <c r="O7" s="1">
        <f>K7/(L7/100)</f>
        <v>0</v>
      </c>
      <c r="P7" s="1"/>
      <c r="Q7" s="68" t="s">
        <v>105</v>
      </c>
      <c r="R7" s="61"/>
      <c r="S7" s="1"/>
      <c r="T7" s="185" t="s">
        <v>106</v>
      </c>
      <c r="U7" s="61">
        <f>SUM(U4:U6)</f>
        <v>20330000</v>
      </c>
    </row>
    <row r="8" spans="1:23" ht="18" customHeight="1" thickBot="1" x14ac:dyDescent="0.3">
      <c r="A8" s="1"/>
      <c r="B8" s="235" t="s">
        <v>107</v>
      </c>
      <c r="C8" s="236"/>
      <c r="D8" s="265"/>
      <c r="E8" s="242"/>
      <c r="F8" s="69" t="s">
        <v>196</v>
      </c>
      <c r="G8" s="127">
        <f>ROUNDDOWN(F9*1.5,0)</f>
        <v>525000</v>
      </c>
      <c r="H8" t="s">
        <v>262</v>
      </c>
      <c r="I8" s="148" t="s">
        <v>178</v>
      </c>
      <c r="J8" s="148" t="s">
        <v>179</v>
      </c>
      <c r="K8" s="148" t="s">
        <v>180</v>
      </c>
      <c r="L8" s="148" t="s">
        <v>176</v>
      </c>
      <c r="M8" s="148" t="s">
        <v>181</v>
      </c>
      <c r="N8" s="148" t="s">
        <v>207</v>
      </c>
      <c r="O8" s="1"/>
      <c r="P8" s="1"/>
      <c r="Q8" s="70" t="s">
        <v>108</v>
      </c>
      <c r="R8" s="61"/>
      <c r="S8" s="1"/>
      <c r="T8" s="68" t="s">
        <v>109</v>
      </c>
      <c r="U8" s="61"/>
    </row>
    <row r="9" spans="1:23" ht="18" customHeight="1" thickBot="1" x14ac:dyDescent="0.3">
      <c r="A9" s="1"/>
      <c r="B9" s="125" t="s">
        <v>255</v>
      </c>
      <c r="C9" s="194" t="s">
        <v>256</v>
      </c>
      <c r="D9" s="269" t="s">
        <v>3</v>
      </c>
      <c r="E9" s="270"/>
      <c r="F9" s="79">
        <f>I11</f>
        <v>350000</v>
      </c>
      <c r="G9" s="127">
        <f>ROUNDDOWN(F9*2.5,0)</f>
        <v>875000</v>
      </c>
      <c r="H9">
        <v>4</v>
      </c>
      <c r="I9" s="279">
        <v>0</v>
      </c>
      <c r="J9" s="279">
        <v>0</v>
      </c>
      <c r="K9" s="279">
        <v>0</v>
      </c>
      <c r="L9" s="279">
        <v>0</v>
      </c>
      <c r="M9" s="279">
        <v>0</v>
      </c>
      <c r="N9" s="279">
        <v>10</v>
      </c>
      <c r="O9" s="1">
        <f>K9/(N9/100)</f>
        <v>0</v>
      </c>
      <c r="P9" s="1"/>
      <c r="Q9" s="152" t="s">
        <v>111</v>
      </c>
      <c r="R9" s="61">
        <f>D10</f>
        <v>1000000</v>
      </c>
      <c r="S9" s="1"/>
      <c r="T9" s="185" t="s">
        <v>112</v>
      </c>
      <c r="U9" s="61">
        <f>SUM(R9+R10+R11+R13+R14+R15+R16+R20+R21+R22+R24+R25+R27+R28+R29+R30+R31+R32+R34+R36+R37+R38+R23)</f>
        <v>8249015.0943396222</v>
      </c>
      <c r="V9" s="1"/>
      <c r="W9" s="1"/>
    </row>
    <row r="10" spans="1:23" ht="18" customHeight="1" thickBot="1" x14ac:dyDescent="0.3">
      <c r="A10" s="1"/>
      <c r="B10" s="196">
        <v>1050000</v>
      </c>
      <c r="C10" s="195">
        <f>I11*3</f>
        <v>1050000</v>
      </c>
      <c r="D10" s="262">
        <v>1000000</v>
      </c>
      <c r="E10" s="264"/>
      <c r="F10" s="1"/>
      <c r="G10" s="127">
        <f>ROUNDDOWN(F9*3,0)</f>
        <v>1050000</v>
      </c>
      <c r="I10" s="148" t="s">
        <v>183</v>
      </c>
      <c r="J10" s="148" t="s">
        <v>184</v>
      </c>
      <c r="K10" s="148" t="s">
        <v>185</v>
      </c>
      <c r="L10" s="148" t="s">
        <v>186</v>
      </c>
      <c r="M10" s="148" t="s">
        <v>163</v>
      </c>
      <c r="N10" s="148" t="s">
        <v>17</v>
      </c>
      <c r="O10" s="1"/>
      <c r="P10" s="1"/>
      <c r="Q10" s="152" t="s">
        <v>32</v>
      </c>
      <c r="R10" s="60">
        <f>IF(B10&lt;=0,0,IF(B10&lt;=G8,规则设置!D24,IF(B10&lt;=G9,规则设置!D25,IF(B10&lt;=G10,规则设置!D26,"请检查计划产量!"))))</f>
        <v>20000</v>
      </c>
      <c r="S10" s="1"/>
      <c r="T10" s="185" t="s">
        <v>113</v>
      </c>
      <c r="U10" s="61">
        <f>(F24+C26)*E26</f>
        <v>6436812.5</v>
      </c>
      <c r="V10" s="1"/>
      <c r="W10" s="1"/>
    </row>
    <row r="11" spans="1:23" ht="18" customHeight="1" thickBot="1" x14ac:dyDescent="0.3">
      <c r="A11" s="1"/>
      <c r="B11" s="32" t="s">
        <v>197</v>
      </c>
      <c r="C11" s="130">
        <f>ROUNDDOWN((M9+C26)/规则设置!B20,0)</f>
        <v>1050000</v>
      </c>
      <c r="D11" s="1" t="s">
        <v>264</v>
      </c>
      <c r="E11" s="1"/>
      <c r="F11" s="1"/>
      <c r="G11" s="1"/>
      <c r="I11" s="147">
        <v>350000</v>
      </c>
      <c r="J11" s="147">
        <v>350000</v>
      </c>
      <c r="K11" s="279">
        <v>7</v>
      </c>
      <c r="L11" s="279">
        <v>33</v>
      </c>
      <c r="M11" s="279">
        <v>21</v>
      </c>
      <c r="N11" s="279">
        <v>12</v>
      </c>
      <c r="O11" s="1"/>
      <c r="P11" s="131">
        <f>R11/B10</f>
        <v>1.4</v>
      </c>
      <c r="Q11" s="152" t="s">
        <v>39</v>
      </c>
      <c r="R11" s="60">
        <f>IF(B10&lt;=0,0,IF(B10&lt;=F9,规则设置!B30*B10,IF(B10&lt;=G8,规则设置!B30*B10+规则设置!C30*(B10-F9),IF(B10&lt;=2*F9,规则设置!B30*B10+规则设置!B32*(B10-F9),IF(B10&lt;=G9,规则设置!B30*F9+规则设置!B32*F9+规则设置!C32*(B10-2*F9),IF(B10&lt;=G10,规则设置!B30*F9+规则设置!B32*F9+规则设置!B34*(B10-2*F9),"检查计划产量！"))))))</f>
        <v>1470000</v>
      </c>
      <c r="S11" s="1"/>
      <c r="T11" s="185" t="s">
        <v>114</v>
      </c>
      <c r="U11" s="61">
        <f>规则设置!D50*D26</f>
        <v>1000000</v>
      </c>
      <c r="V11" s="1"/>
      <c r="W11" s="1"/>
    </row>
    <row r="12" spans="1:23" ht="18" customHeight="1" thickBot="1" x14ac:dyDescent="0.3">
      <c r="A12" s="1"/>
      <c r="B12" s="132" t="s">
        <v>198</v>
      </c>
      <c r="C12" s="133">
        <f>M4+C15</f>
        <v>350000</v>
      </c>
      <c r="D12" s="133">
        <f>M5+D15</f>
        <v>350000</v>
      </c>
      <c r="E12" s="133">
        <f>M6+E15</f>
        <v>0</v>
      </c>
      <c r="F12" s="134">
        <f>M7+F15</f>
        <v>350000</v>
      </c>
      <c r="G12" s="127">
        <f>SUM(C12:F12)</f>
        <v>1050000</v>
      </c>
      <c r="P12" s="135">
        <f>B10*规则设置!D82</f>
        <v>1470000</v>
      </c>
      <c r="Q12" s="152" t="s">
        <v>115</v>
      </c>
      <c r="R12" s="61">
        <f>F26*G26</f>
        <v>1771875</v>
      </c>
      <c r="S12" s="1"/>
      <c r="T12" s="185" t="s">
        <v>116</v>
      </c>
      <c r="U12" s="61">
        <f>E21</f>
        <v>0</v>
      </c>
      <c r="V12" s="1"/>
      <c r="W12" s="1"/>
    </row>
    <row r="13" spans="1:23" ht="18" customHeight="1" thickBot="1" x14ac:dyDescent="0.3">
      <c r="A13" s="1"/>
      <c r="B13" s="241" t="s">
        <v>117</v>
      </c>
      <c r="C13" s="265"/>
      <c r="D13" s="265"/>
      <c r="E13" s="265"/>
      <c r="F13" s="242"/>
      <c r="G13" s="1"/>
      <c r="I13" s="266" t="s">
        <v>212</v>
      </c>
      <c r="J13" s="267"/>
      <c r="K13" s="268"/>
      <c r="M13" s="259" t="s">
        <v>246</v>
      </c>
      <c r="N13" s="260"/>
      <c r="O13" s="261"/>
      <c r="P13" s="1"/>
      <c r="Q13" s="152" t="s">
        <v>47</v>
      </c>
      <c r="R13" s="60">
        <f>IF(F24&lt;1,0,IF(F24&lt;=规则设置!C41,规则设置!D40,IF(F24&lt;=规则设置!C42,规则设置!D41,IF(F24&lt;=规则设置!C43,规则设置!D42,IF(F24&lt;=规则设置!C44,规则设置!D43,规则设置!D44)))))</f>
        <v>200000</v>
      </c>
      <c r="S13" s="1"/>
      <c r="T13" s="185" t="s">
        <v>118</v>
      </c>
      <c r="U13" s="61">
        <f>C22</f>
        <v>0</v>
      </c>
      <c r="V13" s="1"/>
      <c r="W13" s="1"/>
    </row>
    <row r="14" spans="1:23" ht="18" customHeight="1" thickBot="1" x14ac:dyDescent="0.3">
      <c r="A14" s="1"/>
      <c r="B14" s="71"/>
      <c r="C14" s="72" t="s">
        <v>93</v>
      </c>
      <c r="D14" s="72" t="s">
        <v>94</v>
      </c>
      <c r="E14" s="72" t="s">
        <v>95</v>
      </c>
      <c r="F14" s="73" t="s">
        <v>96</v>
      </c>
      <c r="G14" s="127">
        <f>B10</f>
        <v>1050000</v>
      </c>
      <c r="I14" s="280" t="s">
        <v>97</v>
      </c>
      <c r="J14" s="279"/>
      <c r="K14" s="279"/>
      <c r="M14" s="148" t="s">
        <v>213</v>
      </c>
      <c r="N14" s="148" t="s">
        <v>214</v>
      </c>
      <c r="O14" s="148" t="s">
        <v>215</v>
      </c>
      <c r="P14" s="1"/>
      <c r="Q14" s="152" t="s">
        <v>119</v>
      </c>
      <c r="R14" s="61">
        <f>C26*(规则设置!B47)</f>
        <v>1417500</v>
      </c>
      <c r="S14" s="1"/>
      <c r="T14" s="185" t="s">
        <v>120</v>
      </c>
      <c r="U14" s="61">
        <f>SUM(U9:U13)</f>
        <v>15685827.594339622</v>
      </c>
      <c r="V14" s="1"/>
      <c r="W14" s="1"/>
    </row>
    <row r="15" spans="1:23" ht="18" customHeight="1" thickBot="1" x14ac:dyDescent="0.3">
      <c r="A15" s="1"/>
      <c r="B15" s="46" t="s">
        <v>121</v>
      </c>
      <c r="C15" s="88">
        <v>350000</v>
      </c>
      <c r="D15" s="88">
        <v>350000</v>
      </c>
      <c r="E15" s="88">
        <v>0</v>
      </c>
      <c r="F15" s="136">
        <v>350000</v>
      </c>
      <c r="G15" s="137">
        <f>SUM(C15:F15)</f>
        <v>1050000</v>
      </c>
      <c r="I15" s="280" t="s">
        <v>100</v>
      </c>
      <c r="J15" s="279"/>
      <c r="K15" s="279">
        <v>0</v>
      </c>
      <c r="M15" s="280" t="s">
        <v>98</v>
      </c>
      <c r="N15" s="279"/>
      <c r="O15" s="279"/>
      <c r="P15" s="1"/>
      <c r="Q15" s="152" t="s">
        <v>122</v>
      </c>
      <c r="R15" s="61">
        <f>K11*规则设置!B50</f>
        <v>84000</v>
      </c>
      <c r="S15" s="1"/>
      <c r="T15" s="68" t="s">
        <v>123</v>
      </c>
      <c r="U15" s="61">
        <f>U7-U14</f>
        <v>4644172.4056603778</v>
      </c>
      <c r="V15" s="1"/>
      <c r="W15" s="1" t="s">
        <v>258</v>
      </c>
    </row>
    <row r="16" spans="1:23" ht="18" customHeight="1" thickBot="1" x14ac:dyDescent="0.3">
      <c r="A16" s="1"/>
      <c r="B16" s="46" t="s">
        <v>124</v>
      </c>
      <c r="C16" s="74"/>
      <c r="D16" s="74"/>
      <c r="E16" s="74"/>
      <c r="F16" s="60"/>
      <c r="G16" s="1">
        <f>G14-G15</f>
        <v>0</v>
      </c>
      <c r="I16" s="280" t="s">
        <v>216</v>
      </c>
      <c r="J16" s="279"/>
      <c r="K16" s="279">
        <v>0</v>
      </c>
      <c r="M16" s="280" t="s">
        <v>100</v>
      </c>
      <c r="N16" s="279"/>
      <c r="O16" s="279">
        <v>0</v>
      </c>
      <c r="P16" s="1"/>
      <c r="Q16" s="152" t="s">
        <v>125</v>
      </c>
      <c r="R16" s="61">
        <f>规则设置!C50*D26</f>
        <v>200000</v>
      </c>
      <c r="S16" s="1"/>
      <c r="T16" s="75" t="s">
        <v>126</v>
      </c>
      <c r="U16" s="76">
        <f>IF((O28+U15)&gt;=0.5*U4,O28+U15,0.5*U4)</f>
        <v>4644172.4056603778</v>
      </c>
      <c r="V16" s="1"/>
      <c r="W16" s="1">
        <f>IF((O28+U15)&gt;=0.5*U4,0,1)</f>
        <v>0</v>
      </c>
    </row>
    <row r="17" spans="1:23" ht="18" customHeight="1" thickBot="1" x14ac:dyDescent="0.3">
      <c r="A17" s="1"/>
      <c r="B17" s="202" t="s">
        <v>260</v>
      </c>
      <c r="C17" s="203">
        <f>((C12*C5-(C6+D10/H9+C15*1.35*第0季!E26))/C12)</f>
        <v>2.7321428571428572</v>
      </c>
      <c r="D17" s="203">
        <f>((D12*D5-(D6+D10/H9+D15*1.35*第0季!E26))/D12)</f>
        <v>2.8321428571428573</v>
      </c>
      <c r="E17" s="203" t="e">
        <f>((E12*E5-(E6+D10/H9+E15*1.35*第0季!E26))/E12)</f>
        <v>#DIV/0!</v>
      </c>
      <c r="F17" s="204">
        <f>((F12*F5-(F6+D10/H9+F15*1.35*第0季!E26))/F12)</f>
        <v>2.7321428571428572</v>
      </c>
      <c r="G17" s="214" t="s">
        <v>261</v>
      </c>
      <c r="H17" s="214" t="s">
        <v>268</v>
      </c>
      <c r="I17" s="280" t="s">
        <v>103</v>
      </c>
      <c r="J17" s="279"/>
      <c r="K17" s="279">
        <v>0</v>
      </c>
      <c r="M17" s="280" t="s">
        <v>216</v>
      </c>
      <c r="N17" s="279"/>
      <c r="O17" s="279">
        <v>0</v>
      </c>
      <c r="P17" s="1"/>
      <c r="Q17" s="152" t="s">
        <v>60</v>
      </c>
      <c r="R17" s="61">
        <f>规则设置!C52*O36</f>
        <v>87500</v>
      </c>
      <c r="S17" s="1"/>
      <c r="T17" s="1"/>
      <c r="U17" s="1"/>
      <c r="V17" s="1"/>
      <c r="W17" s="1"/>
    </row>
    <row r="18" spans="1:23" ht="18" customHeight="1" thickBot="1" x14ac:dyDescent="0.3">
      <c r="A18" s="1"/>
      <c r="B18" s="65"/>
      <c r="C18" s="77"/>
      <c r="D18" s="77"/>
      <c r="E18" s="77"/>
      <c r="F18" s="76"/>
      <c r="G18" s="217">
        <f>R40</f>
        <v>-1778390.094339624</v>
      </c>
      <c r="H18" s="217">
        <f>U30</f>
        <v>1721609.9056603778</v>
      </c>
      <c r="I18" s="280" t="s">
        <v>105</v>
      </c>
      <c r="J18" s="279"/>
      <c r="K18" s="279"/>
      <c r="M18" s="280" t="s">
        <v>104</v>
      </c>
      <c r="N18" s="279"/>
      <c r="O18" s="279">
        <v>0</v>
      </c>
      <c r="P18" s="1"/>
      <c r="Q18" s="152" t="s">
        <v>127</v>
      </c>
      <c r="R18" s="61">
        <f>O34-U23</f>
        <v>0</v>
      </c>
      <c r="S18" s="1"/>
      <c r="T18" s="1"/>
      <c r="U18" s="1"/>
      <c r="V18" s="1"/>
      <c r="W18" s="1"/>
    </row>
    <row r="19" spans="1:23" ht="18" customHeight="1" thickBot="1" x14ac:dyDescent="0.3">
      <c r="A19" s="1"/>
      <c r="B19" s="138" t="s">
        <v>199</v>
      </c>
      <c r="C19" s="138">
        <f>IF(C12&gt;规则设置!D47*N4,"请核对产品数量！",)</f>
        <v>0</v>
      </c>
      <c r="D19" s="138">
        <f>IF(D12&gt;规则设置!D47*N5,"请核对产品数量！",)</f>
        <v>0</v>
      </c>
      <c r="E19" s="138">
        <f>IF(E12&gt;规则设置!D47*N6,"请核对产品数量！",)</f>
        <v>0</v>
      </c>
      <c r="F19" s="139">
        <f>IF(F12&gt;规则设置!D47*N7,"请核对产品数量！",)</f>
        <v>0</v>
      </c>
      <c r="G19" s="1"/>
      <c r="H19" s="207"/>
      <c r="I19" s="280" t="s">
        <v>108</v>
      </c>
      <c r="J19" s="279"/>
      <c r="K19" s="279"/>
      <c r="M19" s="280" t="s">
        <v>106</v>
      </c>
      <c r="N19" s="279"/>
      <c r="O19" s="279">
        <v>0</v>
      </c>
      <c r="P19" s="1"/>
      <c r="Q19" s="70" t="s">
        <v>128</v>
      </c>
      <c r="R19" s="61"/>
      <c r="S19" s="1"/>
      <c r="T19" s="241" t="s">
        <v>129</v>
      </c>
      <c r="U19" s="242"/>
      <c r="V19" s="1"/>
      <c r="W19" s="1"/>
    </row>
    <row r="20" spans="1:23" ht="18" customHeight="1" thickBot="1" x14ac:dyDescent="0.3">
      <c r="A20" s="1"/>
      <c r="B20" s="241" t="s">
        <v>130</v>
      </c>
      <c r="C20" s="265"/>
      <c r="D20" s="265"/>
      <c r="E20" s="242"/>
      <c r="F20" s="1"/>
      <c r="G20" s="1"/>
      <c r="I20" s="280" t="s">
        <v>111</v>
      </c>
      <c r="J20" s="279"/>
      <c r="K20" s="147">
        <v>2117750</v>
      </c>
      <c r="M20" s="280" t="s">
        <v>109</v>
      </c>
      <c r="N20" s="279"/>
      <c r="O20" s="279"/>
      <c r="P20" s="1"/>
      <c r="Q20" s="64" t="s">
        <v>131</v>
      </c>
      <c r="R20" s="61"/>
      <c r="S20" s="1"/>
      <c r="T20" s="56" t="s">
        <v>132</v>
      </c>
      <c r="U20" s="57"/>
      <c r="V20" s="1"/>
      <c r="W20" s="1"/>
    </row>
    <row r="21" spans="1:23" ht="18" customHeight="1" thickBot="1" x14ac:dyDescent="0.3">
      <c r="A21" s="1"/>
      <c r="B21" s="78" t="s">
        <v>104</v>
      </c>
      <c r="C21" s="88">
        <v>12000000</v>
      </c>
      <c r="D21" s="54" t="s">
        <v>116</v>
      </c>
      <c r="E21" s="136">
        <v>0</v>
      </c>
      <c r="F21" s="1" t="s">
        <v>200</v>
      </c>
      <c r="G21" s="140">
        <f>ROUNDUP(H2-H4,0)</f>
        <v>5123345</v>
      </c>
      <c r="I21" s="280" t="s">
        <v>32</v>
      </c>
      <c r="J21" s="279"/>
      <c r="K21" s="279">
        <v>0</v>
      </c>
      <c r="M21" s="280" t="s">
        <v>112</v>
      </c>
      <c r="N21" s="279"/>
      <c r="O21" s="147">
        <v>3000000</v>
      </c>
      <c r="P21" s="1"/>
      <c r="Q21" s="64" t="s">
        <v>133</v>
      </c>
      <c r="R21" s="61"/>
      <c r="S21" s="1"/>
      <c r="T21" s="152" t="s">
        <v>134</v>
      </c>
      <c r="U21" s="61">
        <f>U16</f>
        <v>4644172.4056603778</v>
      </c>
      <c r="V21" s="1"/>
      <c r="W21" s="1"/>
    </row>
    <row r="22" spans="1:23" ht="18" customHeight="1" thickBot="1" x14ac:dyDescent="0.3">
      <c r="A22" s="1"/>
      <c r="B22" s="65" t="s">
        <v>118</v>
      </c>
      <c r="C22" s="262"/>
      <c r="D22" s="263"/>
      <c r="E22" s="264"/>
      <c r="F22" s="1"/>
      <c r="G22" s="141">
        <f>ROUNDUP(H2-H4,0)+ROUNDUP(H2-H4,0)*规则设置!E73/4</f>
        <v>5174578.45</v>
      </c>
      <c r="I22" s="280" t="s">
        <v>39</v>
      </c>
      <c r="J22" s="279"/>
      <c r="K22" s="279">
        <v>0</v>
      </c>
      <c r="M22" s="280" t="s">
        <v>113</v>
      </c>
      <c r="N22" s="279"/>
      <c r="O22" s="279">
        <v>0</v>
      </c>
      <c r="P22" s="1"/>
      <c r="Q22" s="64" t="s">
        <v>135</v>
      </c>
      <c r="R22" s="61"/>
      <c r="S22" s="1"/>
      <c r="T22" s="152" t="s">
        <v>136</v>
      </c>
      <c r="U22" s="61">
        <f>(F24+C26+M9-B10*1.35)*F26</f>
        <v>4664937.5</v>
      </c>
      <c r="V22" s="127"/>
      <c r="W22" s="1"/>
    </row>
    <row r="23" spans="1:23" ht="18" customHeight="1" thickBot="1" x14ac:dyDescent="0.3">
      <c r="A23" s="1"/>
      <c r="B23" s="1"/>
      <c r="C23" s="1"/>
      <c r="D23" s="1"/>
      <c r="E23" s="1"/>
      <c r="F23" s="1"/>
      <c r="G23" s="1"/>
      <c r="I23" s="280" t="s">
        <v>115</v>
      </c>
      <c r="J23" s="279"/>
      <c r="K23" s="279">
        <v>0</v>
      </c>
      <c r="M23" s="280" t="s">
        <v>221</v>
      </c>
      <c r="N23" s="279"/>
      <c r="O23" s="147">
        <v>3500000</v>
      </c>
      <c r="P23" s="1"/>
      <c r="Q23" s="80" t="s">
        <v>137</v>
      </c>
      <c r="R23" s="61">
        <f>SUM(C6:F6)</f>
        <v>2550000</v>
      </c>
      <c r="S23" s="1"/>
      <c r="T23" s="152" t="s">
        <v>138</v>
      </c>
      <c r="U23" s="61">
        <f>规则设置!B79*(B10-C15-D15-E15-F15)</f>
        <v>0</v>
      </c>
      <c r="V23" s="1"/>
      <c r="W23" s="1"/>
    </row>
    <row r="24" spans="1:23" ht="18" customHeight="1" thickBot="1" x14ac:dyDescent="0.3">
      <c r="A24" s="1"/>
      <c r="B24" s="241" t="s">
        <v>139</v>
      </c>
      <c r="C24" s="265"/>
      <c r="D24" s="242"/>
      <c r="E24" s="32" t="s">
        <v>252</v>
      </c>
      <c r="F24" s="184">
        <v>3731950</v>
      </c>
      <c r="G24" s="1"/>
      <c r="I24" s="280" t="s">
        <v>266</v>
      </c>
      <c r="J24" s="279"/>
      <c r="K24" s="279">
        <v>0</v>
      </c>
      <c r="M24" s="280" t="s">
        <v>116</v>
      </c>
      <c r="N24" s="279"/>
      <c r="O24" s="279">
        <v>0</v>
      </c>
      <c r="P24" s="1"/>
      <c r="Q24" s="80" t="s">
        <v>61</v>
      </c>
      <c r="R24" s="61">
        <f>规则设置!C55*C15+规则设置!D55*D15+规则设置!E55*E15+规则设置!F55*F15</f>
        <v>350000</v>
      </c>
      <c r="S24" s="1"/>
      <c r="T24" s="152" t="s">
        <v>140</v>
      </c>
      <c r="U24" s="61">
        <f>O36-R17+U11</f>
        <v>4412500</v>
      </c>
      <c r="V24" s="1"/>
      <c r="W24" s="1"/>
    </row>
    <row r="25" spans="1:23" ht="18" customHeight="1" thickBot="1" x14ac:dyDescent="0.3">
      <c r="A25" s="1"/>
      <c r="B25" s="78" t="s">
        <v>141</v>
      </c>
      <c r="C25" s="54" t="s">
        <v>142</v>
      </c>
      <c r="D25" s="55" t="s">
        <v>143</v>
      </c>
      <c r="E25" s="19" t="s">
        <v>2</v>
      </c>
      <c r="F25" s="19" t="s">
        <v>144</v>
      </c>
      <c r="G25" s="19" t="s">
        <v>145</v>
      </c>
      <c r="H25" s="19" t="s">
        <v>250</v>
      </c>
      <c r="I25" s="280" t="s">
        <v>217</v>
      </c>
      <c r="J25" s="279"/>
      <c r="K25" s="279">
        <v>0</v>
      </c>
      <c r="M25" s="280" t="s">
        <v>118</v>
      </c>
      <c r="N25" s="279"/>
      <c r="O25" s="279">
        <v>0</v>
      </c>
      <c r="P25" s="1"/>
      <c r="Q25" s="152" t="s">
        <v>66</v>
      </c>
      <c r="R25" s="61">
        <f>规则设置!B12*C26</f>
        <v>0</v>
      </c>
      <c r="S25" s="1"/>
      <c r="T25" s="152" t="s">
        <v>146</v>
      </c>
      <c r="U25" s="61">
        <f>SUM(U21:U24)</f>
        <v>13721609.905660378</v>
      </c>
      <c r="V25" s="1"/>
      <c r="W25" s="1"/>
    </row>
    <row r="26" spans="1:23" ht="18" customHeight="1" thickBot="1" x14ac:dyDescent="0.3">
      <c r="A26" s="1"/>
      <c r="B26" s="159">
        <f>ROUNDDOWN(D41-(M9-B10*1.35),0)+1</f>
        <v>3204564</v>
      </c>
      <c r="C26" s="219">
        <f>IF(B10*1.35-M9&lt;=0,0,B10*1.35-M9)</f>
        <v>1417500</v>
      </c>
      <c r="D26" s="82">
        <v>2</v>
      </c>
      <c r="E26" s="83">
        <v>1.25</v>
      </c>
      <c r="F26" s="52">
        <f>(U10+O34)/(F24+M9+C26)</f>
        <v>1.25</v>
      </c>
      <c r="G26" s="84">
        <f>规则设置!B20*B10</f>
        <v>1417500</v>
      </c>
      <c r="H26" s="84">
        <f>ROUNDDOWN(O42/3/规则设置!D50,0)</f>
        <v>2</v>
      </c>
      <c r="I26" s="280" t="s">
        <v>218</v>
      </c>
      <c r="J26" s="279"/>
      <c r="K26" s="279">
        <v>0</v>
      </c>
      <c r="M26" s="280" t="s">
        <v>120</v>
      </c>
      <c r="N26" s="279"/>
      <c r="O26" s="147">
        <v>6500000</v>
      </c>
      <c r="P26" s="1"/>
      <c r="Q26" s="70" t="s">
        <v>147</v>
      </c>
      <c r="R26" s="61"/>
      <c r="S26" s="1"/>
      <c r="T26" s="85" t="s">
        <v>148</v>
      </c>
      <c r="U26" s="61"/>
      <c r="V26" s="1"/>
      <c r="W26" s="1"/>
    </row>
    <row r="27" spans="1:23" ht="18" customHeight="1" thickBot="1" x14ac:dyDescent="0.3">
      <c r="A27" s="1"/>
      <c r="B27" s="1"/>
      <c r="C27" s="1"/>
      <c r="D27" s="1"/>
      <c r="E27" s="1"/>
      <c r="F27" s="1"/>
      <c r="G27" s="1"/>
      <c r="I27" s="280" t="s">
        <v>219</v>
      </c>
      <c r="J27" s="279"/>
      <c r="K27" s="147">
        <v>700000</v>
      </c>
      <c r="M27" s="280" t="s">
        <v>123</v>
      </c>
      <c r="N27" s="279"/>
      <c r="O27" s="147">
        <v>-6500000</v>
      </c>
      <c r="P27" s="1"/>
      <c r="Q27" s="86" t="s">
        <v>69</v>
      </c>
      <c r="R27" s="61">
        <f>SUM(D30:D34)*规则设置!B64</f>
        <v>6000</v>
      </c>
      <c r="S27" s="1"/>
      <c r="T27" s="152" t="s">
        <v>150</v>
      </c>
      <c r="U27" s="61">
        <f>O40+U6-U12</f>
        <v>12000000</v>
      </c>
      <c r="V27" s="1"/>
      <c r="W27" s="1"/>
    </row>
    <row r="28" spans="1:23" ht="18" customHeight="1" thickBot="1" x14ac:dyDescent="0.3">
      <c r="A28" s="1"/>
      <c r="B28" s="241" t="s">
        <v>151</v>
      </c>
      <c r="C28" s="265"/>
      <c r="D28" s="265"/>
      <c r="E28" s="242"/>
      <c r="F28" s="1"/>
      <c r="I28" s="280" t="s">
        <v>220</v>
      </c>
      <c r="J28" s="279"/>
      <c r="K28" s="279">
        <v>0</v>
      </c>
      <c r="M28" s="280" t="s">
        <v>126</v>
      </c>
      <c r="N28" s="279"/>
      <c r="O28" s="279">
        <v>0</v>
      </c>
      <c r="P28" s="1"/>
      <c r="Q28" s="80" t="s">
        <v>70</v>
      </c>
      <c r="R28" s="61">
        <f>SUM(D30:D34)*规则设置!C64</f>
        <v>12000</v>
      </c>
      <c r="S28" s="1"/>
      <c r="T28" s="152" t="s">
        <v>152</v>
      </c>
      <c r="U28" s="60">
        <f>IF(W16=0,0,0.5*U4-U15-O28)</f>
        <v>0</v>
      </c>
      <c r="V28" s="1"/>
      <c r="W28" s="1"/>
    </row>
    <row r="29" spans="1:23" ht="18" customHeight="1" thickBot="1" x14ac:dyDescent="0.3">
      <c r="A29" s="1"/>
      <c r="B29" s="271" t="s">
        <v>153</v>
      </c>
      <c r="C29" s="272"/>
      <c r="D29" s="54" t="s">
        <v>154</v>
      </c>
      <c r="E29" s="55" t="s">
        <v>155</v>
      </c>
      <c r="F29" s="1"/>
      <c r="G29" s="178" t="s">
        <v>249</v>
      </c>
      <c r="H29">
        <v>2</v>
      </c>
      <c r="I29" s="280" t="s">
        <v>127</v>
      </c>
      <c r="J29" s="279"/>
      <c r="K29" s="279">
        <v>0</v>
      </c>
      <c r="P29" s="1"/>
      <c r="Q29" s="80" t="s">
        <v>71</v>
      </c>
      <c r="R29" s="61">
        <f>规则设置!C67*C37+规则设置!D67*D37+规则设置!C68*C38+规则设置!D68*D38</f>
        <v>315000</v>
      </c>
      <c r="S29" s="1"/>
      <c r="T29" s="152" t="s">
        <v>156</v>
      </c>
      <c r="U29" s="61">
        <f>SUM(U27:U28)</f>
        <v>12000000</v>
      </c>
      <c r="V29" s="1"/>
      <c r="W29" s="1"/>
    </row>
    <row r="30" spans="1:23" ht="18" customHeight="1" thickBot="1" x14ac:dyDescent="0.3">
      <c r="A30" s="1"/>
      <c r="B30" s="273" t="s">
        <v>17</v>
      </c>
      <c r="C30" s="87" t="s">
        <v>93</v>
      </c>
      <c r="D30" s="88">
        <v>2</v>
      </c>
      <c r="E30" s="136"/>
      <c r="F30" s="1"/>
      <c r="G30" s="52">
        <f>ROUNDDOWN(U30/3/规则设置!D50,0)</f>
        <v>1</v>
      </c>
      <c r="I30" s="280" t="s">
        <v>128</v>
      </c>
      <c r="J30" s="279"/>
      <c r="K30" s="279"/>
      <c r="M30" s="259" t="s">
        <v>247</v>
      </c>
      <c r="N30" s="260"/>
      <c r="O30" s="261"/>
      <c r="P30" s="1"/>
      <c r="Q30" s="80" t="s">
        <v>157</v>
      </c>
      <c r="R30" s="61">
        <f>SUM(E30:E33)*规则设置!C70+E34*规则设置!D70</f>
        <v>0</v>
      </c>
      <c r="S30" s="1"/>
      <c r="T30" s="75" t="s">
        <v>158</v>
      </c>
      <c r="U30" s="89">
        <f>U25-U29</f>
        <v>1721609.9056603778</v>
      </c>
      <c r="V30" s="1" t="s">
        <v>159</v>
      </c>
      <c r="W30" s="90"/>
    </row>
    <row r="31" spans="1:23" ht="18" customHeight="1" thickBot="1" x14ac:dyDescent="0.3">
      <c r="A31" s="1"/>
      <c r="B31" s="274"/>
      <c r="C31" s="87" t="s">
        <v>94</v>
      </c>
      <c r="D31" s="88">
        <v>2</v>
      </c>
      <c r="E31" s="136"/>
      <c r="F31" s="1"/>
      <c r="G31" s="1"/>
      <c r="I31" s="280" t="s">
        <v>131</v>
      </c>
      <c r="J31" s="279"/>
      <c r="K31" s="279">
        <v>0</v>
      </c>
      <c r="M31" s="206"/>
      <c r="N31" s="205"/>
      <c r="O31" s="205"/>
      <c r="P31" s="1"/>
      <c r="Q31" s="80" t="s">
        <v>160</v>
      </c>
      <c r="R31" s="61">
        <f>规则设置!B76*O34</f>
        <v>0</v>
      </c>
      <c r="S31" s="1"/>
      <c r="T31" s="1"/>
      <c r="U31" s="1"/>
      <c r="V31" s="1" t="s">
        <v>161</v>
      </c>
      <c r="W31" s="92">
        <f>U30-W30</f>
        <v>1721609.9056603778</v>
      </c>
    </row>
    <row r="32" spans="1:23" ht="18" customHeight="1" thickBot="1" x14ac:dyDescent="0.3">
      <c r="A32" s="1"/>
      <c r="B32" s="274"/>
      <c r="C32" s="87" t="s">
        <v>95</v>
      </c>
      <c r="D32" s="88">
        <v>0</v>
      </c>
      <c r="E32" s="136"/>
      <c r="F32" s="1"/>
      <c r="G32" s="19" t="s">
        <v>248</v>
      </c>
      <c r="I32" s="280" t="s">
        <v>133</v>
      </c>
      <c r="J32" s="279"/>
      <c r="K32" s="279">
        <v>0</v>
      </c>
      <c r="M32" s="280" t="s">
        <v>132</v>
      </c>
      <c r="N32" s="279"/>
      <c r="O32" s="279"/>
      <c r="P32" s="1"/>
      <c r="Q32" s="80" t="s">
        <v>83</v>
      </c>
      <c r="R32" s="61">
        <f>规则设置!C76*L9</f>
        <v>0</v>
      </c>
      <c r="S32" s="1"/>
      <c r="T32" s="1"/>
      <c r="U32" s="1"/>
      <c r="V32" s="1"/>
      <c r="W32" s="1"/>
    </row>
    <row r="33" spans="1:23" ht="18" customHeight="1" thickBot="1" x14ac:dyDescent="0.3">
      <c r="A33" s="1"/>
      <c r="B33" s="243"/>
      <c r="C33" s="87" t="s">
        <v>96</v>
      </c>
      <c r="D33" s="88">
        <v>2</v>
      </c>
      <c r="E33" s="176"/>
      <c r="F33" s="1"/>
      <c r="G33" s="177">
        <v>1</v>
      </c>
      <c r="I33" s="280" t="s">
        <v>135</v>
      </c>
      <c r="J33" s="279"/>
      <c r="K33" s="279">
        <v>0</v>
      </c>
      <c r="M33" s="280" t="s">
        <v>134</v>
      </c>
      <c r="N33" s="279"/>
      <c r="O33" s="279">
        <v>0</v>
      </c>
      <c r="P33" s="1"/>
      <c r="Q33" s="93" t="s">
        <v>162</v>
      </c>
      <c r="R33" s="61"/>
      <c r="S33" s="1"/>
      <c r="T33" s="41" t="s">
        <v>201</v>
      </c>
      <c r="U33" s="42" t="s">
        <v>202</v>
      </c>
      <c r="V33" s="42" t="s">
        <v>203</v>
      </c>
      <c r="W33" s="6" t="s">
        <v>204</v>
      </c>
    </row>
    <row r="34" spans="1:23" ht="18" customHeight="1" thickBot="1" x14ac:dyDescent="0.3">
      <c r="A34" s="1"/>
      <c r="B34" s="275" t="s">
        <v>163</v>
      </c>
      <c r="C34" s="276"/>
      <c r="D34" s="94">
        <f>规则设置!B82*D26</f>
        <v>6</v>
      </c>
      <c r="E34" s="142"/>
      <c r="F34" s="1"/>
      <c r="G34" s="1"/>
      <c r="I34" s="280" t="s">
        <v>137</v>
      </c>
      <c r="J34" s="279"/>
      <c r="K34" s="279">
        <v>0</v>
      </c>
      <c r="M34" s="280" t="s">
        <v>136</v>
      </c>
      <c r="N34" s="279"/>
      <c r="O34" s="279">
        <v>0</v>
      </c>
      <c r="P34" s="1"/>
      <c r="Q34" s="80" t="s">
        <v>164</v>
      </c>
      <c r="R34" s="61">
        <f>U27*(规则设置!E73/4)+O40*3*(规则设置!E73/4)</f>
        <v>120000</v>
      </c>
      <c r="S34" s="1"/>
      <c r="T34" s="143">
        <f>U34+V34-W34</f>
        <v>-4791206.0489723301</v>
      </c>
      <c r="U34" s="144">
        <f>C22/((1+规则设置!F73/4))</f>
        <v>0</v>
      </c>
      <c r="V34" s="144">
        <f>U30/(1+规则设置!F73/4)</f>
        <v>1708793.9510276702</v>
      </c>
      <c r="W34" s="123">
        <f>规则设置!C3</f>
        <v>6500000</v>
      </c>
    </row>
    <row r="35" spans="1:23" ht="18" customHeight="1" thickBot="1" x14ac:dyDescent="0.3">
      <c r="A35" s="1"/>
      <c r="B35" s="1"/>
      <c r="C35" s="1"/>
      <c r="D35" s="1"/>
      <c r="E35" s="1"/>
      <c r="F35" s="1"/>
      <c r="G35" s="1"/>
      <c r="I35" s="280" t="s">
        <v>61</v>
      </c>
      <c r="J35" s="279"/>
      <c r="K35" s="279">
        <v>0</v>
      </c>
      <c r="M35" s="280" t="s">
        <v>84</v>
      </c>
      <c r="N35" s="279"/>
      <c r="O35" s="279">
        <v>0</v>
      </c>
      <c r="P35" s="1"/>
      <c r="Q35" s="93" t="s">
        <v>165</v>
      </c>
      <c r="R35" s="61"/>
      <c r="S35" s="1"/>
      <c r="T35" s="1"/>
      <c r="U35" s="1"/>
      <c r="V35" s="1"/>
      <c r="W35" s="1"/>
    </row>
    <row r="36" spans="1:23" ht="18" customHeight="1" thickBot="1" x14ac:dyDescent="0.3">
      <c r="A36" s="1"/>
      <c r="B36" s="41" t="s">
        <v>71</v>
      </c>
      <c r="C36" s="42" t="s">
        <v>187</v>
      </c>
      <c r="D36" s="6" t="s">
        <v>163</v>
      </c>
      <c r="F36" s="41" t="s">
        <v>208</v>
      </c>
      <c r="G36" s="145"/>
      <c r="I36" s="280" t="s">
        <v>66</v>
      </c>
      <c r="J36" s="279"/>
      <c r="K36" s="279">
        <v>0</v>
      </c>
      <c r="M36" s="280" t="s">
        <v>140</v>
      </c>
      <c r="N36" s="279"/>
      <c r="O36" s="147">
        <v>3500000</v>
      </c>
      <c r="P36" s="1"/>
      <c r="Q36" s="80" t="s">
        <v>167</v>
      </c>
      <c r="R36" s="61">
        <f>(R4/(1+规则设置!B73))*规则设置!B73</f>
        <v>471509.43396226416</v>
      </c>
      <c r="S36" s="1"/>
      <c r="T36" s="1"/>
      <c r="U36" s="1"/>
      <c r="V36" s="1"/>
      <c r="W36" s="1"/>
    </row>
    <row r="37" spans="1:23" ht="18" customHeight="1" thickBot="1" x14ac:dyDescent="0.3">
      <c r="A37" s="1"/>
      <c r="B37" s="28" t="s">
        <v>74</v>
      </c>
      <c r="C37" s="34">
        <f>SUM(D30:D33)</f>
        <v>6</v>
      </c>
      <c r="D37" s="11">
        <f>D34</f>
        <v>6</v>
      </c>
      <c r="F37" s="28" t="s">
        <v>209</v>
      </c>
      <c r="G37" s="146">
        <f>D41</f>
        <v>1787063</v>
      </c>
      <c r="I37" s="280" t="s">
        <v>147</v>
      </c>
      <c r="J37" s="279"/>
      <c r="K37" s="279"/>
      <c r="M37" s="280" t="s">
        <v>146</v>
      </c>
      <c r="N37" s="279"/>
      <c r="O37" s="147">
        <v>3500000</v>
      </c>
      <c r="P37" s="1"/>
      <c r="Q37" s="80" t="s">
        <v>169</v>
      </c>
      <c r="R37" s="61">
        <f>规则设置!C73*R36</f>
        <v>33005.660377358494</v>
      </c>
      <c r="S37" s="1"/>
      <c r="T37" s="98" t="s">
        <v>170</v>
      </c>
      <c r="U37" s="1"/>
      <c r="V37" s="1"/>
      <c r="W37" s="1"/>
    </row>
    <row r="38" spans="1:23" ht="18" customHeight="1" thickBot="1" x14ac:dyDescent="0.3">
      <c r="A38" s="1"/>
      <c r="B38" s="35" t="s">
        <v>75</v>
      </c>
      <c r="C38" s="144">
        <f>N11-SUM(E30:E33)</f>
        <v>12</v>
      </c>
      <c r="D38" s="123">
        <f>M11-E34</f>
        <v>21</v>
      </c>
      <c r="F38" s="28" t="s">
        <v>210</v>
      </c>
      <c r="G38" s="146">
        <f>ROUNDUP(规则设置!B20*(ROUNDDOWN((J11*0.975+D26*规则设置!C15),0)*0.975+G33*规则设置!C15)*3,0)</f>
        <v>1944886</v>
      </c>
      <c r="I38" s="280" t="s">
        <v>69</v>
      </c>
      <c r="J38" s="279"/>
      <c r="K38" s="147">
        <v>16500</v>
      </c>
      <c r="M38" s="280" t="s">
        <v>148</v>
      </c>
      <c r="N38" s="279"/>
      <c r="O38" s="279"/>
      <c r="P38" s="1"/>
      <c r="Q38" s="80" t="s">
        <v>170</v>
      </c>
      <c r="R38" s="101">
        <f>IF(T38&gt;0,T38,)</f>
        <v>0</v>
      </c>
      <c r="S38" s="1"/>
      <c r="T38" s="172">
        <f>(R4/(1+规则设置!B73)-SUM(R9:R34)-R37)*规则设置!D73</f>
        <v>-444597.52358490566</v>
      </c>
      <c r="U38" s="1"/>
      <c r="V38" s="1"/>
      <c r="W38" s="1"/>
    </row>
    <row r="39" spans="1:23" ht="18" customHeight="1" thickBot="1" x14ac:dyDescent="0.3">
      <c r="A39" s="1"/>
      <c r="B39" s="138" t="s">
        <v>254</v>
      </c>
      <c r="C39" s="138">
        <f>IF((C38+C37)*规则设置!D47&lt;G41*规则设置!B82,"请核对招聘员工数",0)</f>
        <v>0</v>
      </c>
      <c r="D39" s="138">
        <f>IF((D37+D38)/规则设置!B82&lt;(K11+D26),"请核对工人数量",0)</f>
        <v>0</v>
      </c>
      <c r="F39" s="35" t="s">
        <v>211</v>
      </c>
      <c r="G39" s="123">
        <f>G37+G38+1</f>
        <v>3731950</v>
      </c>
      <c r="I39" s="280" t="s">
        <v>70</v>
      </c>
      <c r="J39" s="279"/>
      <c r="K39" s="147">
        <v>33000</v>
      </c>
      <c r="M39" s="280" t="s">
        <v>150</v>
      </c>
      <c r="N39" s="279"/>
      <c r="O39" s="279">
        <v>0</v>
      </c>
      <c r="P39" s="1"/>
      <c r="Q39" s="80" t="s">
        <v>173</v>
      </c>
      <c r="R39" s="61">
        <f>SUM(R9:R38)</f>
        <v>10108390.094339624</v>
      </c>
      <c r="S39" s="1"/>
      <c r="T39" s="1"/>
      <c r="U39" s="1"/>
      <c r="V39" s="1"/>
      <c r="W39" s="1"/>
    </row>
    <row r="40" spans="1:23" ht="18" customHeight="1" thickBot="1" x14ac:dyDescent="0.3">
      <c r="A40" s="1"/>
      <c r="B40" s="253" t="s">
        <v>188</v>
      </c>
      <c r="C40" s="121" t="s">
        <v>189</v>
      </c>
      <c r="D40" s="6" t="s">
        <v>190</v>
      </c>
      <c r="I40" s="280" t="s">
        <v>71</v>
      </c>
      <c r="J40" s="279"/>
      <c r="K40" s="147">
        <v>132750</v>
      </c>
      <c r="M40" s="280" t="s">
        <v>152</v>
      </c>
      <c r="N40" s="279"/>
      <c r="O40" s="279">
        <v>0</v>
      </c>
      <c r="Q40" s="108" t="s">
        <v>177</v>
      </c>
      <c r="R40" s="89">
        <f>R6-R39</f>
        <v>-1778390.094339624</v>
      </c>
      <c r="S40" s="1"/>
      <c r="T40" s="1"/>
      <c r="U40" s="1"/>
      <c r="V40" s="1"/>
      <c r="W40" s="1"/>
    </row>
    <row r="41" spans="1:23" ht="18" customHeight="1" thickBot="1" x14ac:dyDescent="0.3">
      <c r="A41" s="1"/>
      <c r="B41" s="254"/>
      <c r="C41" s="192">
        <f>G41*3</f>
        <v>1323750</v>
      </c>
      <c r="D41" s="123">
        <f>ROUNDUP(规则设置!B20*C41,0)</f>
        <v>1787063</v>
      </c>
      <c r="F41" s="160" t="s">
        <v>191</v>
      </c>
      <c r="G41" s="161">
        <f>ROUNDDOWN(J11*0.975+D26*规则设置!C15,0)</f>
        <v>441250</v>
      </c>
      <c r="I41" s="280" t="s">
        <v>157</v>
      </c>
      <c r="J41" s="279"/>
      <c r="K41" s="279">
        <v>0</v>
      </c>
      <c r="L41" s="1"/>
      <c r="M41" s="280" t="s">
        <v>156</v>
      </c>
      <c r="N41" s="279"/>
      <c r="O41" s="279">
        <v>0</v>
      </c>
    </row>
    <row r="42" spans="1:23" ht="18" customHeight="1" thickBot="1" x14ac:dyDescent="0.3">
      <c r="A42" s="1"/>
      <c r="I42" s="280" t="s">
        <v>160</v>
      </c>
      <c r="J42" s="279"/>
      <c r="K42" s="279">
        <v>0</v>
      </c>
      <c r="L42" s="1"/>
      <c r="M42" s="280" t="s">
        <v>158</v>
      </c>
      <c r="N42" s="279"/>
      <c r="O42" s="147">
        <v>3500000</v>
      </c>
    </row>
    <row r="43" spans="1:23" ht="18" customHeight="1" thickBot="1" x14ac:dyDescent="0.3">
      <c r="A43" s="1"/>
      <c r="I43" s="280" t="s">
        <v>83</v>
      </c>
      <c r="J43" s="279"/>
      <c r="K43" s="279">
        <v>0</v>
      </c>
      <c r="L43" s="1"/>
      <c r="M43" s="1"/>
      <c r="N43" s="1"/>
      <c r="O43" s="1"/>
    </row>
    <row r="44" spans="1:23" ht="18" customHeight="1" thickBot="1" x14ac:dyDescent="0.3">
      <c r="A44" s="1"/>
      <c r="I44" s="280" t="s">
        <v>162</v>
      </c>
      <c r="J44" s="279"/>
      <c r="K44" s="279"/>
      <c r="L44" s="1"/>
      <c r="M44" s="1"/>
      <c r="N44" s="1"/>
      <c r="O44" s="1"/>
    </row>
    <row r="45" spans="1:23" ht="18" customHeight="1" thickBot="1" x14ac:dyDescent="0.3">
      <c r="A45" s="1"/>
      <c r="I45" s="280" t="s">
        <v>164</v>
      </c>
      <c r="J45" s="279"/>
      <c r="K45" s="279">
        <v>0</v>
      </c>
      <c r="L45" s="1"/>
      <c r="M45" s="1"/>
      <c r="N45" s="1"/>
      <c r="O45" s="1"/>
    </row>
    <row r="46" spans="1:23" ht="18" customHeight="1" thickBot="1" x14ac:dyDescent="0.3">
      <c r="A46" s="1"/>
      <c r="I46" s="280" t="s">
        <v>165</v>
      </c>
      <c r="J46" s="279"/>
      <c r="K46" s="279"/>
      <c r="L46" s="1"/>
      <c r="M46" s="1"/>
      <c r="N46" s="1"/>
      <c r="O46" s="1"/>
    </row>
    <row r="47" spans="1:23" ht="18" customHeight="1" thickBot="1" x14ac:dyDescent="0.3">
      <c r="A47" s="1"/>
      <c r="I47" s="280" t="s">
        <v>167</v>
      </c>
      <c r="J47" s="279"/>
      <c r="K47" s="279">
        <v>0</v>
      </c>
      <c r="L47" s="1"/>
      <c r="M47" s="1"/>
      <c r="N47" s="1"/>
      <c r="O47" s="1"/>
    </row>
    <row r="48" spans="1:23" ht="18" customHeight="1" thickBot="1" x14ac:dyDescent="0.3">
      <c r="A48" s="1"/>
      <c r="I48" s="280" t="s">
        <v>169</v>
      </c>
      <c r="J48" s="279"/>
      <c r="K48" s="279">
        <v>0</v>
      </c>
      <c r="L48" s="1"/>
      <c r="M48" s="1"/>
      <c r="N48" s="1"/>
      <c r="O48" s="1"/>
    </row>
    <row r="49" spans="1:15" ht="18" customHeight="1" thickBot="1" x14ac:dyDescent="0.3">
      <c r="A49" s="1"/>
      <c r="C49" s="1"/>
      <c r="D49" s="1"/>
      <c r="E49" s="1"/>
      <c r="F49" s="1"/>
      <c r="G49" s="1"/>
      <c r="H49" s="1"/>
      <c r="I49" s="280" t="s">
        <v>170</v>
      </c>
      <c r="J49" s="279"/>
      <c r="K49" s="279">
        <v>0</v>
      </c>
      <c r="L49" s="1"/>
      <c r="M49" s="1"/>
      <c r="N49" s="1"/>
      <c r="O49" s="1"/>
    </row>
    <row r="50" spans="1:15" ht="18" customHeight="1" thickBot="1" x14ac:dyDescent="0.3">
      <c r="A50" s="1"/>
      <c r="E50" s="1"/>
      <c r="F50" s="1"/>
      <c r="G50" s="1"/>
      <c r="H50" s="1"/>
      <c r="I50" s="280" t="s">
        <v>173</v>
      </c>
      <c r="J50" s="279"/>
      <c r="K50" s="147">
        <v>3000000</v>
      </c>
      <c r="L50" s="1"/>
      <c r="M50" s="1"/>
      <c r="N50" s="1"/>
      <c r="O50" s="1"/>
    </row>
    <row r="51" spans="1:15" ht="18" customHeight="1" thickBot="1" x14ac:dyDescent="0.3">
      <c r="A51" s="1"/>
      <c r="E51" s="1"/>
      <c r="F51" s="1"/>
      <c r="G51" s="1"/>
      <c r="H51" s="1"/>
      <c r="I51" s="280" t="s">
        <v>177</v>
      </c>
      <c r="J51" s="279"/>
      <c r="K51" s="147">
        <v>-3000000</v>
      </c>
      <c r="L51" s="1"/>
      <c r="M51" s="1"/>
      <c r="N51" s="1"/>
      <c r="O51" s="1"/>
    </row>
    <row r="52" spans="1:15" ht="18" customHeight="1" thickBot="1" x14ac:dyDescent="0.3">
      <c r="A52" s="1"/>
      <c r="E52" s="1"/>
      <c r="H52" s="1"/>
      <c r="I52" s="201" t="s">
        <v>177</v>
      </c>
      <c r="J52" s="199"/>
      <c r="K52" s="200">
        <v>-2000000</v>
      </c>
      <c r="L52" s="1"/>
      <c r="M52" s="1"/>
      <c r="N52" s="1"/>
      <c r="O52" s="1"/>
    </row>
    <row r="53" spans="1:15" ht="18" customHeight="1" x14ac:dyDescent="0.25">
      <c r="A53" s="1"/>
      <c r="E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1"/>
      <c r="E54" s="1"/>
      <c r="H54" s="1"/>
      <c r="J54" s="1"/>
      <c r="K54" s="1"/>
      <c r="L54" s="1"/>
      <c r="M54" s="1"/>
      <c r="N54" s="1"/>
      <c r="O54" s="1"/>
    </row>
    <row r="55" spans="1:15" ht="18" customHeight="1" x14ac:dyDescent="0.25">
      <c r="A55" s="1"/>
      <c r="E55" s="1"/>
      <c r="H55" s="1"/>
      <c r="J55" s="1"/>
      <c r="K55" s="1"/>
      <c r="L55" s="1"/>
      <c r="M55" s="1"/>
      <c r="N55" s="1"/>
      <c r="O55" s="1"/>
    </row>
  </sheetData>
  <mergeCells count="20">
    <mergeCell ref="B40:B41"/>
    <mergeCell ref="B24:D24"/>
    <mergeCell ref="B28:E28"/>
    <mergeCell ref="B29:C29"/>
    <mergeCell ref="B30:B33"/>
    <mergeCell ref="B34:C34"/>
    <mergeCell ref="T2:U2"/>
    <mergeCell ref="B8:E8"/>
    <mergeCell ref="D9:E9"/>
    <mergeCell ref="I2:N2"/>
    <mergeCell ref="T19:U19"/>
    <mergeCell ref="M13:O13"/>
    <mergeCell ref="M30:O30"/>
    <mergeCell ref="C22:E22"/>
    <mergeCell ref="B2:F2"/>
    <mergeCell ref="Q2:R2"/>
    <mergeCell ref="I13:K13"/>
    <mergeCell ref="D10:E10"/>
    <mergeCell ref="B13:F13"/>
    <mergeCell ref="B20:E20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0D96-1592-4ED0-8A58-CA9621350449}">
  <dimension ref="A1:W55"/>
  <sheetViews>
    <sheetView zoomScale="85" zoomScaleNormal="85" workbookViewId="0">
      <selection activeCell="D27" sqref="D27"/>
    </sheetView>
  </sheetViews>
  <sheetFormatPr defaultColWidth="15.77734375" defaultRowHeight="18" customHeight="1" x14ac:dyDescent="0.25"/>
  <cols>
    <col min="1" max="1" width="8.77734375" customWidth="1"/>
    <col min="18" max="18" width="19.21875" bestFit="1" customWidth="1"/>
  </cols>
  <sheetData>
    <row r="1" spans="1:23" ht="18" customHeight="1" thickBot="1" x14ac:dyDescent="0.3">
      <c r="A1" s="1"/>
      <c r="B1" s="1"/>
      <c r="C1" s="1"/>
      <c r="D1" s="1"/>
      <c r="E1" s="1"/>
      <c r="F1" s="1"/>
      <c r="G1" s="1"/>
      <c r="P1" s="1"/>
      <c r="Q1" s="1"/>
      <c r="R1" s="1"/>
      <c r="S1" s="1"/>
      <c r="T1" s="1"/>
      <c r="U1" s="1"/>
      <c r="V1" s="1"/>
      <c r="W1" s="1"/>
    </row>
    <row r="2" spans="1:23" ht="18" customHeight="1" thickBot="1" x14ac:dyDescent="0.3">
      <c r="A2" s="1"/>
      <c r="B2" s="241" t="s">
        <v>90</v>
      </c>
      <c r="C2" s="265"/>
      <c r="D2" s="265"/>
      <c r="E2" s="265"/>
      <c r="F2" s="242"/>
      <c r="G2" s="2" t="s">
        <v>194</v>
      </c>
      <c r="H2" s="163">
        <f>U15</f>
        <v>1436948.5171886794</v>
      </c>
      <c r="I2" s="266" t="s">
        <v>240</v>
      </c>
      <c r="J2" s="267"/>
      <c r="K2" s="267"/>
      <c r="L2" s="267"/>
      <c r="M2" s="267"/>
      <c r="N2" s="268"/>
      <c r="P2" s="1"/>
      <c r="Q2" s="241" t="s">
        <v>91</v>
      </c>
      <c r="R2" s="242"/>
      <c r="S2" s="1"/>
      <c r="T2" s="241" t="s">
        <v>92</v>
      </c>
      <c r="U2" s="242"/>
      <c r="V2" s="1"/>
      <c r="W2" s="1"/>
    </row>
    <row r="3" spans="1:23" ht="18" customHeight="1" thickBot="1" x14ac:dyDescent="0.3">
      <c r="A3" s="1"/>
      <c r="B3" s="53"/>
      <c r="C3" s="156" t="s">
        <v>93</v>
      </c>
      <c r="D3" s="156" t="s">
        <v>94</v>
      </c>
      <c r="E3" s="156" t="s">
        <v>95</v>
      </c>
      <c r="F3" s="157" t="s">
        <v>96</v>
      </c>
      <c r="G3" s="27"/>
      <c r="H3" s="164"/>
      <c r="I3" s="148" t="s">
        <v>174</v>
      </c>
      <c r="J3" s="148" t="s">
        <v>15</v>
      </c>
      <c r="K3" s="148" t="s">
        <v>175</v>
      </c>
      <c r="L3" s="148" t="s">
        <v>205</v>
      </c>
      <c r="M3" s="148" t="s">
        <v>176</v>
      </c>
      <c r="N3" s="148" t="s">
        <v>17</v>
      </c>
      <c r="O3" s="1" t="s">
        <v>206</v>
      </c>
      <c r="P3" s="19" t="s">
        <v>192</v>
      </c>
      <c r="Q3" s="56" t="s">
        <v>97</v>
      </c>
      <c r="R3" s="57"/>
      <c r="S3" s="1"/>
      <c r="T3" s="56" t="s">
        <v>98</v>
      </c>
      <c r="U3" s="57"/>
      <c r="V3" s="1"/>
      <c r="W3" s="1"/>
    </row>
    <row r="4" spans="1:23" ht="18" customHeight="1" thickBot="1" x14ac:dyDescent="0.3">
      <c r="A4" s="1"/>
      <c r="B4" s="152" t="s">
        <v>99</v>
      </c>
      <c r="C4" s="58">
        <f>第一季!C4</f>
        <v>6</v>
      </c>
      <c r="D4" s="58">
        <f>第一季!D4</f>
        <v>5</v>
      </c>
      <c r="E4" s="58">
        <f>第一季!E4</f>
        <v>5</v>
      </c>
      <c r="F4" s="59">
        <f>第一季!F4</f>
        <v>4</v>
      </c>
      <c r="G4" s="27" t="s">
        <v>195</v>
      </c>
      <c r="H4" s="164">
        <f>0.5*U4-U15-O28</f>
        <v>-196833.1671886798</v>
      </c>
      <c r="I4" s="279" t="s">
        <v>93</v>
      </c>
      <c r="J4" s="147">
        <v>380847</v>
      </c>
      <c r="K4" s="147">
        <v>350000</v>
      </c>
      <c r="L4" s="279">
        <v>13.05</v>
      </c>
      <c r="M4" s="279">
        <v>0</v>
      </c>
      <c r="N4" s="279">
        <v>6</v>
      </c>
      <c r="O4" s="1">
        <f>K4/(L4/100)</f>
        <v>2681992.3371647508</v>
      </c>
      <c r="P4" s="124">
        <f>IF(G12&lt;=N11*规则设置!D47,C5*C12+D5*D12+E5*E12+F5*F12,(C5*N4+D5*N5+E5*N6+F5*N7)*规则设置!D47)-(M4*C5+M5*D5+M6*E5+M7*F5)</f>
        <v>11035125</v>
      </c>
      <c r="Q4" s="125" t="s">
        <v>193</v>
      </c>
      <c r="R4" s="126">
        <f>C5*C12+D5*D12+E5*E12+F5*F12</f>
        <v>11286108.699999999</v>
      </c>
      <c r="S4" s="1"/>
      <c r="T4" s="185" t="s">
        <v>100</v>
      </c>
      <c r="U4" s="61">
        <f>R4</f>
        <v>11286108.699999999</v>
      </c>
    </row>
    <row r="5" spans="1:23" ht="18" customHeight="1" thickBot="1" x14ac:dyDescent="0.3">
      <c r="A5" s="1"/>
      <c r="B5" s="152" t="s">
        <v>101</v>
      </c>
      <c r="C5" s="128">
        <v>8.4</v>
      </c>
      <c r="D5" s="128">
        <v>8.3000000000000007</v>
      </c>
      <c r="E5" s="128">
        <v>8.6</v>
      </c>
      <c r="F5" s="166">
        <v>8.3000000000000007</v>
      </c>
      <c r="G5" s="27"/>
      <c r="H5" s="164"/>
      <c r="I5" s="279" t="s">
        <v>94</v>
      </c>
      <c r="J5" s="147">
        <v>331940</v>
      </c>
      <c r="K5" s="147">
        <v>331940</v>
      </c>
      <c r="L5" s="279">
        <v>11.58</v>
      </c>
      <c r="M5" s="147">
        <v>18060</v>
      </c>
      <c r="N5" s="279">
        <v>6</v>
      </c>
      <c r="O5" s="1">
        <f>K5/(L5/100)</f>
        <v>2866493.9550949913</v>
      </c>
      <c r="P5" s="129">
        <f>IF(G12&lt;=N11*规则设置!D47,,"注意填写库存！")</f>
        <v>0</v>
      </c>
      <c r="Q5" s="64" t="s">
        <v>102</v>
      </c>
      <c r="R5" s="61"/>
      <c r="S5" s="1"/>
      <c r="T5" s="185" t="s">
        <v>102</v>
      </c>
      <c r="U5" s="61">
        <f>R5</f>
        <v>0</v>
      </c>
    </row>
    <row r="6" spans="1:23" ht="18" customHeight="1" thickBot="1" x14ac:dyDescent="0.3">
      <c r="A6" s="1"/>
      <c r="B6" s="153" t="s">
        <v>26</v>
      </c>
      <c r="C6" s="167">
        <v>450000</v>
      </c>
      <c r="D6" s="167">
        <v>450000</v>
      </c>
      <c r="E6" s="167">
        <v>0</v>
      </c>
      <c r="F6" s="168">
        <v>450000</v>
      </c>
      <c r="G6" s="7" t="s">
        <v>222</v>
      </c>
      <c r="H6" s="165">
        <f>ROUNDUP(U14-0.5*U4-O28-1,0)</f>
        <v>-196835</v>
      </c>
      <c r="I6" s="279" t="s">
        <v>95</v>
      </c>
      <c r="J6" s="279">
        <v>0</v>
      </c>
      <c r="K6" s="279">
        <v>0</v>
      </c>
      <c r="L6" s="279">
        <v>0</v>
      </c>
      <c r="M6" s="279">
        <v>0</v>
      </c>
      <c r="N6" s="279">
        <v>0</v>
      </c>
      <c r="O6" s="1" t="e">
        <f>K6/(L6/100)</f>
        <v>#DIV/0!</v>
      </c>
      <c r="P6" s="1"/>
      <c r="Q6" s="181" t="s">
        <v>103</v>
      </c>
      <c r="R6" s="61">
        <f>R4+R5</f>
        <v>11286108.699999999</v>
      </c>
      <c r="S6" s="1"/>
      <c r="T6" s="185" t="s">
        <v>104</v>
      </c>
      <c r="U6" s="61">
        <f>C21</f>
        <v>0</v>
      </c>
    </row>
    <row r="7" spans="1:23" ht="18" customHeight="1" thickBot="1" x14ac:dyDescent="0.3">
      <c r="A7" s="1"/>
      <c r="B7" s="1"/>
      <c r="C7" s="1"/>
      <c r="D7" s="1"/>
      <c r="E7" s="214">
        <v>50</v>
      </c>
      <c r="F7" s="24"/>
      <c r="G7" s="1"/>
      <c r="I7" s="279" t="s">
        <v>96</v>
      </c>
      <c r="J7" s="147">
        <v>337821</v>
      </c>
      <c r="K7" s="147">
        <v>337821</v>
      </c>
      <c r="L7" s="279">
        <v>12.07</v>
      </c>
      <c r="M7" s="147">
        <v>12179</v>
      </c>
      <c r="N7" s="279">
        <v>6</v>
      </c>
      <c r="O7" s="1">
        <f>K7/(L7/100)</f>
        <v>2798848.3844241924</v>
      </c>
      <c r="P7" s="1"/>
      <c r="Q7" s="68" t="s">
        <v>105</v>
      </c>
      <c r="R7" s="61"/>
      <c r="S7" s="1"/>
      <c r="T7" s="185" t="s">
        <v>106</v>
      </c>
      <c r="U7" s="61">
        <f>SUM(U4:U6)</f>
        <v>11286108.699999999</v>
      </c>
    </row>
    <row r="8" spans="1:23" ht="18" customHeight="1" thickBot="1" x14ac:dyDescent="0.3">
      <c r="A8" s="1"/>
      <c r="B8" s="235" t="s">
        <v>107</v>
      </c>
      <c r="C8" s="236"/>
      <c r="D8" s="265"/>
      <c r="E8" s="242"/>
      <c r="F8" s="154" t="s">
        <v>196</v>
      </c>
      <c r="G8" s="127">
        <f>ROUNDDOWN(F9*1.5,0)</f>
        <v>661875</v>
      </c>
      <c r="H8" t="s">
        <v>262</v>
      </c>
      <c r="I8" s="148" t="s">
        <v>178</v>
      </c>
      <c r="J8" s="148" t="s">
        <v>179</v>
      </c>
      <c r="K8" s="148" t="s">
        <v>180</v>
      </c>
      <c r="L8" s="148" t="s">
        <v>176</v>
      </c>
      <c r="M8" s="148" t="s">
        <v>181</v>
      </c>
      <c r="N8" s="148" t="s">
        <v>207</v>
      </c>
      <c r="O8" s="1"/>
      <c r="P8" s="1"/>
      <c r="Q8" s="70" t="s">
        <v>108</v>
      </c>
      <c r="R8" s="61"/>
      <c r="S8" s="1"/>
      <c r="T8" s="68" t="s">
        <v>109</v>
      </c>
      <c r="U8" s="61"/>
    </row>
    <row r="9" spans="1:23" ht="18" customHeight="1" thickBot="1" x14ac:dyDescent="0.3">
      <c r="A9" s="1"/>
      <c r="B9" s="125" t="s">
        <v>255</v>
      </c>
      <c r="C9" s="194" t="s">
        <v>256</v>
      </c>
      <c r="D9" s="269" t="s">
        <v>3</v>
      </c>
      <c r="E9" s="270"/>
      <c r="F9" s="79">
        <f>I11</f>
        <v>441250</v>
      </c>
      <c r="G9" s="127">
        <f>ROUNDDOWN(F9*2.5,0)</f>
        <v>1103125</v>
      </c>
      <c r="H9">
        <v>3</v>
      </c>
      <c r="I9" s="147">
        <v>1050608</v>
      </c>
      <c r="J9" s="147">
        <v>1050000</v>
      </c>
      <c r="K9" s="147">
        <v>1019761</v>
      </c>
      <c r="L9" s="147">
        <v>30239</v>
      </c>
      <c r="M9" s="147">
        <v>3731948</v>
      </c>
      <c r="N9" s="279">
        <v>9.18</v>
      </c>
      <c r="O9" s="1">
        <f>K9/(N9/100)</f>
        <v>11108507.625272332</v>
      </c>
      <c r="P9" s="1"/>
      <c r="Q9" s="181" t="s">
        <v>111</v>
      </c>
      <c r="R9" s="61">
        <f>D10</f>
        <v>1300000</v>
      </c>
      <c r="S9" s="1"/>
      <c r="T9" s="185" t="s">
        <v>112</v>
      </c>
      <c r="U9" s="61">
        <f>SUM(R9+R10+R11+R13+R14+R15+R16+R20+R21+R22+R24+R25+R27+R28+R29+R30+R31+R32+R34+R36+R37+R38+R23)</f>
        <v>7349160.1828113198</v>
      </c>
      <c r="V9" s="1"/>
      <c r="W9" s="1"/>
    </row>
    <row r="10" spans="1:23" ht="18" customHeight="1" thickBot="1" x14ac:dyDescent="0.3">
      <c r="A10" s="127"/>
      <c r="B10" s="196">
        <v>1323750</v>
      </c>
      <c r="C10" s="195">
        <f>I11*3</f>
        <v>1323750</v>
      </c>
      <c r="D10" s="262">
        <v>1300000</v>
      </c>
      <c r="E10" s="264"/>
      <c r="F10" s="209" t="s">
        <v>267</v>
      </c>
      <c r="G10" s="127">
        <f>ROUNDDOWN(F9*3,0)</f>
        <v>1323750</v>
      </c>
      <c r="I10" s="148" t="s">
        <v>183</v>
      </c>
      <c r="J10" s="148" t="s">
        <v>184</v>
      </c>
      <c r="K10" s="148" t="s">
        <v>185</v>
      </c>
      <c r="L10" s="148" t="s">
        <v>186</v>
      </c>
      <c r="M10" s="148" t="s">
        <v>163</v>
      </c>
      <c r="N10" s="148" t="s">
        <v>17</v>
      </c>
      <c r="O10" s="1"/>
      <c r="P10" s="1"/>
      <c r="Q10" s="181" t="s">
        <v>32</v>
      </c>
      <c r="R10" s="60">
        <f>IF(B10&lt;=0,0,IF(B10&lt;=G8,规则设置!D24,IF(B10&lt;=G9,规则设置!D25,IF(B10&lt;=G10,规则设置!D26,"请检查计划产量!"))))</f>
        <v>20000</v>
      </c>
      <c r="S10" s="1"/>
      <c r="T10" s="185" t="s">
        <v>113</v>
      </c>
      <c r="U10" s="61">
        <f>(F24+C26)*E26</f>
        <v>0</v>
      </c>
      <c r="V10" s="1"/>
      <c r="W10" s="1"/>
    </row>
    <row r="11" spans="1:23" ht="18" customHeight="1" thickBot="1" x14ac:dyDescent="0.3">
      <c r="A11" s="1"/>
      <c r="B11" s="32" t="s">
        <v>197</v>
      </c>
      <c r="C11" s="130">
        <f>ROUNDDOWN((M9+C26)/规则设置!B20,0)</f>
        <v>2764405</v>
      </c>
      <c r="D11" s="1"/>
      <c r="E11" s="1"/>
      <c r="F11" s="1"/>
      <c r="G11" s="1"/>
      <c r="I11" s="147">
        <v>441250</v>
      </c>
      <c r="J11" s="147">
        <v>441250</v>
      </c>
      <c r="K11" s="279">
        <v>9</v>
      </c>
      <c r="L11" s="279">
        <v>45</v>
      </c>
      <c r="M11" s="279">
        <v>27</v>
      </c>
      <c r="N11" s="279">
        <v>18</v>
      </c>
      <c r="O11" s="1"/>
      <c r="P11" s="131">
        <f>R11/B10</f>
        <v>1.4</v>
      </c>
      <c r="Q11" s="181" t="s">
        <v>39</v>
      </c>
      <c r="R11" s="60">
        <f>IF(B10&lt;=0,0,IF(B10&lt;=F9,规则设置!B30*B10,IF(B10&lt;=G8,规则设置!B30*B10+规则设置!C30*(B10-F9),IF(B10&lt;=2*F9,规则设置!B30*B10+规则设置!B32*(B10-F9),IF(B10&lt;=G9,规则设置!B30*F9+规则设置!B32*F9+规则设置!C32*(B10-2*F9),IF(B10&lt;=G10,规则设置!B30*F9+规则设置!B32*F9+规则设置!B34*(B10-2*F9),"检查计划产量！"))))))</f>
        <v>1853250</v>
      </c>
      <c r="S11" s="1"/>
      <c r="T11" s="185" t="s">
        <v>114</v>
      </c>
      <c r="U11" s="61">
        <f>规则设置!D50*D26</f>
        <v>500000</v>
      </c>
      <c r="V11" s="1"/>
      <c r="W11" s="1"/>
    </row>
    <row r="12" spans="1:23" ht="18" customHeight="1" thickBot="1" x14ac:dyDescent="0.3">
      <c r="A12" s="1"/>
      <c r="B12" s="158" t="s">
        <v>198</v>
      </c>
      <c r="C12" s="133">
        <f>M4+C15</f>
        <v>480000</v>
      </c>
      <c r="D12" s="133">
        <f>M5+D15</f>
        <v>438060</v>
      </c>
      <c r="E12" s="133">
        <f>M6+E15</f>
        <v>0</v>
      </c>
      <c r="F12" s="134">
        <f>M7+F15</f>
        <v>435929</v>
      </c>
      <c r="G12" s="127">
        <f>SUM(C12:F12)</f>
        <v>1353989</v>
      </c>
      <c r="P12" s="135">
        <f>B10*规则设置!D82</f>
        <v>1853249.9999999998</v>
      </c>
      <c r="Q12" s="181" t="s">
        <v>115</v>
      </c>
      <c r="R12" s="61">
        <f>F26*G26</f>
        <v>2233828.1250000005</v>
      </c>
      <c r="S12" s="1"/>
      <c r="T12" s="185" t="s">
        <v>116</v>
      </c>
      <c r="U12" s="61">
        <f>E21</f>
        <v>2000000</v>
      </c>
      <c r="V12" s="1"/>
      <c r="W12" s="1"/>
    </row>
    <row r="13" spans="1:23" ht="18" customHeight="1" thickBot="1" x14ac:dyDescent="0.3">
      <c r="A13" s="1"/>
      <c r="B13" s="241" t="s">
        <v>117</v>
      </c>
      <c r="C13" s="265"/>
      <c r="D13" s="265"/>
      <c r="E13" s="265"/>
      <c r="F13" s="242"/>
      <c r="G13" s="1"/>
      <c r="I13" s="266" t="s">
        <v>223</v>
      </c>
      <c r="J13" s="267"/>
      <c r="K13" s="268"/>
      <c r="M13" s="266" t="s">
        <v>224</v>
      </c>
      <c r="N13" s="267"/>
      <c r="O13" s="268"/>
      <c r="P13" s="1"/>
      <c r="Q13" s="181" t="s">
        <v>47</v>
      </c>
      <c r="R13" s="60">
        <f>IF(F24&lt;1,0,IF(F24&lt;=规则设置!C41,规则设置!D40,IF(F24&lt;=规则设置!C42,规则设置!D41,IF(F24&lt;=规则设置!C43,规则设置!D42,IF(F24&lt;=规则设置!C44,规则设置!D43,规则设置!D44)))))</f>
        <v>0</v>
      </c>
      <c r="S13" s="1"/>
      <c r="T13" s="185" t="s">
        <v>118</v>
      </c>
      <c r="U13" s="61">
        <f>C22</f>
        <v>0</v>
      </c>
      <c r="V13" s="1"/>
      <c r="W13" s="1"/>
    </row>
    <row r="14" spans="1:23" ht="18" customHeight="1" thickBot="1" x14ac:dyDescent="0.3">
      <c r="A14" s="1"/>
      <c r="B14" s="149"/>
      <c r="C14" s="150" t="s">
        <v>93</v>
      </c>
      <c r="D14" s="150" t="s">
        <v>94</v>
      </c>
      <c r="E14" s="150" t="s">
        <v>95</v>
      </c>
      <c r="F14" s="151" t="s">
        <v>96</v>
      </c>
      <c r="G14" s="127">
        <f>B10</f>
        <v>1323750</v>
      </c>
      <c r="I14" s="148" t="s">
        <v>213</v>
      </c>
      <c r="J14" s="148" t="s">
        <v>214</v>
      </c>
      <c r="K14" s="148" t="s">
        <v>215</v>
      </c>
      <c r="M14" s="148" t="s">
        <v>213</v>
      </c>
      <c r="N14" s="148" t="s">
        <v>214</v>
      </c>
      <c r="O14" s="148" t="s">
        <v>215</v>
      </c>
      <c r="P14" s="1"/>
      <c r="Q14" s="181" t="s">
        <v>119</v>
      </c>
      <c r="R14" s="61">
        <f>C26*(规则设置!B47)</f>
        <v>0</v>
      </c>
      <c r="S14" s="1"/>
      <c r="T14" s="185" t="s">
        <v>120</v>
      </c>
      <c r="U14" s="61">
        <f>SUM(U9:U13)</f>
        <v>9849160.1828113198</v>
      </c>
      <c r="V14" s="1"/>
      <c r="W14" s="1"/>
    </row>
    <row r="15" spans="1:23" ht="18" customHeight="1" thickBot="1" x14ac:dyDescent="0.3">
      <c r="A15" s="1"/>
      <c r="B15" s="152" t="s">
        <v>121</v>
      </c>
      <c r="C15" s="88">
        <v>480000</v>
      </c>
      <c r="D15" s="211">
        <v>420000</v>
      </c>
      <c r="E15" s="211">
        <v>0</v>
      </c>
      <c r="F15" s="211">
        <v>423750</v>
      </c>
      <c r="G15" s="137">
        <f>SUM(C15:F15)</f>
        <v>1323750</v>
      </c>
      <c r="I15" s="280" t="s">
        <v>97</v>
      </c>
      <c r="J15" s="279"/>
      <c r="K15" s="279"/>
      <c r="M15" s="280" t="s">
        <v>98</v>
      </c>
      <c r="N15" s="279"/>
      <c r="O15" s="279"/>
      <c r="P15" s="1"/>
      <c r="Q15" s="181" t="s">
        <v>122</v>
      </c>
      <c r="R15" s="61">
        <f>K11*规则设置!B50</f>
        <v>108000</v>
      </c>
      <c r="S15" s="1"/>
      <c r="T15" s="68" t="s">
        <v>123</v>
      </c>
      <c r="U15" s="61">
        <f>U7-U14</f>
        <v>1436948.5171886794</v>
      </c>
      <c r="V15" s="1"/>
      <c r="W15" s="1" t="s">
        <v>258</v>
      </c>
    </row>
    <row r="16" spans="1:23" ht="18" customHeight="1" thickBot="1" x14ac:dyDescent="0.3">
      <c r="A16" s="1"/>
      <c r="B16" s="152" t="s">
        <v>124</v>
      </c>
      <c r="C16" s="74"/>
      <c r="D16" s="74"/>
      <c r="E16" s="74"/>
      <c r="F16" s="60"/>
      <c r="G16" s="1">
        <f>G14-G15</f>
        <v>0</v>
      </c>
      <c r="I16" s="280" t="s">
        <v>100</v>
      </c>
      <c r="J16" s="279">
        <v>0</v>
      </c>
      <c r="K16" s="147">
        <v>8089306</v>
      </c>
      <c r="M16" s="280" t="s">
        <v>100</v>
      </c>
      <c r="N16" s="279">
        <v>0</v>
      </c>
      <c r="O16" s="147">
        <v>8089306</v>
      </c>
      <c r="P16" s="1"/>
      <c r="Q16" s="181" t="s">
        <v>125</v>
      </c>
      <c r="R16" s="61">
        <f>规则设置!C50*D26</f>
        <v>100000</v>
      </c>
      <c r="S16" s="1"/>
      <c r="T16" s="75" t="s">
        <v>126</v>
      </c>
      <c r="U16" s="76">
        <f>IF((O28+U15)&gt;=0.5*U4,O28+U15,0.5*U4)</f>
        <v>5839887.5171886794</v>
      </c>
      <c r="V16" s="1"/>
      <c r="W16" s="1">
        <f>IF((O28+U15)&gt;=0.5*U4,0,1)</f>
        <v>0</v>
      </c>
    </row>
    <row r="17" spans="1:23" ht="18" customHeight="1" thickBot="1" x14ac:dyDescent="0.3">
      <c r="A17" s="1"/>
      <c r="B17" s="202" t="s">
        <v>260</v>
      </c>
      <c r="C17" s="203">
        <f>((C12*C5-(C6+D10/H9+C15*1.35*第一季!E26))/C12)</f>
        <v>4.8722222222222227</v>
      </c>
      <c r="D17" s="131">
        <f>((D12*D5-(D6+D10/H9+D15*1.35*第一季!E26))/D12)</f>
        <v>4.6656044073110241</v>
      </c>
      <c r="E17" s="203" t="e">
        <f>((E12*E5-(E6+D10/H9+E15*1.35*第一季!E26))/E12)</f>
        <v>#DIV/0!</v>
      </c>
      <c r="F17" s="204">
        <f>((F12*F5-(F6+D10/H9+F15*1.35*第一季!E26))/F12)</f>
        <v>4.633321576831702</v>
      </c>
      <c r="G17" s="214" t="s">
        <v>261</v>
      </c>
      <c r="H17" s="212" t="s">
        <v>268</v>
      </c>
      <c r="I17" s="280" t="s">
        <v>216</v>
      </c>
      <c r="J17" s="279">
        <v>0</v>
      </c>
      <c r="K17" s="279">
        <v>0</v>
      </c>
      <c r="M17" s="280" t="s">
        <v>216</v>
      </c>
      <c r="N17" s="279">
        <v>0</v>
      </c>
      <c r="O17" s="279">
        <v>0</v>
      </c>
      <c r="P17" s="1"/>
      <c r="Q17" s="181" t="s">
        <v>60</v>
      </c>
      <c r="R17" s="61">
        <f>规则设置!C52*O36</f>
        <v>110312.5</v>
      </c>
      <c r="S17" s="1"/>
      <c r="T17" s="1"/>
      <c r="U17" s="1"/>
      <c r="V17" s="1"/>
      <c r="W17" s="1"/>
    </row>
    <row r="18" spans="1:23" ht="18" customHeight="1" thickBot="1" x14ac:dyDescent="0.3">
      <c r="A18" s="1"/>
      <c r="B18" s="153"/>
      <c r="C18" s="77"/>
      <c r="D18" s="77"/>
      <c r="E18" s="77"/>
      <c r="F18" s="76"/>
      <c r="G18" s="217">
        <f>R40</f>
        <v>1471851.8921886794</v>
      </c>
      <c r="H18" s="217">
        <f>U30</f>
        <v>3073181.8921886794</v>
      </c>
      <c r="I18" s="280" t="s">
        <v>103</v>
      </c>
      <c r="J18" s="279">
        <v>0</v>
      </c>
      <c r="K18" s="147">
        <v>8089306</v>
      </c>
      <c r="M18" s="280" t="s">
        <v>104</v>
      </c>
      <c r="N18" s="279">
        <v>0</v>
      </c>
      <c r="O18" s="147">
        <v>12000000</v>
      </c>
      <c r="P18" s="1"/>
      <c r="Q18" s="181" t="s">
        <v>127</v>
      </c>
      <c r="R18" s="61">
        <f>O35-U23</f>
        <v>120956</v>
      </c>
      <c r="S18" s="1"/>
      <c r="T18" s="1"/>
      <c r="U18" s="1"/>
      <c r="V18" s="1"/>
      <c r="W18" s="1"/>
    </row>
    <row r="19" spans="1:23" ht="18" customHeight="1" thickBot="1" x14ac:dyDescent="0.3">
      <c r="A19" s="1"/>
      <c r="B19" s="138" t="s">
        <v>199</v>
      </c>
      <c r="C19" s="138">
        <f>IF(C12&gt;规则设置!D47*N4,"请核对产品数量！",)</f>
        <v>0</v>
      </c>
      <c r="D19" s="138">
        <f>IF(D12&gt;规则设置!D47*N5,"请核对产品数量！",)</f>
        <v>0</v>
      </c>
      <c r="E19" s="138">
        <f>IF(E12&gt;规则设置!D47*N6,"请核对产品数量！",)</f>
        <v>0</v>
      </c>
      <c r="F19" s="139">
        <f>IF(F12&gt;规则设置!D47*N7,"请核对产品数量！",)</f>
        <v>0</v>
      </c>
      <c r="G19" s="214" t="s">
        <v>271</v>
      </c>
      <c r="I19" s="280" t="s">
        <v>105</v>
      </c>
      <c r="J19" s="279"/>
      <c r="K19" s="279"/>
      <c r="M19" s="280" t="s">
        <v>106</v>
      </c>
      <c r="N19" s="279">
        <v>0</v>
      </c>
      <c r="O19" s="147">
        <v>20089306</v>
      </c>
      <c r="P19" s="1"/>
      <c r="Q19" s="70" t="s">
        <v>128</v>
      </c>
      <c r="R19" s="61"/>
      <c r="S19" s="1"/>
      <c r="T19" s="241" t="s">
        <v>129</v>
      </c>
      <c r="U19" s="242"/>
      <c r="V19" s="1"/>
      <c r="W19" s="1"/>
    </row>
    <row r="20" spans="1:23" ht="18" customHeight="1" thickBot="1" x14ac:dyDescent="0.3">
      <c r="A20" s="1"/>
      <c r="B20" s="241" t="s">
        <v>130</v>
      </c>
      <c r="C20" s="265"/>
      <c r="D20" s="265"/>
      <c r="E20" s="242"/>
      <c r="F20" s="1"/>
      <c r="G20" s="1"/>
      <c r="I20" s="280" t="s">
        <v>108</v>
      </c>
      <c r="J20" s="279"/>
      <c r="K20" s="279"/>
      <c r="M20" s="280" t="s">
        <v>109</v>
      </c>
      <c r="N20" s="279"/>
      <c r="O20" s="279"/>
      <c r="P20" s="1"/>
      <c r="Q20" s="64" t="s">
        <v>131</v>
      </c>
      <c r="R20" s="61"/>
      <c r="S20" s="1"/>
      <c r="T20" s="56" t="s">
        <v>132</v>
      </c>
      <c r="U20" s="57"/>
      <c r="V20" s="1"/>
      <c r="W20" s="1"/>
    </row>
    <row r="21" spans="1:23" ht="18" customHeight="1" thickBot="1" x14ac:dyDescent="0.3">
      <c r="A21" s="1"/>
      <c r="B21" s="155" t="s">
        <v>104</v>
      </c>
      <c r="C21" s="88">
        <v>0</v>
      </c>
      <c r="D21" s="156" t="s">
        <v>116</v>
      </c>
      <c r="E21" s="136">
        <v>2000000</v>
      </c>
      <c r="F21" s="1" t="s">
        <v>200</v>
      </c>
      <c r="G21" s="140">
        <f>ROUNDUP(H2-H4,0)</f>
        <v>1633782</v>
      </c>
      <c r="I21" s="280" t="s">
        <v>111</v>
      </c>
      <c r="J21" s="147">
        <v>2117750</v>
      </c>
      <c r="K21" s="147">
        <v>1000000</v>
      </c>
      <c r="M21" s="280" t="s">
        <v>112</v>
      </c>
      <c r="N21" s="147">
        <v>3000000</v>
      </c>
      <c r="O21" s="147">
        <v>8249557</v>
      </c>
      <c r="P21" s="1"/>
      <c r="Q21" s="64" t="s">
        <v>133</v>
      </c>
      <c r="R21" s="61"/>
      <c r="S21" s="1"/>
      <c r="T21" s="181" t="s">
        <v>134</v>
      </c>
      <c r="U21" s="61">
        <f>U16</f>
        <v>5839887.5171886794</v>
      </c>
      <c r="V21" s="1"/>
      <c r="W21" s="1"/>
    </row>
    <row r="22" spans="1:23" ht="18" customHeight="1" thickBot="1" x14ac:dyDescent="0.3">
      <c r="A22" s="1"/>
      <c r="B22" s="153" t="s">
        <v>118</v>
      </c>
      <c r="C22" s="262"/>
      <c r="D22" s="263"/>
      <c r="E22" s="264"/>
      <c r="F22" s="1"/>
      <c r="G22" s="141">
        <f>ROUNDUP(H2-H4,0)+ROUNDUP(H2-H4,0)*规则设置!E73/4</f>
        <v>1650119.82</v>
      </c>
      <c r="I22" s="280" t="s">
        <v>32</v>
      </c>
      <c r="J22" s="279">
        <v>0</v>
      </c>
      <c r="K22" s="147">
        <v>20000</v>
      </c>
      <c r="M22" s="280" t="s">
        <v>113</v>
      </c>
      <c r="N22" s="279">
        <v>0</v>
      </c>
      <c r="O22" s="147">
        <v>6436810</v>
      </c>
      <c r="P22" s="1"/>
      <c r="Q22" s="64" t="s">
        <v>135</v>
      </c>
      <c r="R22" s="61"/>
      <c r="S22" s="1"/>
      <c r="T22" s="181" t="s">
        <v>136</v>
      </c>
      <c r="U22" s="61">
        <f>(F24+C26+M9-B10*1.35)*F26</f>
        <v>2431106.8749999995</v>
      </c>
      <c r="V22" s="127"/>
      <c r="W22" s="1"/>
    </row>
    <row r="23" spans="1:23" ht="18" customHeight="1" thickBot="1" x14ac:dyDescent="0.3">
      <c r="A23" s="1"/>
      <c r="B23" s="1"/>
      <c r="C23" s="1"/>
      <c r="D23" s="1"/>
      <c r="E23" s="1"/>
      <c r="F23" s="1"/>
      <c r="G23" s="1"/>
      <c r="I23" s="280" t="s">
        <v>39</v>
      </c>
      <c r="J23" s="279">
        <v>0</v>
      </c>
      <c r="K23" s="147">
        <v>1470000</v>
      </c>
      <c r="M23" s="280" t="s">
        <v>221</v>
      </c>
      <c r="N23" s="147">
        <v>3500000</v>
      </c>
      <c r="O23" s="147">
        <v>1000000</v>
      </c>
      <c r="P23" s="1"/>
      <c r="Q23" s="80" t="s">
        <v>137</v>
      </c>
      <c r="R23" s="61">
        <f>SUM(C6:F6)</f>
        <v>1350000</v>
      </c>
      <c r="S23" s="1"/>
      <c r="T23" s="181" t="s">
        <v>138</v>
      </c>
      <c r="U23" s="61">
        <f>规则设置!B79*(B10-C15-D15-E15-F15)</f>
        <v>0</v>
      </c>
      <c r="V23" s="1"/>
      <c r="W23" s="1"/>
    </row>
    <row r="24" spans="1:23" ht="18" customHeight="1" thickBot="1" x14ac:dyDescent="0.3">
      <c r="A24" s="1"/>
      <c r="B24" s="241" t="s">
        <v>139</v>
      </c>
      <c r="C24" s="265"/>
      <c r="D24" s="242"/>
      <c r="E24" s="32" t="s">
        <v>252</v>
      </c>
      <c r="F24" s="184">
        <v>0</v>
      </c>
      <c r="G24" s="1"/>
      <c r="I24" s="280" t="s">
        <v>115</v>
      </c>
      <c r="J24" s="279">
        <v>0</v>
      </c>
      <c r="K24" s="147">
        <v>1771875</v>
      </c>
      <c r="M24" s="280" t="s">
        <v>116</v>
      </c>
      <c r="N24" s="279">
        <v>0</v>
      </c>
      <c r="O24" s="279">
        <v>0</v>
      </c>
      <c r="P24" s="1"/>
      <c r="Q24" s="80" t="s">
        <v>61</v>
      </c>
      <c r="R24" s="61">
        <f>规则设置!C55*C15+规则设置!D55*D15+规则设置!E55*E15+规则设置!F55*F15</f>
        <v>445875</v>
      </c>
      <c r="S24" s="1"/>
      <c r="T24" s="181" t="s">
        <v>140</v>
      </c>
      <c r="U24" s="61">
        <f>O36-R17+U11</f>
        <v>4802187.5</v>
      </c>
      <c r="V24" s="1"/>
      <c r="W24" s="1"/>
    </row>
    <row r="25" spans="1:23" ht="18" customHeight="1" thickBot="1" x14ac:dyDescent="0.3">
      <c r="A25" s="1"/>
      <c r="B25" s="155" t="s">
        <v>141</v>
      </c>
      <c r="C25" s="156" t="s">
        <v>142</v>
      </c>
      <c r="D25" s="157" t="s">
        <v>143</v>
      </c>
      <c r="E25" s="19" t="s">
        <v>2</v>
      </c>
      <c r="F25" s="19" t="s">
        <v>144</v>
      </c>
      <c r="G25" s="19" t="s">
        <v>145</v>
      </c>
      <c r="H25" s="19" t="s">
        <v>250</v>
      </c>
      <c r="I25" s="280" t="s">
        <v>253</v>
      </c>
      <c r="J25" s="279">
        <v>0</v>
      </c>
      <c r="K25" s="147">
        <v>200000</v>
      </c>
      <c r="M25" s="280" t="s">
        <v>118</v>
      </c>
      <c r="N25" s="279">
        <v>0</v>
      </c>
      <c r="O25" s="279">
        <v>0</v>
      </c>
      <c r="P25" s="1"/>
      <c r="Q25" s="181" t="s">
        <v>66</v>
      </c>
      <c r="R25" s="61">
        <f>规则设置!B12*C26</f>
        <v>0</v>
      </c>
      <c r="S25" s="1"/>
      <c r="T25" s="181" t="s">
        <v>146</v>
      </c>
      <c r="U25" s="61">
        <f>SUM(U21:U24)</f>
        <v>13073181.892188679</v>
      </c>
      <c r="V25" s="1"/>
      <c r="W25" s="1"/>
    </row>
    <row r="26" spans="1:23" ht="18" customHeight="1" thickBot="1" x14ac:dyDescent="0.3">
      <c r="A26" s="1"/>
      <c r="B26" s="159">
        <f>ROUNDDOWN(D41-(M9-B10*1.35),0)+1</f>
        <v>-1</v>
      </c>
      <c r="C26" s="219">
        <f>IF(B10*1.35-M9&lt;=0,0,B10*1.35-M9)</f>
        <v>0</v>
      </c>
      <c r="D26" s="82">
        <v>1</v>
      </c>
      <c r="E26" s="83">
        <v>2.25</v>
      </c>
      <c r="F26" s="52">
        <f>(U10+O34)/(F24+M9+C26)</f>
        <v>1.25</v>
      </c>
      <c r="G26" s="84">
        <f>规则设置!B20*B10</f>
        <v>1787062.5000000002</v>
      </c>
      <c r="H26" s="84">
        <f>ROUNDDOWN(O42/3/规则设置!D50,0)</f>
        <v>1</v>
      </c>
      <c r="I26" s="280" t="s">
        <v>217</v>
      </c>
      <c r="J26" s="279">
        <v>0</v>
      </c>
      <c r="K26" s="147">
        <v>1417500</v>
      </c>
      <c r="M26" s="280" t="s">
        <v>120</v>
      </c>
      <c r="N26" s="147">
        <v>6500000</v>
      </c>
      <c r="O26" s="147">
        <v>15686367</v>
      </c>
      <c r="P26" s="1"/>
      <c r="Q26" s="70" t="s">
        <v>147</v>
      </c>
      <c r="R26" s="61"/>
      <c r="S26" s="1"/>
      <c r="T26" s="85" t="s">
        <v>148</v>
      </c>
      <c r="U26" s="61"/>
      <c r="V26" s="1"/>
      <c r="W26" s="1"/>
    </row>
    <row r="27" spans="1:23" ht="18" customHeight="1" thickBot="1" x14ac:dyDescent="0.3">
      <c r="A27" s="1"/>
      <c r="B27" s="1"/>
      <c r="C27" s="1"/>
      <c r="D27" s="1"/>
      <c r="E27" s="1"/>
      <c r="F27" s="1"/>
      <c r="G27" s="1"/>
      <c r="I27" s="280" t="s">
        <v>218</v>
      </c>
      <c r="J27" s="279">
        <v>0</v>
      </c>
      <c r="K27" s="147">
        <v>84000</v>
      </c>
      <c r="M27" s="280" t="s">
        <v>123</v>
      </c>
      <c r="N27" s="147">
        <v>-6500000</v>
      </c>
      <c r="O27" s="147">
        <v>4402939</v>
      </c>
      <c r="P27" s="1"/>
      <c r="Q27" s="86" t="s">
        <v>69</v>
      </c>
      <c r="R27" s="61">
        <f>SUM(D30:D34)*规则设置!B64</f>
        <v>4500</v>
      </c>
      <c r="S27" s="1"/>
      <c r="T27" s="181" t="s">
        <v>150</v>
      </c>
      <c r="U27" s="61">
        <f>O41+U6-U12</f>
        <v>10000000</v>
      </c>
      <c r="V27" s="1"/>
      <c r="W27" s="1"/>
    </row>
    <row r="28" spans="1:23" ht="18" customHeight="1" thickBot="1" x14ac:dyDescent="0.3">
      <c r="A28" s="1"/>
      <c r="B28" s="241" t="s">
        <v>151</v>
      </c>
      <c r="C28" s="265"/>
      <c r="D28" s="265"/>
      <c r="E28" s="242"/>
      <c r="F28" s="1"/>
      <c r="I28" s="280" t="s">
        <v>219</v>
      </c>
      <c r="J28" s="147">
        <v>700000</v>
      </c>
      <c r="K28" s="147">
        <v>200000</v>
      </c>
      <c r="M28" s="280" t="s">
        <v>126</v>
      </c>
      <c r="N28" s="279">
        <v>0</v>
      </c>
      <c r="O28" s="147">
        <v>4402939</v>
      </c>
      <c r="P28" s="1"/>
      <c r="Q28" s="80" t="s">
        <v>70</v>
      </c>
      <c r="R28" s="61">
        <f>SUM(D30:D34)*规则设置!C64</f>
        <v>9000</v>
      </c>
      <c r="S28" s="1"/>
      <c r="T28" s="181" t="s">
        <v>152</v>
      </c>
      <c r="U28" s="60">
        <f>IF(W16=0,0,0.5*U4-U15-O28)</f>
        <v>0</v>
      </c>
      <c r="V28" s="1"/>
      <c r="W28" s="1"/>
    </row>
    <row r="29" spans="1:23" ht="18" customHeight="1" thickBot="1" x14ac:dyDescent="0.3">
      <c r="A29" s="1"/>
      <c r="B29" s="271" t="s">
        <v>153</v>
      </c>
      <c r="C29" s="272"/>
      <c r="D29" s="174" t="s">
        <v>154</v>
      </c>
      <c r="E29" s="175" t="s">
        <v>155</v>
      </c>
      <c r="F29" s="1"/>
      <c r="G29" s="178" t="s">
        <v>249</v>
      </c>
      <c r="I29" s="280" t="s">
        <v>220</v>
      </c>
      <c r="J29" s="279">
        <v>0</v>
      </c>
      <c r="K29" s="147">
        <v>87500</v>
      </c>
      <c r="P29" s="1"/>
      <c r="Q29" s="80" t="s">
        <v>71</v>
      </c>
      <c r="R29" s="61">
        <f>规则设置!C67*C37+规则设置!D67*D37+规则设置!C68*C38+规则设置!D68*D38</f>
        <v>402750</v>
      </c>
      <c r="S29" s="1"/>
      <c r="T29" s="181" t="s">
        <v>156</v>
      </c>
      <c r="U29" s="61">
        <f>SUM(U27:U28)</f>
        <v>10000000</v>
      </c>
      <c r="V29" s="1"/>
      <c r="W29" s="1"/>
    </row>
    <row r="30" spans="1:23" ht="18" customHeight="1" thickBot="1" x14ac:dyDescent="0.3">
      <c r="A30" s="1"/>
      <c r="B30" s="273" t="s">
        <v>17</v>
      </c>
      <c r="C30" s="87" t="s">
        <v>93</v>
      </c>
      <c r="D30" s="88">
        <v>2</v>
      </c>
      <c r="E30" s="136"/>
      <c r="F30" s="1"/>
      <c r="G30" s="52">
        <f>ROUNDDOWN(U30/3/规则设置!D50,0)</f>
        <v>2</v>
      </c>
      <c r="I30" s="280" t="s">
        <v>127</v>
      </c>
      <c r="J30" s="279">
        <v>0</v>
      </c>
      <c r="K30" s="147">
        <v>-120956</v>
      </c>
      <c r="M30" s="266" t="s">
        <v>242</v>
      </c>
      <c r="N30" s="267"/>
      <c r="O30" s="268"/>
      <c r="P30" s="1"/>
      <c r="Q30" s="80" t="s">
        <v>157</v>
      </c>
      <c r="R30" s="61">
        <f>SUM(E30:E33)*规则设置!C70+E34*规则设置!D70</f>
        <v>0</v>
      </c>
      <c r="S30" s="1"/>
      <c r="T30" s="75" t="s">
        <v>158</v>
      </c>
      <c r="U30" s="89">
        <f>U25-U29</f>
        <v>3073181.8921886794</v>
      </c>
      <c r="V30" s="1" t="s">
        <v>159</v>
      </c>
      <c r="W30" s="90"/>
    </row>
    <row r="31" spans="1:23" ht="18" customHeight="1" thickBot="1" x14ac:dyDescent="0.3">
      <c r="A31" s="1"/>
      <c r="B31" s="274"/>
      <c r="C31" s="87" t="s">
        <v>94</v>
      </c>
      <c r="D31" s="88">
        <v>2</v>
      </c>
      <c r="E31" s="136"/>
      <c r="F31" s="1"/>
      <c r="G31" s="1"/>
      <c r="I31" s="280" t="s">
        <v>128</v>
      </c>
      <c r="J31" s="279"/>
      <c r="K31" s="279"/>
      <c r="M31" s="148" t="s">
        <v>213</v>
      </c>
      <c r="N31" s="148" t="s">
        <v>214</v>
      </c>
      <c r="O31" s="148" t="s">
        <v>215</v>
      </c>
      <c r="P31" s="1"/>
      <c r="Q31" s="80" t="s">
        <v>160</v>
      </c>
      <c r="R31" s="61">
        <f>规则设置!B76*O34</f>
        <v>466493.5</v>
      </c>
      <c r="S31" s="1"/>
      <c r="T31" s="1"/>
      <c r="U31" s="1"/>
      <c r="V31" s="1" t="s">
        <v>161</v>
      </c>
      <c r="W31" s="92">
        <f>U30-W30</f>
        <v>3073181.8921886794</v>
      </c>
    </row>
    <row r="32" spans="1:23" ht="18" customHeight="1" thickBot="1" x14ac:dyDescent="0.3">
      <c r="A32" s="1"/>
      <c r="B32" s="274"/>
      <c r="C32" s="87" t="s">
        <v>95</v>
      </c>
      <c r="D32" s="88">
        <v>0</v>
      </c>
      <c r="E32" s="136"/>
      <c r="F32" s="1"/>
      <c r="G32" s="19" t="s">
        <v>248</v>
      </c>
      <c r="I32" s="280" t="s">
        <v>131</v>
      </c>
      <c r="J32" s="279">
        <v>0</v>
      </c>
      <c r="K32" s="279">
        <v>0</v>
      </c>
      <c r="M32" s="280" t="s">
        <v>132</v>
      </c>
      <c r="N32" s="279"/>
      <c r="O32" s="279"/>
      <c r="P32" s="1"/>
      <c r="Q32" s="80" t="s">
        <v>83</v>
      </c>
      <c r="R32" s="61">
        <f>规则设置!C76*L9</f>
        <v>15119.5</v>
      </c>
      <c r="S32" s="1"/>
      <c r="T32" s="1"/>
      <c r="U32" s="1"/>
      <c r="V32" s="1"/>
      <c r="W32" s="1"/>
    </row>
    <row r="33" spans="1:23" ht="18" customHeight="1" thickBot="1" x14ac:dyDescent="0.3">
      <c r="A33" s="1"/>
      <c r="B33" s="243"/>
      <c r="C33" s="87" t="s">
        <v>96</v>
      </c>
      <c r="D33" s="88">
        <v>2</v>
      </c>
      <c r="E33" s="176"/>
      <c r="F33" s="1"/>
      <c r="G33" s="177">
        <v>2</v>
      </c>
      <c r="I33" s="280" t="s">
        <v>133</v>
      </c>
      <c r="J33" s="279">
        <v>0</v>
      </c>
      <c r="K33" s="279">
        <v>0</v>
      </c>
      <c r="M33" s="280" t="s">
        <v>134</v>
      </c>
      <c r="N33" s="279">
        <v>0</v>
      </c>
      <c r="O33" s="147">
        <v>4402939</v>
      </c>
      <c r="P33" s="1"/>
      <c r="Q33" s="93" t="s">
        <v>162</v>
      </c>
      <c r="R33" s="61"/>
      <c r="S33" s="1"/>
      <c r="T33" s="41" t="s">
        <v>201</v>
      </c>
      <c r="U33" s="42" t="s">
        <v>202</v>
      </c>
      <c r="V33" s="42" t="s">
        <v>203</v>
      </c>
      <c r="W33" s="6" t="s">
        <v>204</v>
      </c>
    </row>
    <row r="34" spans="1:23" ht="18" customHeight="1" thickBot="1" x14ac:dyDescent="0.3">
      <c r="A34" s="1"/>
      <c r="B34" s="275" t="s">
        <v>163</v>
      </c>
      <c r="C34" s="276"/>
      <c r="D34" s="94">
        <f>规则设置!B82*D26</f>
        <v>3</v>
      </c>
      <c r="E34" s="142"/>
      <c r="F34" s="1"/>
      <c r="G34" s="1"/>
      <c r="I34" s="280" t="s">
        <v>135</v>
      </c>
      <c r="J34" s="279">
        <v>0</v>
      </c>
      <c r="K34" s="279">
        <v>0</v>
      </c>
      <c r="M34" s="280" t="s">
        <v>136</v>
      </c>
      <c r="N34" s="279">
        <v>0</v>
      </c>
      <c r="O34" s="147">
        <v>4664935</v>
      </c>
      <c r="P34" s="1"/>
      <c r="Q34" s="80" t="s">
        <v>164</v>
      </c>
      <c r="R34" s="61">
        <f>U27*(规则设置!E73/4)+O40*3*(规则设置!E73/4)</f>
        <v>100000</v>
      </c>
      <c r="S34" s="1"/>
      <c r="T34" s="143">
        <f>U34+V34-W34</f>
        <v>-3449695.3923685565</v>
      </c>
      <c r="U34" s="144">
        <f>C22/((1+规则设置!F73/4))</f>
        <v>0</v>
      </c>
      <c r="V34" s="144">
        <f>U30/(1+规则设置!F73/4)</f>
        <v>3050304.6076314435</v>
      </c>
      <c r="W34" s="123">
        <f>规则设置!C3</f>
        <v>6500000</v>
      </c>
    </row>
    <row r="35" spans="1:23" ht="18" customHeight="1" thickBot="1" x14ac:dyDescent="0.3">
      <c r="A35" s="1"/>
      <c r="B35" s="1"/>
      <c r="C35" s="1"/>
      <c r="D35" s="1"/>
      <c r="E35" s="1"/>
      <c r="F35" s="1"/>
      <c r="G35" s="1"/>
      <c r="I35" s="280" t="s">
        <v>137</v>
      </c>
      <c r="J35" s="279">
        <v>0</v>
      </c>
      <c r="K35" s="147">
        <v>2550000</v>
      </c>
      <c r="M35" s="280" t="s">
        <v>84</v>
      </c>
      <c r="N35" s="279">
        <v>0</v>
      </c>
      <c r="O35" s="147">
        <v>120956</v>
      </c>
      <c r="P35" s="1"/>
      <c r="Q35" s="93" t="s">
        <v>165</v>
      </c>
      <c r="R35" s="61"/>
      <c r="S35" s="1"/>
      <c r="T35" s="1"/>
      <c r="U35" s="1"/>
      <c r="V35" s="1"/>
      <c r="W35" s="1"/>
    </row>
    <row r="36" spans="1:23" ht="18" customHeight="1" thickBot="1" x14ac:dyDescent="0.3">
      <c r="A36" s="1"/>
      <c r="B36" s="41" t="s">
        <v>71</v>
      </c>
      <c r="C36" s="42" t="s">
        <v>187</v>
      </c>
      <c r="D36" s="6" t="s">
        <v>163</v>
      </c>
      <c r="F36" s="41" t="s">
        <v>208</v>
      </c>
      <c r="G36" s="145"/>
      <c r="I36" s="280" t="s">
        <v>61</v>
      </c>
      <c r="J36" s="279">
        <v>0</v>
      </c>
      <c r="K36" s="147">
        <v>350000</v>
      </c>
      <c r="M36" s="280" t="s">
        <v>140</v>
      </c>
      <c r="N36" s="147">
        <v>3500000</v>
      </c>
      <c r="O36" s="147">
        <v>4412500</v>
      </c>
      <c r="P36" s="1"/>
      <c r="Q36" s="80" t="s">
        <v>167</v>
      </c>
      <c r="R36" s="61">
        <f>(R4/(1+规则设置!B73))*规则设置!B73</f>
        <v>638836.34150943381</v>
      </c>
      <c r="S36" s="1"/>
      <c r="T36" s="1"/>
      <c r="U36" s="1"/>
      <c r="V36" s="1"/>
      <c r="W36" s="1"/>
    </row>
    <row r="37" spans="1:23" ht="18" customHeight="1" thickBot="1" x14ac:dyDescent="0.3">
      <c r="A37" s="1"/>
      <c r="B37" s="28" t="s">
        <v>74</v>
      </c>
      <c r="C37" s="34">
        <f>SUM(D30:D33)</f>
        <v>6</v>
      </c>
      <c r="D37" s="11">
        <f>D34</f>
        <v>3</v>
      </c>
      <c r="F37" s="28" t="s">
        <v>209</v>
      </c>
      <c r="G37" s="146">
        <f>D41</f>
        <v>1944883</v>
      </c>
      <c r="I37" s="280" t="s">
        <v>66</v>
      </c>
      <c r="J37" s="279">
        <v>0</v>
      </c>
      <c r="K37" s="279">
        <v>0</v>
      </c>
      <c r="M37" s="280" t="s">
        <v>146</v>
      </c>
      <c r="N37" s="147">
        <v>3500000</v>
      </c>
      <c r="O37" s="147">
        <v>13601330</v>
      </c>
      <c r="P37" s="1"/>
      <c r="Q37" s="80" t="s">
        <v>169</v>
      </c>
      <c r="R37" s="61">
        <f>规则设置!C73*R36</f>
        <v>44718.543905660372</v>
      </c>
      <c r="S37" s="1"/>
      <c r="T37" s="98" t="s">
        <v>170</v>
      </c>
      <c r="U37" s="1"/>
      <c r="V37" s="1"/>
      <c r="W37" s="1"/>
    </row>
    <row r="38" spans="1:23" ht="18" customHeight="1" thickBot="1" x14ac:dyDescent="0.3">
      <c r="A38" s="1"/>
      <c r="B38" s="35" t="s">
        <v>75</v>
      </c>
      <c r="C38" s="144">
        <f>N11-SUM(E30:E33)</f>
        <v>18</v>
      </c>
      <c r="D38" s="123">
        <f>M11-E34</f>
        <v>27</v>
      </c>
      <c r="F38" s="28" t="s">
        <v>210</v>
      </c>
      <c r="G38" s="146">
        <f>ROUNDUP(规则设置!B20*(ROUNDDOWN((J11*0.975+D26*规则设置!C15),0)*0.975+G33*规则设置!C15)*3,0)</f>
        <v>2301261</v>
      </c>
      <c r="I38" s="280" t="s">
        <v>147</v>
      </c>
      <c r="J38" s="279"/>
      <c r="K38" s="279"/>
      <c r="M38" s="280" t="s">
        <v>148</v>
      </c>
      <c r="N38" s="279"/>
      <c r="O38" s="279"/>
      <c r="P38" s="1"/>
      <c r="Q38" s="80" t="s">
        <v>170</v>
      </c>
      <c r="R38" s="101">
        <f>IF(T38&gt;0,T38,)</f>
        <v>490617.29739622591</v>
      </c>
      <c r="S38" s="1"/>
      <c r="T38" s="172">
        <f>(R4/(1+规则设置!B73)-SUM(R9:R34)-R37)*规则设置!D73</f>
        <v>490617.29739622591</v>
      </c>
      <c r="U38" s="1"/>
      <c r="V38" s="1"/>
      <c r="W38" s="1"/>
    </row>
    <row r="39" spans="1:23" ht="18" customHeight="1" thickBot="1" x14ac:dyDescent="0.3">
      <c r="A39" s="1"/>
      <c r="B39" s="138" t="s">
        <v>254</v>
      </c>
      <c r="C39" s="138">
        <f>IF((C38+C37)*规则设置!D47&lt;G41*规则设置!B82,"请核对招聘员工数",0)</f>
        <v>0</v>
      </c>
      <c r="D39" s="138">
        <f>IF((D37+D38)/规则设置!B82&lt;(K11+D26),"请核对工人数量",0)</f>
        <v>0</v>
      </c>
      <c r="F39" s="35" t="s">
        <v>211</v>
      </c>
      <c r="G39" s="123">
        <f>G37+G38+1</f>
        <v>4246145</v>
      </c>
      <c r="I39" s="280" t="s">
        <v>69</v>
      </c>
      <c r="J39" s="147">
        <v>16500</v>
      </c>
      <c r="K39" s="147">
        <v>6000</v>
      </c>
      <c r="M39" s="280" t="s">
        <v>150</v>
      </c>
      <c r="N39" s="279">
        <v>0</v>
      </c>
      <c r="O39" s="147">
        <v>12000000</v>
      </c>
      <c r="P39" s="1"/>
      <c r="Q39" s="80" t="s">
        <v>173</v>
      </c>
      <c r="R39" s="61">
        <f>SUM(R9:R38)</f>
        <v>9814256.8078113198</v>
      </c>
      <c r="S39" s="1"/>
      <c r="T39" s="1"/>
      <c r="U39" s="1"/>
      <c r="V39" s="1"/>
      <c r="W39" s="1"/>
    </row>
    <row r="40" spans="1:23" ht="18" customHeight="1" thickBot="1" x14ac:dyDescent="0.3">
      <c r="A40" s="1"/>
      <c r="B40" s="253" t="s">
        <v>188</v>
      </c>
      <c r="C40" s="121" t="s">
        <v>189</v>
      </c>
      <c r="D40" s="6" t="s">
        <v>190</v>
      </c>
      <c r="H40" s="1"/>
      <c r="I40" s="280" t="s">
        <v>70</v>
      </c>
      <c r="J40" s="147">
        <v>33000</v>
      </c>
      <c r="K40" s="147">
        <v>12000</v>
      </c>
      <c r="M40" s="280" t="s">
        <v>152</v>
      </c>
      <c r="N40" s="279">
        <v>0</v>
      </c>
      <c r="O40" s="279">
        <v>0</v>
      </c>
      <c r="Q40" s="108" t="s">
        <v>177</v>
      </c>
      <c r="R40" s="89">
        <f>R6-R39</f>
        <v>1471851.8921886794</v>
      </c>
      <c r="S40" s="1"/>
      <c r="T40" s="1"/>
      <c r="U40" s="1"/>
      <c r="V40" s="1"/>
      <c r="W40" s="1"/>
    </row>
    <row r="41" spans="1:23" ht="18" customHeight="1" thickBot="1" x14ac:dyDescent="0.3">
      <c r="A41" s="1"/>
      <c r="B41" s="254"/>
      <c r="C41" s="192">
        <f>G41*3</f>
        <v>1440654</v>
      </c>
      <c r="D41" s="123">
        <f>ROUNDUP(规则设置!B20*C41,0)</f>
        <v>1944883</v>
      </c>
      <c r="F41" s="160" t="s">
        <v>191</v>
      </c>
      <c r="G41" s="161">
        <f>ROUNDDOWN(J11*0.975+D26*规则设置!C15,0)</f>
        <v>480218</v>
      </c>
      <c r="H41" s="1"/>
      <c r="I41" s="280" t="s">
        <v>71</v>
      </c>
      <c r="J41" s="147">
        <v>132750</v>
      </c>
      <c r="K41" s="147">
        <v>315000</v>
      </c>
      <c r="L41" s="1"/>
      <c r="M41" s="280" t="s">
        <v>156</v>
      </c>
      <c r="N41" s="279">
        <v>0</v>
      </c>
      <c r="O41" s="147">
        <v>12000000</v>
      </c>
    </row>
    <row r="42" spans="1:23" ht="18" customHeight="1" thickBot="1" x14ac:dyDescent="0.3">
      <c r="A42" s="1"/>
      <c r="B42" s="1"/>
      <c r="C42" s="1"/>
      <c r="D42" s="1"/>
      <c r="E42" s="1"/>
      <c r="F42" s="1"/>
      <c r="G42" s="1"/>
      <c r="H42" s="1"/>
      <c r="I42" s="280" t="s">
        <v>157</v>
      </c>
      <c r="J42" s="279">
        <v>0</v>
      </c>
      <c r="K42" s="279">
        <v>0</v>
      </c>
      <c r="L42" s="1"/>
      <c r="M42" s="280" t="s">
        <v>158</v>
      </c>
      <c r="N42" s="147">
        <v>3500000</v>
      </c>
      <c r="O42" s="147">
        <v>1601330</v>
      </c>
    </row>
    <row r="43" spans="1:23" ht="18" customHeight="1" thickBot="1" x14ac:dyDescent="0.3">
      <c r="A43" s="1"/>
      <c r="B43" s="1"/>
      <c r="C43" s="1"/>
      <c r="D43" s="1"/>
      <c r="E43" s="1"/>
      <c r="F43" s="1"/>
      <c r="G43" s="1"/>
      <c r="H43" s="1"/>
      <c r="I43" s="280" t="s">
        <v>160</v>
      </c>
      <c r="J43" s="279">
        <v>0</v>
      </c>
      <c r="K43" s="279">
        <v>0</v>
      </c>
      <c r="L43" s="1"/>
      <c r="M43" s="1"/>
      <c r="N43" s="1"/>
      <c r="O43" s="1"/>
    </row>
    <row r="44" spans="1:23" ht="18" customHeight="1" thickBot="1" x14ac:dyDescent="0.3">
      <c r="A44" s="1"/>
      <c r="B44" s="1"/>
      <c r="C44" s="1"/>
      <c r="D44" s="1"/>
      <c r="E44" s="1"/>
      <c r="F44" s="1"/>
      <c r="G44" s="1"/>
      <c r="H44" s="1"/>
      <c r="I44" s="280" t="s">
        <v>83</v>
      </c>
      <c r="J44" s="279">
        <v>0</v>
      </c>
      <c r="K44" s="147">
        <v>15120</v>
      </c>
      <c r="L44" s="1"/>
      <c r="M44" s="1"/>
      <c r="N44" s="1"/>
      <c r="O44" s="1"/>
    </row>
    <row r="45" spans="1:23" ht="18" customHeight="1" thickBot="1" x14ac:dyDescent="0.3">
      <c r="A45" s="1"/>
      <c r="B45" s="1"/>
      <c r="C45" s="1"/>
      <c r="D45" s="1"/>
      <c r="E45" s="1"/>
      <c r="F45" s="1"/>
      <c r="G45" s="1"/>
      <c r="H45" s="1"/>
      <c r="I45" s="280" t="s">
        <v>162</v>
      </c>
      <c r="J45" s="279"/>
      <c r="K45" s="279"/>
      <c r="L45" s="1"/>
      <c r="M45" s="1"/>
      <c r="N45" s="1"/>
      <c r="O45" s="1"/>
    </row>
    <row r="46" spans="1:23" ht="18" customHeight="1" thickBot="1" x14ac:dyDescent="0.3">
      <c r="A46" s="1"/>
      <c r="B46" s="1"/>
      <c r="C46" s="1"/>
      <c r="D46" s="1"/>
      <c r="E46" s="1"/>
      <c r="F46" s="1"/>
      <c r="G46" s="1"/>
      <c r="H46" s="1"/>
      <c r="I46" s="280" t="s">
        <v>164</v>
      </c>
      <c r="J46" s="279">
        <v>0</v>
      </c>
      <c r="K46" s="147">
        <v>120000</v>
      </c>
      <c r="L46" s="1"/>
      <c r="M46" s="1"/>
      <c r="N46" s="1"/>
      <c r="O46" s="1"/>
    </row>
    <row r="47" spans="1:23" ht="18" customHeight="1" thickBot="1" x14ac:dyDescent="0.3">
      <c r="A47" s="1"/>
      <c r="B47" s="1"/>
      <c r="C47" s="1"/>
      <c r="D47" s="1"/>
      <c r="E47" s="1"/>
      <c r="F47" s="1"/>
      <c r="G47" s="1"/>
      <c r="H47" s="1"/>
      <c r="I47" s="280" t="s">
        <v>165</v>
      </c>
      <c r="J47" s="279"/>
      <c r="K47" s="279"/>
      <c r="L47" s="1"/>
      <c r="M47" s="1"/>
      <c r="N47" s="1"/>
      <c r="O47" s="1"/>
    </row>
    <row r="48" spans="1:23" ht="18" customHeight="1" thickBot="1" x14ac:dyDescent="0.3">
      <c r="A48" s="1"/>
      <c r="B48" s="1"/>
      <c r="C48" s="1"/>
      <c r="D48" s="1"/>
      <c r="E48" s="1"/>
      <c r="F48" s="1"/>
      <c r="G48" s="1"/>
      <c r="H48" s="1"/>
      <c r="I48" s="280" t="s">
        <v>167</v>
      </c>
      <c r="J48" s="279">
        <v>0</v>
      </c>
      <c r="K48" s="147">
        <v>457885</v>
      </c>
      <c r="L48" s="1"/>
      <c r="M48" s="1"/>
      <c r="N48" s="1"/>
      <c r="O48" s="1"/>
    </row>
    <row r="49" spans="1:15" ht="18" customHeight="1" thickBot="1" x14ac:dyDescent="0.3">
      <c r="A49" s="1"/>
      <c r="B49" s="1"/>
      <c r="C49" s="1"/>
      <c r="D49" s="1"/>
      <c r="E49" s="1"/>
      <c r="F49" s="1"/>
      <c r="G49" s="1"/>
      <c r="H49" s="1"/>
      <c r="I49" s="280" t="s">
        <v>169</v>
      </c>
      <c r="J49" s="279">
        <v>0</v>
      </c>
      <c r="K49" s="147">
        <v>32052</v>
      </c>
      <c r="L49" s="1"/>
      <c r="M49" s="1"/>
      <c r="N49" s="1"/>
      <c r="O49" s="1"/>
    </row>
    <row r="50" spans="1:15" ht="18" customHeight="1" thickBot="1" x14ac:dyDescent="0.3">
      <c r="A50" s="1"/>
      <c r="B50" s="1"/>
      <c r="C50" s="1"/>
      <c r="D50" s="1"/>
      <c r="E50" s="1"/>
      <c r="F50" s="1"/>
      <c r="G50" s="1"/>
      <c r="H50" s="1"/>
      <c r="I50" s="280" t="s">
        <v>170</v>
      </c>
      <c r="J50" s="279">
        <v>0</v>
      </c>
      <c r="K50" s="279">
        <v>0</v>
      </c>
      <c r="L50" s="1"/>
      <c r="M50" s="1"/>
      <c r="N50" s="1"/>
      <c r="O50" s="1"/>
    </row>
    <row r="51" spans="1:15" ht="18" customHeight="1" thickBot="1" x14ac:dyDescent="0.3">
      <c r="A51" s="1"/>
      <c r="B51" s="1"/>
      <c r="C51" s="1"/>
      <c r="D51" s="1"/>
      <c r="E51" s="1"/>
      <c r="F51" s="1"/>
      <c r="G51" s="1"/>
      <c r="H51" s="1"/>
      <c r="I51" s="280" t="s">
        <v>173</v>
      </c>
      <c r="J51" s="147">
        <v>3000000</v>
      </c>
      <c r="K51" s="147">
        <v>9987976</v>
      </c>
      <c r="L51" s="1"/>
      <c r="M51" s="1"/>
      <c r="N51" s="1"/>
      <c r="O51" s="1"/>
    </row>
    <row r="52" spans="1:15" ht="18" customHeight="1" thickBot="1" x14ac:dyDescent="0.3">
      <c r="A52" s="1"/>
      <c r="B52" s="1"/>
      <c r="C52" s="1"/>
      <c r="D52" s="1"/>
      <c r="E52" s="1"/>
      <c r="F52" s="1"/>
      <c r="G52" s="1"/>
      <c r="H52" s="1"/>
      <c r="I52" s="280" t="s">
        <v>177</v>
      </c>
      <c r="J52" s="147">
        <v>-3000000</v>
      </c>
      <c r="K52" s="147">
        <v>-1898670</v>
      </c>
      <c r="L52" s="1"/>
      <c r="M52" s="1"/>
      <c r="N52" s="1"/>
      <c r="O52" s="1"/>
    </row>
    <row r="53" spans="1:15" ht="18" customHeight="1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1"/>
      <c r="B54" s="16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8" customHeight="1" thickBot="1" x14ac:dyDescent="0.3">
      <c r="A55" s="1"/>
      <c r="B55" s="170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</sheetData>
  <mergeCells count="20">
    <mergeCell ref="B40:B41"/>
    <mergeCell ref="C22:E22"/>
    <mergeCell ref="B2:F2"/>
    <mergeCell ref="B8:E8"/>
    <mergeCell ref="D9:E9"/>
    <mergeCell ref="D10:E10"/>
    <mergeCell ref="B13:F13"/>
    <mergeCell ref="B20:E20"/>
    <mergeCell ref="B24:D24"/>
    <mergeCell ref="B28:E28"/>
    <mergeCell ref="B29:C29"/>
    <mergeCell ref="B30:B33"/>
    <mergeCell ref="B34:C34"/>
    <mergeCell ref="M30:O30"/>
    <mergeCell ref="Q2:R2"/>
    <mergeCell ref="T2:U2"/>
    <mergeCell ref="I13:K13"/>
    <mergeCell ref="M13:O13"/>
    <mergeCell ref="T19:U19"/>
    <mergeCell ref="I2:N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A75F-4F06-41E0-A016-BAC978B9A2F8}">
  <dimension ref="A1:W55"/>
  <sheetViews>
    <sheetView topLeftCell="A5" zoomScale="85" zoomScaleNormal="85" workbookViewId="0">
      <selection activeCell="H13" sqref="H13"/>
    </sheetView>
  </sheetViews>
  <sheetFormatPr defaultColWidth="15.77734375" defaultRowHeight="18" customHeight="1" x14ac:dyDescent="0.25"/>
  <cols>
    <col min="1" max="1" width="8.77734375" customWidth="1"/>
    <col min="6" max="6" width="17.33203125" bestFit="1" customWidth="1"/>
    <col min="18" max="18" width="19.21875" bestFit="1" customWidth="1"/>
  </cols>
  <sheetData>
    <row r="1" spans="1:23" ht="18" customHeight="1" thickBot="1" x14ac:dyDescent="0.3">
      <c r="A1" s="1"/>
      <c r="B1" s="1"/>
      <c r="C1" s="1"/>
      <c r="D1" s="1"/>
      <c r="E1" s="1"/>
      <c r="F1" s="1"/>
      <c r="G1" s="1"/>
      <c r="P1" s="1"/>
      <c r="Q1" s="1"/>
      <c r="R1" s="1"/>
      <c r="S1" s="1"/>
      <c r="T1" s="1"/>
      <c r="U1" s="1"/>
      <c r="V1" s="1"/>
      <c r="W1" s="1"/>
    </row>
    <row r="2" spans="1:23" ht="18" customHeight="1" thickBot="1" x14ac:dyDescent="0.3">
      <c r="A2" s="1"/>
      <c r="B2" s="241" t="s">
        <v>90</v>
      </c>
      <c r="C2" s="265"/>
      <c r="D2" s="265"/>
      <c r="E2" s="265"/>
      <c r="F2" s="242"/>
      <c r="G2" s="2" t="s">
        <v>194</v>
      </c>
      <c r="H2" s="163">
        <f>U15</f>
        <v>1951567.832170872</v>
      </c>
      <c r="I2" s="266" t="s">
        <v>239</v>
      </c>
      <c r="J2" s="267"/>
      <c r="K2" s="267"/>
      <c r="L2" s="267"/>
      <c r="M2" s="267"/>
      <c r="N2" s="268"/>
      <c r="P2" s="1"/>
      <c r="Q2" s="241" t="s">
        <v>91</v>
      </c>
      <c r="R2" s="242"/>
      <c r="S2" s="1"/>
      <c r="T2" s="241" t="s">
        <v>92</v>
      </c>
      <c r="U2" s="242"/>
      <c r="V2" s="1"/>
      <c r="W2" s="1"/>
    </row>
    <row r="3" spans="1:23" ht="18" customHeight="1" thickBot="1" x14ac:dyDescent="0.3">
      <c r="A3" s="1"/>
      <c r="B3" s="53"/>
      <c r="C3" s="156" t="s">
        <v>93</v>
      </c>
      <c r="D3" s="156" t="s">
        <v>94</v>
      </c>
      <c r="E3" s="156" t="s">
        <v>95</v>
      </c>
      <c r="F3" s="157" t="s">
        <v>96</v>
      </c>
      <c r="G3" s="27"/>
      <c r="H3" s="164"/>
      <c r="I3" s="148" t="s">
        <v>174</v>
      </c>
      <c r="J3" s="148" t="s">
        <v>15</v>
      </c>
      <c r="K3" s="148" t="s">
        <v>175</v>
      </c>
      <c r="L3" s="148" t="s">
        <v>205</v>
      </c>
      <c r="M3" s="148" t="s">
        <v>176</v>
      </c>
      <c r="N3" s="148" t="s">
        <v>17</v>
      </c>
      <c r="O3" s="1" t="s">
        <v>206</v>
      </c>
      <c r="P3" s="19" t="s">
        <v>192</v>
      </c>
      <c r="Q3" s="56" t="s">
        <v>97</v>
      </c>
      <c r="R3" s="57"/>
      <c r="S3" s="1"/>
      <c r="T3" s="56" t="s">
        <v>265</v>
      </c>
      <c r="U3" s="57"/>
      <c r="V3" s="1"/>
      <c r="W3" s="1"/>
    </row>
    <row r="4" spans="1:23" ht="18" customHeight="1" thickBot="1" x14ac:dyDescent="0.3">
      <c r="A4" s="1"/>
      <c r="B4" s="152" t="s">
        <v>99</v>
      </c>
      <c r="C4" s="58">
        <f>第二季!C4</f>
        <v>6</v>
      </c>
      <c r="D4" s="58">
        <f>第二季!D4:F4</f>
        <v>5</v>
      </c>
      <c r="E4" s="58">
        <f>第二季!E4</f>
        <v>5</v>
      </c>
      <c r="F4" s="59">
        <f>第二季!F4</f>
        <v>4</v>
      </c>
      <c r="G4" s="27" t="s">
        <v>195</v>
      </c>
      <c r="H4" s="164">
        <f>0.5*U4-U15-O28</f>
        <v>-399671.33217087202</v>
      </c>
      <c r="I4" s="279" t="s">
        <v>93</v>
      </c>
      <c r="J4" s="147">
        <v>432585</v>
      </c>
      <c r="K4" s="147">
        <v>432585</v>
      </c>
      <c r="L4" s="279">
        <v>13.2</v>
      </c>
      <c r="M4" s="147">
        <v>47415</v>
      </c>
      <c r="N4" s="279">
        <v>8</v>
      </c>
      <c r="O4" s="1">
        <f>K4/(L4/100)</f>
        <v>3277159.0909090908</v>
      </c>
      <c r="P4" s="124">
        <f>IF(G12&lt;=N11*规则设置!D47,C5*C12+D5*D12+E5*E12+F5*F12,(C5*N4+D5*N5+E5*N6+F5*N7)*规则设置!D47)-(M4*C5+M5*D5+M6*E5+M7*F5)</f>
        <v>12965886</v>
      </c>
      <c r="Q4" s="125" t="s">
        <v>193</v>
      </c>
      <c r="R4" s="126">
        <f>C5*C12+D5*D12+E5*E12+F5*F12</f>
        <v>13704237</v>
      </c>
      <c r="S4" s="1"/>
      <c r="T4" s="181" t="s">
        <v>100</v>
      </c>
      <c r="U4" s="61">
        <f>R4</f>
        <v>13704237</v>
      </c>
    </row>
    <row r="5" spans="1:23" ht="18" customHeight="1" thickBot="1" x14ac:dyDescent="0.3">
      <c r="A5" s="1"/>
      <c r="B5" s="152" t="s">
        <v>101</v>
      </c>
      <c r="C5" s="128">
        <v>9</v>
      </c>
      <c r="D5" s="128">
        <v>9</v>
      </c>
      <c r="E5" s="128">
        <v>9</v>
      </c>
      <c r="F5" s="166">
        <v>9</v>
      </c>
      <c r="G5" s="27"/>
      <c r="H5" s="164"/>
      <c r="I5" s="279" t="s">
        <v>94</v>
      </c>
      <c r="J5" s="147">
        <v>403436</v>
      </c>
      <c r="K5" s="147">
        <v>403436</v>
      </c>
      <c r="L5" s="279">
        <v>12.27</v>
      </c>
      <c r="M5" s="147">
        <v>34624</v>
      </c>
      <c r="N5" s="279">
        <v>8</v>
      </c>
      <c r="O5" s="1">
        <f>K5/(L5/100)</f>
        <v>3287986.9600652</v>
      </c>
      <c r="P5" s="129">
        <f>IF(G12&lt;=N11*规则设置!D47,,"注意填写库存！")</f>
        <v>0</v>
      </c>
      <c r="Q5" s="64" t="s">
        <v>102</v>
      </c>
      <c r="R5" s="61"/>
      <c r="S5" s="1"/>
      <c r="T5" s="181" t="s">
        <v>102</v>
      </c>
      <c r="U5" s="61">
        <f>R5</f>
        <v>0</v>
      </c>
    </row>
    <row r="6" spans="1:23" ht="18" customHeight="1" thickBot="1" x14ac:dyDescent="0.3">
      <c r="A6" s="1"/>
      <c r="B6" s="153" t="s">
        <v>26</v>
      </c>
      <c r="C6" s="167">
        <v>1</v>
      </c>
      <c r="D6" s="167">
        <v>1</v>
      </c>
      <c r="E6" s="167">
        <v>0</v>
      </c>
      <c r="F6" s="168">
        <v>1</v>
      </c>
      <c r="G6" s="7" t="s">
        <v>222</v>
      </c>
      <c r="H6" s="165">
        <f>ROUNDUP(U14-0.5*U4-O28-1,0)</f>
        <v>2100328</v>
      </c>
      <c r="I6" s="279" t="s">
        <v>95</v>
      </c>
      <c r="J6" s="279">
        <v>0</v>
      </c>
      <c r="K6" s="279">
        <v>0</v>
      </c>
      <c r="L6" s="279">
        <v>0</v>
      </c>
      <c r="M6" s="279">
        <v>0</v>
      </c>
      <c r="N6" s="279">
        <v>0</v>
      </c>
      <c r="O6" s="1" t="e">
        <f>K6/(L6/100)</f>
        <v>#DIV/0!</v>
      </c>
      <c r="P6" s="1"/>
      <c r="Q6" s="181" t="s">
        <v>103</v>
      </c>
      <c r="R6" s="61">
        <f>R4+R5</f>
        <v>13704237</v>
      </c>
      <c r="S6" s="1"/>
      <c r="T6" s="181" t="s">
        <v>104</v>
      </c>
      <c r="U6" s="61">
        <f>C21</f>
        <v>2500000</v>
      </c>
    </row>
    <row r="7" spans="1:23" ht="18" customHeight="1" thickBot="1" x14ac:dyDescent="0.3">
      <c r="A7" s="1"/>
      <c r="B7" s="1"/>
      <c r="C7" s="1"/>
      <c r="D7" s="1"/>
      <c r="E7" s="1"/>
      <c r="F7" s="210"/>
      <c r="G7" s="1"/>
      <c r="I7" s="279" t="s">
        <v>96</v>
      </c>
      <c r="J7" s="147">
        <v>454570</v>
      </c>
      <c r="K7" s="147">
        <v>435929</v>
      </c>
      <c r="L7" s="279">
        <v>12.25</v>
      </c>
      <c r="M7" s="279">
        <v>0</v>
      </c>
      <c r="N7" s="279">
        <v>8</v>
      </c>
      <c r="O7" s="1">
        <f>K7/(L7/100)</f>
        <v>3558604.0816326533</v>
      </c>
      <c r="P7" s="1"/>
      <c r="Q7" s="68" t="s">
        <v>105</v>
      </c>
      <c r="R7" s="61"/>
      <c r="S7" s="1"/>
      <c r="T7" s="181" t="s">
        <v>106</v>
      </c>
      <c r="U7" s="61">
        <f>SUM(U4:U6)</f>
        <v>16204237</v>
      </c>
    </row>
    <row r="8" spans="1:23" ht="18" customHeight="1" thickBot="1" x14ac:dyDescent="0.3">
      <c r="A8" s="1"/>
      <c r="B8" s="235" t="s">
        <v>107</v>
      </c>
      <c r="C8" s="236"/>
      <c r="D8" s="265"/>
      <c r="E8" s="242"/>
      <c r="F8" s="154" t="s">
        <v>196</v>
      </c>
      <c r="G8" s="127">
        <f>ROUNDDOWN(F9*1.5,0)</f>
        <v>720327</v>
      </c>
      <c r="H8" t="s">
        <v>262</v>
      </c>
      <c r="I8" s="148" t="s">
        <v>178</v>
      </c>
      <c r="J8" s="148" t="s">
        <v>179</v>
      </c>
      <c r="K8" s="148" t="s">
        <v>180</v>
      </c>
      <c r="L8" s="148" t="s">
        <v>176</v>
      </c>
      <c r="M8" s="148" t="s">
        <v>181</v>
      </c>
      <c r="N8" s="148" t="s">
        <v>207</v>
      </c>
      <c r="O8" s="1"/>
      <c r="P8" s="1"/>
      <c r="Q8" s="70" t="s">
        <v>108</v>
      </c>
      <c r="R8" s="61"/>
      <c r="S8" s="1"/>
      <c r="T8" s="68" t="s">
        <v>109</v>
      </c>
      <c r="U8" s="61"/>
    </row>
    <row r="9" spans="1:23" ht="18" customHeight="1" thickBot="1" x14ac:dyDescent="0.3">
      <c r="A9" s="1"/>
      <c r="B9" s="125" t="s">
        <v>255</v>
      </c>
      <c r="C9" s="194" t="s">
        <v>256</v>
      </c>
      <c r="D9" s="269" t="s">
        <v>3</v>
      </c>
      <c r="E9" s="270"/>
      <c r="F9" s="79">
        <f>I11</f>
        <v>480218</v>
      </c>
      <c r="G9" s="127">
        <f>ROUNDDOWN(F9*2.5,0)</f>
        <v>1200545</v>
      </c>
      <c r="H9">
        <v>3</v>
      </c>
      <c r="I9" s="147">
        <v>1290591</v>
      </c>
      <c r="J9" s="147">
        <v>1323750</v>
      </c>
      <c r="K9" s="147">
        <v>1271950</v>
      </c>
      <c r="L9" s="147">
        <v>82039</v>
      </c>
      <c r="M9" s="147">
        <v>1944885</v>
      </c>
      <c r="N9" s="279">
        <v>9.43</v>
      </c>
      <c r="O9" s="1">
        <f>K9/(N9/100)</f>
        <v>13488335.100742312</v>
      </c>
      <c r="P9" s="1"/>
      <c r="Q9" s="181" t="s">
        <v>111</v>
      </c>
      <c r="R9" s="61">
        <f>D10</f>
        <v>1800000</v>
      </c>
      <c r="S9" s="1"/>
      <c r="T9" s="181" t="s">
        <v>112</v>
      </c>
      <c r="U9" s="61">
        <f>SUM(R9+R10+R11+R13+R14+R15+R16+R20+R21+R22+R24+R25+R27+R28+R29+R30+R31+R32+R34+R36+R37+R38+R23)</f>
        <v>7558859.292829128</v>
      </c>
      <c r="V9" s="1"/>
      <c r="W9" s="1"/>
    </row>
    <row r="10" spans="1:23" ht="18" customHeight="1" thickBot="1" x14ac:dyDescent="0.3">
      <c r="A10" s="1"/>
      <c r="B10" s="196">
        <v>1440654</v>
      </c>
      <c r="C10" s="195">
        <f>I11*3</f>
        <v>1440654</v>
      </c>
      <c r="D10" s="262">
        <v>1800000</v>
      </c>
      <c r="E10" s="264"/>
      <c r="F10" s="209">
        <v>20</v>
      </c>
      <c r="G10" s="127">
        <f>ROUNDDOWN(F9*3,0)</f>
        <v>1440654</v>
      </c>
      <c r="I10" s="148" t="s">
        <v>183</v>
      </c>
      <c r="J10" s="148" t="s">
        <v>184</v>
      </c>
      <c r="K10" s="148" t="s">
        <v>185</v>
      </c>
      <c r="L10" s="148" t="s">
        <v>186</v>
      </c>
      <c r="M10" s="148" t="s">
        <v>163</v>
      </c>
      <c r="N10" s="148" t="s">
        <v>17</v>
      </c>
      <c r="O10" s="1"/>
      <c r="P10" s="1"/>
      <c r="Q10" s="181" t="s">
        <v>32</v>
      </c>
      <c r="R10" s="60">
        <f>IF(B10&lt;=0,0,IF(B10&lt;=G8,规则设置!D24,IF(B10&lt;=G9,规则设置!D25,IF(B10&lt;=G10,规则设置!D26,"请检查计划产量!"))))</f>
        <v>20000</v>
      </c>
      <c r="S10" s="1"/>
      <c r="T10" s="181" t="s">
        <v>113</v>
      </c>
      <c r="U10" s="61">
        <f>(F24+C26)*E26</f>
        <v>6193809.875</v>
      </c>
      <c r="V10" s="1"/>
      <c r="W10" s="1"/>
    </row>
    <row r="11" spans="1:23" ht="18" customHeight="1" thickBot="1" x14ac:dyDescent="0.3">
      <c r="A11" s="1"/>
      <c r="B11" s="32" t="s">
        <v>197</v>
      </c>
      <c r="C11" s="130">
        <f>ROUNDDOWN((M9+C26)/规则设置!B20,0)</f>
        <v>1440655</v>
      </c>
      <c r="D11" s="1"/>
      <c r="E11" s="1"/>
      <c r="F11" s="1"/>
      <c r="G11" s="1"/>
      <c r="I11" s="147">
        <v>480218</v>
      </c>
      <c r="J11" s="147">
        <v>480218</v>
      </c>
      <c r="K11" s="279">
        <v>10</v>
      </c>
      <c r="L11" s="279">
        <v>54</v>
      </c>
      <c r="M11" s="279">
        <v>30</v>
      </c>
      <c r="N11" s="279">
        <v>24</v>
      </c>
      <c r="O11" s="1"/>
      <c r="P11" s="131">
        <f>R11/B10</f>
        <v>1.4</v>
      </c>
      <c r="Q11" s="181" t="s">
        <v>39</v>
      </c>
      <c r="R11" s="60">
        <f>IF(B10&lt;=0,0,IF(B10&lt;=F9,规则设置!B30*B10,IF(B10&lt;=G8,规则设置!B30*B10+规则设置!C30*(B10-F9),IF(B10&lt;=2*F9,规则设置!B30*B10+规则设置!B32*(B10-F9),IF(B10&lt;=G9,规则设置!B30*F9+规则设置!B32*F9+规则设置!C32*(B10-2*F9),IF(B10&lt;=G10,规则设置!B30*F9+规则设置!B32*F9+规则设置!B34*(B10-2*F9),"检查计划产量！"))))))</f>
        <v>2016915.5999999999</v>
      </c>
      <c r="S11" s="1"/>
      <c r="T11" s="181" t="s">
        <v>114</v>
      </c>
      <c r="U11" s="61">
        <f>规则设置!D50*D26</f>
        <v>500000</v>
      </c>
      <c r="V11" s="1"/>
      <c r="W11" s="1"/>
    </row>
    <row r="12" spans="1:23" ht="18" customHeight="1" thickBot="1" x14ac:dyDescent="0.3">
      <c r="A12" s="1"/>
      <c r="B12" s="158" t="s">
        <v>198</v>
      </c>
      <c r="C12" s="133">
        <f>M4+C15</f>
        <v>512415</v>
      </c>
      <c r="D12" s="133">
        <f>M5+D15</f>
        <v>475278</v>
      </c>
      <c r="E12" s="133">
        <f>M6+E15</f>
        <v>0</v>
      </c>
      <c r="F12" s="134">
        <f>M7+F15</f>
        <v>535000</v>
      </c>
      <c r="G12" s="127">
        <f>SUM(C12:F12)</f>
        <v>1522693</v>
      </c>
      <c r="P12" s="135">
        <f>B10*规则设置!D82</f>
        <v>2016915.5999999999</v>
      </c>
      <c r="Q12" s="181" t="s">
        <v>115</v>
      </c>
      <c r="R12" s="61">
        <f>F26*G26</f>
        <v>2431103.5545325428</v>
      </c>
      <c r="S12" s="1"/>
      <c r="T12" s="181" t="s">
        <v>116</v>
      </c>
      <c r="U12" s="61">
        <f>E21</f>
        <v>0</v>
      </c>
      <c r="V12" s="1"/>
      <c r="W12" s="1"/>
    </row>
    <row r="13" spans="1:23" ht="18" customHeight="1" thickBot="1" x14ac:dyDescent="0.3">
      <c r="A13" s="1"/>
      <c r="B13" s="241" t="s">
        <v>117</v>
      </c>
      <c r="C13" s="265"/>
      <c r="D13" s="265"/>
      <c r="E13" s="265"/>
      <c r="F13" s="242"/>
      <c r="G13" s="1"/>
      <c r="I13" s="266" t="s">
        <v>225</v>
      </c>
      <c r="J13" s="267"/>
      <c r="K13" s="268"/>
      <c r="M13" s="266" t="s">
        <v>226</v>
      </c>
      <c r="N13" s="267"/>
      <c r="O13" s="268"/>
      <c r="P13" s="1"/>
      <c r="Q13" s="181" t="s">
        <v>47</v>
      </c>
      <c r="R13" s="60">
        <f>IF(F24&lt;1,0,IF(F24&lt;=规则设置!C41,规则设置!D40,IF(F24&lt;=规则设置!C42,规则设置!D41,IF(F24&lt;=规则设置!C43,规则设置!D42,IF(F24&lt;=规则设置!C44,规则设置!D43,规则设置!D44)))))</f>
        <v>200000</v>
      </c>
      <c r="S13" s="1"/>
      <c r="T13" s="181" t="s">
        <v>118</v>
      </c>
      <c r="U13" s="61" t="str">
        <f>C22</f>
        <v>、</v>
      </c>
      <c r="V13" s="1"/>
      <c r="W13" s="1"/>
    </row>
    <row r="14" spans="1:23" ht="18" customHeight="1" thickBot="1" x14ac:dyDescent="0.3">
      <c r="A14" s="1"/>
      <c r="B14" s="149"/>
      <c r="C14" s="150" t="s">
        <v>93</v>
      </c>
      <c r="D14" s="150" t="s">
        <v>94</v>
      </c>
      <c r="E14" s="150" t="s">
        <v>95</v>
      </c>
      <c r="F14" s="151" t="s">
        <v>96</v>
      </c>
      <c r="G14" s="127">
        <f>B10</f>
        <v>1440654</v>
      </c>
      <c r="H14">
        <v>0</v>
      </c>
      <c r="I14" s="148" t="s">
        <v>213</v>
      </c>
      <c r="J14" s="148" t="s">
        <v>214</v>
      </c>
      <c r="K14" s="148" t="s">
        <v>215</v>
      </c>
      <c r="M14" s="171" t="s">
        <v>213</v>
      </c>
      <c r="N14" s="171" t="s">
        <v>214</v>
      </c>
      <c r="O14" s="171" t="s">
        <v>215</v>
      </c>
      <c r="P14" s="1"/>
      <c r="Q14" s="181" t="s">
        <v>119</v>
      </c>
      <c r="R14" s="61">
        <f>C26*(规则设置!B47)</f>
        <v>0</v>
      </c>
      <c r="S14" s="1"/>
      <c r="T14" s="181" t="s">
        <v>120</v>
      </c>
      <c r="U14" s="61">
        <f>SUM(U9:U13)</f>
        <v>14252669.167829128</v>
      </c>
      <c r="V14" s="1"/>
      <c r="W14" s="1"/>
    </row>
    <row r="15" spans="1:23" ht="18" customHeight="1" thickBot="1" x14ac:dyDescent="0.3">
      <c r="A15" s="1"/>
      <c r="B15" s="152" t="s">
        <v>121</v>
      </c>
      <c r="C15" s="88">
        <v>465000</v>
      </c>
      <c r="D15" s="88">
        <v>440654</v>
      </c>
      <c r="E15" s="88">
        <v>0</v>
      </c>
      <c r="F15" s="136">
        <v>535000</v>
      </c>
      <c r="G15" s="137">
        <f>SUM(C15:F15)</f>
        <v>1440654</v>
      </c>
      <c r="I15" s="280" t="s">
        <v>97</v>
      </c>
      <c r="J15" s="279"/>
      <c r="K15" s="279"/>
      <c r="M15" s="280" t="s">
        <v>98</v>
      </c>
      <c r="N15" s="279"/>
      <c r="O15" s="279"/>
      <c r="P15" s="1"/>
      <c r="Q15" s="181" t="s">
        <v>122</v>
      </c>
      <c r="R15" s="61">
        <f>K11*规则设置!B50</f>
        <v>120000</v>
      </c>
      <c r="S15" s="1"/>
      <c r="T15" s="68" t="s">
        <v>123</v>
      </c>
      <c r="U15" s="61">
        <f>U7-U14</f>
        <v>1951567.832170872</v>
      </c>
      <c r="V15" s="1"/>
      <c r="W15" s="1" t="s">
        <v>258</v>
      </c>
    </row>
    <row r="16" spans="1:23" ht="18" customHeight="1" thickBot="1" x14ac:dyDescent="0.3">
      <c r="A16" s="1"/>
      <c r="B16" s="152" t="s">
        <v>124</v>
      </c>
      <c r="C16" s="74"/>
      <c r="D16" s="74"/>
      <c r="E16" s="74"/>
      <c r="F16" s="60"/>
      <c r="G16" s="1">
        <f>G14-G15</f>
        <v>0</v>
      </c>
      <c r="I16" s="280" t="s">
        <v>100</v>
      </c>
      <c r="J16" s="147">
        <v>8089306</v>
      </c>
      <c r="K16" s="147">
        <v>10600444</v>
      </c>
      <c r="M16" s="280" t="s">
        <v>100</v>
      </c>
      <c r="N16" s="147">
        <v>8089306</v>
      </c>
      <c r="O16" s="147">
        <v>10600444</v>
      </c>
      <c r="P16" s="1"/>
      <c r="Q16" s="181" t="s">
        <v>125</v>
      </c>
      <c r="R16" s="61">
        <f>规则设置!C50*D26</f>
        <v>100000</v>
      </c>
      <c r="S16" s="1"/>
      <c r="T16" s="75" t="s">
        <v>126</v>
      </c>
      <c r="U16" s="76">
        <f>IF((O28+U15)&gt;=0.5*U4,O28+U15,0.5*U4)</f>
        <v>7251789.832170872</v>
      </c>
      <c r="V16" s="1"/>
      <c r="W16" s="1">
        <f>IF((O28+U15)&gt;=0.5*U4,0,1)</f>
        <v>0</v>
      </c>
    </row>
    <row r="17" spans="1:23" ht="18" customHeight="1" thickBot="1" x14ac:dyDescent="0.3">
      <c r="A17" s="1"/>
      <c r="B17" s="202" t="s">
        <v>260</v>
      </c>
      <c r="C17" s="203">
        <f>((C12*C5-(C6+D10/H9+C15*1.35*第一季!E26))/C12)</f>
        <v>6.297720597562523</v>
      </c>
      <c r="D17" s="203">
        <f>((D12*D5-(D6+D10/H9+D15*1.35*第一季!E26))/D12)</f>
        <v>6.1730132154233939</v>
      </c>
      <c r="E17" s="203" t="e">
        <f>((E12*E5-(E6+D10/H9+E15*1.35*第一季!E26))/E12)</f>
        <v>#DIV/0!</v>
      </c>
      <c r="F17" s="204">
        <f>((F12*F5-(F6+D10/H9+F15*1.35*第一季!E26))/F12)</f>
        <v>6.1910028037383178</v>
      </c>
      <c r="G17" s="214" t="s">
        <v>261</v>
      </c>
      <c r="H17" s="214" t="s">
        <v>268</v>
      </c>
      <c r="I17" s="280" t="s">
        <v>216</v>
      </c>
      <c r="J17" s="279">
        <v>0</v>
      </c>
      <c r="K17" s="279">
        <v>0</v>
      </c>
      <c r="M17" s="280" t="s">
        <v>216</v>
      </c>
      <c r="N17" s="279">
        <v>0</v>
      </c>
      <c r="O17" s="279">
        <v>0</v>
      </c>
      <c r="P17" s="1"/>
      <c r="Q17" s="181" t="s">
        <v>60</v>
      </c>
      <c r="R17" s="61">
        <f>规则设置!C52*O36</f>
        <v>120054.70000000001</v>
      </c>
      <c r="S17" s="1"/>
      <c r="T17" s="1"/>
      <c r="U17" s="1"/>
      <c r="V17" s="1"/>
      <c r="W17" s="1"/>
    </row>
    <row r="18" spans="1:23" ht="18" customHeight="1" thickBot="1" x14ac:dyDescent="0.3">
      <c r="A18" s="1"/>
      <c r="B18" s="153"/>
      <c r="C18" s="77"/>
      <c r="D18" s="77"/>
      <c r="E18" s="77"/>
      <c r="F18" s="76">
        <v>0</v>
      </c>
      <c r="G18" s="217">
        <f>R40</f>
        <v>3266063.4526383299</v>
      </c>
      <c r="H18" s="217">
        <f>U30</f>
        <v>6082834.4526383281</v>
      </c>
      <c r="I18" s="280" t="s">
        <v>103</v>
      </c>
      <c r="J18" s="147">
        <v>8089306</v>
      </c>
      <c r="K18" s="147">
        <v>10600444</v>
      </c>
      <c r="M18" s="280" t="s">
        <v>104</v>
      </c>
      <c r="N18" s="147">
        <v>12000000</v>
      </c>
      <c r="O18" s="279">
        <v>0</v>
      </c>
      <c r="P18" s="1"/>
      <c r="Q18" s="181" t="s">
        <v>127</v>
      </c>
      <c r="R18" s="61">
        <f>O35-U23</f>
        <v>328156</v>
      </c>
      <c r="S18" s="1"/>
      <c r="T18" s="1"/>
      <c r="U18" s="1"/>
      <c r="V18" s="1"/>
      <c r="W18" s="1"/>
    </row>
    <row r="19" spans="1:23" ht="18" customHeight="1" thickBot="1" x14ac:dyDescent="0.3">
      <c r="A19" s="1"/>
      <c r="B19" s="138" t="s">
        <v>199</v>
      </c>
      <c r="C19" s="138">
        <f>IF(C12&gt;规则设置!D47*N4,"请核对产品数量！",)</f>
        <v>0</v>
      </c>
      <c r="D19" s="138">
        <f>IF(D12&gt;规则设置!D47*N5,"请核对产品数量！",)</f>
        <v>0</v>
      </c>
      <c r="E19" s="138">
        <f>IF(E12&gt;规则设置!D47*N6,"请核对产品数量！",)</f>
        <v>0</v>
      </c>
      <c r="F19" s="139">
        <f>IF(F12&gt;规则设置!D47*N7,"请核对产品数量！",)</f>
        <v>0</v>
      </c>
      <c r="G19" s="214" t="s">
        <v>272</v>
      </c>
      <c r="I19" s="280" t="s">
        <v>105</v>
      </c>
      <c r="J19" s="279"/>
      <c r="K19" s="279"/>
      <c r="M19" s="280" t="s">
        <v>106</v>
      </c>
      <c r="N19" s="147">
        <v>20089306</v>
      </c>
      <c r="O19" s="147">
        <v>10600444</v>
      </c>
      <c r="P19" s="1"/>
      <c r="Q19" s="70" t="s">
        <v>128</v>
      </c>
      <c r="R19" s="61"/>
      <c r="S19" s="1"/>
      <c r="T19" s="241" t="s">
        <v>129</v>
      </c>
      <c r="U19" s="242"/>
      <c r="V19" s="1"/>
      <c r="W19" s="1"/>
    </row>
    <row r="20" spans="1:23" ht="18" customHeight="1" thickBot="1" x14ac:dyDescent="0.3">
      <c r="A20" s="1"/>
      <c r="B20" s="241" t="s">
        <v>130</v>
      </c>
      <c r="C20" s="265"/>
      <c r="D20" s="265"/>
      <c r="E20" s="242"/>
      <c r="F20" s="1"/>
      <c r="G20" s="1"/>
      <c r="H20" s="208">
        <f>B10*1.35</f>
        <v>1944882.9000000001</v>
      </c>
      <c r="I20" s="280" t="s">
        <v>108</v>
      </c>
      <c r="J20" s="279"/>
      <c r="K20" s="279"/>
      <c r="M20" s="280" t="s">
        <v>109</v>
      </c>
      <c r="N20" s="279"/>
      <c r="O20" s="279"/>
      <c r="P20" s="1"/>
      <c r="Q20" s="64" t="s">
        <v>131</v>
      </c>
      <c r="R20" s="61"/>
      <c r="S20" s="1"/>
      <c r="T20" s="56" t="s">
        <v>132</v>
      </c>
      <c r="U20" s="57"/>
      <c r="V20" s="1"/>
      <c r="W20" s="1"/>
    </row>
    <row r="21" spans="1:23" ht="18" customHeight="1" thickBot="1" x14ac:dyDescent="0.3">
      <c r="A21" s="1"/>
      <c r="B21" s="155" t="s">
        <v>104</v>
      </c>
      <c r="C21" s="88">
        <v>2500000</v>
      </c>
      <c r="D21" s="156" t="s">
        <v>116</v>
      </c>
      <c r="E21" s="136">
        <v>0</v>
      </c>
      <c r="F21" s="1" t="s">
        <v>200</v>
      </c>
      <c r="G21" s="140">
        <f>ROUNDUP(H2-H4,0)</f>
        <v>2351240</v>
      </c>
      <c r="H21" s="208">
        <f>M9-H20</f>
        <v>2.0999999998603016</v>
      </c>
      <c r="I21" s="280" t="s">
        <v>111</v>
      </c>
      <c r="J21" s="147">
        <v>1000000</v>
      </c>
      <c r="K21" s="147">
        <v>1300000</v>
      </c>
      <c r="M21" s="280" t="s">
        <v>112</v>
      </c>
      <c r="N21" s="147">
        <v>8249557</v>
      </c>
      <c r="O21" s="147">
        <v>7248062</v>
      </c>
      <c r="P21" s="1"/>
      <c r="Q21" s="64" t="s">
        <v>133</v>
      </c>
      <c r="R21" s="61"/>
      <c r="S21" s="1"/>
      <c r="T21" s="181" t="s">
        <v>134</v>
      </c>
      <c r="U21" s="61">
        <f>U16</f>
        <v>7251789.832170872</v>
      </c>
      <c r="V21" s="1"/>
      <c r="W21" s="1"/>
    </row>
    <row r="22" spans="1:23" ht="18" customHeight="1" thickBot="1" x14ac:dyDescent="0.3">
      <c r="A22" s="1"/>
      <c r="B22" s="153" t="s">
        <v>118</v>
      </c>
      <c r="C22" s="262" t="s">
        <v>263</v>
      </c>
      <c r="D22" s="263"/>
      <c r="E22" s="264"/>
      <c r="F22" s="1"/>
      <c r="G22" s="141">
        <f>ROUNDUP(H2-H4,0)+ROUNDUP(H2-H4,0)*规则设置!E73/4</f>
        <v>2374752.4</v>
      </c>
      <c r="I22" s="280" t="s">
        <v>32</v>
      </c>
      <c r="J22" s="147">
        <v>20000</v>
      </c>
      <c r="K22" s="147">
        <v>20000</v>
      </c>
      <c r="M22" s="280" t="s">
        <v>113</v>
      </c>
      <c r="N22" s="147">
        <v>6436810</v>
      </c>
      <c r="O22" s="279">
        <v>0</v>
      </c>
      <c r="P22" s="1"/>
      <c r="Q22" s="64" t="s">
        <v>135</v>
      </c>
      <c r="R22" s="61"/>
      <c r="S22" s="1"/>
      <c r="T22" s="181" t="s">
        <v>136</v>
      </c>
      <c r="U22" s="61">
        <f>(F24+C26+M9-B10*1.35)*F26</f>
        <v>6193812.3204674562</v>
      </c>
      <c r="V22" s="127"/>
      <c r="W22" s="1"/>
    </row>
    <row r="23" spans="1:23" ht="18" customHeight="1" thickBot="1" x14ac:dyDescent="0.3">
      <c r="A23" s="1"/>
      <c r="B23" s="1"/>
      <c r="C23" s="1"/>
      <c r="D23" s="1"/>
      <c r="E23" s="1"/>
      <c r="F23" s="1"/>
      <c r="G23" s="1"/>
      <c r="I23" s="280" t="s">
        <v>39</v>
      </c>
      <c r="J23" s="147">
        <v>1470000</v>
      </c>
      <c r="K23" s="147">
        <v>1853250</v>
      </c>
      <c r="M23" s="280" t="s">
        <v>221</v>
      </c>
      <c r="N23" s="147">
        <v>1000000</v>
      </c>
      <c r="O23" s="147">
        <v>500000</v>
      </c>
      <c r="P23" s="1"/>
      <c r="Q23" s="80" t="s">
        <v>137</v>
      </c>
      <c r="R23" s="61">
        <f>SUM(C6:F6)</f>
        <v>3</v>
      </c>
      <c r="S23" s="1"/>
      <c r="T23" s="181" t="s">
        <v>138</v>
      </c>
      <c r="U23" s="61">
        <f>规则设置!B79*(B10-C15-D15-E15-F15)</f>
        <v>0</v>
      </c>
      <c r="V23" s="1"/>
      <c r="W23" s="1"/>
    </row>
    <row r="24" spans="1:23" ht="18" customHeight="1" thickBot="1" x14ac:dyDescent="0.3">
      <c r="A24" s="1"/>
      <c r="B24" s="241" t="s">
        <v>139</v>
      </c>
      <c r="C24" s="265"/>
      <c r="D24" s="242"/>
      <c r="E24" s="32" t="s">
        <v>252</v>
      </c>
      <c r="F24" s="184">
        <f>G39-H21</f>
        <v>4955047.9000000004</v>
      </c>
      <c r="G24" s="1"/>
      <c r="I24" s="280" t="s">
        <v>115</v>
      </c>
      <c r="J24" s="147">
        <v>1771875</v>
      </c>
      <c r="K24" s="147">
        <v>2233828</v>
      </c>
      <c r="M24" s="280" t="s">
        <v>116</v>
      </c>
      <c r="N24" s="279">
        <v>0</v>
      </c>
      <c r="O24" s="147">
        <v>2000000</v>
      </c>
      <c r="P24" s="1"/>
      <c r="Q24" s="80" t="s">
        <v>61</v>
      </c>
      <c r="R24" s="61">
        <f>规则设置!C55*C15+规则设置!D55*D15+规则设置!E55*E15+规则设置!F55*F15</f>
        <v>497565.4</v>
      </c>
      <c r="S24" s="1"/>
      <c r="T24" s="181" t="s">
        <v>140</v>
      </c>
      <c r="U24" s="61">
        <f>O36-R17+U11</f>
        <v>5182133.3</v>
      </c>
      <c r="V24" s="1"/>
      <c r="W24" s="1"/>
    </row>
    <row r="25" spans="1:23" ht="18" customHeight="1" thickBot="1" x14ac:dyDescent="0.3">
      <c r="A25" s="1"/>
      <c r="B25" s="155" t="s">
        <v>141</v>
      </c>
      <c r="C25" s="156" t="s">
        <v>142</v>
      </c>
      <c r="D25" s="157" t="s">
        <v>143</v>
      </c>
      <c r="E25" s="19" t="s">
        <v>2</v>
      </c>
      <c r="F25" s="19" t="s">
        <v>144</v>
      </c>
      <c r="G25" s="19" t="s">
        <v>145</v>
      </c>
      <c r="H25" s="19" t="s">
        <v>250</v>
      </c>
      <c r="I25" s="280" t="s">
        <v>266</v>
      </c>
      <c r="J25" s="147">
        <v>200000</v>
      </c>
      <c r="K25" s="279">
        <v>0</v>
      </c>
      <c r="M25" s="280" t="s">
        <v>118</v>
      </c>
      <c r="N25" s="279">
        <v>0</v>
      </c>
      <c r="O25" s="279">
        <v>0</v>
      </c>
      <c r="P25" s="1"/>
      <c r="Q25" s="181" t="s">
        <v>66</v>
      </c>
      <c r="R25" s="61">
        <f>规则设置!B12*C26</f>
        <v>0</v>
      </c>
      <c r="S25" s="1"/>
      <c r="T25" s="181" t="s">
        <v>146</v>
      </c>
      <c r="U25" s="61">
        <f>SUM(U21:U24)</f>
        <v>18627735.452638328</v>
      </c>
      <c r="V25" s="1"/>
      <c r="W25" s="1"/>
    </row>
    <row r="26" spans="1:23" ht="18" customHeight="1" thickBot="1" x14ac:dyDescent="0.3">
      <c r="A26" s="1"/>
      <c r="B26" s="159">
        <f>ROUNDDOWN(D41-(M9-B10*1.35),0)+1</f>
        <v>2098757</v>
      </c>
      <c r="C26" s="219">
        <f>IF(B10*1.35-M9&lt;=0,0,B10*1.35-M9)</f>
        <v>0</v>
      </c>
      <c r="D26" s="82">
        <v>1</v>
      </c>
      <c r="E26" s="83">
        <v>1.25</v>
      </c>
      <c r="F26" s="52">
        <f>(U10+O34)/(F24+M9+C26)</f>
        <v>1.2499999637677635</v>
      </c>
      <c r="G26" s="84">
        <f>规则设置!B20*B10</f>
        <v>1944882.9000000001</v>
      </c>
      <c r="H26" s="84">
        <f>ROUNDDOWN(O42/3/规则设置!D50,0)</f>
        <v>1</v>
      </c>
      <c r="I26" s="280" t="s">
        <v>217</v>
      </c>
      <c r="J26" s="147">
        <v>1417500</v>
      </c>
      <c r="K26" s="279">
        <v>0</v>
      </c>
      <c r="M26" s="280" t="s">
        <v>120</v>
      </c>
      <c r="N26" s="147">
        <v>15686367</v>
      </c>
      <c r="O26" s="147">
        <v>9748062</v>
      </c>
      <c r="P26" s="1"/>
      <c r="Q26" s="70" t="s">
        <v>147</v>
      </c>
      <c r="R26" s="61"/>
      <c r="S26" s="1"/>
      <c r="T26" s="85" t="s">
        <v>148</v>
      </c>
      <c r="U26" s="61"/>
      <c r="V26" s="1"/>
      <c r="W26" s="1"/>
    </row>
    <row r="27" spans="1:23" ht="18" customHeight="1" thickBot="1" x14ac:dyDescent="0.3">
      <c r="A27" s="1"/>
      <c r="B27" s="1"/>
      <c r="C27" s="1"/>
      <c r="D27" s="1"/>
      <c r="E27" s="1"/>
      <c r="F27" s="1"/>
      <c r="G27" s="1"/>
      <c r="I27" s="280" t="s">
        <v>218</v>
      </c>
      <c r="J27" s="147">
        <v>84000</v>
      </c>
      <c r="K27" s="147">
        <v>108000</v>
      </c>
      <c r="M27" s="280" t="s">
        <v>123</v>
      </c>
      <c r="N27" s="147">
        <v>4402939</v>
      </c>
      <c r="O27" s="147">
        <v>852382</v>
      </c>
      <c r="P27" s="1"/>
      <c r="Q27" s="86" t="s">
        <v>69</v>
      </c>
      <c r="R27" s="61">
        <f>SUM(D30:D34)*规则设置!B64</f>
        <v>3000</v>
      </c>
      <c r="S27" s="1"/>
      <c r="T27" s="181" t="s">
        <v>150</v>
      </c>
      <c r="U27" s="61">
        <f>O41+U6-U12</f>
        <v>12544901</v>
      </c>
      <c r="V27" s="1"/>
      <c r="W27" s="1"/>
    </row>
    <row r="28" spans="1:23" ht="18" customHeight="1" thickBot="1" x14ac:dyDescent="0.3">
      <c r="A28" s="1"/>
      <c r="B28" s="241" t="s">
        <v>151</v>
      </c>
      <c r="C28" s="265"/>
      <c r="D28" s="265"/>
      <c r="E28" s="242"/>
      <c r="F28" s="1"/>
      <c r="I28" s="280" t="s">
        <v>219</v>
      </c>
      <c r="J28" s="147">
        <v>200000</v>
      </c>
      <c r="K28" s="147">
        <v>100000</v>
      </c>
      <c r="M28" s="280" t="s">
        <v>126</v>
      </c>
      <c r="N28" s="147">
        <v>4402939</v>
      </c>
      <c r="O28" s="147">
        <v>5300222</v>
      </c>
      <c r="P28" s="1"/>
      <c r="Q28" s="80" t="s">
        <v>70</v>
      </c>
      <c r="R28" s="61">
        <f>SUM(D30:D34)*规则设置!C64</f>
        <v>6000</v>
      </c>
      <c r="S28" s="1"/>
      <c r="T28" s="181" t="s">
        <v>152</v>
      </c>
      <c r="U28" s="60">
        <f>IF(W16=0,0,0.5*U4-U15-O28)</f>
        <v>0</v>
      </c>
      <c r="V28" s="1"/>
      <c r="W28" s="1"/>
    </row>
    <row r="29" spans="1:23" ht="18" customHeight="1" thickBot="1" x14ac:dyDescent="0.3">
      <c r="A29" s="1"/>
      <c r="B29" s="271" t="s">
        <v>153</v>
      </c>
      <c r="C29" s="272"/>
      <c r="D29" s="174" t="s">
        <v>154</v>
      </c>
      <c r="E29" s="175" t="s">
        <v>155</v>
      </c>
      <c r="F29" s="1"/>
      <c r="G29" s="178" t="s">
        <v>249</v>
      </c>
      <c r="I29" s="280" t="s">
        <v>220</v>
      </c>
      <c r="J29" s="147">
        <v>87500</v>
      </c>
      <c r="K29" s="147">
        <v>110312</v>
      </c>
      <c r="P29" s="1"/>
      <c r="Q29" s="80" t="s">
        <v>71</v>
      </c>
      <c r="R29" s="61">
        <f>规则设置!C67*C37+规则设置!D67*D37+规则设置!C68*C38+规则设置!D68*D38</f>
        <v>465750</v>
      </c>
      <c r="S29" s="1"/>
      <c r="T29" s="181" t="s">
        <v>156</v>
      </c>
      <c r="U29" s="61">
        <f>SUM(U27:U28)</f>
        <v>12544901</v>
      </c>
      <c r="V29" s="1"/>
      <c r="W29" s="1"/>
    </row>
    <row r="30" spans="1:23" ht="18" customHeight="1" thickBot="1" x14ac:dyDescent="0.3">
      <c r="A30" s="1"/>
      <c r="B30" s="273" t="s">
        <v>17</v>
      </c>
      <c r="C30" s="87" t="s">
        <v>93</v>
      </c>
      <c r="D30" s="88">
        <v>1</v>
      </c>
      <c r="E30" s="136"/>
      <c r="F30" s="1"/>
      <c r="G30" s="52">
        <f>ROUNDDOWN(U30/3/规则设置!D50,0)</f>
        <v>4</v>
      </c>
      <c r="I30" s="280" t="s">
        <v>127</v>
      </c>
      <c r="J30" s="147">
        <v>-120956</v>
      </c>
      <c r="K30" s="147">
        <v>-207200</v>
      </c>
      <c r="M30" s="235" t="s">
        <v>129</v>
      </c>
      <c r="N30" s="236"/>
      <c r="O30" s="237"/>
      <c r="P30" s="1"/>
      <c r="Q30" s="80" t="s">
        <v>157</v>
      </c>
      <c r="R30" s="61">
        <f>SUM(E30:E33)*规则设置!C70+E34*规则设置!D70</f>
        <v>0</v>
      </c>
      <c r="S30" s="1"/>
      <c r="T30" s="75" t="s">
        <v>158</v>
      </c>
      <c r="U30" s="89">
        <f>U25-U29</f>
        <v>6082834.4526383281</v>
      </c>
      <c r="V30" s="1" t="s">
        <v>159</v>
      </c>
      <c r="W30" s="90">
        <v>3135136</v>
      </c>
    </row>
    <row r="31" spans="1:23" ht="18" customHeight="1" thickBot="1" x14ac:dyDescent="0.3">
      <c r="A31" s="1"/>
      <c r="B31" s="274"/>
      <c r="C31" s="87" t="s">
        <v>94</v>
      </c>
      <c r="D31" s="88">
        <v>1</v>
      </c>
      <c r="E31" s="136"/>
      <c r="F31" s="1"/>
      <c r="G31" s="1"/>
      <c r="I31" s="280" t="s">
        <v>128</v>
      </c>
      <c r="J31" s="279"/>
      <c r="K31" s="279"/>
      <c r="M31" s="148" t="s">
        <v>213</v>
      </c>
      <c r="N31" s="148" t="s">
        <v>214</v>
      </c>
      <c r="O31" s="148" t="s">
        <v>215</v>
      </c>
      <c r="P31" s="1"/>
      <c r="Q31" s="80" t="s">
        <v>160</v>
      </c>
      <c r="R31" s="61">
        <f>规则设置!B76*O34</f>
        <v>243110.6</v>
      </c>
      <c r="S31" s="1"/>
      <c r="T31" s="1"/>
      <c r="U31" s="1"/>
      <c r="V31" s="1" t="s">
        <v>161</v>
      </c>
      <c r="W31" s="92">
        <f>U30-W30</f>
        <v>2947698.4526383281</v>
      </c>
    </row>
    <row r="32" spans="1:23" ht="18" customHeight="1" thickBot="1" x14ac:dyDescent="0.3">
      <c r="A32" s="1"/>
      <c r="B32" s="274"/>
      <c r="C32" s="87" t="s">
        <v>95</v>
      </c>
      <c r="D32" s="88">
        <v>0</v>
      </c>
      <c r="E32" s="136"/>
      <c r="F32" s="1"/>
      <c r="G32" s="19" t="s">
        <v>248</v>
      </c>
      <c r="I32" s="280" t="s">
        <v>131</v>
      </c>
      <c r="J32" s="279">
        <v>0</v>
      </c>
      <c r="K32" s="279">
        <v>0</v>
      </c>
      <c r="M32" s="280" t="s">
        <v>132</v>
      </c>
      <c r="N32" s="279"/>
      <c r="O32" s="279"/>
      <c r="P32" s="1"/>
      <c r="Q32" s="80" t="s">
        <v>83</v>
      </c>
      <c r="R32" s="61">
        <f>规则设置!C76*L9</f>
        <v>41019.5</v>
      </c>
      <c r="S32" s="1"/>
      <c r="T32" s="1"/>
      <c r="U32" s="1"/>
      <c r="V32" s="1"/>
      <c r="W32" s="1"/>
    </row>
    <row r="33" spans="1:23" ht="18" customHeight="1" thickBot="1" x14ac:dyDescent="0.3">
      <c r="A33" s="1"/>
      <c r="B33" s="243"/>
      <c r="C33" s="87" t="s">
        <v>96</v>
      </c>
      <c r="D33" s="88">
        <v>1</v>
      </c>
      <c r="E33" s="176"/>
      <c r="F33" s="1"/>
      <c r="G33" s="177">
        <v>4</v>
      </c>
      <c r="I33" s="280" t="s">
        <v>133</v>
      </c>
      <c r="J33" s="279">
        <v>0</v>
      </c>
      <c r="K33" s="279">
        <v>0</v>
      </c>
      <c r="M33" s="280" t="s">
        <v>134</v>
      </c>
      <c r="N33" s="147">
        <v>4402939</v>
      </c>
      <c r="O33" s="147">
        <v>5300222</v>
      </c>
      <c r="P33" s="1"/>
      <c r="Q33" s="93" t="s">
        <v>162</v>
      </c>
      <c r="R33" s="61"/>
      <c r="S33" s="1"/>
      <c r="T33" s="41" t="s">
        <v>201</v>
      </c>
      <c r="U33" s="42" t="s">
        <v>202</v>
      </c>
      <c r="V33" s="42" t="s">
        <v>203</v>
      </c>
      <c r="W33" s="6" t="s">
        <v>204</v>
      </c>
    </row>
    <row r="34" spans="1:23" ht="18" customHeight="1" thickBot="1" x14ac:dyDescent="0.3">
      <c r="A34" s="1"/>
      <c r="B34" s="275" t="s">
        <v>163</v>
      </c>
      <c r="C34" s="276"/>
      <c r="D34" s="94">
        <f>规则设置!B82*D26</f>
        <v>3</v>
      </c>
      <c r="E34" s="142"/>
      <c r="F34" s="1"/>
      <c r="G34" s="1"/>
      <c r="I34" s="280" t="s">
        <v>135</v>
      </c>
      <c r="J34" s="279">
        <v>0</v>
      </c>
      <c r="K34" s="279">
        <v>0</v>
      </c>
      <c r="M34" s="280" t="s">
        <v>136</v>
      </c>
      <c r="N34" s="147">
        <v>4664935</v>
      </c>
      <c r="O34" s="147">
        <v>2431106</v>
      </c>
      <c r="P34" s="1"/>
      <c r="Q34" s="80" t="s">
        <v>164</v>
      </c>
      <c r="R34" s="61">
        <f>U27*(规则设置!E73/4)+O40*3*(规则设置!E73/4)</f>
        <v>126796.04000000001</v>
      </c>
      <c r="S34" s="1"/>
      <c r="T34" s="143" t="e">
        <f>U34+V34-W34</f>
        <v>#VALUE!</v>
      </c>
      <c r="U34" s="144" t="e">
        <f>C22/((1+规则设置!F73/4))</f>
        <v>#VALUE!</v>
      </c>
      <c r="V34" s="144">
        <f>U30/(1+规则设置!F73/4)</f>
        <v>6037552.8065889105</v>
      </c>
      <c r="W34" s="123">
        <f>规则设置!C3</f>
        <v>6500000</v>
      </c>
    </row>
    <row r="35" spans="1:23" ht="18" customHeight="1" thickBot="1" x14ac:dyDescent="0.3">
      <c r="A35" s="1"/>
      <c r="B35" s="1"/>
      <c r="C35" s="1"/>
      <c r="D35" s="1"/>
      <c r="E35" s="1"/>
      <c r="F35" s="1"/>
      <c r="G35" s="1"/>
      <c r="I35" s="280" t="s">
        <v>137</v>
      </c>
      <c r="J35" s="147">
        <v>2550000</v>
      </c>
      <c r="K35" s="147">
        <v>1350000</v>
      </c>
      <c r="M35" s="280" t="s">
        <v>84</v>
      </c>
      <c r="N35" s="147">
        <v>120956</v>
      </c>
      <c r="O35" s="147">
        <v>328156</v>
      </c>
      <c r="P35" s="1"/>
      <c r="Q35" s="93" t="s">
        <v>165</v>
      </c>
      <c r="R35" s="61"/>
      <c r="S35" s="1"/>
      <c r="T35" s="1"/>
      <c r="U35" s="1"/>
      <c r="V35" s="1"/>
      <c r="W35" s="1"/>
    </row>
    <row r="36" spans="1:23" ht="18" customHeight="1" thickBot="1" x14ac:dyDescent="0.3">
      <c r="A36" s="1"/>
      <c r="B36" s="41" t="s">
        <v>71</v>
      </c>
      <c r="C36" s="42" t="s">
        <v>187</v>
      </c>
      <c r="D36" s="6" t="s">
        <v>163</v>
      </c>
      <c r="F36" s="41" t="s">
        <v>208</v>
      </c>
      <c r="G36" s="145"/>
      <c r="I36" s="280" t="s">
        <v>61</v>
      </c>
      <c r="J36" s="147">
        <v>350000</v>
      </c>
      <c r="K36" s="147">
        <v>445875</v>
      </c>
      <c r="M36" s="280" t="s">
        <v>140</v>
      </c>
      <c r="N36" s="147">
        <v>4412500</v>
      </c>
      <c r="O36" s="147">
        <v>4802188</v>
      </c>
      <c r="P36" s="1"/>
      <c r="Q36" s="80" t="s">
        <v>167</v>
      </c>
      <c r="R36" s="61">
        <f>(R4/(1+规则设置!B73))*规则设置!B73</f>
        <v>775711.52830188675</v>
      </c>
      <c r="S36" s="1"/>
      <c r="T36" s="1"/>
      <c r="U36" s="1"/>
      <c r="V36" s="1"/>
      <c r="W36" s="1"/>
    </row>
    <row r="37" spans="1:23" ht="18" customHeight="1" thickBot="1" x14ac:dyDescent="0.3">
      <c r="A37" s="1"/>
      <c r="B37" s="28" t="s">
        <v>74</v>
      </c>
      <c r="C37" s="34">
        <f>SUM(D30:D33)</f>
        <v>3</v>
      </c>
      <c r="D37" s="11">
        <f>D34</f>
        <v>3</v>
      </c>
      <c r="F37" s="28" t="s">
        <v>209</v>
      </c>
      <c r="G37" s="146">
        <f>D41</f>
        <v>2098759</v>
      </c>
      <c r="I37" s="280" t="s">
        <v>66</v>
      </c>
      <c r="J37" s="279">
        <v>0</v>
      </c>
      <c r="K37" s="279">
        <v>0</v>
      </c>
      <c r="M37" s="280" t="s">
        <v>146</v>
      </c>
      <c r="N37" s="147">
        <v>13601330</v>
      </c>
      <c r="O37" s="147">
        <v>12861672</v>
      </c>
      <c r="P37" s="1"/>
      <c r="Q37" s="80" t="s">
        <v>169</v>
      </c>
      <c r="R37" s="61">
        <f>规则设置!C73*R36</f>
        <v>54299.806981132075</v>
      </c>
      <c r="S37" s="1"/>
      <c r="T37" s="98" t="s">
        <v>170</v>
      </c>
      <c r="U37" s="1"/>
      <c r="V37" s="1"/>
      <c r="W37" s="1"/>
    </row>
    <row r="38" spans="1:23" ht="18" customHeight="1" thickBot="1" x14ac:dyDescent="0.3">
      <c r="A38" s="1"/>
      <c r="B38" s="35" t="s">
        <v>75</v>
      </c>
      <c r="C38" s="144">
        <f>N11-SUM(E30:E33)</f>
        <v>24</v>
      </c>
      <c r="D38" s="123">
        <f>M11-E34</f>
        <v>30</v>
      </c>
      <c r="F38" s="28" t="s">
        <v>210</v>
      </c>
      <c r="G38" s="146">
        <f>ROUNDUP(规则设置!B20*(ROUNDDOWN((J11*0.975+D26*规则设置!C15),0)*0.975+G33*规则设置!C15)*3,0)</f>
        <v>2856290</v>
      </c>
      <c r="I38" s="280" t="s">
        <v>147</v>
      </c>
      <c r="J38" s="279"/>
      <c r="K38" s="279"/>
      <c r="M38" s="280" t="s">
        <v>148</v>
      </c>
      <c r="N38" s="279"/>
      <c r="O38" s="279"/>
      <c r="P38" s="1"/>
      <c r="Q38" s="80" t="s">
        <v>170</v>
      </c>
      <c r="R38" s="101">
        <f>IF(T38&gt;0,T38,)</f>
        <v>1088687.8175461094</v>
      </c>
      <c r="S38" s="1"/>
      <c r="T38" s="172">
        <f>(R4/(1+规则设置!B73)-SUM(R9:R34)-R37)*规则设置!D73</f>
        <v>1088687.8175461094</v>
      </c>
      <c r="U38" s="1"/>
      <c r="V38" s="1"/>
      <c r="W38" s="1"/>
    </row>
    <row r="39" spans="1:23" ht="18" customHeight="1" thickBot="1" x14ac:dyDescent="0.3">
      <c r="A39" s="1"/>
      <c r="B39" s="138" t="s">
        <v>254</v>
      </c>
      <c r="C39" s="138">
        <f>IF((C38+C37)*规则设置!D47&lt;G41*规则设置!B82,"请核对招聘员工数",0)</f>
        <v>0</v>
      </c>
      <c r="D39" s="138">
        <f>IF((D37+D38)/规则设置!B82&lt;(K11+D26),"请核对工人数量",0)</f>
        <v>0</v>
      </c>
      <c r="F39" s="35" t="s">
        <v>211</v>
      </c>
      <c r="G39" s="123">
        <f>G37+G38+1</f>
        <v>4955050</v>
      </c>
      <c r="I39" s="280" t="s">
        <v>69</v>
      </c>
      <c r="J39" s="147">
        <v>6000</v>
      </c>
      <c r="K39" s="147">
        <v>4500</v>
      </c>
      <c r="M39" s="280" t="s">
        <v>150</v>
      </c>
      <c r="N39" s="147">
        <v>12000000</v>
      </c>
      <c r="O39" s="147">
        <v>10000000</v>
      </c>
      <c r="P39" s="1"/>
      <c r="Q39" s="80" t="s">
        <v>173</v>
      </c>
      <c r="R39" s="61">
        <f>SUM(R9:R38)</f>
        <v>10438173.54736167</v>
      </c>
      <c r="S39" s="1"/>
      <c r="T39" s="1"/>
      <c r="U39" s="1"/>
      <c r="V39" s="1"/>
      <c r="W39" s="1"/>
    </row>
    <row r="40" spans="1:23" ht="18" customHeight="1" thickBot="1" x14ac:dyDescent="0.3">
      <c r="A40" s="1"/>
      <c r="B40" s="253" t="s">
        <v>188</v>
      </c>
      <c r="C40" s="121" t="s">
        <v>189</v>
      </c>
      <c r="D40" s="6" t="s">
        <v>190</v>
      </c>
      <c r="I40" s="280" t="s">
        <v>70</v>
      </c>
      <c r="J40" s="147">
        <v>12000</v>
      </c>
      <c r="K40" s="147">
        <v>9000</v>
      </c>
      <c r="M40" s="280" t="s">
        <v>152</v>
      </c>
      <c r="N40" s="279">
        <v>0</v>
      </c>
      <c r="O40" s="147">
        <v>44901</v>
      </c>
      <c r="Q40" s="108" t="s">
        <v>177</v>
      </c>
      <c r="R40" s="89">
        <f>R6-R39</f>
        <v>3266063.4526383299</v>
      </c>
      <c r="S40" s="1"/>
      <c r="T40" s="1"/>
      <c r="U40" s="1"/>
      <c r="V40" s="1"/>
      <c r="W40" s="1"/>
    </row>
    <row r="41" spans="1:23" ht="18" customHeight="1" thickBot="1" x14ac:dyDescent="0.3">
      <c r="A41" s="1"/>
      <c r="B41" s="254"/>
      <c r="C41" s="192">
        <f>G41*3</f>
        <v>1554636</v>
      </c>
      <c r="D41" s="123">
        <f>ROUNDUP(规则设置!B20*C41,0)</f>
        <v>2098759</v>
      </c>
      <c r="F41" s="160" t="s">
        <v>191</v>
      </c>
      <c r="G41" s="161">
        <f>ROUNDDOWN(J11*0.975+D26*规则设置!C15,0)</f>
        <v>518212</v>
      </c>
      <c r="I41" s="280" t="s">
        <v>71</v>
      </c>
      <c r="J41" s="147">
        <v>315000</v>
      </c>
      <c r="K41" s="147">
        <v>402750</v>
      </c>
      <c r="L41" s="1"/>
      <c r="M41" s="280" t="s">
        <v>156</v>
      </c>
      <c r="N41" s="147">
        <v>12000000</v>
      </c>
      <c r="O41" s="147">
        <v>10044901</v>
      </c>
    </row>
    <row r="42" spans="1:23" ht="18" customHeight="1" thickBot="1" x14ac:dyDescent="0.3">
      <c r="A42" s="1"/>
      <c r="I42" s="280" t="s">
        <v>157</v>
      </c>
      <c r="J42" s="279">
        <v>0</v>
      </c>
      <c r="K42" s="279">
        <v>0</v>
      </c>
      <c r="L42" s="1"/>
      <c r="M42" s="280" t="s">
        <v>158</v>
      </c>
      <c r="N42" s="147">
        <v>1601330</v>
      </c>
      <c r="O42" s="147">
        <v>2816771</v>
      </c>
    </row>
    <row r="43" spans="1:23" ht="18" customHeight="1" thickBot="1" x14ac:dyDescent="0.3">
      <c r="A43" s="1"/>
      <c r="I43" s="280" t="s">
        <v>160</v>
      </c>
      <c r="J43" s="279">
        <v>0</v>
      </c>
      <c r="K43" s="147">
        <v>466494</v>
      </c>
      <c r="L43" s="1"/>
      <c r="M43" s="1"/>
      <c r="N43" s="1"/>
      <c r="O43" s="1"/>
    </row>
    <row r="44" spans="1:23" ht="18" customHeight="1" thickBot="1" x14ac:dyDescent="0.3">
      <c r="A44" s="1"/>
      <c r="I44" s="280" t="s">
        <v>83</v>
      </c>
      <c r="J44" s="147">
        <v>15120</v>
      </c>
      <c r="K44" s="147">
        <v>41020</v>
      </c>
      <c r="L44" s="1"/>
      <c r="M44" s="1"/>
      <c r="N44" s="1"/>
      <c r="O44" s="1"/>
    </row>
    <row r="45" spans="1:23" ht="18" customHeight="1" thickBot="1" x14ac:dyDescent="0.3">
      <c r="A45" s="1"/>
      <c r="I45" s="280" t="s">
        <v>162</v>
      </c>
      <c r="J45" s="279"/>
      <c r="K45" s="279"/>
      <c r="L45" s="1"/>
      <c r="M45" s="1"/>
      <c r="N45" s="1"/>
      <c r="O45" s="1"/>
    </row>
    <row r="46" spans="1:23" ht="18" customHeight="1" thickBot="1" x14ac:dyDescent="0.3">
      <c r="A46" s="1"/>
      <c r="I46" s="280" t="s">
        <v>164</v>
      </c>
      <c r="J46" s="147">
        <v>120000</v>
      </c>
      <c r="K46" s="147">
        <v>100000</v>
      </c>
      <c r="L46" s="1"/>
      <c r="M46" s="1"/>
      <c r="N46" s="1"/>
      <c r="O46" s="1"/>
    </row>
    <row r="47" spans="1:23" ht="18" customHeight="1" thickBot="1" x14ac:dyDescent="0.3">
      <c r="A47" s="1"/>
      <c r="I47" s="280" t="s">
        <v>165</v>
      </c>
      <c r="J47" s="279"/>
      <c r="K47" s="279"/>
      <c r="L47" s="1"/>
      <c r="M47" s="1"/>
      <c r="N47" s="1"/>
      <c r="O47" s="1"/>
    </row>
    <row r="48" spans="1:23" ht="18" customHeight="1" thickBot="1" x14ac:dyDescent="0.3">
      <c r="A48" s="1"/>
      <c r="I48" s="280" t="s">
        <v>167</v>
      </c>
      <c r="J48" s="147">
        <v>457885</v>
      </c>
      <c r="K48" s="147">
        <v>600025</v>
      </c>
      <c r="L48" s="1"/>
      <c r="M48" s="1"/>
      <c r="N48" s="1"/>
      <c r="O48" s="1"/>
    </row>
    <row r="49" spans="1:15" ht="18" customHeight="1" thickBot="1" x14ac:dyDescent="0.3">
      <c r="A49" s="1"/>
      <c r="C49" s="1"/>
      <c r="D49" s="1"/>
      <c r="E49" s="1"/>
      <c r="F49" s="1"/>
      <c r="G49" s="1"/>
      <c r="H49" s="1"/>
      <c r="I49" s="280" t="s">
        <v>169</v>
      </c>
      <c r="J49" s="147">
        <v>32052</v>
      </c>
      <c r="K49" s="147">
        <v>42002</v>
      </c>
      <c r="L49" s="1"/>
      <c r="M49" s="1"/>
      <c r="N49" s="1"/>
      <c r="O49" s="1"/>
    </row>
    <row r="50" spans="1:15" ht="18" customHeight="1" thickBot="1" x14ac:dyDescent="0.3">
      <c r="A50" s="1"/>
      <c r="E50" s="1"/>
      <c r="F50" s="1"/>
      <c r="G50" s="1"/>
      <c r="H50" s="1"/>
      <c r="I50" s="280" t="s">
        <v>170</v>
      </c>
      <c r="J50" s="279">
        <v>0</v>
      </c>
      <c r="K50" s="147">
        <v>405147</v>
      </c>
      <c r="L50" s="1"/>
      <c r="M50" s="1"/>
      <c r="N50" s="1"/>
      <c r="O50" s="1"/>
    </row>
    <row r="51" spans="1:15" ht="18" customHeight="1" thickBot="1" x14ac:dyDescent="0.3">
      <c r="A51" s="1"/>
      <c r="E51" s="1"/>
      <c r="F51" s="1"/>
      <c r="G51" s="1"/>
      <c r="H51" s="1"/>
      <c r="I51" s="280" t="s">
        <v>173</v>
      </c>
      <c r="J51" s="147">
        <v>9987976</v>
      </c>
      <c r="K51" s="147">
        <v>9385002</v>
      </c>
      <c r="L51" s="1"/>
      <c r="M51" s="1"/>
      <c r="N51" s="1"/>
      <c r="O51" s="1"/>
    </row>
    <row r="52" spans="1:15" ht="18" customHeight="1" thickBot="1" x14ac:dyDescent="0.3">
      <c r="A52" s="1"/>
      <c r="E52" s="1"/>
      <c r="H52" s="1"/>
      <c r="I52" s="280" t="s">
        <v>177</v>
      </c>
      <c r="J52" s="147">
        <v>-1898670</v>
      </c>
      <c r="K52" s="147">
        <v>1215441</v>
      </c>
      <c r="L52" s="1"/>
      <c r="M52" s="1"/>
      <c r="N52" s="1"/>
      <c r="O52" s="1"/>
    </row>
    <row r="53" spans="1:15" ht="18" customHeight="1" x14ac:dyDescent="0.25">
      <c r="A53" s="1"/>
      <c r="E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1"/>
      <c r="E54" s="1"/>
      <c r="H54" s="1"/>
      <c r="J54" s="1"/>
      <c r="K54" s="1"/>
      <c r="L54" s="1"/>
      <c r="M54" s="1"/>
      <c r="N54" s="1"/>
      <c r="O54" s="1"/>
    </row>
    <row r="55" spans="1:15" ht="18" customHeight="1" x14ac:dyDescent="0.25">
      <c r="A55" s="1"/>
      <c r="E55" s="1"/>
      <c r="H55" s="1"/>
      <c r="J55" s="1"/>
      <c r="K55" s="1"/>
      <c r="L55" s="1"/>
      <c r="M55" s="1"/>
      <c r="N55" s="1"/>
      <c r="O55" s="1"/>
    </row>
  </sheetData>
  <mergeCells count="20">
    <mergeCell ref="T2:U2"/>
    <mergeCell ref="I13:K13"/>
    <mergeCell ref="M13:O13"/>
    <mergeCell ref="T19:U19"/>
    <mergeCell ref="D10:E10"/>
    <mergeCell ref="B13:F13"/>
    <mergeCell ref="B2:F2"/>
    <mergeCell ref="B8:E8"/>
    <mergeCell ref="I2:N2"/>
    <mergeCell ref="D9:E9"/>
    <mergeCell ref="Q2:R2"/>
    <mergeCell ref="B20:E20"/>
    <mergeCell ref="M30:O30"/>
    <mergeCell ref="B40:B41"/>
    <mergeCell ref="B24:D24"/>
    <mergeCell ref="B28:E28"/>
    <mergeCell ref="B29:C29"/>
    <mergeCell ref="B30:B33"/>
    <mergeCell ref="B34:C34"/>
    <mergeCell ref="C22:E2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91AC-06F9-4103-A057-BA413904F028}">
  <dimension ref="A1:W55"/>
  <sheetViews>
    <sheetView topLeftCell="A5" zoomScale="85" zoomScaleNormal="85" workbookViewId="0">
      <selection activeCell="H9" sqref="H9"/>
    </sheetView>
  </sheetViews>
  <sheetFormatPr defaultColWidth="15.77734375" defaultRowHeight="18" customHeight="1" x14ac:dyDescent="0.25"/>
  <cols>
    <col min="1" max="1" width="8.77734375" customWidth="1"/>
    <col min="6" max="6" width="19.21875" bestFit="1" customWidth="1"/>
  </cols>
  <sheetData>
    <row r="1" spans="1:23" ht="18" customHeight="1" thickBot="1" x14ac:dyDescent="0.3">
      <c r="A1" s="1"/>
      <c r="B1" s="1"/>
      <c r="C1" s="1"/>
      <c r="D1" s="1"/>
      <c r="E1" s="1"/>
      <c r="F1" s="1"/>
      <c r="G1" s="1"/>
      <c r="P1" s="1"/>
      <c r="Q1" s="1"/>
      <c r="R1" s="1"/>
      <c r="S1" s="1"/>
      <c r="T1" s="1"/>
      <c r="U1" s="1"/>
      <c r="V1" s="1"/>
      <c r="W1" s="1"/>
    </row>
    <row r="2" spans="1:23" ht="18" customHeight="1" thickBot="1" x14ac:dyDescent="0.3">
      <c r="A2" s="1"/>
      <c r="B2" s="241" t="s">
        <v>90</v>
      </c>
      <c r="C2" s="265"/>
      <c r="D2" s="265"/>
      <c r="E2" s="265"/>
      <c r="F2" s="242"/>
      <c r="G2" s="2" t="s">
        <v>194</v>
      </c>
      <c r="H2" s="163">
        <f>U15</f>
        <v>460846.33745600283</v>
      </c>
      <c r="I2" s="266" t="s">
        <v>238</v>
      </c>
      <c r="J2" s="267"/>
      <c r="K2" s="267"/>
      <c r="L2" s="267"/>
      <c r="M2" s="267"/>
      <c r="N2" s="268"/>
      <c r="P2" s="1"/>
      <c r="Q2" s="241" t="s">
        <v>91</v>
      </c>
      <c r="R2" s="242"/>
      <c r="S2" s="1"/>
      <c r="T2" s="241" t="s">
        <v>92</v>
      </c>
      <c r="U2" s="242"/>
      <c r="V2" s="1"/>
      <c r="W2" s="1"/>
    </row>
    <row r="3" spans="1:23" ht="18" customHeight="1" thickBot="1" x14ac:dyDescent="0.3">
      <c r="A3" s="1"/>
      <c r="B3" s="53"/>
      <c r="C3" s="156" t="s">
        <v>93</v>
      </c>
      <c r="D3" s="156" t="s">
        <v>94</v>
      </c>
      <c r="E3" s="156" t="s">
        <v>95</v>
      </c>
      <c r="F3" s="157" t="s">
        <v>96</v>
      </c>
      <c r="G3" s="27"/>
      <c r="H3" s="164"/>
      <c r="I3" s="148" t="s">
        <v>174</v>
      </c>
      <c r="J3" s="148" t="s">
        <v>15</v>
      </c>
      <c r="K3" s="148" t="s">
        <v>175</v>
      </c>
      <c r="L3" s="148" t="s">
        <v>205</v>
      </c>
      <c r="M3" s="148" t="s">
        <v>176</v>
      </c>
      <c r="N3" s="148" t="s">
        <v>17</v>
      </c>
      <c r="O3" s="1" t="s">
        <v>206</v>
      </c>
      <c r="P3" s="19" t="s">
        <v>192</v>
      </c>
      <c r="Q3" s="56" t="s">
        <v>97</v>
      </c>
      <c r="R3" s="57"/>
      <c r="S3" s="1"/>
      <c r="T3" s="56" t="s">
        <v>98</v>
      </c>
      <c r="U3" s="57"/>
      <c r="V3" s="1"/>
      <c r="W3" s="1"/>
    </row>
    <row r="4" spans="1:23" ht="18" customHeight="1" thickBot="1" x14ac:dyDescent="0.3">
      <c r="A4" s="1"/>
      <c r="B4" s="152" t="s">
        <v>99</v>
      </c>
      <c r="C4" s="58">
        <f>第三季!C4</f>
        <v>6</v>
      </c>
      <c r="D4" s="58">
        <f>第三季!D4</f>
        <v>5</v>
      </c>
      <c r="E4" s="58">
        <f>第三季!E4</f>
        <v>5</v>
      </c>
      <c r="F4" s="59">
        <f>第三季!F4</f>
        <v>4</v>
      </c>
      <c r="G4" s="27" t="s">
        <v>195</v>
      </c>
      <c r="H4" s="164">
        <f>0.5*U4-U15-O28</f>
        <v>-297250.33745600283</v>
      </c>
      <c r="I4" s="279" t="s">
        <v>93</v>
      </c>
      <c r="J4" s="147">
        <v>490364</v>
      </c>
      <c r="K4" s="147">
        <v>490364</v>
      </c>
      <c r="L4" s="279">
        <v>13.81</v>
      </c>
      <c r="M4" s="147">
        <v>22051</v>
      </c>
      <c r="N4" s="279">
        <v>9</v>
      </c>
      <c r="O4" s="1">
        <f>K4/(L4/100)</f>
        <v>3550789.283128168</v>
      </c>
      <c r="P4" s="124">
        <f>IF(G12&lt;=N11*规则设置!D47,C5*C12+D5*D12+E5*E12+F5*F12,(C5*N4+D5*N5+E5*N6+F5*N7)*规则设置!D47)-(M4*C5+M5*D5+M6*E5+M7*F5)</f>
        <v>13991724</v>
      </c>
      <c r="Q4" s="125" t="s">
        <v>193</v>
      </c>
      <c r="R4" s="126">
        <f>C5*C12+D5*D12+E5*E12+F5*F12</f>
        <v>14323464</v>
      </c>
      <c r="S4" s="1"/>
      <c r="T4" s="185" t="s">
        <v>100</v>
      </c>
      <c r="U4" s="61">
        <f>R4</f>
        <v>14323464</v>
      </c>
    </row>
    <row r="5" spans="1:23" ht="18" customHeight="1" thickBot="1" x14ac:dyDescent="0.3">
      <c r="A5" s="1"/>
      <c r="B5" s="152" t="s">
        <v>101</v>
      </c>
      <c r="C5" s="128">
        <v>9</v>
      </c>
      <c r="D5" s="128">
        <v>9</v>
      </c>
      <c r="E5" s="128">
        <v>9</v>
      </c>
      <c r="F5" s="166">
        <v>9</v>
      </c>
      <c r="G5" s="27"/>
      <c r="H5" s="164"/>
      <c r="I5" s="279" t="s">
        <v>94</v>
      </c>
      <c r="J5" s="147">
        <v>460469</v>
      </c>
      <c r="K5" s="147">
        <v>460469</v>
      </c>
      <c r="L5" s="279">
        <v>12.06</v>
      </c>
      <c r="M5" s="147">
        <v>14809</v>
      </c>
      <c r="N5" s="279">
        <v>9</v>
      </c>
      <c r="O5" s="1">
        <f>K5/(L5/100)</f>
        <v>3818150.9121061359</v>
      </c>
      <c r="P5" s="129">
        <f>IF(G12&lt;=N11*规则设置!D47,,"注意填写库存！")</f>
        <v>0</v>
      </c>
      <c r="Q5" s="64" t="s">
        <v>102</v>
      </c>
      <c r="R5" s="61"/>
      <c r="S5" s="1"/>
      <c r="T5" s="185" t="s">
        <v>102</v>
      </c>
      <c r="U5" s="61">
        <f>R5</f>
        <v>0</v>
      </c>
    </row>
    <row r="6" spans="1:23" ht="18" customHeight="1" thickBot="1" x14ac:dyDescent="0.3">
      <c r="A6" s="1"/>
      <c r="B6" s="153" t="s">
        <v>26</v>
      </c>
      <c r="C6" s="167">
        <v>1</v>
      </c>
      <c r="D6" s="167">
        <v>1</v>
      </c>
      <c r="E6" s="167">
        <v>0</v>
      </c>
      <c r="F6" s="168">
        <v>1</v>
      </c>
      <c r="G6" s="7" t="s">
        <v>222</v>
      </c>
      <c r="H6" s="165">
        <f>ROUNDUP(U14-0.5*U4-O28-1,0)</f>
        <v>-297252</v>
      </c>
      <c r="I6" s="279" t="s">
        <v>95</v>
      </c>
      <c r="J6" s="279">
        <v>0</v>
      </c>
      <c r="K6" s="279">
        <v>0</v>
      </c>
      <c r="L6" s="279">
        <v>0</v>
      </c>
      <c r="M6" s="279">
        <v>0</v>
      </c>
      <c r="N6" s="279">
        <v>0</v>
      </c>
      <c r="O6" s="1" t="e">
        <f>K6/(L6/100)</f>
        <v>#DIV/0!</v>
      </c>
      <c r="P6" s="1"/>
      <c r="Q6" s="181" t="s">
        <v>103</v>
      </c>
      <c r="R6" s="61">
        <f>R4+R5</f>
        <v>14323464</v>
      </c>
      <c r="S6" s="1"/>
      <c r="T6" s="185" t="s">
        <v>104</v>
      </c>
      <c r="U6" s="61">
        <f>C21</f>
        <v>0</v>
      </c>
    </row>
    <row r="7" spans="1:23" ht="18" customHeight="1" thickBot="1" x14ac:dyDescent="0.3">
      <c r="A7" s="1"/>
      <c r="B7" s="1"/>
      <c r="C7" s="1"/>
      <c r="D7" s="1"/>
      <c r="E7" s="1"/>
      <c r="F7" s="24"/>
      <c r="G7" s="1"/>
      <c r="I7" s="279" t="s">
        <v>96</v>
      </c>
      <c r="J7" s="147">
        <v>567423</v>
      </c>
      <c r="K7" s="147">
        <v>535000</v>
      </c>
      <c r="L7" s="279">
        <v>13.11</v>
      </c>
      <c r="M7" s="279">
        <v>0</v>
      </c>
      <c r="N7" s="279">
        <v>9</v>
      </c>
      <c r="O7" s="1">
        <f>K7/(L7/100)</f>
        <v>4080854.3096872619</v>
      </c>
      <c r="P7" s="1"/>
      <c r="Q7" s="68" t="s">
        <v>105</v>
      </c>
      <c r="R7" s="61"/>
      <c r="S7" s="1"/>
      <c r="T7" s="185" t="s">
        <v>106</v>
      </c>
      <c r="U7" s="61">
        <f>SUM(U4:U6)</f>
        <v>14323464</v>
      </c>
    </row>
    <row r="8" spans="1:23" ht="18" customHeight="1" thickBot="1" x14ac:dyDescent="0.3">
      <c r="A8" s="1"/>
      <c r="B8" s="235">
        <v>0</v>
      </c>
      <c r="C8" s="236"/>
      <c r="D8" s="265"/>
      <c r="E8" s="242"/>
      <c r="F8" s="154" t="s">
        <v>196</v>
      </c>
      <c r="G8" s="127">
        <f>ROUNDDOWN(F9*1.5,0)</f>
        <v>777318</v>
      </c>
      <c r="H8" t="s">
        <v>262</v>
      </c>
      <c r="I8" s="148" t="s">
        <v>178</v>
      </c>
      <c r="J8" s="148" t="s">
        <v>179</v>
      </c>
      <c r="K8" s="148" t="s">
        <v>180</v>
      </c>
      <c r="L8" s="148" t="s">
        <v>176</v>
      </c>
      <c r="M8" s="148" t="s">
        <v>181</v>
      </c>
      <c r="N8" s="148" t="s">
        <v>207</v>
      </c>
      <c r="O8" s="1"/>
      <c r="P8" s="1"/>
      <c r="Q8" s="70" t="s">
        <v>108</v>
      </c>
      <c r="R8" s="61"/>
      <c r="S8" s="1"/>
      <c r="T8" s="68" t="s">
        <v>109</v>
      </c>
      <c r="U8" s="61"/>
    </row>
    <row r="9" spans="1:23" ht="18" customHeight="1" thickBot="1" x14ac:dyDescent="0.3">
      <c r="A9" s="1"/>
      <c r="B9" s="125" t="s">
        <v>255</v>
      </c>
      <c r="C9" s="194" t="s">
        <v>256</v>
      </c>
      <c r="D9" s="269" t="s">
        <v>3</v>
      </c>
      <c r="E9" s="270"/>
      <c r="F9" s="79">
        <f>I11</f>
        <v>518212</v>
      </c>
      <c r="G9" s="127">
        <f>ROUNDDOWN(F9*2.5,0)</f>
        <v>1295530</v>
      </c>
      <c r="H9">
        <v>4</v>
      </c>
      <c r="I9" s="147">
        <v>1518256</v>
      </c>
      <c r="J9" s="147">
        <v>1440654</v>
      </c>
      <c r="K9" s="147">
        <v>1485833</v>
      </c>
      <c r="L9" s="147">
        <v>36860</v>
      </c>
      <c r="M9" s="147">
        <v>4955050</v>
      </c>
      <c r="N9" s="279">
        <v>9.74</v>
      </c>
      <c r="O9" s="1">
        <f>K9/(N9/100)</f>
        <v>15254958.932238193</v>
      </c>
      <c r="P9" s="1"/>
      <c r="Q9" s="181" t="s">
        <v>111</v>
      </c>
      <c r="R9" s="61">
        <f>D10</f>
        <v>2000000</v>
      </c>
      <c r="S9" s="1"/>
      <c r="T9" s="185" t="s">
        <v>112</v>
      </c>
      <c r="U9" s="61">
        <f>SUM(R9+R10+R11+R13+R14+R15+R16+R20+R21+R22+R24+R25+R27+R28+R29+R30+R31+R32+R34+R36+R37+R38+R23)</f>
        <v>8362617.6625439972</v>
      </c>
      <c r="V9" s="1"/>
      <c r="W9" s="1"/>
    </row>
    <row r="10" spans="1:23" ht="18" customHeight="1" thickBot="1" x14ac:dyDescent="0.3">
      <c r="A10" s="1"/>
      <c r="B10" s="196">
        <v>1554636</v>
      </c>
      <c r="C10" s="195">
        <f>I11*3</f>
        <v>1554636</v>
      </c>
      <c r="D10" s="262">
        <v>2000000</v>
      </c>
      <c r="E10" s="264"/>
      <c r="F10" s="1"/>
      <c r="G10" s="127">
        <f>ROUNDDOWN(F9*3,0)</f>
        <v>1554636</v>
      </c>
      <c r="I10" s="148" t="s">
        <v>183</v>
      </c>
      <c r="J10" s="148" t="s">
        <v>184</v>
      </c>
      <c r="K10" s="148" t="s">
        <v>185</v>
      </c>
      <c r="L10" s="148" t="s">
        <v>186</v>
      </c>
      <c r="M10" s="148" t="s">
        <v>163</v>
      </c>
      <c r="N10" s="148" t="s">
        <v>17</v>
      </c>
      <c r="O10" s="1"/>
      <c r="P10" s="1"/>
      <c r="Q10" s="181" t="s">
        <v>32</v>
      </c>
      <c r="R10" s="60">
        <f>IF(B10&lt;=0,0,IF(B10&lt;=G8,规则设置!D24,IF(B10&lt;=G9,规则设置!D25,IF(B10&lt;=G10,规则设置!D26,"请检查计划产量!"))))</f>
        <v>20000</v>
      </c>
      <c r="S10" s="1"/>
      <c r="T10" s="185" t="s">
        <v>113</v>
      </c>
      <c r="U10" s="61">
        <f>(F24+C26)*E26</f>
        <v>0</v>
      </c>
      <c r="V10" s="1"/>
      <c r="W10" s="1"/>
    </row>
    <row r="11" spans="1:23" ht="18" customHeight="1" thickBot="1" x14ac:dyDescent="0.3">
      <c r="A11" s="1"/>
      <c r="B11" s="32" t="s">
        <v>197</v>
      </c>
      <c r="C11" s="130">
        <f>ROUNDDOWN((M9+C26)/规则设置!B20,0)</f>
        <v>3670407</v>
      </c>
      <c r="D11" s="1"/>
      <c r="E11" s="1"/>
      <c r="F11" s="1"/>
      <c r="G11" s="1"/>
      <c r="I11" s="147">
        <v>518212</v>
      </c>
      <c r="J11" s="147">
        <v>518212</v>
      </c>
      <c r="K11" s="279">
        <v>11</v>
      </c>
      <c r="L11" s="279">
        <v>60</v>
      </c>
      <c r="M11" s="279">
        <v>33</v>
      </c>
      <c r="N11" s="279">
        <v>27</v>
      </c>
      <c r="O11" s="1"/>
      <c r="P11" s="131">
        <f>R11/B10</f>
        <v>1.4</v>
      </c>
      <c r="Q11" s="181" t="s">
        <v>39</v>
      </c>
      <c r="R11" s="60">
        <f>IF(B10&lt;=0,0,IF(B10&lt;=F9,规则设置!B30*B10,IF(B10&lt;=G8,规则设置!B30*B10+规则设置!C30*(B10-F9),IF(B10&lt;=2*F9,规则设置!B30*B10+规则设置!B32*(B10-F9),IF(B10&lt;=G9,规则设置!B30*F9+规则设置!B32*F9+规则设置!C32*(B10-2*F9),IF(B10&lt;=G10,规则设置!B30*F9+规则设置!B32*F9+规则设置!B34*(B10-2*F9),"检查计划产量！"))))))</f>
        <v>2176490.4</v>
      </c>
      <c r="S11" s="1"/>
      <c r="T11" s="185" t="s">
        <v>114</v>
      </c>
      <c r="U11" s="61">
        <f>规则设置!D50*D26</f>
        <v>1500000</v>
      </c>
      <c r="V11" s="1"/>
      <c r="W11" s="1"/>
    </row>
    <row r="12" spans="1:23" ht="18" customHeight="1" thickBot="1" x14ac:dyDescent="0.3">
      <c r="A12" s="1"/>
      <c r="B12" s="158" t="s">
        <v>198</v>
      </c>
      <c r="C12" s="133">
        <f>M4+C15</f>
        <v>542051</v>
      </c>
      <c r="D12" s="133">
        <f>M5+D15</f>
        <v>499445</v>
      </c>
      <c r="E12" s="133">
        <f>M6+E15</f>
        <v>0</v>
      </c>
      <c r="F12" s="134">
        <f>M7+F15</f>
        <v>550000</v>
      </c>
      <c r="G12" s="127">
        <f>SUM(C12:F12)</f>
        <v>1591496</v>
      </c>
      <c r="P12" s="135">
        <f>B10*规则设置!D82</f>
        <v>2176490.4</v>
      </c>
      <c r="Q12" s="181" t="s">
        <v>115</v>
      </c>
      <c r="R12" s="61">
        <f>F26*G26</f>
        <v>2623448.0382202403</v>
      </c>
      <c r="S12" s="1"/>
      <c r="T12" s="185" t="s">
        <v>116</v>
      </c>
      <c r="U12" s="61">
        <f>E21</f>
        <v>4000000</v>
      </c>
      <c r="V12" s="1"/>
      <c r="W12" s="1"/>
    </row>
    <row r="13" spans="1:23" ht="18" customHeight="1" thickBot="1" x14ac:dyDescent="0.3">
      <c r="A13" s="1"/>
      <c r="B13" s="241" t="s">
        <v>117</v>
      </c>
      <c r="C13" s="265"/>
      <c r="D13" s="265"/>
      <c r="E13" s="265"/>
      <c r="F13" s="242"/>
      <c r="G13" s="1"/>
      <c r="I13" s="266" t="s">
        <v>227</v>
      </c>
      <c r="J13" s="267"/>
      <c r="K13" s="268"/>
      <c r="M13" s="266" t="s">
        <v>228</v>
      </c>
      <c r="N13" s="267"/>
      <c r="O13" s="268"/>
      <c r="P13" s="1"/>
      <c r="Q13" s="181" t="s">
        <v>47</v>
      </c>
      <c r="R13" s="60">
        <f>IF(F24&lt;1,0,IF(F24&lt;=规则设置!C41,规则设置!D40,IF(F24&lt;=规则设置!C42,规则设置!D41,IF(F24&lt;=规则设置!C43,规则设置!D42,IF(F24&lt;=规则设置!C44,规则设置!D43,规则设置!D44)))))</f>
        <v>0</v>
      </c>
      <c r="S13" s="1"/>
      <c r="T13" s="185" t="s">
        <v>118</v>
      </c>
      <c r="U13" s="61">
        <f>C22</f>
        <v>0</v>
      </c>
      <c r="V13" s="1"/>
      <c r="W13" s="1"/>
    </row>
    <row r="14" spans="1:23" ht="18" customHeight="1" thickBot="1" x14ac:dyDescent="0.3">
      <c r="A14" s="1"/>
      <c r="B14" s="149"/>
      <c r="C14" s="150" t="s">
        <v>93</v>
      </c>
      <c r="D14" s="150" t="s">
        <v>94</v>
      </c>
      <c r="E14" s="150" t="s">
        <v>95</v>
      </c>
      <c r="F14" s="151" t="s">
        <v>96</v>
      </c>
      <c r="G14" s="127">
        <f>B10</f>
        <v>1554636</v>
      </c>
      <c r="I14" s="148" t="s">
        <v>213</v>
      </c>
      <c r="J14" s="148" t="s">
        <v>214</v>
      </c>
      <c r="K14" s="148" t="s">
        <v>215</v>
      </c>
      <c r="M14" s="148" t="s">
        <v>213</v>
      </c>
      <c r="N14" s="148" t="s">
        <v>214</v>
      </c>
      <c r="O14" s="148" t="s">
        <v>215</v>
      </c>
      <c r="P14" s="1"/>
      <c r="Q14" s="181" t="s">
        <v>119</v>
      </c>
      <c r="R14" s="61">
        <f>C26*(规则设置!B47)</f>
        <v>0</v>
      </c>
      <c r="S14" s="1"/>
      <c r="T14" s="185" t="s">
        <v>120</v>
      </c>
      <c r="U14" s="61">
        <f>SUM(U9:U13)</f>
        <v>13862617.662543997</v>
      </c>
      <c r="V14" s="1"/>
      <c r="W14" s="1"/>
    </row>
    <row r="15" spans="1:23" ht="18" customHeight="1" thickBot="1" x14ac:dyDescent="0.3">
      <c r="A15" s="1"/>
      <c r="B15" s="152" t="s">
        <v>121</v>
      </c>
      <c r="C15" s="88">
        <v>520000</v>
      </c>
      <c r="D15" s="88">
        <v>484636</v>
      </c>
      <c r="E15" s="88">
        <v>0</v>
      </c>
      <c r="F15" s="136">
        <v>550000</v>
      </c>
      <c r="G15" s="137">
        <f>SUM(C15:F15)</f>
        <v>1554636</v>
      </c>
      <c r="I15" s="280" t="s">
        <v>97</v>
      </c>
      <c r="J15" s="279"/>
      <c r="K15" s="279"/>
      <c r="M15" s="280" t="s">
        <v>98</v>
      </c>
      <c r="N15" s="279"/>
      <c r="O15" s="279"/>
      <c r="P15" s="1"/>
      <c r="Q15" s="181" t="s">
        <v>122</v>
      </c>
      <c r="R15" s="61">
        <f>K11*规则设置!B50</f>
        <v>132000</v>
      </c>
      <c r="S15" s="1"/>
      <c r="T15" s="68" t="s">
        <v>123</v>
      </c>
      <c r="U15" s="61">
        <f>U7-U14</f>
        <v>460846.33745600283</v>
      </c>
      <c r="V15" s="1"/>
      <c r="W15" s="1" t="s">
        <v>258</v>
      </c>
    </row>
    <row r="16" spans="1:23" ht="18" customHeight="1" thickBot="1" x14ac:dyDescent="0.3">
      <c r="A16" s="1"/>
      <c r="B16" s="152" t="s">
        <v>124</v>
      </c>
      <c r="C16" s="74"/>
      <c r="D16" s="74"/>
      <c r="E16" s="74"/>
      <c r="F16" s="60"/>
      <c r="G16" s="1">
        <f>G14-G15</f>
        <v>0</v>
      </c>
      <c r="I16" s="280" t="s">
        <v>100</v>
      </c>
      <c r="J16" s="147">
        <v>10600444</v>
      </c>
      <c r="K16" s="147">
        <v>13372497</v>
      </c>
      <c r="M16" s="280" t="s">
        <v>100</v>
      </c>
      <c r="N16" s="147">
        <v>10600444</v>
      </c>
      <c r="O16" s="147">
        <v>13372497</v>
      </c>
      <c r="P16" s="1"/>
      <c r="Q16" s="181" t="s">
        <v>125</v>
      </c>
      <c r="R16" s="61">
        <f>规则设置!C50*D26</f>
        <v>300000</v>
      </c>
      <c r="S16" s="1"/>
      <c r="T16" s="75" t="s">
        <v>126</v>
      </c>
      <c r="U16" s="76">
        <f>IF((O28+U15)&gt;=0.5*U4,O28+U15,0.5*U4)</f>
        <v>7458982.3374560028</v>
      </c>
      <c r="V16" s="1"/>
      <c r="W16" s="1">
        <f>IF((O28+U15)&gt;=0.5*U4,0,1)</f>
        <v>0</v>
      </c>
    </row>
    <row r="17" spans="1:23" ht="18" customHeight="1" thickBot="1" x14ac:dyDescent="0.3">
      <c r="A17" s="1"/>
      <c r="B17" s="202" t="s">
        <v>260</v>
      </c>
      <c r="C17" s="203">
        <f>((C12*C5-(C6+D10/H9+C15*1.35*第四季!E26))/C12)</f>
        <v>5.1636432734189217</v>
      </c>
      <c r="D17" s="203">
        <f>((D12*D5-(D6+D10/H9+D15*1.35*E26))/D12)</f>
        <v>5.0514514110662834</v>
      </c>
      <c r="E17" s="203" t="e">
        <f>((E12*E5-(E6+D10/H9+E15*1.35*E26))/E12)</f>
        <v>#DIV/0!</v>
      </c>
      <c r="F17" s="204">
        <f>((F12*F5-(F6+D10/H9+F15*1.35*E26))/F12)</f>
        <v>5.0534072727272727</v>
      </c>
      <c r="G17" s="214" t="s">
        <v>261</v>
      </c>
      <c r="H17" s="214" t="s">
        <v>268</v>
      </c>
      <c r="I17" s="280" t="s">
        <v>216</v>
      </c>
      <c r="J17" s="279">
        <v>0</v>
      </c>
      <c r="K17" s="279">
        <v>0</v>
      </c>
      <c r="M17" s="280" t="s">
        <v>216</v>
      </c>
      <c r="N17" s="279">
        <v>0</v>
      </c>
      <c r="O17" s="279">
        <v>0</v>
      </c>
      <c r="P17" s="1"/>
      <c r="Q17" s="181" t="s">
        <v>60</v>
      </c>
      <c r="R17" s="61">
        <f>规则设置!C52*O36</f>
        <v>129553.32500000001</v>
      </c>
      <c r="S17" s="1"/>
      <c r="T17" s="1"/>
      <c r="U17" s="1"/>
      <c r="V17" s="1"/>
      <c r="W17" s="1"/>
    </row>
    <row r="18" spans="1:23" ht="18" customHeight="1" thickBot="1" x14ac:dyDescent="0.3">
      <c r="A18" s="1"/>
      <c r="B18" s="153"/>
      <c r="C18" s="77"/>
      <c r="D18" s="77"/>
      <c r="E18" s="77"/>
      <c r="F18" s="76"/>
      <c r="G18" s="213">
        <f>R40</f>
        <v>3060404.9742357638</v>
      </c>
      <c r="H18" s="215">
        <f>U30</f>
        <v>9037024.9742357619</v>
      </c>
      <c r="I18" s="280" t="s">
        <v>103</v>
      </c>
      <c r="J18" s="147">
        <v>10600444</v>
      </c>
      <c r="K18" s="147">
        <v>13372497</v>
      </c>
      <c r="M18" s="280" t="s">
        <v>104</v>
      </c>
      <c r="N18" s="279">
        <v>0</v>
      </c>
      <c r="O18" s="147">
        <v>2500000</v>
      </c>
      <c r="P18" s="1"/>
      <c r="Q18" s="181" t="s">
        <v>127</v>
      </c>
      <c r="R18" s="61">
        <f>O35-U23</f>
        <v>147440</v>
      </c>
      <c r="S18" s="1"/>
      <c r="T18" s="1"/>
      <c r="U18" s="1"/>
      <c r="V18" s="1"/>
      <c r="W18" s="1"/>
    </row>
    <row r="19" spans="1:23" ht="18" customHeight="1" thickBot="1" x14ac:dyDescent="0.3">
      <c r="A19" s="1"/>
      <c r="B19" s="138" t="s">
        <v>199</v>
      </c>
      <c r="C19" s="138">
        <f>IF(C12&gt;规则设置!D47*N4,"请核对产品数量！",)</f>
        <v>0</v>
      </c>
      <c r="D19" s="138">
        <f>IF(D12&gt;规则设置!D47*N5,"请核对产品数量！",)</f>
        <v>0</v>
      </c>
      <c r="E19" s="138">
        <f>IF(E12&gt;规则设置!D47*N6,"请核对产品数量！",)</f>
        <v>0</v>
      </c>
      <c r="F19" s="139">
        <f>IF(F12&gt;规则设置!D47*N7,"请核对产品数量！",)</f>
        <v>0</v>
      </c>
      <c r="G19" s="214" t="s">
        <v>272</v>
      </c>
      <c r="I19" s="280" t="s">
        <v>105</v>
      </c>
      <c r="J19" s="279"/>
      <c r="K19" s="279"/>
      <c r="M19" s="280" t="s">
        <v>106</v>
      </c>
      <c r="N19" s="147">
        <v>10600444</v>
      </c>
      <c r="O19" s="147">
        <v>15872497</v>
      </c>
      <c r="P19" s="1"/>
      <c r="Q19" s="70" t="s">
        <v>128</v>
      </c>
      <c r="R19" s="61"/>
      <c r="S19" s="1"/>
      <c r="T19" s="241" t="s">
        <v>129</v>
      </c>
      <c r="U19" s="242"/>
      <c r="V19" s="1"/>
      <c r="W19" s="1"/>
    </row>
    <row r="20" spans="1:23" ht="18" customHeight="1" thickBot="1" x14ac:dyDescent="0.3">
      <c r="A20" s="1"/>
      <c r="B20" s="241" t="s">
        <v>130</v>
      </c>
      <c r="C20" s="265"/>
      <c r="D20" s="265"/>
      <c r="E20" s="242"/>
      <c r="F20" s="1"/>
      <c r="G20" s="1"/>
      <c r="I20" s="280" t="s">
        <v>108</v>
      </c>
      <c r="J20" s="279"/>
      <c r="K20" s="279"/>
      <c r="M20" s="280" t="s">
        <v>109</v>
      </c>
      <c r="N20" s="279"/>
      <c r="O20" s="279"/>
      <c r="P20" s="1"/>
      <c r="Q20" s="64" t="s">
        <v>131</v>
      </c>
      <c r="R20" s="61"/>
      <c r="S20" s="1"/>
      <c r="T20" s="56" t="s">
        <v>132</v>
      </c>
      <c r="U20" s="57"/>
      <c r="V20" s="1"/>
      <c r="W20" s="1"/>
    </row>
    <row r="21" spans="1:23" ht="18" customHeight="1" thickBot="1" x14ac:dyDescent="0.3">
      <c r="A21" s="1"/>
      <c r="B21" s="155" t="s">
        <v>104</v>
      </c>
      <c r="C21" s="88">
        <v>0</v>
      </c>
      <c r="D21" s="156" t="s">
        <v>116</v>
      </c>
      <c r="E21" s="136">
        <v>4000000</v>
      </c>
      <c r="F21" s="1" t="s">
        <v>200</v>
      </c>
      <c r="G21" s="140">
        <f>ROUNDUP(H2-H4,0)</f>
        <v>758097</v>
      </c>
      <c r="I21" s="280" t="s">
        <v>111</v>
      </c>
      <c r="J21" s="147">
        <v>1300000</v>
      </c>
      <c r="K21" s="147">
        <v>1800000</v>
      </c>
      <c r="M21" s="280" t="s">
        <v>112</v>
      </c>
      <c r="N21" s="147">
        <v>7248062</v>
      </c>
      <c r="O21" s="147">
        <v>7480772</v>
      </c>
      <c r="P21" s="1"/>
      <c r="Q21" s="64" t="s">
        <v>133</v>
      </c>
      <c r="R21" s="61"/>
      <c r="S21" s="1"/>
      <c r="T21" s="181" t="s">
        <v>134</v>
      </c>
      <c r="U21" s="61">
        <f>U16</f>
        <v>7458982.3374560028</v>
      </c>
      <c r="V21" s="1"/>
      <c r="W21" s="1"/>
    </row>
    <row r="22" spans="1:23" ht="18" customHeight="1" thickBot="1" x14ac:dyDescent="0.3">
      <c r="A22" s="1"/>
      <c r="B22" s="153" t="s">
        <v>118</v>
      </c>
      <c r="C22" s="262"/>
      <c r="D22" s="263"/>
      <c r="E22" s="264"/>
      <c r="F22" s="1"/>
      <c r="G22" s="141">
        <f>ROUNDUP(H2-H4,0)+ROUNDUP(H2-H4,0)*规则设置!E73/4</f>
        <v>765677.97</v>
      </c>
      <c r="I22" s="280" t="s">
        <v>32</v>
      </c>
      <c r="J22" s="147">
        <v>20000</v>
      </c>
      <c r="K22" s="147">
        <v>20000</v>
      </c>
      <c r="M22" s="280" t="s">
        <v>113</v>
      </c>
      <c r="N22" s="279">
        <v>0</v>
      </c>
      <c r="O22" s="147">
        <v>6193810</v>
      </c>
      <c r="P22" s="1"/>
      <c r="Q22" s="64" t="s">
        <v>135</v>
      </c>
      <c r="R22" s="61"/>
      <c r="S22" s="1"/>
      <c r="T22" s="181" t="s">
        <v>136</v>
      </c>
      <c r="U22" s="61">
        <f>(F24+C26+M9-B10*1.35)*F26</f>
        <v>3570363.9617797602</v>
      </c>
      <c r="V22" s="127"/>
      <c r="W22" s="1"/>
    </row>
    <row r="23" spans="1:23" ht="18" customHeight="1" thickBot="1" x14ac:dyDescent="0.3">
      <c r="A23" s="1"/>
      <c r="B23" s="1"/>
      <c r="C23" s="1"/>
      <c r="D23" s="1"/>
      <c r="E23" s="1"/>
      <c r="F23" s="1"/>
      <c r="G23" s="1"/>
      <c r="I23" s="280" t="s">
        <v>39</v>
      </c>
      <c r="J23" s="147">
        <v>1853250</v>
      </c>
      <c r="K23" s="147">
        <v>2016915</v>
      </c>
      <c r="M23" s="280" t="s">
        <v>221</v>
      </c>
      <c r="N23" s="147">
        <v>500000</v>
      </c>
      <c r="O23" s="147">
        <v>500000</v>
      </c>
      <c r="P23" s="1"/>
      <c r="Q23" s="80" t="s">
        <v>137</v>
      </c>
      <c r="R23" s="61">
        <f>SUM(C6:F6)</f>
        <v>3</v>
      </c>
      <c r="S23" s="1"/>
      <c r="T23" s="181" t="s">
        <v>138</v>
      </c>
      <c r="U23" s="61">
        <f>规则设置!B79*(B10-C15-D15-E15-F15)</f>
        <v>0</v>
      </c>
      <c r="V23" s="1"/>
      <c r="W23" s="1"/>
    </row>
    <row r="24" spans="1:23" ht="18" customHeight="1" thickBot="1" x14ac:dyDescent="0.3">
      <c r="A24" s="1"/>
      <c r="B24" s="241" t="s">
        <v>139</v>
      </c>
      <c r="C24" s="265"/>
      <c r="D24" s="242"/>
      <c r="E24" s="32" t="s">
        <v>252</v>
      </c>
      <c r="F24" s="184">
        <v>0</v>
      </c>
      <c r="G24" s="1"/>
      <c r="I24" s="280" t="s">
        <v>115</v>
      </c>
      <c r="J24" s="147">
        <v>2233828</v>
      </c>
      <c r="K24" s="147">
        <v>2431103</v>
      </c>
      <c r="M24" s="280" t="s">
        <v>116</v>
      </c>
      <c r="N24" s="147">
        <v>2000000</v>
      </c>
      <c r="O24" s="279">
        <v>0</v>
      </c>
      <c r="P24" s="1"/>
      <c r="Q24" s="80" t="s">
        <v>61</v>
      </c>
      <c r="R24" s="61">
        <f>规则设置!C55*C15+规则设置!D55*D15+规则设置!E55*E15+规则设置!F55*F15</f>
        <v>531463.6</v>
      </c>
      <c r="S24" s="1"/>
      <c r="T24" s="181" t="s">
        <v>140</v>
      </c>
      <c r="U24" s="61">
        <f>O36-R17+U11</f>
        <v>6552579.6749999998</v>
      </c>
      <c r="V24" s="1"/>
      <c r="W24" s="1"/>
    </row>
    <row r="25" spans="1:23" ht="18" customHeight="1" thickBot="1" x14ac:dyDescent="0.3">
      <c r="A25" s="1"/>
      <c r="B25" s="155" t="s">
        <v>141</v>
      </c>
      <c r="C25" s="156" t="s">
        <v>142</v>
      </c>
      <c r="D25" s="157" t="s">
        <v>143</v>
      </c>
      <c r="E25" s="19" t="s">
        <v>2</v>
      </c>
      <c r="F25" s="19" t="s">
        <v>144</v>
      </c>
      <c r="G25" s="19" t="s">
        <v>145</v>
      </c>
      <c r="H25" s="19" t="s">
        <v>250</v>
      </c>
      <c r="I25" s="280" t="s">
        <v>253</v>
      </c>
      <c r="J25" s="279">
        <v>0</v>
      </c>
      <c r="K25" s="147">
        <v>200000</v>
      </c>
      <c r="M25" s="280" t="s">
        <v>118</v>
      </c>
      <c r="N25" s="279">
        <v>0</v>
      </c>
      <c r="O25" s="279">
        <v>0</v>
      </c>
      <c r="P25" s="1"/>
      <c r="Q25" s="181" t="s">
        <v>66</v>
      </c>
      <c r="R25" s="61">
        <f>规则设置!B12*C26</f>
        <v>0</v>
      </c>
      <c r="S25" s="1"/>
      <c r="T25" s="181" t="s">
        <v>146</v>
      </c>
      <c r="U25" s="61">
        <f>SUM(U21:U24)</f>
        <v>17581925.974235762</v>
      </c>
      <c r="V25" s="1"/>
      <c r="W25" s="1"/>
    </row>
    <row r="26" spans="1:23" ht="18" customHeight="1" thickBot="1" x14ac:dyDescent="0.3">
      <c r="A26" s="1"/>
      <c r="B26" s="159">
        <v>0</v>
      </c>
      <c r="C26" s="219">
        <f>IF(B10*1.35-M9&lt;=0,0,B10*1.35-M9)</f>
        <v>0</v>
      </c>
      <c r="D26" s="82">
        <v>3</v>
      </c>
      <c r="E26" s="83">
        <v>2.25</v>
      </c>
      <c r="F26" s="52">
        <f>(U10+O34)/(F24+M9+C26)</f>
        <v>1.2499998990928447</v>
      </c>
      <c r="G26" s="84">
        <f>规则设置!B20*B10</f>
        <v>2098758.6</v>
      </c>
      <c r="H26" s="84">
        <f>ROUNDDOWN(O42/3/规则设置!D50,0)</f>
        <v>3</v>
      </c>
      <c r="I26" s="280" t="s">
        <v>217</v>
      </c>
      <c r="J26" s="279">
        <v>0</v>
      </c>
      <c r="K26" s="279">
        <v>0</v>
      </c>
      <c r="M26" s="280" t="s">
        <v>120</v>
      </c>
      <c r="N26" s="147">
        <v>9748062</v>
      </c>
      <c r="O26" s="147">
        <v>14174582</v>
      </c>
      <c r="P26" s="1"/>
      <c r="Q26" s="70" t="s">
        <v>147</v>
      </c>
      <c r="R26" s="61"/>
      <c r="S26" s="1"/>
      <c r="T26" s="85" t="s">
        <v>148</v>
      </c>
      <c r="U26" s="61"/>
      <c r="V26" s="1"/>
      <c r="W26" s="1"/>
    </row>
    <row r="27" spans="1:23" ht="18" customHeight="1" thickBot="1" x14ac:dyDescent="0.3">
      <c r="A27" s="1"/>
      <c r="B27" s="1"/>
      <c r="C27" s="1"/>
      <c r="D27" s="1"/>
      <c r="E27" s="1"/>
      <c r="F27" s="1"/>
      <c r="G27" s="1"/>
      <c r="I27" s="280" t="s">
        <v>218</v>
      </c>
      <c r="J27" s="147">
        <v>108000</v>
      </c>
      <c r="K27" s="147">
        <v>120000</v>
      </c>
      <c r="M27" s="280" t="s">
        <v>123</v>
      </c>
      <c r="N27" s="147">
        <v>852382</v>
      </c>
      <c r="O27" s="147">
        <v>1697915</v>
      </c>
      <c r="P27" s="1"/>
      <c r="Q27" s="86" t="s">
        <v>69</v>
      </c>
      <c r="R27" s="61">
        <f>SUM(D30:D34)*规则设置!B64</f>
        <v>9000</v>
      </c>
      <c r="S27" s="1"/>
      <c r="T27" s="181" t="s">
        <v>150</v>
      </c>
      <c r="U27" s="61">
        <f>O41+U6-U12</f>
        <v>8544901</v>
      </c>
      <c r="V27" s="1"/>
      <c r="W27" s="1"/>
    </row>
    <row r="28" spans="1:23" ht="18" customHeight="1" thickBot="1" x14ac:dyDescent="0.3">
      <c r="A28" s="1"/>
      <c r="B28" s="241" t="s">
        <v>151</v>
      </c>
      <c r="C28" s="265"/>
      <c r="D28" s="265"/>
      <c r="E28" s="242"/>
      <c r="F28" s="1"/>
      <c r="I28" s="280" t="s">
        <v>219</v>
      </c>
      <c r="J28" s="147">
        <v>100000</v>
      </c>
      <c r="K28" s="147">
        <v>100000</v>
      </c>
      <c r="M28" s="280" t="s">
        <v>126</v>
      </c>
      <c r="N28" s="147">
        <v>5300222</v>
      </c>
      <c r="O28" s="147">
        <v>6998136</v>
      </c>
      <c r="P28" s="1"/>
      <c r="Q28" s="80" t="s">
        <v>70</v>
      </c>
      <c r="R28" s="61">
        <f>SUM(D30:D34)*规则设置!C64</f>
        <v>18000</v>
      </c>
      <c r="S28" s="1"/>
      <c r="T28" s="181" t="s">
        <v>152</v>
      </c>
      <c r="U28" s="60">
        <f>IF(W16=0,0,0.5*U4-U15-O28)</f>
        <v>0</v>
      </c>
      <c r="V28" s="1"/>
      <c r="W28" s="1"/>
    </row>
    <row r="29" spans="1:23" ht="18" customHeight="1" thickBot="1" x14ac:dyDescent="0.3">
      <c r="A29" s="1"/>
      <c r="B29" s="271" t="s">
        <v>153</v>
      </c>
      <c r="C29" s="272"/>
      <c r="D29" s="174" t="s">
        <v>154</v>
      </c>
      <c r="E29" s="175" t="s">
        <v>155</v>
      </c>
      <c r="F29" s="1"/>
      <c r="G29" s="178" t="s">
        <v>249</v>
      </c>
      <c r="I29" s="280" t="s">
        <v>220</v>
      </c>
      <c r="J29" s="147">
        <v>110312</v>
      </c>
      <c r="K29" s="147">
        <v>120055</v>
      </c>
      <c r="P29" s="1"/>
      <c r="Q29" s="80" t="s">
        <v>71</v>
      </c>
      <c r="R29" s="61">
        <f>规则设置!C67*C37+规则设置!D67*D37+规则设置!C68*C38+规则设置!D68*D38</f>
        <v>564750</v>
      </c>
      <c r="S29" s="1"/>
      <c r="T29" s="181" t="s">
        <v>156</v>
      </c>
      <c r="U29" s="61">
        <f>SUM(U27:U28)</f>
        <v>8544901</v>
      </c>
      <c r="V29" s="1"/>
      <c r="W29" s="1"/>
    </row>
    <row r="30" spans="1:23" ht="18" customHeight="1" thickBot="1" x14ac:dyDescent="0.3">
      <c r="A30" s="1"/>
      <c r="B30" s="273" t="s">
        <v>17</v>
      </c>
      <c r="C30" s="87" t="s">
        <v>93</v>
      </c>
      <c r="D30" s="88">
        <v>0</v>
      </c>
      <c r="E30" s="136">
        <v>0</v>
      </c>
      <c r="F30" s="1"/>
      <c r="G30" s="52">
        <f>ROUNDDOWN(U30/3/规则设置!D50,0)</f>
        <v>6</v>
      </c>
      <c r="I30" s="280" t="s">
        <v>127</v>
      </c>
      <c r="J30" s="147">
        <v>-207200</v>
      </c>
      <c r="K30" s="147">
        <v>180716</v>
      </c>
      <c r="M30" s="235" t="s">
        <v>129</v>
      </c>
      <c r="N30" s="236"/>
      <c r="O30" s="237"/>
      <c r="P30" s="1"/>
      <c r="Q30" s="80" t="s">
        <v>157</v>
      </c>
      <c r="R30" s="61">
        <f>SUM(E30:E33)*规则设置!C70+E34*规则设置!D70</f>
        <v>0</v>
      </c>
      <c r="S30" s="1"/>
      <c r="T30" s="75" t="s">
        <v>158</v>
      </c>
      <c r="U30" s="89">
        <f>U25-U29</f>
        <v>9037024.9742357619</v>
      </c>
      <c r="V30" s="1" t="s">
        <v>159</v>
      </c>
      <c r="W30" s="90"/>
    </row>
    <row r="31" spans="1:23" ht="18" customHeight="1" thickBot="1" x14ac:dyDescent="0.3">
      <c r="A31" s="1"/>
      <c r="B31" s="274"/>
      <c r="C31" s="87" t="s">
        <v>94</v>
      </c>
      <c r="D31" s="88">
        <v>3</v>
      </c>
      <c r="E31" s="136">
        <v>0</v>
      </c>
      <c r="F31" s="1"/>
      <c r="G31" s="1"/>
      <c r="I31" s="280" t="s">
        <v>128</v>
      </c>
      <c r="J31" s="279"/>
      <c r="K31" s="279"/>
      <c r="M31" s="148" t="s">
        <v>213</v>
      </c>
      <c r="N31" s="148" t="s">
        <v>214</v>
      </c>
      <c r="O31" s="148" t="s">
        <v>215</v>
      </c>
      <c r="P31" s="1"/>
      <c r="Q31" s="80" t="s">
        <v>160</v>
      </c>
      <c r="R31" s="61">
        <f>规则设置!B76*O34</f>
        <v>619381.20000000007</v>
      </c>
      <c r="S31" s="1"/>
      <c r="T31" s="1"/>
      <c r="U31" s="1"/>
      <c r="V31" s="1" t="s">
        <v>161</v>
      </c>
      <c r="W31" s="92">
        <f>U30-W30</f>
        <v>9037024.9742357619</v>
      </c>
    </row>
    <row r="32" spans="1:23" ht="18" customHeight="1" thickBot="1" x14ac:dyDescent="0.3">
      <c r="A32" s="1"/>
      <c r="B32" s="274"/>
      <c r="C32" s="87" t="s">
        <v>95</v>
      </c>
      <c r="D32" s="88">
        <v>3</v>
      </c>
      <c r="E32" s="136">
        <v>0</v>
      </c>
      <c r="F32" s="1"/>
      <c r="G32" s="19" t="s">
        <v>248</v>
      </c>
      <c r="I32" s="280" t="s">
        <v>131</v>
      </c>
      <c r="J32" s="279">
        <v>0</v>
      </c>
      <c r="K32" s="279">
        <v>0</v>
      </c>
      <c r="M32" s="280" t="s">
        <v>132</v>
      </c>
      <c r="N32" s="279"/>
      <c r="O32" s="279"/>
      <c r="P32" s="1"/>
      <c r="Q32" s="80" t="s">
        <v>83</v>
      </c>
      <c r="R32" s="61">
        <f>规则设置!C76*L9</f>
        <v>18430</v>
      </c>
      <c r="S32" s="1"/>
      <c r="T32" s="1"/>
      <c r="U32" s="1"/>
      <c r="V32" s="1"/>
      <c r="W32" s="1"/>
    </row>
    <row r="33" spans="1:23" ht="18" customHeight="1" thickBot="1" x14ac:dyDescent="0.3">
      <c r="A33" s="1"/>
      <c r="B33" s="243"/>
      <c r="C33" s="87" t="s">
        <v>96</v>
      </c>
      <c r="D33" s="88">
        <v>3</v>
      </c>
      <c r="E33" s="176">
        <v>0</v>
      </c>
      <c r="F33" s="1"/>
      <c r="G33" s="177">
        <v>6</v>
      </c>
      <c r="I33" s="280" t="s">
        <v>133</v>
      </c>
      <c r="J33" s="279">
        <v>0</v>
      </c>
      <c r="K33" s="279">
        <v>0</v>
      </c>
      <c r="M33" s="280" t="s">
        <v>134</v>
      </c>
      <c r="N33" s="147">
        <v>5300222</v>
      </c>
      <c r="O33" s="147">
        <v>6998136</v>
      </c>
      <c r="P33" s="1"/>
      <c r="Q33" s="93" t="s">
        <v>162</v>
      </c>
      <c r="R33" s="61"/>
      <c r="S33" s="1"/>
      <c r="T33" s="41" t="s">
        <v>201</v>
      </c>
      <c r="U33" s="42" t="s">
        <v>202</v>
      </c>
      <c r="V33" s="42" t="s">
        <v>203</v>
      </c>
      <c r="W33" s="6" t="s">
        <v>204</v>
      </c>
    </row>
    <row r="34" spans="1:23" ht="18" customHeight="1" thickBot="1" x14ac:dyDescent="0.3">
      <c r="A34" s="1"/>
      <c r="B34" s="275" t="s">
        <v>163</v>
      </c>
      <c r="C34" s="276"/>
      <c r="D34" s="94">
        <f>规则设置!B82*D26</f>
        <v>9</v>
      </c>
      <c r="E34" s="142"/>
      <c r="F34" s="1"/>
      <c r="G34" s="1"/>
      <c r="I34" s="280" t="s">
        <v>135</v>
      </c>
      <c r="J34" s="279">
        <v>0</v>
      </c>
      <c r="K34" s="279">
        <v>0</v>
      </c>
      <c r="M34" s="280" t="s">
        <v>136</v>
      </c>
      <c r="N34" s="147">
        <v>2431106</v>
      </c>
      <c r="O34" s="147">
        <v>6193812</v>
      </c>
      <c r="P34" s="1"/>
      <c r="Q34" s="80" t="s">
        <v>164</v>
      </c>
      <c r="R34" s="61">
        <f>U27*(规则设置!E73/4)+O40*3*(规则设置!E73/4)</f>
        <v>85449.01</v>
      </c>
      <c r="S34" s="1"/>
      <c r="T34" s="143">
        <f>U34+V34-W34</f>
        <v>2469751.8354697376</v>
      </c>
      <c r="U34" s="144">
        <f>C22/((1+规则设置!F73/4))</f>
        <v>0</v>
      </c>
      <c r="V34" s="144">
        <f>U30/(1+规则设置!F73/4)</f>
        <v>8969751.8354697376</v>
      </c>
      <c r="W34" s="123">
        <f>规则设置!C3</f>
        <v>6500000</v>
      </c>
    </row>
    <row r="35" spans="1:23" ht="18" customHeight="1" thickBot="1" x14ac:dyDescent="0.3">
      <c r="A35" s="1"/>
      <c r="B35" s="1"/>
      <c r="C35" s="1"/>
      <c r="D35" s="1"/>
      <c r="E35" s="1"/>
      <c r="F35" s="1"/>
      <c r="G35" s="1"/>
      <c r="I35" s="280" t="s">
        <v>137</v>
      </c>
      <c r="J35" s="147">
        <v>1350000</v>
      </c>
      <c r="K35" s="279">
        <v>3</v>
      </c>
      <c r="M35" s="280" t="s">
        <v>84</v>
      </c>
      <c r="N35" s="147">
        <v>328156</v>
      </c>
      <c r="O35" s="147">
        <v>147440</v>
      </c>
      <c r="P35" s="1"/>
      <c r="Q35" s="93" t="s">
        <v>165</v>
      </c>
      <c r="R35" s="61"/>
      <c r="S35" s="1"/>
      <c r="T35" s="1"/>
      <c r="U35" s="1"/>
      <c r="V35" s="1"/>
      <c r="W35" s="1"/>
    </row>
    <row r="36" spans="1:23" ht="18" customHeight="1" thickBot="1" x14ac:dyDescent="0.3">
      <c r="A36" s="1"/>
      <c r="B36" s="41" t="s">
        <v>71</v>
      </c>
      <c r="C36" s="42" t="s">
        <v>187</v>
      </c>
      <c r="D36" s="6" t="s">
        <v>163</v>
      </c>
      <c r="F36" s="41" t="s">
        <v>208</v>
      </c>
      <c r="G36" s="145"/>
      <c r="I36" s="280" t="s">
        <v>61</v>
      </c>
      <c r="J36" s="147">
        <v>445875</v>
      </c>
      <c r="K36" s="147">
        <v>497565</v>
      </c>
      <c r="M36" s="280" t="s">
        <v>140</v>
      </c>
      <c r="N36" s="147">
        <v>4802188</v>
      </c>
      <c r="O36" s="147">
        <v>5182133</v>
      </c>
      <c r="P36" s="1"/>
      <c r="Q36" s="80" t="s">
        <v>167</v>
      </c>
      <c r="R36" s="61">
        <f>(R4/(1+规则设置!B73))*规则设置!B73</f>
        <v>810762.11320754711</v>
      </c>
      <c r="S36" s="1"/>
      <c r="T36" s="1"/>
      <c r="U36" s="1"/>
      <c r="V36" s="1"/>
      <c r="W36" s="1"/>
    </row>
    <row r="37" spans="1:23" ht="18" customHeight="1" thickBot="1" x14ac:dyDescent="0.3">
      <c r="A37" s="1"/>
      <c r="B37" s="28" t="s">
        <v>74</v>
      </c>
      <c r="C37" s="34">
        <f>SUM(D30:D33)</f>
        <v>9</v>
      </c>
      <c r="D37" s="146">
        <f>D34</f>
        <v>9</v>
      </c>
      <c r="F37" s="28" t="s">
        <v>209</v>
      </c>
      <c r="G37" s="146">
        <f>D41</f>
        <v>2653787</v>
      </c>
      <c r="I37" s="280" t="s">
        <v>66</v>
      </c>
      <c r="J37" s="279">
        <v>0</v>
      </c>
      <c r="K37" s="279">
        <v>0</v>
      </c>
      <c r="M37" s="280" t="s">
        <v>146</v>
      </c>
      <c r="N37" s="147">
        <v>12861672</v>
      </c>
      <c r="O37" s="147">
        <v>18521522</v>
      </c>
      <c r="P37" s="1"/>
      <c r="Q37" s="80" t="s">
        <v>169</v>
      </c>
      <c r="R37" s="61">
        <f>规则设置!C73*R36</f>
        <v>56753.347924528302</v>
      </c>
      <c r="S37" s="1"/>
      <c r="T37" s="98" t="s">
        <v>170</v>
      </c>
      <c r="U37" s="1"/>
      <c r="V37" s="1"/>
      <c r="W37" s="1"/>
    </row>
    <row r="38" spans="1:23" ht="18" customHeight="1" thickBot="1" x14ac:dyDescent="0.3">
      <c r="A38" s="1"/>
      <c r="B38" s="35" t="s">
        <v>75</v>
      </c>
      <c r="C38" s="144">
        <f>N11-SUM(E30:E33)</f>
        <v>27</v>
      </c>
      <c r="D38" s="123">
        <f>M11-E34</f>
        <v>33</v>
      </c>
      <c r="F38" s="28" t="s">
        <v>210</v>
      </c>
      <c r="G38" s="146">
        <f>ROUNDUP(规则设置!B20*(ROUNDDOWN((J11*0.975+D26*规则设置!C15),0)*0.975+G33*规则设置!C15)*3,0)</f>
        <v>3802443</v>
      </c>
      <c r="I38" s="280" t="s">
        <v>147</v>
      </c>
      <c r="J38" s="279"/>
      <c r="K38" s="279"/>
      <c r="M38" s="280" t="s">
        <v>148</v>
      </c>
      <c r="N38" s="279"/>
      <c r="O38" s="279"/>
      <c r="P38" s="1"/>
      <c r="Q38" s="80" t="s">
        <v>170</v>
      </c>
      <c r="R38" s="101">
        <f>IF(T38&gt;0,T38,)</f>
        <v>1020134.9914119212</v>
      </c>
      <c r="S38" s="1"/>
      <c r="T38" s="172">
        <f>(R4/(1+规则设置!B73)-SUM(R9:R34)-R37)*规则设置!D73</f>
        <v>1020134.9914119212</v>
      </c>
      <c r="U38" s="1"/>
      <c r="V38" s="1"/>
      <c r="W38" s="1"/>
    </row>
    <row r="39" spans="1:23" ht="18" customHeight="1" thickBot="1" x14ac:dyDescent="0.3">
      <c r="A39" s="1"/>
      <c r="B39" s="138" t="s">
        <v>254</v>
      </c>
      <c r="C39" s="138">
        <f>IF((C38+C37)*规则设置!D47&lt;G41*规则设置!B82,"请核对招聘员工数",0)</f>
        <v>0</v>
      </c>
      <c r="D39" s="138">
        <f>IF((D37+D38)/规则设置!B82&lt;(K11+D26),"请核对工人数量",0)</f>
        <v>0</v>
      </c>
      <c r="F39" s="35" t="s">
        <v>211</v>
      </c>
      <c r="G39" s="123">
        <f>G37+G38+1</f>
        <v>6456231</v>
      </c>
      <c r="I39" s="280" t="s">
        <v>69</v>
      </c>
      <c r="J39" s="147">
        <v>4500</v>
      </c>
      <c r="K39" s="147">
        <v>3000</v>
      </c>
      <c r="M39" s="280" t="s">
        <v>150</v>
      </c>
      <c r="N39" s="147">
        <v>10000000</v>
      </c>
      <c r="O39" s="147">
        <v>12544901</v>
      </c>
      <c r="P39" s="1"/>
      <c r="Q39" s="80" t="s">
        <v>173</v>
      </c>
      <c r="R39" s="61">
        <f>SUM(R9:R38)</f>
        <v>11263059.025764236</v>
      </c>
      <c r="S39" s="1"/>
      <c r="T39" s="1"/>
      <c r="U39" s="1"/>
      <c r="V39" s="1"/>
      <c r="W39" s="1"/>
    </row>
    <row r="40" spans="1:23" ht="18" customHeight="1" thickBot="1" x14ac:dyDescent="0.3">
      <c r="A40" s="1"/>
      <c r="B40" s="253" t="s">
        <v>188</v>
      </c>
      <c r="C40" s="121" t="s">
        <v>189</v>
      </c>
      <c r="D40" s="6" t="s">
        <v>190</v>
      </c>
      <c r="I40" s="280" t="s">
        <v>70</v>
      </c>
      <c r="J40" s="147">
        <v>9000</v>
      </c>
      <c r="K40" s="147">
        <v>6000</v>
      </c>
      <c r="M40" s="280" t="s">
        <v>152</v>
      </c>
      <c r="N40" s="147">
        <v>44901</v>
      </c>
      <c r="O40" s="279">
        <v>0</v>
      </c>
      <c r="Q40" s="108" t="s">
        <v>177</v>
      </c>
      <c r="R40" s="89">
        <f>R6-R39</f>
        <v>3060404.9742357638</v>
      </c>
      <c r="S40" s="1"/>
      <c r="T40" s="1"/>
      <c r="U40" s="1"/>
      <c r="V40" s="1"/>
      <c r="W40" s="1"/>
    </row>
    <row r="41" spans="1:23" ht="18" customHeight="1" thickBot="1" x14ac:dyDescent="0.3">
      <c r="A41" s="1"/>
      <c r="B41" s="254"/>
      <c r="C41" s="192">
        <f>G41*3</f>
        <v>1965768</v>
      </c>
      <c r="D41" s="123">
        <f>ROUNDUP(规则设置!B20*C41,0)</f>
        <v>2653787</v>
      </c>
      <c r="F41" s="160" t="s">
        <v>191</v>
      </c>
      <c r="G41" s="161">
        <f>ROUNDDOWN(J11*0.975+D26*规则设置!C15,0)</f>
        <v>655256</v>
      </c>
      <c r="I41" s="280" t="s">
        <v>71</v>
      </c>
      <c r="J41" s="147">
        <v>402750</v>
      </c>
      <c r="K41" s="147">
        <v>465750</v>
      </c>
      <c r="L41" s="1"/>
      <c r="M41" s="280" t="s">
        <v>156</v>
      </c>
      <c r="N41" s="147">
        <v>10044901</v>
      </c>
      <c r="O41" s="147">
        <v>12544901</v>
      </c>
    </row>
    <row r="42" spans="1:23" ht="18" customHeight="1" thickBot="1" x14ac:dyDescent="0.3">
      <c r="A42" s="1"/>
      <c r="I42" s="280" t="s">
        <v>157</v>
      </c>
      <c r="J42" s="279">
        <v>0</v>
      </c>
      <c r="K42" s="279">
        <v>0</v>
      </c>
      <c r="L42" s="1"/>
      <c r="M42" s="280" t="s">
        <v>158</v>
      </c>
      <c r="N42" s="147">
        <v>2816771</v>
      </c>
      <c r="O42" s="147">
        <v>5976621</v>
      </c>
    </row>
    <row r="43" spans="1:23" ht="18" customHeight="1" thickBot="1" x14ac:dyDescent="0.3">
      <c r="A43" s="1"/>
      <c r="I43" s="280" t="s">
        <v>160</v>
      </c>
      <c r="J43" s="147">
        <v>466494</v>
      </c>
      <c r="K43" s="147">
        <v>243111</v>
      </c>
      <c r="L43" s="1"/>
      <c r="M43" s="1"/>
      <c r="N43" s="1"/>
      <c r="O43" s="1"/>
    </row>
    <row r="44" spans="1:23" ht="18" customHeight="1" thickBot="1" x14ac:dyDescent="0.3">
      <c r="A44" s="1"/>
      <c r="I44" s="280" t="s">
        <v>83</v>
      </c>
      <c r="J44" s="147">
        <v>41020</v>
      </c>
      <c r="K44" s="147">
        <v>18430</v>
      </c>
      <c r="L44" s="1"/>
      <c r="M44" s="1"/>
      <c r="N44" s="1"/>
      <c r="O44" s="1"/>
    </row>
    <row r="45" spans="1:23" ht="18" customHeight="1" thickBot="1" x14ac:dyDescent="0.3">
      <c r="A45" s="1"/>
      <c r="I45" s="280" t="s">
        <v>162</v>
      </c>
      <c r="J45" s="279"/>
      <c r="K45" s="279"/>
      <c r="L45" s="1"/>
      <c r="M45" s="1"/>
      <c r="N45" s="1"/>
      <c r="O45" s="1"/>
    </row>
    <row r="46" spans="1:23" ht="18" customHeight="1" thickBot="1" x14ac:dyDescent="0.3">
      <c r="A46" s="1"/>
      <c r="I46" s="280" t="s">
        <v>164</v>
      </c>
      <c r="J46" s="147">
        <v>100000</v>
      </c>
      <c r="K46" s="147">
        <v>126796</v>
      </c>
      <c r="L46" s="1"/>
      <c r="M46" s="1"/>
      <c r="N46" s="1"/>
      <c r="O46" s="1"/>
    </row>
    <row r="47" spans="1:23" ht="18" customHeight="1" thickBot="1" x14ac:dyDescent="0.3">
      <c r="A47" s="1"/>
      <c r="I47" s="280" t="s">
        <v>165</v>
      </c>
      <c r="J47" s="279"/>
      <c r="K47" s="279"/>
      <c r="L47" s="1"/>
      <c r="M47" s="1"/>
      <c r="N47" s="1"/>
      <c r="O47" s="1"/>
    </row>
    <row r="48" spans="1:23" ht="18" customHeight="1" thickBot="1" x14ac:dyDescent="0.3">
      <c r="A48" s="1"/>
      <c r="I48" s="280" t="s">
        <v>167</v>
      </c>
      <c r="J48" s="147">
        <v>600025</v>
      </c>
      <c r="K48" s="147">
        <v>756934</v>
      </c>
      <c r="L48" s="1"/>
      <c r="M48" s="1"/>
      <c r="N48" s="1"/>
      <c r="O48" s="1"/>
    </row>
    <row r="49" spans="1:15" ht="18" customHeight="1" thickBot="1" x14ac:dyDescent="0.3">
      <c r="A49" s="1"/>
      <c r="C49" s="1"/>
      <c r="D49" s="1"/>
      <c r="E49" s="1"/>
      <c r="F49" s="1"/>
      <c r="G49" s="1"/>
      <c r="H49" s="1"/>
      <c r="I49" s="280" t="s">
        <v>169</v>
      </c>
      <c r="J49" s="147">
        <v>42002</v>
      </c>
      <c r="K49" s="147">
        <v>52985</v>
      </c>
      <c r="L49" s="1"/>
      <c r="M49" s="1"/>
      <c r="N49" s="1"/>
      <c r="O49" s="1"/>
    </row>
    <row r="50" spans="1:15" ht="18" customHeight="1" thickBot="1" x14ac:dyDescent="0.3">
      <c r="A50" s="1"/>
      <c r="E50" s="1"/>
      <c r="F50" s="1"/>
      <c r="G50" s="1"/>
      <c r="H50" s="1"/>
      <c r="I50" s="280" t="s">
        <v>170</v>
      </c>
      <c r="J50" s="147">
        <v>405147</v>
      </c>
      <c r="K50" s="147">
        <v>1053284</v>
      </c>
      <c r="L50" s="1"/>
      <c r="M50" s="1"/>
      <c r="N50" s="1"/>
      <c r="O50" s="1"/>
    </row>
    <row r="51" spans="1:15" ht="18" customHeight="1" thickBot="1" x14ac:dyDescent="0.3">
      <c r="A51" s="1"/>
      <c r="E51" s="1"/>
      <c r="F51" s="1"/>
      <c r="G51" s="1"/>
      <c r="H51" s="1"/>
      <c r="I51" s="280" t="s">
        <v>173</v>
      </c>
      <c r="J51" s="147">
        <v>9385002</v>
      </c>
      <c r="K51" s="147">
        <v>10212646</v>
      </c>
      <c r="L51" s="1"/>
      <c r="M51" s="1"/>
      <c r="N51" s="1"/>
      <c r="O51" s="1"/>
    </row>
    <row r="52" spans="1:15" ht="18" customHeight="1" thickBot="1" x14ac:dyDescent="0.3">
      <c r="A52" s="1"/>
      <c r="E52" s="1"/>
      <c r="H52" s="1"/>
      <c r="I52" s="280" t="s">
        <v>177</v>
      </c>
      <c r="J52" s="147">
        <v>1215441</v>
      </c>
      <c r="K52" s="147">
        <v>3159851</v>
      </c>
      <c r="L52" s="1"/>
      <c r="M52" s="1"/>
      <c r="N52" s="1"/>
      <c r="O52" s="1"/>
    </row>
    <row r="53" spans="1:15" ht="18" customHeight="1" x14ac:dyDescent="0.25">
      <c r="A53" s="1"/>
      <c r="E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1"/>
      <c r="E54" s="1"/>
      <c r="H54" s="1"/>
      <c r="J54" s="1"/>
      <c r="K54" s="1"/>
      <c r="L54" s="1"/>
      <c r="M54" s="1"/>
      <c r="N54" s="1"/>
      <c r="O54" s="1"/>
    </row>
    <row r="55" spans="1:15" ht="18" customHeight="1" x14ac:dyDescent="0.25">
      <c r="A55" s="1"/>
      <c r="E55" s="1"/>
      <c r="H55" s="1"/>
      <c r="J55" s="1"/>
      <c r="K55" s="1"/>
      <c r="L55" s="1"/>
      <c r="M55" s="1"/>
      <c r="N55" s="1"/>
      <c r="O55" s="1"/>
    </row>
  </sheetData>
  <mergeCells count="20">
    <mergeCell ref="M30:O30"/>
    <mergeCell ref="B34:C34"/>
    <mergeCell ref="B40:B41"/>
    <mergeCell ref="B20:E20"/>
    <mergeCell ref="C22:E22"/>
    <mergeCell ref="B24:D24"/>
    <mergeCell ref="B28:E28"/>
    <mergeCell ref="B29:C29"/>
    <mergeCell ref="B30:B33"/>
    <mergeCell ref="T19:U19"/>
    <mergeCell ref="B2:F2"/>
    <mergeCell ref="I2:N2"/>
    <mergeCell ref="Q2:R2"/>
    <mergeCell ref="T2:U2"/>
    <mergeCell ref="B8:E8"/>
    <mergeCell ref="D9:E9"/>
    <mergeCell ref="D10:E10"/>
    <mergeCell ref="B13:F13"/>
    <mergeCell ref="I13:K13"/>
    <mergeCell ref="M13:O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9FC1-A431-40AA-8377-C902883A9375}">
  <dimension ref="A1:W55"/>
  <sheetViews>
    <sheetView zoomScale="85" zoomScaleNormal="85" workbookViewId="0">
      <selection activeCell="H12" sqref="H12"/>
    </sheetView>
  </sheetViews>
  <sheetFormatPr defaultColWidth="15.77734375" defaultRowHeight="13.8" x14ac:dyDescent="0.25"/>
  <cols>
    <col min="1" max="1" width="8.77734375" customWidth="1"/>
  </cols>
  <sheetData>
    <row r="1" spans="1:23" ht="18" customHeight="1" thickBot="1" x14ac:dyDescent="0.3">
      <c r="A1" s="1"/>
      <c r="B1" s="1"/>
      <c r="C1" s="1"/>
      <c r="D1" s="1"/>
      <c r="E1" s="1"/>
      <c r="F1" s="1"/>
      <c r="G1" s="1"/>
      <c r="P1" s="1"/>
      <c r="Q1" s="1"/>
      <c r="R1" s="1"/>
      <c r="S1" s="1"/>
      <c r="T1" s="1"/>
      <c r="U1" s="1"/>
      <c r="V1" s="1"/>
      <c r="W1" s="1"/>
    </row>
    <row r="2" spans="1:23" ht="18" customHeight="1" thickBot="1" x14ac:dyDescent="0.3">
      <c r="A2" s="1"/>
      <c r="B2" s="241" t="s">
        <v>90</v>
      </c>
      <c r="C2" s="265"/>
      <c r="D2" s="265"/>
      <c r="E2" s="265"/>
      <c r="F2" s="242"/>
      <c r="G2" s="2" t="s">
        <v>194</v>
      </c>
      <c r="H2" s="163">
        <f>U15</f>
        <v>1723551.1945853159</v>
      </c>
      <c r="I2" s="266" t="s">
        <v>237</v>
      </c>
      <c r="J2" s="267"/>
      <c r="K2" s="267"/>
      <c r="L2" s="267"/>
      <c r="M2" s="267"/>
      <c r="N2" s="268"/>
      <c r="P2" s="1"/>
      <c r="Q2" s="241" t="s">
        <v>91</v>
      </c>
      <c r="R2" s="242"/>
      <c r="S2" s="1"/>
      <c r="T2" s="241" t="s">
        <v>92</v>
      </c>
      <c r="U2" s="242"/>
      <c r="V2" s="1"/>
      <c r="W2" s="1"/>
    </row>
    <row r="3" spans="1:23" ht="18" customHeight="1" thickBot="1" x14ac:dyDescent="0.3">
      <c r="A3" s="1"/>
      <c r="B3" s="53"/>
      <c r="C3" s="156" t="s">
        <v>93</v>
      </c>
      <c r="D3" s="156" t="s">
        <v>94</v>
      </c>
      <c r="E3" s="156" t="s">
        <v>95</v>
      </c>
      <c r="F3" s="157" t="s">
        <v>96</v>
      </c>
      <c r="G3" s="27"/>
      <c r="H3" s="164"/>
      <c r="I3" s="148" t="s">
        <v>174</v>
      </c>
      <c r="J3" s="148" t="s">
        <v>15</v>
      </c>
      <c r="K3" s="148" t="s">
        <v>175</v>
      </c>
      <c r="L3" s="148" t="s">
        <v>205</v>
      </c>
      <c r="M3" s="148" t="s">
        <v>176</v>
      </c>
      <c r="N3" s="148" t="s">
        <v>17</v>
      </c>
      <c r="O3" s="1" t="s">
        <v>206</v>
      </c>
      <c r="P3" s="19" t="s">
        <v>192</v>
      </c>
      <c r="Q3" s="56" t="s">
        <v>97</v>
      </c>
      <c r="R3" s="57"/>
      <c r="S3" s="1"/>
      <c r="T3" s="56" t="s">
        <v>98</v>
      </c>
      <c r="U3" s="57"/>
      <c r="V3" s="1"/>
      <c r="W3" s="1"/>
    </row>
    <row r="4" spans="1:23" ht="18" customHeight="1" thickBot="1" x14ac:dyDescent="0.3">
      <c r="A4" s="1"/>
      <c r="B4" s="152" t="s">
        <v>99</v>
      </c>
      <c r="C4" s="58">
        <f>第四季!C4</f>
        <v>6</v>
      </c>
      <c r="D4" s="58">
        <f>第四季!D4</f>
        <v>5</v>
      </c>
      <c r="E4" s="58">
        <f>第四季!E4</f>
        <v>5</v>
      </c>
      <c r="F4" s="59">
        <f>第四季!F4</f>
        <v>4</v>
      </c>
      <c r="G4" s="27" t="s">
        <v>195</v>
      </c>
      <c r="H4" s="164">
        <f>0.5*U4-U15-O28</f>
        <v>-363901.19458531588</v>
      </c>
      <c r="I4" s="279" t="s">
        <v>93</v>
      </c>
      <c r="J4" s="147">
        <v>670335</v>
      </c>
      <c r="K4" s="147">
        <v>542051</v>
      </c>
      <c r="L4" s="279">
        <v>14.17</v>
      </c>
      <c r="M4" s="279">
        <v>0</v>
      </c>
      <c r="N4" s="279">
        <v>11</v>
      </c>
      <c r="O4" s="1">
        <f>K4/(L4/100)</f>
        <v>3825342.2724064928</v>
      </c>
      <c r="P4" s="124">
        <f>IF(G12&lt;=N11*规则设置!D47,C5*C12+D5*D12+E5*E12+F5*F12,(C5*N4+D5*N5+E5*N6+F5*N7)*规则设置!D47)-(M4*C5+M5*D5+M6*E5+M7*F5)</f>
        <v>17691912</v>
      </c>
      <c r="Q4" s="125" t="s">
        <v>193</v>
      </c>
      <c r="R4" s="126">
        <f>C5*C12+D5*D12+E5*E12+F5*F12</f>
        <v>17691912</v>
      </c>
      <c r="S4" s="1"/>
      <c r="T4" s="185" t="s">
        <v>100</v>
      </c>
      <c r="U4" s="61">
        <f>R4</f>
        <v>17691912</v>
      </c>
    </row>
    <row r="5" spans="1:23" ht="18" customHeight="1" thickBot="1" x14ac:dyDescent="0.3">
      <c r="A5" s="1"/>
      <c r="B5" s="152" t="s">
        <v>101</v>
      </c>
      <c r="C5" s="128">
        <v>9</v>
      </c>
      <c r="D5" s="128">
        <v>9</v>
      </c>
      <c r="E5" s="128">
        <v>9</v>
      </c>
      <c r="F5" s="166">
        <v>9</v>
      </c>
      <c r="G5" s="27"/>
      <c r="H5" s="164"/>
      <c r="I5" s="279" t="s">
        <v>94</v>
      </c>
      <c r="J5" s="147">
        <v>617024</v>
      </c>
      <c r="K5" s="147">
        <v>499445</v>
      </c>
      <c r="L5" s="279">
        <v>11.89</v>
      </c>
      <c r="M5" s="279">
        <v>0</v>
      </c>
      <c r="N5" s="279">
        <v>11</v>
      </c>
      <c r="O5" s="1">
        <f>K5/(L5/100)</f>
        <v>4200546.6778805722</v>
      </c>
      <c r="P5" s="129">
        <f>IF(G12&lt;=N11*规则设置!D47,,"注意填写库存！")</f>
        <v>0</v>
      </c>
      <c r="Q5" s="64" t="s">
        <v>102</v>
      </c>
      <c r="R5" s="61"/>
      <c r="S5" s="1"/>
      <c r="T5" s="185" t="s">
        <v>102</v>
      </c>
      <c r="U5" s="61">
        <f>R5</f>
        <v>0</v>
      </c>
    </row>
    <row r="6" spans="1:23" ht="18" customHeight="1" thickBot="1" x14ac:dyDescent="0.3">
      <c r="A6" s="1"/>
      <c r="B6" s="153" t="s">
        <v>26</v>
      </c>
      <c r="C6" s="167">
        <v>600000</v>
      </c>
      <c r="D6" s="167">
        <v>600000</v>
      </c>
      <c r="E6" s="167">
        <v>0</v>
      </c>
      <c r="F6" s="167">
        <v>600000</v>
      </c>
      <c r="G6" s="7" t="s">
        <v>222</v>
      </c>
      <c r="H6" s="165">
        <f>ROUNDUP(U14-0.5*U4-O28-1,0)</f>
        <v>8136098</v>
      </c>
      <c r="I6" s="279" t="s">
        <v>95</v>
      </c>
      <c r="J6" s="279">
        <v>0</v>
      </c>
      <c r="K6" s="279">
        <v>0</v>
      </c>
      <c r="L6" s="279">
        <v>0</v>
      </c>
      <c r="M6" s="279">
        <v>0</v>
      </c>
      <c r="N6" s="279">
        <v>0</v>
      </c>
      <c r="O6" s="1" t="e">
        <f>K6/(L6/100)</f>
        <v>#DIV/0!</v>
      </c>
      <c r="P6" s="1"/>
      <c r="Q6" s="181" t="s">
        <v>103</v>
      </c>
      <c r="R6" s="61">
        <f>R4+R5</f>
        <v>17691912</v>
      </c>
      <c r="S6" s="1"/>
      <c r="T6" s="185" t="s">
        <v>104</v>
      </c>
      <c r="U6" s="61">
        <f>C21</f>
        <v>8500000</v>
      </c>
    </row>
    <row r="7" spans="1:23" ht="18" customHeight="1" thickBot="1" x14ac:dyDescent="0.3">
      <c r="A7" s="1"/>
      <c r="B7" s="1"/>
      <c r="C7" s="1"/>
      <c r="D7" s="1"/>
      <c r="E7" s="1"/>
      <c r="F7" s="24"/>
      <c r="G7" s="1"/>
      <c r="I7" s="279" t="s">
        <v>96</v>
      </c>
      <c r="J7" s="147">
        <v>756135</v>
      </c>
      <c r="K7" s="147">
        <v>550000</v>
      </c>
      <c r="L7" s="279">
        <v>12.23</v>
      </c>
      <c r="M7" s="279">
        <v>0</v>
      </c>
      <c r="N7" s="279">
        <v>11</v>
      </c>
      <c r="O7" s="1">
        <f>K7/(L7/100)</f>
        <v>4497138.184791496</v>
      </c>
      <c r="P7" s="1"/>
      <c r="Q7" s="68" t="s">
        <v>105</v>
      </c>
      <c r="R7" s="61"/>
      <c r="S7" s="1"/>
      <c r="T7" s="185" t="s">
        <v>106</v>
      </c>
      <c r="U7" s="61">
        <f>SUM(U4:U6)</f>
        <v>26191912</v>
      </c>
    </row>
    <row r="8" spans="1:23" ht="18" customHeight="1" thickBot="1" x14ac:dyDescent="0.3">
      <c r="A8" s="1"/>
      <c r="B8" s="235" t="s">
        <v>107</v>
      </c>
      <c r="C8" s="236"/>
      <c r="D8" s="265"/>
      <c r="E8" s="242"/>
      <c r="F8" s="154" t="s">
        <v>196</v>
      </c>
      <c r="G8" s="127">
        <f>ROUNDDOWN(F9*1.5,0)</f>
        <v>982884</v>
      </c>
      <c r="H8" t="s">
        <v>262</v>
      </c>
      <c r="I8" s="148" t="s">
        <v>178</v>
      </c>
      <c r="J8" s="148" t="s">
        <v>179</v>
      </c>
      <c r="K8" s="148" t="s">
        <v>180</v>
      </c>
      <c r="L8" s="148" t="s">
        <v>176</v>
      </c>
      <c r="M8" s="148" t="s">
        <v>181</v>
      </c>
      <c r="N8" s="148" t="s">
        <v>207</v>
      </c>
      <c r="O8" s="1"/>
      <c r="P8" s="1"/>
      <c r="Q8" s="70" t="s">
        <v>108</v>
      </c>
      <c r="R8" s="61"/>
      <c r="S8" s="1"/>
      <c r="T8" s="68" t="s">
        <v>109</v>
      </c>
      <c r="U8" s="61"/>
    </row>
    <row r="9" spans="1:23" ht="18" customHeight="1" thickBot="1" x14ac:dyDescent="0.3">
      <c r="A9" s="1"/>
      <c r="B9" s="125" t="s">
        <v>255</v>
      </c>
      <c r="C9" s="194" t="s">
        <v>256</v>
      </c>
      <c r="D9" s="269" t="s">
        <v>3</v>
      </c>
      <c r="E9" s="270"/>
      <c r="F9" s="79">
        <f>I11</f>
        <v>655256</v>
      </c>
      <c r="G9" s="127">
        <f>ROUNDDOWN(F9*2.5,0)</f>
        <v>1638140</v>
      </c>
      <c r="H9">
        <v>3</v>
      </c>
      <c r="I9" s="147">
        <v>2043494</v>
      </c>
      <c r="J9" s="147">
        <v>1554636</v>
      </c>
      <c r="K9" s="147">
        <v>1591496</v>
      </c>
      <c r="L9" s="279">
        <v>0</v>
      </c>
      <c r="M9" s="147">
        <v>2856291</v>
      </c>
      <c r="N9" s="279">
        <v>9.57</v>
      </c>
      <c r="O9" s="1">
        <f>K9/(N9/100)</f>
        <v>16630052.246603969</v>
      </c>
      <c r="P9" s="1"/>
      <c r="Q9" s="181" t="s">
        <v>111</v>
      </c>
      <c r="R9" s="61">
        <f>D10</f>
        <v>2500000</v>
      </c>
      <c r="S9" s="1"/>
      <c r="T9" s="185" t="s">
        <v>112</v>
      </c>
      <c r="U9" s="61">
        <f>SUM(R9+R10+R11+R13+R14+R15+R16+R20+R21+R22+R24+R25+R27+R28+R29+R30+R31+R32+R34+R36+R37+R38+R23)</f>
        <v>11827965.805414684</v>
      </c>
      <c r="V9" s="1"/>
      <c r="W9" s="1"/>
    </row>
    <row r="10" spans="1:23" ht="18" customHeight="1" thickBot="1" x14ac:dyDescent="0.3">
      <c r="A10" s="1"/>
      <c r="B10" s="196">
        <v>1965768</v>
      </c>
      <c r="C10" s="195">
        <f>I11*3</f>
        <v>1965768</v>
      </c>
      <c r="D10" s="262">
        <v>2500000</v>
      </c>
      <c r="E10" s="264"/>
      <c r="F10" s="1"/>
      <c r="G10" s="127">
        <f>ROUNDDOWN(F9*3,0)</f>
        <v>1965768</v>
      </c>
      <c r="I10" s="148" t="s">
        <v>183</v>
      </c>
      <c r="J10" s="148" t="s">
        <v>184</v>
      </c>
      <c r="K10" s="148" t="s">
        <v>185</v>
      </c>
      <c r="L10" s="148" t="s">
        <v>186</v>
      </c>
      <c r="M10" s="148" t="s">
        <v>163</v>
      </c>
      <c r="N10" s="148" t="s">
        <v>17</v>
      </c>
      <c r="O10" s="1"/>
      <c r="P10" s="1"/>
      <c r="Q10" s="181" t="s">
        <v>32</v>
      </c>
      <c r="R10" s="60">
        <f>IF(B10&lt;=0,0,IF(B10&lt;=G8,规则设置!D24,IF(B10&lt;=G9,规则设置!D25,IF(B10&lt;=G10,规则设置!D26,"请检查计划产量!"))))</f>
        <v>20000</v>
      </c>
      <c r="S10" s="1"/>
      <c r="T10" s="185" t="s">
        <v>113</v>
      </c>
      <c r="U10" s="61">
        <f>(F24+C26)*E26</f>
        <v>9640395</v>
      </c>
      <c r="V10" s="1"/>
      <c r="W10" s="1"/>
    </row>
    <row r="11" spans="1:23" ht="18" customHeight="1" thickBot="1" x14ac:dyDescent="0.3">
      <c r="A11" s="1"/>
      <c r="B11" s="32" t="s">
        <v>197</v>
      </c>
      <c r="C11" s="130">
        <f>ROUNDDOWN((M9+C26)/规则设置!B20,0)</f>
        <v>2115771</v>
      </c>
      <c r="D11" s="1"/>
      <c r="E11" s="1"/>
      <c r="F11" s="1"/>
      <c r="G11" s="1"/>
      <c r="I11" s="147">
        <v>655256</v>
      </c>
      <c r="J11" s="147">
        <v>655256</v>
      </c>
      <c r="K11" s="279">
        <v>14</v>
      </c>
      <c r="L11" s="279">
        <v>75</v>
      </c>
      <c r="M11" s="279">
        <v>42</v>
      </c>
      <c r="N11" s="279">
        <v>33</v>
      </c>
      <c r="O11" s="1"/>
      <c r="P11" s="131">
        <f>R11/B10</f>
        <v>1.4000000000000001</v>
      </c>
      <c r="Q11" s="181" t="s">
        <v>39</v>
      </c>
      <c r="R11" s="60">
        <f>IF(B10&lt;=0,0,IF(B10&lt;=F9,规则设置!B30*B10,IF(B10&lt;=G8,规则设置!B30*B10+规则设置!C30*(B10-F9),IF(B10&lt;=2*F9,规则设置!B30*B10+规则设置!B32*(B10-F9),IF(B10&lt;=G9,规则设置!B30*F9+规则设置!B32*F9+规则设置!C32*(B10-2*F9),IF(B10&lt;=G10,规则设置!B30*F9+规则设置!B32*F9+规则设置!B34*(B10-2*F9),"检查计划产量！"))))))</f>
        <v>2752075.2</v>
      </c>
      <c r="S11" s="1"/>
      <c r="T11" s="185" t="s">
        <v>114</v>
      </c>
      <c r="U11" s="61">
        <f>规则设置!D50*D26</f>
        <v>3000000</v>
      </c>
      <c r="V11" s="1"/>
      <c r="W11" s="1"/>
    </row>
    <row r="12" spans="1:23" ht="18" customHeight="1" thickBot="1" x14ac:dyDescent="0.3">
      <c r="A12" s="1"/>
      <c r="B12" s="158" t="s">
        <v>198</v>
      </c>
      <c r="C12" s="133">
        <f>M4+C15</f>
        <v>700000</v>
      </c>
      <c r="D12" s="133">
        <f>M5+D15</f>
        <v>652018</v>
      </c>
      <c r="E12" s="133">
        <f>M6+E15</f>
        <v>0</v>
      </c>
      <c r="F12" s="134">
        <f>M7+F15</f>
        <v>613750</v>
      </c>
      <c r="G12" s="127">
        <f>SUM(C12:F12)</f>
        <v>1965768</v>
      </c>
      <c r="P12" s="135">
        <f>B10*规则设置!D82</f>
        <v>2752075.1999999997</v>
      </c>
      <c r="Q12" s="181" t="s">
        <v>115</v>
      </c>
      <c r="R12" s="61">
        <f>F26*G26</f>
        <v>3317233.5627752268</v>
      </c>
      <c r="S12" s="1"/>
      <c r="T12" s="185" t="s">
        <v>116</v>
      </c>
      <c r="U12" s="61">
        <f>E21</f>
        <v>0</v>
      </c>
      <c r="V12" s="1"/>
      <c r="W12" s="1"/>
    </row>
    <row r="13" spans="1:23" ht="18" customHeight="1" thickBot="1" x14ac:dyDescent="0.3">
      <c r="A13" s="1"/>
      <c r="B13" s="241" t="s">
        <v>117</v>
      </c>
      <c r="C13" s="265"/>
      <c r="D13" s="265"/>
      <c r="E13" s="265"/>
      <c r="F13" s="242"/>
      <c r="G13" s="1"/>
      <c r="I13" s="266" t="s">
        <v>229</v>
      </c>
      <c r="J13" s="267"/>
      <c r="K13" s="268"/>
      <c r="M13" s="266" t="s">
        <v>230</v>
      </c>
      <c r="N13" s="267"/>
      <c r="O13" s="268"/>
      <c r="P13" s="1"/>
      <c r="Q13" s="181" t="s">
        <v>47</v>
      </c>
      <c r="R13" s="60">
        <f>IF(F24&lt;1,0,IF(F24&lt;=规则设置!C41,规则设置!D40,IF(F24&lt;=规则设置!C42,规则设置!D41,IF(F24&lt;=规则设置!C43,规则设置!D42,IF(F24&lt;=规则设置!C44,规则设置!D43,规则设置!D44)))))</f>
        <v>200000</v>
      </c>
      <c r="S13" s="1"/>
      <c r="T13" s="185" t="s">
        <v>118</v>
      </c>
      <c r="U13" s="61">
        <f>C22</f>
        <v>0</v>
      </c>
      <c r="V13" s="1"/>
      <c r="W13" s="1"/>
    </row>
    <row r="14" spans="1:23" ht="18" customHeight="1" thickBot="1" x14ac:dyDescent="0.3">
      <c r="A14" s="1"/>
      <c r="B14" s="149"/>
      <c r="C14" s="150" t="s">
        <v>93</v>
      </c>
      <c r="D14" s="150" t="s">
        <v>94</v>
      </c>
      <c r="E14" s="150" t="s">
        <v>95</v>
      </c>
      <c r="F14" s="151" t="s">
        <v>96</v>
      </c>
      <c r="G14" s="127">
        <f>B10</f>
        <v>1965768</v>
      </c>
      <c r="H14" s="208"/>
      <c r="I14" s="148" t="s">
        <v>213</v>
      </c>
      <c r="J14" s="148" t="s">
        <v>214</v>
      </c>
      <c r="K14" s="148" t="s">
        <v>215</v>
      </c>
      <c r="M14" s="148" t="s">
        <v>213</v>
      </c>
      <c r="N14" s="148" t="s">
        <v>214</v>
      </c>
      <c r="O14" s="148" t="s">
        <v>215</v>
      </c>
      <c r="P14" s="1"/>
      <c r="Q14" s="181" t="s">
        <v>119</v>
      </c>
      <c r="R14" s="61">
        <f>C26*(规则设置!B47)</f>
        <v>0</v>
      </c>
      <c r="S14" s="1"/>
      <c r="T14" s="185" t="s">
        <v>120</v>
      </c>
      <c r="U14" s="61">
        <f>SUM(U9:U13)</f>
        <v>24468360.805414684</v>
      </c>
      <c r="V14" s="1"/>
      <c r="W14" s="1"/>
    </row>
    <row r="15" spans="1:23" ht="18" customHeight="1" thickBot="1" x14ac:dyDescent="0.3">
      <c r="A15" s="1"/>
      <c r="B15" s="152" t="s">
        <v>121</v>
      </c>
      <c r="C15" s="88">
        <v>700000</v>
      </c>
      <c r="D15" s="88">
        <v>652018</v>
      </c>
      <c r="E15" s="88">
        <v>0</v>
      </c>
      <c r="F15" s="136">
        <v>613750</v>
      </c>
      <c r="G15" s="137">
        <f>SUM(C15:F15)</f>
        <v>1965768</v>
      </c>
      <c r="H15" s="208">
        <f>B10*1.35-M9</f>
        <v>-202504.19999999972</v>
      </c>
      <c r="I15" s="280" t="s">
        <v>97</v>
      </c>
      <c r="J15" s="279"/>
      <c r="K15" s="279"/>
      <c r="M15" s="280" t="s">
        <v>98</v>
      </c>
      <c r="N15" s="279"/>
      <c r="O15" s="279"/>
      <c r="P15" s="1"/>
      <c r="Q15" s="181" t="s">
        <v>122</v>
      </c>
      <c r="R15" s="61">
        <f>K11*规则设置!B50</f>
        <v>168000</v>
      </c>
      <c r="S15" s="1"/>
      <c r="T15" s="68" t="s">
        <v>123</v>
      </c>
      <c r="U15" s="61">
        <f>U7-U14</f>
        <v>1723551.1945853159</v>
      </c>
      <c r="V15" s="1"/>
      <c r="W15" s="1" t="s">
        <v>258</v>
      </c>
    </row>
    <row r="16" spans="1:23" ht="18" customHeight="1" thickBot="1" x14ac:dyDescent="0.3">
      <c r="A16" s="1"/>
      <c r="B16" s="152" t="s">
        <v>124</v>
      </c>
      <c r="C16" s="74"/>
      <c r="D16" s="74"/>
      <c r="E16" s="74"/>
      <c r="F16" s="60"/>
      <c r="G16" s="1">
        <f>G14-G15</f>
        <v>0</v>
      </c>
      <c r="H16" s="208">
        <f>G39+H15</f>
        <v>7509811.8000000007</v>
      </c>
      <c r="I16" s="280" t="s">
        <v>100</v>
      </c>
      <c r="J16" s="147">
        <v>13372497</v>
      </c>
      <c r="K16" s="147">
        <v>14323464</v>
      </c>
      <c r="M16" s="280" t="s">
        <v>100</v>
      </c>
      <c r="N16" s="147">
        <v>13372497</v>
      </c>
      <c r="O16" s="147">
        <v>14323464</v>
      </c>
      <c r="P16" s="1"/>
      <c r="Q16" s="181" t="s">
        <v>125</v>
      </c>
      <c r="R16" s="61">
        <f>规则设置!C50*D26</f>
        <v>600000</v>
      </c>
      <c r="S16" s="1"/>
      <c r="T16" s="75" t="s">
        <v>126</v>
      </c>
      <c r="U16" s="76">
        <f>IF((O28+U15)&gt;=0.5*U4,O28+U15,0.5*U4)</f>
        <v>9209857.1945853159</v>
      </c>
      <c r="V16" s="1"/>
      <c r="W16" s="1">
        <f>IF((O28+U15)&gt;=0.5*U4,0,1)</f>
        <v>0</v>
      </c>
    </row>
    <row r="17" spans="1:23" ht="18" customHeight="1" thickBot="1" x14ac:dyDescent="0.3">
      <c r="A17" s="1"/>
      <c r="B17" s="202" t="s">
        <v>260</v>
      </c>
      <c r="C17" s="203">
        <f>((C12*C5-(C6+D10/H9+C15*1.35*E26))/C12)</f>
        <v>5.2648809523809517</v>
      </c>
      <c r="D17" s="203">
        <f>((D12*D5-(D6+D10/H9+D15*1.35*E26))/D12)</f>
        <v>5.1141966811754687</v>
      </c>
      <c r="E17" s="203" t="e">
        <f>((E12*E5-(E6+D10/H9+E15*1.35*E26))/E12)</f>
        <v>#DIV/0!</v>
      </c>
      <c r="F17" s="204">
        <f>((F12*F5-(F6+D10/H9+F15*1.35*E26))/F12)</f>
        <v>4.9771300067888662</v>
      </c>
      <c r="G17" s="214" t="s">
        <v>261</v>
      </c>
      <c r="H17" s="218" t="s">
        <v>268</v>
      </c>
      <c r="I17" s="280" t="s">
        <v>216</v>
      </c>
      <c r="J17" s="279">
        <v>0</v>
      </c>
      <c r="K17" s="279">
        <v>0</v>
      </c>
      <c r="M17" s="280" t="s">
        <v>216</v>
      </c>
      <c r="N17" s="279">
        <v>0</v>
      </c>
      <c r="O17" s="279">
        <v>0</v>
      </c>
      <c r="P17" s="1"/>
      <c r="Q17" s="181" t="s">
        <v>60</v>
      </c>
      <c r="R17" s="61">
        <f>规则设置!C52*O36</f>
        <v>163814.47500000001</v>
      </c>
      <c r="S17" s="1"/>
      <c r="T17" s="1"/>
      <c r="U17" s="1"/>
      <c r="V17" s="1"/>
      <c r="W17" s="1"/>
    </row>
    <row r="18" spans="1:23" ht="18" customHeight="1" thickBot="1" x14ac:dyDescent="0.3">
      <c r="A18" s="1"/>
      <c r="B18" s="153"/>
      <c r="C18" s="77"/>
      <c r="D18" s="77"/>
      <c r="E18" s="77"/>
      <c r="F18" s="76"/>
      <c r="G18" s="217">
        <f>R40</f>
        <v>2382898.1568100881</v>
      </c>
      <c r="H18" s="216">
        <f>U30</f>
        <v>11447246.15681009</v>
      </c>
      <c r="I18" s="280" t="s">
        <v>103</v>
      </c>
      <c r="J18" s="147">
        <v>13372497</v>
      </c>
      <c r="K18" s="147">
        <v>14323464</v>
      </c>
      <c r="M18" s="280" t="s">
        <v>104</v>
      </c>
      <c r="N18" s="147">
        <v>2500000</v>
      </c>
      <c r="O18" s="279">
        <v>0</v>
      </c>
      <c r="P18" s="1"/>
      <c r="Q18" s="181" t="s">
        <v>127</v>
      </c>
      <c r="R18" s="61">
        <f>O35-U23</f>
        <v>0</v>
      </c>
      <c r="S18" s="1"/>
      <c r="T18" s="1"/>
      <c r="U18" s="1"/>
      <c r="V18" s="1"/>
      <c r="W18" s="1"/>
    </row>
    <row r="19" spans="1:23" ht="18" customHeight="1" thickBot="1" x14ac:dyDescent="0.3">
      <c r="A19" s="1"/>
      <c r="B19" s="138" t="s">
        <v>199</v>
      </c>
      <c r="C19" s="138">
        <f>IF(C12&gt;规则设置!D47*N4,"请核对产品数量！",)</f>
        <v>0</v>
      </c>
      <c r="D19" s="138">
        <f>IF(D12&gt;规则设置!D47*N5,"请核对产品数量！",)</f>
        <v>0</v>
      </c>
      <c r="E19" s="138">
        <f>IF(E12&gt;规则设置!D47*N6,"请核对产品数量！",)</f>
        <v>0</v>
      </c>
      <c r="F19" s="139">
        <f>IF(F12&gt;规则设置!D47*N7,"请核对产品数量！",)</f>
        <v>0</v>
      </c>
      <c r="G19" s="214" t="s">
        <v>273</v>
      </c>
      <c r="I19" s="280" t="s">
        <v>105</v>
      </c>
      <c r="J19" s="279"/>
      <c r="K19" s="279"/>
      <c r="M19" s="280" t="s">
        <v>106</v>
      </c>
      <c r="N19" s="147">
        <v>15872497</v>
      </c>
      <c r="O19" s="147">
        <v>14323464</v>
      </c>
      <c r="P19" s="1"/>
      <c r="Q19" s="70" t="s">
        <v>128</v>
      </c>
      <c r="R19" s="61"/>
      <c r="S19" s="1"/>
      <c r="T19" s="241" t="s">
        <v>129</v>
      </c>
      <c r="U19" s="242"/>
      <c r="V19" s="1"/>
      <c r="W19" s="1"/>
    </row>
    <row r="20" spans="1:23" ht="18" customHeight="1" thickBot="1" x14ac:dyDescent="0.3">
      <c r="A20" s="1"/>
      <c r="B20" s="241" t="s">
        <v>130</v>
      </c>
      <c r="C20" s="265"/>
      <c r="D20" s="265"/>
      <c r="E20" s="242"/>
      <c r="F20" s="1"/>
      <c r="G20" s="1"/>
      <c r="H20" s="208">
        <f>B10*1.35-M9</f>
        <v>-202504.19999999972</v>
      </c>
      <c r="I20" s="280" t="s">
        <v>108</v>
      </c>
      <c r="J20" s="279"/>
      <c r="K20" s="279"/>
      <c r="M20" s="280" t="s">
        <v>109</v>
      </c>
      <c r="N20" s="279"/>
      <c r="O20" s="279"/>
      <c r="P20" s="1"/>
      <c r="Q20" s="64" t="s">
        <v>131</v>
      </c>
      <c r="R20" s="61"/>
      <c r="S20" s="1"/>
      <c r="T20" s="56" t="s">
        <v>132</v>
      </c>
      <c r="U20" s="57"/>
      <c r="V20" s="1"/>
      <c r="W20" s="1"/>
    </row>
    <row r="21" spans="1:23" ht="18" customHeight="1" thickBot="1" x14ac:dyDescent="0.3">
      <c r="A21" s="1"/>
      <c r="B21" s="155" t="s">
        <v>104</v>
      </c>
      <c r="C21" s="88">
        <v>8500000</v>
      </c>
      <c r="D21" s="156" t="s">
        <v>116</v>
      </c>
      <c r="E21" s="136">
        <v>0</v>
      </c>
      <c r="F21" s="1" t="s">
        <v>200</v>
      </c>
      <c r="G21" s="140">
        <f>ROUNDUP(H2-H4,0)</f>
        <v>2087453</v>
      </c>
      <c r="I21" s="280" t="s">
        <v>111</v>
      </c>
      <c r="J21" s="147">
        <v>1800000</v>
      </c>
      <c r="K21" s="147">
        <v>2000000</v>
      </c>
      <c r="M21" s="280" t="s">
        <v>112</v>
      </c>
      <c r="N21" s="147">
        <v>7480772</v>
      </c>
      <c r="O21" s="147">
        <v>8335294</v>
      </c>
      <c r="P21" s="1"/>
      <c r="Q21" s="64" t="s">
        <v>133</v>
      </c>
      <c r="R21" s="61"/>
      <c r="S21" s="1"/>
      <c r="T21" s="181" t="s">
        <v>134</v>
      </c>
      <c r="U21" s="61">
        <f>U16</f>
        <v>9209857.1945853159</v>
      </c>
      <c r="V21" s="1"/>
      <c r="W21" s="1"/>
    </row>
    <row r="22" spans="1:23" ht="18" customHeight="1" thickBot="1" x14ac:dyDescent="0.3">
      <c r="A22" s="1"/>
      <c r="B22" s="153" t="s">
        <v>118</v>
      </c>
      <c r="C22" s="88">
        <v>0</v>
      </c>
      <c r="D22" s="198" t="s">
        <v>116</v>
      </c>
      <c r="E22" s="136">
        <v>0</v>
      </c>
      <c r="F22" s="1"/>
      <c r="G22" s="141">
        <f>ROUNDUP(H2-H4,0)+ROUNDUP(H2-H4,0)*规则设置!E73/4</f>
        <v>2108327.5299999998</v>
      </c>
      <c r="I22" s="280" t="s">
        <v>32</v>
      </c>
      <c r="J22" s="147">
        <v>20000</v>
      </c>
      <c r="K22" s="147">
        <v>20000</v>
      </c>
      <c r="M22" s="280" t="s">
        <v>113</v>
      </c>
      <c r="N22" s="147">
        <v>6193810</v>
      </c>
      <c r="O22" s="279">
        <v>0</v>
      </c>
      <c r="P22" s="1"/>
      <c r="Q22" s="64" t="s">
        <v>135</v>
      </c>
      <c r="R22" s="61"/>
      <c r="S22" s="1"/>
      <c r="T22" s="181" t="s">
        <v>136</v>
      </c>
      <c r="U22" s="61">
        <f>(F24+C26+M9-B10*1.35)*F26</f>
        <v>9893525.4372247718</v>
      </c>
      <c r="V22" s="127"/>
      <c r="W22" s="1"/>
    </row>
    <row r="23" spans="1:23" ht="18" customHeight="1" thickBot="1" x14ac:dyDescent="0.3">
      <c r="A23" s="1"/>
      <c r="B23" s="1"/>
      <c r="C23" s="1"/>
      <c r="D23" s="1"/>
      <c r="E23" s="1"/>
      <c r="F23" s="1"/>
      <c r="G23" s="1"/>
      <c r="I23" s="280" t="s">
        <v>39</v>
      </c>
      <c r="J23" s="147">
        <v>2016915</v>
      </c>
      <c r="K23" s="147">
        <v>2176490</v>
      </c>
      <c r="M23" s="280" t="s">
        <v>221</v>
      </c>
      <c r="N23" s="147">
        <v>500000</v>
      </c>
      <c r="O23" s="147">
        <v>1500000</v>
      </c>
      <c r="P23" s="1"/>
      <c r="Q23" s="80" t="s">
        <v>137</v>
      </c>
      <c r="R23" s="61">
        <f>SUM(C6:F6)</f>
        <v>1800000</v>
      </c>
      <c r="S23" s="1"/>
      <c r="T23" s="181" t="s">
        <v>138</v>
      </c>
      <c r="U23" s="61">
        <f>规则设置!B79*(B10-C15-D15-E15-F15)</f>
        <v>0</v>
      </c>
      <c r="V23" s="1"/>
      <c r="W23" s="1"/>
    </row>
    <row r="24" spans="1:23" ht="18" customHeight="1" thickBot="1" x14ac:dyDescent="0.3">
      <c r="A24" s="1"/>
      <c r="B24" s="241" t="s">
        <v>139</v>
      </c>
      <c r="C24" s="265"/>
      <c r="D24" s="242"/>
      <c r="E24" s="32" t="s">
        <v>252</v>
      </c>
      <c r="F24" s="184">
        <v>7712316</v>
      </c>
      <c r="G24" s="1"/>
      <c r="I24" s="280" t="s">
        <v>115</v>
      </c>
      <c r="J24" s="147">
        <v>2431103</v>
      </c>
      <c r="K24" s="147">
        <v>2623448</v>
      </c>
      <c r="M24" s="280" t="s">
        <v>116</v>
      </c>
      <c r="N24" s="279">
        <v>0</v>
      </c>
      <c r="O24" s="147">
        <v>4000000</v>
      </c>
      <c r="P24" s="1"/>
      <c r="Q24" s="80" t="s">
        <v>61</v>
      </c>
      <c r="R24" s="61">
        <f>规则设置!C55*C15+规则设置!D55*D15+规则设置!E55*E15+规则设置!F55*F15</f>
        <v>652076.80000000005</v>
      </c>
      <c r="S24" s="1"/>
      <c r="T24" s="181" t="s">
        <v>140</v>
      </c>
      <c r="U24" s="61">
        <f>O36-R17+U11</f>
        <v>9388764.5250000004</v>
      </c>
      <c r="V24" s="1"/>
      <c r="W24" s="1"/>
    </row>
    <row r="25" spans="1:23" ht="18" customHeight="1" thickBot="1" x14ac:dyDescent="0.3">
      <c r="A25" s="1"/>
      <c r="B25" s="155" t="s">
        <v>141</v>
      </c>
      <c r="C25" s="156" t="s">
        <v>142</v>
      </c>
      <c r="D25" s="157" t="s">
        <v>143</v>
      </c>
      <c r="E25" s="19" t="s">
        <v>2</v>
      </c>
      <c r="F25" s="19" t="s">
        <v>144</v>
      </c>
      <c r="G25" s="19" t="s">
        <v>145</v>
      </c>
      <c r="H25" s="19" t="s">
        <v>250</v>
      </c>
      <c r="I25" s="280" t="s">
        <v>266</v>
      </c>
      <c r="J25" s="147">
        <v>200000</v>
      </c>
      <c r="K25" s="279">
        <v>0</v>
      </c>
      <c r="M25" s="280" t="s">
        <v>118</v>
      </c>
      <c r="N25" s="279">
        <v>0</v>
      </c>
      <c r="O25" s="279">
        <v>0</v>
      </c>
      <c r="P25" s="1"/>
      <c r="Q25" s="181" t="s">
        <v>66</v>
      </c>
      <c r="R25" s="61">
        <f>规则设置!B12*C26</f>
        <v>0</v>
      </c>
      <c r="S25" s="1"/>
      <c r="T25" s="181" t="s">
        <v>146</v>
      </c>
      <c r="U25" s="61">
        <f>SUM(U21:U24)</f>
        <v>28492147.15681009</v>
      </c>
      <c r="V25" s="1"/>
      <c r="W25" s="1"/>
    </row>
    <row r="26" spans="1:23" ht="18" customHeight="1" thickBot="1" x14ac:dyDescent="0.3">
      <c r="A26" s="1"/>
      <c r="B26" s="159">
        <f>ROUNDDOWN(D41-(M9-B10*1.35),0)+1</f>
        <v>3599936</v>
      </c>
      <c r="C26" s="219">
        <f>IF(B10*1.35-M9&lt;=0,0,B10*1.35-M9)</f>
        <v>0</v>
      </c>
      <c r="D26" s="82">
        <v>6</v>
      </c>
      <c r="E26" s="83">
        <v>1.25</v>
      </c>
      <c r="F26" s="52">
        <f>(U10+O34)/(F24+M9+C26)</f>
        <v>1.2500000236549622</v>
      </c>
      <c r="G26" s="84">
        <f>规则设置!B20*B10</f>
        <v>2653786.8000000003</v>
      </c>
      <c r="H26" s="84">
        <f>ROUNDDOWN(O42/3/规则设置!D50,0)</f>
        <v>6</v>
      </c>
      <c r="I26" s="280" t="s">
        <v>217</v>
      </c>
      <c r="J26" s="279">
        <v>0</v>
      </c>
      <c r="K26" s="279">
        <v>0</v>
      </c>
      <c r="M26" s="280" t="s">
        <v>120</v>
      </c>
      <c r="N26" s="147">
        <v>14174582</v>
      </c>
      <c r="O26" s="147">
        <v>13835294</v>
      </c>
      <c r="P26" s="1"/>
      <c r="Q26" s="70" t="s">
        <v>147</v>
      </c>
      <c r="R26" s="61"/>
      <c r="S26" s="1"/>
      <c r="T26" s="85" t="s">
        <v>148</v>
      </c>
      <c r="U26" s="61"/>
      <c r="V26" s="1"/>
      <c r="W26" s="1"/>
    </row>
    <row r="27" spans="1:23" ht="18" customHeight="1" thickBot="1" x14ac:dyDescent="0.3">
      <c r="A27" s="1"/>
      <c r="B27" s="1"/>
      <c r="C27" s="1"/>
      <c r="D27" s="1"/>
      <c r="E27" s="1"/>
      <c r="F27" s="1"/>
      <c r="G27" s="1"/>
      <c r="I27" s="280" t="s">
        <v>218</v>
      </c>
      <c r="J27" s="147">
        <v>120000</v>
      </c>
      <c r="K27" s="147">
        <v>132000</v>
      </c>
      <c r="M27" s="280" t="s">
        <v>123</v>
      </c>
      <c r="N27" s="147">
        <v>1697915</v>
      </c>
      <c r="O27" s="147">
        <v>488170</v>
      </c>
      <c r="P27" s="1"/>
      <c r="Q27" s="86" t="s">
        <v>69</v>
      </c>
      <c r="R27" s="61">
        <f>SUM(D30:D34)*规则设置!B64</f>
        <v>12000</v>
      </c>
      <c r="S27" s="1"/>
      <c r="T27" s="181" t="s">
        <v>150</v>
      </c>
      <c r="U27" s="61">
        <f>O41+U6-U12</f>
        <v>17044901</v>
      </c>
      <c r="V27" s="1"/>
      <c r="W27" s="1"/>
    </row>
    <row r="28" spans="1:23" ht="18" customHeight="1" thickBot="1" x14ac:dyDescent="0.3">
      <c r="A28" s="1"/>
      <c r="B28" s="241" t="s">
        <v>151</v>
      </c>
      <c r="C28" s="265"/>
      <c r="D28" s="265"/>
      <c r="E28" s="242"/>
      <c r="F28" s="1"/>
      <c r="I28" s="280" t="s">
        <v>219</v>
      </c>
      <c r="J28" s="147">
        <v>100000</v>
      </c>
      <c r="K28" s="147">
        <v>300000</v>
      </c>
      <c r="M28" s="280" t="s">
        <v>126</v>
      </c>
      <c r="N28" s="147">
        <v>6998136</v>
      </c>
      <c r="O28" s="147">
        <v>7486306</v>
      </c>
      <c r="P28" s="1"/>
      <c r="Q28" s="80" t="s">
        <v>70</v>
      </c>
      <c r="R28" s="61">
        <f>SUM(D30:D34)*规则设置!C64</f>
        <v>24000</v>
      </c>
      <c r="S28" s="1"/>
      <c r="T28" s="181" t="s">
        <v>152</v>
      </c>
      <c r="U28" s="60">
        <f>IF(W16=0,0,0.5*U4-U15-O28)</f>
        <v>0</v>
      </c>
      <c r="V28" s="1"/>
      <c r="W28" s="1"/>
    </row>
    <row r="29" spans="1:23" ht="18" customHeight="1" thickBot="1" x14ac:dyDescent="0.3">
      <c r="A29" s="1"/>
      <c r="B29" s="271" t="s">
        <v>153</v>
      </c>
      <c r="C29" s="272"/>
      <c r="D29" s="174" t="s">
        <v>154</v>
      </c>
      <c r="E29" s="175" t="s">
        <v>155</v>
      </c>
      <c r="F29" s="1"/>
      <c r="G29" s="178" t="s">
        <v>249</v>
      </c>
      <c r="I29" s="280" t="s">
        <v>220</v>
      </c>
      <c r="J29" s="147">
        <v>120055</v>
      </c>
      <c r="K29" s="147">
        <v>129553</v>
      </c>
      <c r="P29" s="1"/>
      <c r="Q29" s="80" t="s">
        <v>71</v>
      </c>
      <c r="R29" s="61">
        <f>规则设置!C67*C37+规则设置!D67*D37+规则设置!C68*C38+规则设置!D68*D38</f>
        <v>706500</v>
      </c>
      <c r="S29" s="1"/>
      <c r="T29" s="181" t="s">
        <v>156</v>
      </c>
      <c r="U29" s="61">
        <f>SUM(U27:U28)</f>
        <v>17044901</v>
      </c>
      <c r="V29" s="1"/>
      <c r="W29" s="1"/>
    </row>
    <row r="30" spans="1:23" ht="18" customHeight="1" thickBot="1" x14ac:dyDescent="0.3">
      <c r="A30" s="1"/>
      <c r="B30" s="273" t="s">
        <v>17</v>
      </c>
      <c r="C30" s="87" t="s">
        <v>93</v>
      </c>
      <c r="D30" s="88">
        <v>2</v>
      </c>
      <c r="E30" s="136"/>
      <c r="F30" s="1"/>
      <c r="G30" s="52">
        <f>ROUNDDOWN(U30/3/规则设置!D50,0)</f>
        <v>7</v>
      </c>
      <c r="I30" s="280" t="s">
        <v>127</v>
      </c>
      <c r="J30" s="147">
        <v>180716</v>
      </c>
      <c r="K30" s="147">
        <v>147440</v>
      </c>
      <c r="M30" s="235" t="s">
        <v>129</v>
      </c>
      <c r="N30" s="236"/>
      <c r="O30" s="237"/>
      <c r="P30" s="1"/>
      <c r="Q30" s="80" t="s">
        <v>157</v>
      </c>
      <c r="R30" s="61">
        <f>SUM(E30:E33)*规则设置!C70+E34*规则设置!D70</f>
        <v>0</v>
      </c>
      <c r="S30" s="1"/>
      <c r="T30" s="75" t="s">
        <v>158</v>
      </c>
      <c r="U30" s="89">
        <f>U25-U29</f>
        <v>11447246.15681009</v>
      </c>
      <c r="V30" s="1" t="s">
        <v>159</v>
      </c>
      <c r="W30" s="90">
        <v>6019995</v>
      </c>
    </row>
    <row r="31" spans="1:23" ht="18" customHeight="1" thickBot="1" x14ac:dyDescent="0.3">
      <c r="A31" s="1"/>
      <c r="B31" s="274"/>
      <c r="C31" s="87" t="s">
        <v>94</v>
      </c>
      <c r="D31" s="88">
        <v>2</v>
      </c>
      <c r="E31" s="136"/>
      <c r="F31" s="1"/>
      <c r="G31" s="1"/>
      <c r="I31" s="280" t="s">
        <v>128</v>
      </c>
      <c r="J31" s="279"/>
      <c r="K31" s="279"/>
      <c r="M31" s="148" t="s">
        <v>213</v>
      </c>
      <c r="N31" s="148" t="s">
        <v>214</v>
      </c>
      <c r="O31" s="148" t="s">
        <v>215</v>
      </c>
      <c r="P31" s="1"/>
      <c r="Q31" s="80" t="s">
        <v>160</v>
      </c>
      <c r="R31" s="61">
        <f>规则设置!B76*O34</f>
        <v>357036.4</v>
      </c>
      <c r="S31" s="1"/>
      <c r="T31" s="1"/>
      <c r="U31" s="1"/>
      <c r="V31" s="1" t="s">
        <v>161</v>
      </c>
      <c r="W31" s="92">
        <f>U30-W30</f>
        <v>5427251.1568100899</v>
      </c>
    </row>
    <row r="32" spans="1:23" ht="18" customHeight="1" thickBot="1" x14ac:dyDescent="0.3">
      <c r="A32" s="1"/>
      <c r="B32" s="274"/>
      <c r="C32" s="87" t="s">
        <v>95</v>
      </c>
      <c r="D32" s="88">
        <v>0</v>
      </c>
      <c r="E32" s="136"/>
      <c r="F32" s="1"/>
      <c r="G32" s="19" t="s">
        <v>248</v>
      </c>
      <c r="I32" s="280" t="s">
        <v>131</v>
      </c>
      <c r="J32" s="279">
        <v>0</v>
      </c>
      <c r="K32" s="279">
        <v>0</v>
      </c>
      <c r="M32" s="280" t="s">
        <v>132</v>
      </c>
      <c r="N32" s="279"/>
      <c r="O32" s="279"/>
      <c r="P32" s="1"/>
      <c r="Q32" s="80" t="s">
        <v>83</v>
      </c>
      <c r="R32" s="61">
        <f>规则设置!C76*L9</f>
        <v>0</v>
      </c>
      <c r="S32" s="1"/>
      <c r="T32" s="1"/>
      <c r="U32" s="1"/>
      <c r="V32" s="1"/>
      <c r="W32" s="1"/>
    </row>
    <row r="33" spans="1:23" ht="18" customHeight="1" thickBot="1" x14ac:dyDescent="0.3">
      <c r="A33" s="1"/>
      <c r="B33" s="243"/>
      <c r="C33" s="87" t="s">
        <v>96</v>
      </c>
      <c r="D33" s="88">
        <v>2</v>
      </c>
      <c r="E33" s="176"/>
      <c r="F33" s="1"/>
      <c r="G33" s="177">
        <v>2</v>
      </c>
      <c r="I33" s="280" t="s">
        <v>133</v>
      </c>
      <c r="J33" s="279">
        <v>0</v>
      </c>
      <c r="K33" s="279">
        <v>0</v>
      </c>
      <c r="M33" s="280" t="s">
        <v>134</v>
      </c>
      <c r="N33" s="147">
        <v>6998136</v>
      </c>
      <c r="O33" s="147">
        <v>7486306</v>
      </c>
      <c r="P33" s="1"/>
      <c r="Q33" s="93" t="s">
        <v>162</v>
      </c>
      <c r="R33" s="61"/>
      <c r="S33" s="1"/>
      <c r="T33" s="41" t="s">
        <v>201</v>
      </c>
      <c r="U33" s="42" t="s">
        <v>202</v>
      </c>
      <c r="V33" s="42" t="s">
        <v>203</v>
      </c>
      <c r="W33" s="6" t="s">
        <v>204</v>
      </c>
    </row>
    <row r="34" spans="1:23" ht="18" customHeight="1" thickBot="1" x14ac:dyDescent="0.3">
      <c r="A34" s="1"/>
      <c r="B34" s="275" t="s">
        <v>163</v>
      </c>
      <c r="C34" s="276"/>
      <c r="D34" s="94">
        <f>3*D26</f>
        <v>18</v>
      </c>
      <c r="E34" s="142"/>
      <c r="F34" s="1"/>
      <c r="G34" s="1"/>
      <c r="I34" s="280" t="s">
        <v>135</v>
      </c>
      <c r="J34" s="279">
        <v>0</v>
      </c>
      <c r="K34" s="279">
        <v>0</v>
      </c>
      <c r="M34" s="280" t="s">
        <v>136</v>
      </c>
      <c r="N34" s="147">
        <v>6193812</v>
      </c>
      <c r="O34" s="147">
        <v>3570364</v>
      </c>
      <c r="P34" s="1"/>
      <c r="Q34" s="80" t="s">
        <v>164</v>
      </c>
      <c r="R34" s="61">
        <f>U27*(规则设置!E73/4)+O40*3*(规则设置!E73/4)</f>
        <v>170449.01</v>
      </c>
      <c r="S34" s="1"/>
      <c r="T34" s="143">
        <f>U34+V34-W34</f>
        <v>4862030.9248735383</v>
      </c>
      <c r="U34" s="144">
        <f>C22/((1+规则设置!F73/4))</f>
        <v>0</v>
      </c>
      <c r="V34" s="144">
        <f>U30/(1+规则设置!F73/4)</f>
        <v>11362030.924873538</v>
      </c>
      <c r="W34" s="123">
        <f>规则设置!C3</f>
        <v>6500000</v>
      </c>
    </row>
    <row r="35" spans="1:23" ht="18" customHeight="1" thickBot="1" x14ac:dyDescent="0.3">
      <c r="A35" s="1"/>
      <c r="B35" s="1"/>
      <c r="C35" s="1"/>
      <c r="D35" s="1"/>
      <c r="E35" s="1"/>
      <c r="F35" s="1"/>
      <c r="G35" s="1"/>
      <c r="H35" s="207">
        <f>G39+H14</f>
        <v>7712316</v>
      </c>
      <c r="I35" s="280" t="s">
        <v>137</v>
      </c>
      <c r="J35" s="279">
        <v>3</v>
      </c>
      <c r="K35" s="279">
        <v>3</v>
      </c>
      <c r="M35" s="280" t="s">
        <v>84</v>
      </c>
      <c r="N35" s="147">
        <v>147440</v>
      </c>
      <c r="O35" s="279">
        <v>0</v>
      </c>
      <c r="P35" s="1"/>
      <c r="Q35" s="93" t="s">
        <v>165</v>
      </c>
      <c r="R35" s="61"/>
      <c r="S35" s="1"/>
      <c r="T35" s="1"/>
      <c r="U35" s="1"/>
      <c r="V35" s="1"/>
      <c r="W35" s="1"/>
    </row>
    <row r="36" spans="1:23" ht="18" customHeight="1" thickBot="1" x14ac:dyDescent="0.3">
      <c r="A36" s="1"/>
      <c r="B36" s="41" t="s">
        <v>71</v>
      </c>
      <c r="C36" s="42" t="s">
        <v>187</v>
      </c>
      <c r="D36" s="6" t="s">
        <v>163</v>
      </c>
      <c r="F36" s="41" t="s">
        <v>208</v>
      </c>
      <c r="G36" s="145"/>
      <c r="I36" s="280" t="s">
        <v>61</v>
      </c>
      <c r="J36" s="147">
        <v>497565</v>
      </c>
      <c r="K36" s="147">
        <v>531463</v>
      </c>
      <c r="M36" s="280" t="s">
        <v>140</v>
      </c>
      <c r="N36" s="147">
        <v>5182133</v>
      </c>
      <c r="O36" s="147">
        <v>6552579</v>
      </c>
      <c r="P36" s="1"/>
      <c r="Q36" s="80" t="s">
        <v>167</v>
      </c>
      <c r="R36" s="61">
        <f>(R4/(1+规则设置!B73))*规则设置!B73</f>
        <v>1001428.9811320753</v>
      </c>
      <c r="S36" s="1"/>
      <c r="T36" s="1"/>
      <c r="U36" s="1"/>
      <c r="V36" s="1"/>
      <c r="W36" s="1"/>
    </row>
    <row r="37" spans="1:23" ht="18" customHeight="1" thickBot="1" x14ac:dyDescent="0.3">
      <c r="A37" s="1"/>
      <c r="B37" s="28" t="s">
        <v>74</v>
      </c>
      <c r="C37" s="34">
        <f>SUM(D30:D33)</f>
        <v>6</v>
      </c>
      <c r="D37" s="11">
        <f>D34</f>
        <v>18</v>
      </c>
      <c r="F37" s="28" t="s">
        <v>209</v>
      </c>
      <c r="G37" s="146">
        <f>B26</f>
        <v>3599936</v>
      </c>
      <c r="I37" s="280" t="s">
        <v>66</v>
      </c>
      <c r="J37" s="279">
        <v>0</v>
      </c>
      <c r="K37" s="279">
        <v>0</v>
      </c>
      <c r="M37" s="280" t="s">
        <v>146</v>
      </c>
      <c r="N37" s="147">
        <v>18521522</v>
      </c>
      <c r="O37" s="147">
        <v>17609249</v>
      </c>
      <c r="P37" s="1"/>
      <c r="Q37" s="80" t="s">
        <v>169</v>
      </c>
      <c r="R37" s="61">
        <f>规则设置!C73*R36</f>
        <v>70100.028679245283</v>
      </c>
      <c r="S37" s="1"/>
      <c r="T37" s="98" t="s">
        <v>170</v>
      </c>
      <c r="U37" s="1"/>
      <c r="V37" s="1"/>
      <c r="W37" s="1"/>
    </row>
    <row r="38" spans="1:23" ht="18" customHeight="1" thickBot="1" x14ac:dyDescent="0.3">
      <c r="A38" s="1"/>
      <c r="B38" s="35" t="s">
        <v>75</v>
      </c>
      <c r="C38" s="144">
        <f>N11-SUM(E30:E33)</f>
        <v>33</v>
      </c>
      <c r="D38" s="123">
        <f>M11-E34</f>
        <v>42</v>
      </c>
      <c r="F38" s="28" t="s">
        <v>210</v>
      </c>
      <c r="G38" s="146">
        <f>ROUNDUP(规则设置!B20*(ROUNDDOWN((J11*0.975+D26*规则设置!C15),0)*0.975+G33*规则设置!C15)*3,0)</f>
        <v>4112379</v>
      </c>
      <c r="I38" s="280" t="s">
        <v>147</v>
      </c>
      <c r="J38" s="279"/>
      <c r="K38" s="279"/>
      <c r="M38" s="280" t="s">
        <v>148</v>
      </c>
      <c r="N38" s="279"/>
      <c r="O38" s="279"/>
      <c r="P38" s="1"/>
      <c r="Q38" s="80" t="s">
        <v>170</v>
      </c>
      <c r="R38" s="101">
        <f>IF(T38&gt;0,T38,)</f>
        <v>794299.38560336246</v>
      </c>
      <c r="S38" s="1"/>
      <c r="T38" s="172">
        <f>(R4/(1+规则设置!B73)-SUM(R9:R34)-R37)*规则设置!D73</f>
        <v>794299.38560336246</v>
      </c>
      <c r="U38" s="1"/>
      <c r="V38" s="1"/>
      <c r="W38" s="1"/>
    </row>
    <row r="39" spans="1:23" ht="18" customHeight="1" thickBot="1" x14ac:dyDescent="0.3">
      <c r="A39" s="1"/>
      <c r="B39" s="138" t="s">
        <v>254</v>
      </c>
      <c r="C39" s="138">
        <f>IF((C38+C37)*规则设置!D47&lt;G41*规则设置!B82,"请核对招聘员工数",0)</f>
        <v>0</v>
      </c>
      <c r="D39" s="138">
        <f>IF((D37+D38)/规则设置!B82&lt;(K11+D26),"请核对工人数量",0)</f>
        <v>0</v>
      </c>
      <c r="F39" s="35" t="s">
        <v>211</v>
      </c>
      <c r="G39" s="123">
        <f>G37+G38+1</f>
        <v>7712316</v>
      </c>
      <c r="I39" s="280" t="s">
        <v>69</v>
      </c>
      <c r="J39" s="147">
        <v>3000</v>
      </c>
      <c r="K39" s="147">
        <v>7500</v>
      </c>
      <c r="M39" s="280" t="s">
        <v>150</v>
      </c>
      <c r="N39" s="147">
        <v>12544901</v>
      </c>
      <c r="O39" s="147">
        <v>8544901</v>
      </c>
      <c r="P39" s="1"/>
      <c r="Q39" s="80" t="s">
        <v>173</v>
      </c>
      <c r="R39" s="61">
        <f>SUM(R9:R38)</f>
        <v>15309013.843189912</v>
      </c>
      <c r="S39" s="1"/>
      <c r="T39" s="1"/>
      <c r="U39" s="1"/>
      <c r="V39" s="1"/>
      <c r="W39" s="1"/>
    </row>
    <row r="40" spans="1:23" ht="18" customHeight="1" thickBot="1" x14ac:dyDescent="0.3">
      <c r="A40" s="1"/>
      <c r="B40" s="253" t="s">
        <v>188</v>
      </c>
      <c r="C40" s="121" t="s">
        <v>189</v>
      </c>
      <c r="D40" s="6" t="s">
        <v>190</v>
      </c>
      <c r="I40" s="280" t="s">
        <v>70</v>
      </c>
      <c r="J40" s="147">
        <v>6000</v>
      </c>
      <c r="K40" s="147">
        <v>15000</v>
      </c>
      <c r="M40" s="280" t="s">
        <v>152</v>
      </c>
      <c r="N40" s="279">
        <v>0</v>
      </c>
      <c r="O40" s="279">
        <v>0</v>
      </c>
      <c r="Q40" s="108" t="s">
        <v>177</v>
      </c>
      <c r="R40" s="89">
        <f>R6-R39</f>
        <v>2382898.1568100881</v>
      </c>
      <c r="S40" s="1"/>
      <c r="T40" s="1"/>
      <c r="U40" s="1"/>
      <c r="V40" s="1"/>
      <c r="W40" s="1"/>
    </row>
    <row r="41" spans="1:23" ht="18" customHeight="1" thickBot="1" x14ac:dyDescent="0.3">
      <c r="A41" s="1"/>
      <c r="B41" s="254"/>
      <c r="C41" s="192">
        <f>G41*3</f>
        <v>2816622</v>
      </c>
      <c r="D41" s="123">
        <f>ROUNDUP(规则设置!B20*C41,0)</f>
        <v>3802440</v>
      </c>
      <c r="F41" s="160" t="s">
        <v>191</v>
      </c>
      <c r="G41" s="161">
        <f>ROUNDDOWN(J11*0.975+D26*规则设置!C15,0)</f>
        <v>938874</v>
      </c>
      <c r="I41" s="280" t="s">
        <v>71</v>
      </c>
      <c r="J41" s="147">
        <v>465750</v>
      </c>
      <c r="K41" s="147">
        <v>551250</v>
      </c>
      <c r="L41" s="1"/>
      <c r="M41" s="280" t="s">
        <v>156</v>
      </c>
      <c r="N41" s="147">
        <v>12544901</v>
      </c>
      <c r="O41" s="147">
        <v>8544901</v>
      </c>
    </row>
    <row r="42" spans="1:23" ht="18" customHeight="1" thickBot="1" x14ac:dyDescent="0.3">
      <c r="A42" s="1"/>
      <c r="I42" s="280" t="s">
        <v>157</v>
      </c>
      <c r="J42" s="279">
        <v>0</v>
      </c>
      <c r="K42" s="279">
        <v>0</v>
      </c>
      <c r="L42" s="1"/>
      <c r="M42" s="280" t="s">
        <v>158</v>
      </c>
      <c r="N42" s="147">
        <v>5976621</v>
      </c>
      <c r="O42" s="147">
        <v>9064348</v>
      </c>
    </row>
    <row r="43" spans="1:23" ht="18" customHeight="1" thickBot="1" x14ac:dyDescent="0.3">
      <c r="A43" s="1"/>
      <c r="I43" s="280" t="s">
        <v>160</v>
      </c>
      <c r="J43" s="147">
        <v>243111</v>
      </c>
      <c r="K43" s="147">
        <v>619381</v>
      </c>
      <c r="L43" s="1"/>
      <c r="M43" s="1"/>
      <c r="N43" s="1"/>
      <c r="O43" s="1"/>
    </row>
    <row r="44" spans="1:23" ht="18" customHeight="1" thickBot="1" x14ac:dyDescent="0.3">
      <c r="A44" s="1"/>
      <c r="I44" s="280" t="s">
        <v>83</v>
      </c>
      <c r="J44" s="147">
        <v>18430</v>
      </c>
      <c r="K44" s="279">
        <v>0</v>
      </c>
      <c r="L44" s="1"/>
      <c r="M44" s="1"/>
      <c r="N44" s="1"/>
      <c r="O44" s="1"/>
    </row>
    <row r="45" spans="1:23" ht="18" customHeight="1" thickBot="1" x14ac:dyDescent="0.3">
      <c r="A45" s="1"/>
      <c r="I45" s="280" t="s">
        <v>162</v>
      </c>
      <c r="J45" s="279"/>
      <c r="K45" s="279"/>
      <c r="L45" s="1"/>
      <c r="M45" s="1"/>
      <c r="N45" s="1"/>
      <c r="O45" s="1"/>
    </row>
    <row r="46" spans="1:23" ht="18" customHeight="1" thickBot="1" x14ac:dyDescent="0.3">
      <c r="A46" s="1"/>
      <c r="I46" s="280" t="s">
        <v>164</v>
      </c>
      <c r="J46" s="147">
        <v>126796</v>
      </c>
      <c r="K46" s="147">
        <v>85449</v>
      </c>
      <c r="L46" s="1"/>
      <c r="M46" s="1"/>
      <c r="N46" s="1"/>
      <c r="O46" s="1"/>
    </row>
    <row r="47" spans="1:23" ht="18" customHeight="1" thickBot="1" x14ac:dyDescent="0.3">
      <c r="A47" s="1"/>
      <c r="I47" s="280" t="s">
        <v>165</v>
      </c>
      <c r="J47" s="279"/>
      <c r="K47" s="279"/>
      <c r="L47" s="1"/>
      <c r="M47" s="1"/>
      <c r="N47" s="1"/>
      <c r="O47" s="1"/>
    </row>
    <row r="48" spans="1:23" ht="18" customHeight="1" thickBot="1" x14ac:dyDescent="0.3">
      <c r="A48" s="1"/>
      <c r="I48" s="280" t="s">
        <v>167</v>
      </c>
      <c r="J48" s="147">
        <v>756934</v>
      </c>
      <c r="K48" s="147">
        <v>810762</v>
      </c>
      <c r="L48" s="1"/>
      <c r="M48" s="1"/>
      <c r="N48" s="1"/>
      <c r="O48" s="1"/>
    </row>
    <row r="49" spans="1:15" ht="18" customHeight="1" thickBot="1" x14ac:dyDescent="0.3">
      <c r="A49" s="1"/>
      <c r="C49" s="1"/>
      <c r="D49" s="1"/>
      <c r="E49" s="1"/>
      <c r="F49" s="1"/>
      <c r="G49" s="1"/>
      <c r="H49" s="1"/>
      <c r="I49" s="280" t="s">
        <v>169</v>
      </c>
      <c r="J49" s="147">
        <v>52985</v>
      </c>
      <c r="K49" s="147">
        <v>56753</v>
      </c>
      <c r="L49" s="1"/>
      <c r="M49" s="1"/>
      <c r="N49" s="1"/>
      <c r="O49" s="1"/>
    </row>
    <row r="50" spans="1:15" ht="18" customHeight="1" thickBot="1" x14ac:dyDescent="0.3">
      <c r="A50" s="1"/>
      <c r="E50" s="1"/>
      <c r="F50" s="1"/>
      <c r="G50" s="1"/>
      <c r="H50" s="1"/>
      <c r="I50" s="280" t="s">
        <v>170</v>
      </c>
      <c r="J50" s="147">
        <v>1053284</v>
      </c>
      <c r="K50" s="147">
        <v>1029243</v>
      </c>
      <c r="L50" s="1"/>
      <c r="M50" s="1"/>
      <c r="N50" s="1"/>
      <c r="O50" s="1"/>
    </row>
    <row r="51" spans="1:15" ht="18" customHeight="1" thickBot="1" x14ac:dyDescent="0.3">
      <c r="A51" s="1"/>
      <c r="E51" s="1"/>
      <c r="F51" s="1"/>
      <c r="G51" s="1"/>
      <c r="H51" s="1"/>
      <c r="I51" s="280" t="s">
        <v>173</v>
      </c>
      <c r="J51" s="147">
        <v>10212646</v>
      </c>
      <c r="K51" s="147">
        <v>11235736</v>
      </c>
      <c r="L51" s="1"/>
      <c r="M51" s="1"/>
      <c r="N51" s="1"/>
      <c r="O51" s="1"/>
    </row>
    <row r="52" spans="1:15" ht="18" customHeight="1" thickBot="1" x14ac:dyDescent="0.3">
      <c r="A52" s="1"/>
      <c r="E52" s="1"/>
      <c r="H52" s="1"/>
      <c r="I52" s="280" t="s">
        <v>177</v>
      </c>
      <c r="J52" s="147">
        <v>3159851</v>
      </c>
      <c r="K52" s="147">
        <v>3087728</v>
      </c>
      <c r="L52" s="1"/>
      <c r="M52" s="1"/>
      <c r="N52" s="1"/>
      <c r="O52" s="1"/>
    </row>
    <row r="53" spans="1:15" ht="18" customHeight="1" x14ac:dyDescent="0.25">
      <c r="A53" s="1"/>
      <c r="E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1"/>
      <c r="E54" s="1"/>
      <c r="H54" s="1"/>
      <c r="J54" s="1"/>
      <c r="K54" s="1"/>
      <c r="L54" s="1"/>
      <c r="M54" s="1"/>
      <c r="N54" s="1"/>
      <c r="O54" s="1"/>
    </row>
    <row r="55" spans="1:15" ht="18" customHeight="1" x14ac:dyDescent="0.25">
      <c r="A55" s="1"/>
      <c r="E55" s="1"/>
      <c r="H55" s="1"/>
      <c r="J55" s="1"/>
      <c r="K55" s="1"/>
      <c r="L55" s="1"/>
      <c r="M55" s="1"/>
      <c r="N55" s="1"/>
      <c r="O55" s="1"/>
    </row>
  </sheetData>
  <mergeCells count="19">
    <mergeCell ref="M30:O30"/>
    <mergeCell ref="B34:C34"/>
    <mergeCell ref="B40:B41"/>
    <mergeCell ref="B20:E20"/>
    <mergeCell ref="B24:D24"/>
    <mergeCell ref="B28:E28"/>
    <mergeCell ref="B29:C29"/>
    <mergeCell ref="B30:B33"/>
    <mergeCell ref="T19:U19"/>
    <mergeCell ref="B2:F2"/>
    <mergeCell ref="I2:N2"/>
    <mergeCell ref="Q2:R2"/>
    <mergeCell ref="T2:U2"/>
    <mergeCell ref="B8:E8"/>
    <mergeCell ref="D9:E9"/>
    <mergeCell ref="D10:E10"/>
    <mergeCell ref="B13:F13"/>
    <mergeCell ref="I13:K13"/>
    <mergeCell ref="M13:O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FEBC-6A48-4B31-AEDF-BDE69889A7B4}">
  <dimension ref="A1:W55"/>
  <sheetViews>
    <sheetView zoomScale="85" zoomScaleNormal="85" workbookViewId="0">
      <selection activeCell="G27" sqref="G27"/>
    </sheetView>
  </sheetViews>
  <sheetFormatPr defaultColWidth="15.77734375" defaultRowHeight="13.8" x14ac:dyDescent="0.25"/>
  <cols>
    <col min="1" max="1" width="8.77734375" customWidth="1"/>
  </cols>
  <sheetData>
    <row r="1" spans="1:23" ht="18" customHeight="1" thickBot="1" x14ac:dyDescent="0.3">
      <c r="A1" s="1"/>
      <c r="B1" s="1"/>
      <c r="C1" s="1"/>
      <c r="D1" s="1"/>
      <c r="E1" s="1"/>
      <c r="F1" s="1"/>
      <c r="G1" s="1"/>
      <c r="P1" s="1"/>
      <c r="Q1" s="1"/>
      <c r="R1" s="1"/>
      <c r="S1" s="1"/>
      <c r="T1" s="1"/>
      <c r="U1" s="1"/>
      <c r="V1" s="1"/>
      <c r="W1" s="1"/>
    </row>
    <row r="2" spans="1:23" ht="18" customHeight="1" thickBot="1" x14ac:dyDescent="0.3">
      <c r="A2" s="1"/>
      <c r="B2" s="241" t="s">
        <v>90</v>
      </c>
      <c r="C2" s="265"/>
      <c r="D2" s="265"/>
      <c r="E2" s="265"/>
      <c r="F2" s="242"/>
      <c r="G2" s="2" t="s">
        <v>194</v>
      </c>
      <c r="H2" s="163">
        <f>U15</f>
        <v>2674286.9144905694</v>
      </c>
      <c r="I2" s="266" t="s">
        <v>236</v>
      </c>
      <c r="J2" s="267"/>
      <c r="K2" s="267"/>
      <c r="L2" s="267"/>
      <c r="M2" s="267"/>
      <c r="N2" s="268"/>
      <c r="P2" s="1"/>
      <c r="Q2" s="241" t="s">
        <v>91</v>
      </c>
      <c r="R2" s="242"/>
      <c r="S2" s="1"/>
      <c r="T2" s="241" t="s">
        <v>92</v>
      </c>
      <c r="U2" s="242"/>
      <c r="V2" s="1"/>
      <c r="W2" s="1"/>
    </row>
    <row r="3" spans="1:23" ht="18" customHeight="1" thickBot="1" x14ac:dyDescent="0.3">
      <c r="A3" s="1"/>
      <c r="B3" s="53"/>
      <c r="C3" s="156" t="s">
        <v>93</v>
      </c>
      <c r="D3" s="156" t="s">
        <v>94</v>
      </c>
      <c r="E3" s="156" t="s">
        <v>95</v>
      </c>
      <c r="F3" s="157" t="s">
        <v>96</v>
      </c>
      <c r="G3" s="27"/>
      <c r="H3" s="164"/>
      <c r="I3" s="148" t="s">
        <v>174</v>
      </c>
      <c r="J3" s="148" t="s">
        <v>15</v>
      </c>
      <c r="K3" s="148" t="s">
        <v>175</v>
      </c>
      <c r="L3" s="148" t="s">
        <v>205</v>
      </c>
      <c r="M3" s="148" t="s">
        <v>176</v>
      </c>
      <c r="N3" s="148" t="s">
        <v>17</v>
      </c>
      <c r="O3" s="1" t="s">
        <v>206</v>
      </c>
      <c r="P3" s="19" t="s">
        <v>192</v>
      </c>
      <c r="Q3" s="56" t="s">
        <v>97</v>
      </c>
      <c r="R3" s="57"/>
      <c r="S3" s="1"/>
      <c r="T3" s="56" t="s">
        <v>98</v>
      </c>
      <c r="U3" s="57"/>
      <c r="V3" s="1"/>
      <c r="W3" s="1"/>
    </row>
    <row r="4" spans="1:23" ht="18" customHeight="1" thickBot="1" x14ac:dyDescent="0.3">
      <c r="A4" s="1"/>
      <c r="B4" s="152" t="s">
        <v>99</v>
      </c>
      <c r="C4" s="58">
        <f>第五季!C4</f>
        <v>6</v>
      </c>
      <c r="D4" s="58">
        <f>第五季!D4</f>
        <v>5</v>
      </c>
      <c r="E4" s="58">
        <f>第五季!E4</f>
        <v>5</v>
      </c>
      <c r="F4" s="59">
        <f>第五季!F4</f>
        <v>4</v>
      </c>
      <c r="G4" s="27" t="s">
        <v>195</v>
      </c>
      <c r="H4" s="164">
        <f>0.5*U4-U15-O28</f>
        <v>-1435815.1144905686</v>
      </c>
      <c r="I4" s="279" t="s">
        <v>93</v>
      </c>
      <c r="J4" s="147">
        <v>699767</v>
      </c>
      <c r="K4" s="147">
        <v>699767</v>
      </c>
      <c r="L4" s="279">
        <v>14.22</v>
      </c>
      <c r="M4" s="279">
        <v>233</v>
      </c>
      <c r="N4" s="279">
        <v>13</v>
      </c>
      <c r="O4" s="1">
        <f>K4/(L4/100)</f>
        <v>4921005.6258790437</v>
      </c>
      <c r="P4" s="124">
        <f>IF(G12&lt;=N11*规则设置!D47,C5*C12+D5*D12+E5*E12+F5*F12,(C5*N4+D5*N5+E5*N6+F5*N7)*规则设置!D47)-(M4*C5+M5*D5+M6*E5+M7*F5)</f>
        <v>20279678.400000002</v>
      </c>
      <c r="Q4" s="125" t="s">
        <v>193</v>
      </c>
      <c r="R4" s="126">
        <f>C5*C12+D5*D12+E5*E12+F5*F12</f>
        <v>20475957.600000001</v>
      </c>
      <c r="S4" s="1"/>
      <c r="T4" s="185" t="s">
        <v>100</v>
      </c>
      <c r="U4" s="61">
        <f>R4</f>
        <v>20475957.600000001</v>
      </c>
    </row>
    <row r="5" spans="1:23" ht="18" customHeight="1" thickBot="1" x14ac:dyDescent="0.3">
      <c r="A5" s="1"/>
      <c r="B5" s="152" t="s">
        <v>101</v>
      </c>
      <c r="C5" s="128">
        <v>7.2</v>
      </c>
      <c r="D5" s="128">
        <v>7.2</v>
      </c>
      <c r="E5" s="128">
        <v>7</v>
      </c>
      <c r="F5" s="166">
        <v>7.2</v>
      </c>
      <c r="G5" s="27"/>
      <c r="H5" s="164"/>
      <c r="I5" s="279" t="s">
        <v>94</v>
      </c>
      <c r="J5" s="147">
        <v>624990</v>
      </c>
      <c r="K5" s="147">
        <v>624990</v>
      </c>
      <c r="L5" s="279">
        <v>11.51</v>
      </c>
      <c r="M5" s="147">
        <v>27028</v>
      </c>
      <c r="N5" s="279">
        <v>13</v>
      </c>
      <c r="O5" s="1">
        <f>K5/(L5/100)</f>
        <v>5429973.9357080804</v>
      </c>
      <c r="P5" s="129">
        <f>IF(G12&lt;=N11*规则设置!D47,,"注意填写库存！")</f>
        <v>0</v>
      </c>
      <c r="Q5" s="64" t="s">
        <v>102</v>
      </c>
      <c r="R5" s="61"/>
      <c r="S5" s="1"/>
      <c r="T5" s="185" t="s">
        <v>102</v>
      </c>
      <c r="U5" s="61">
        <f>R5</f>
        <v>0</v>
      </c>
    </row>
    <row r="6" spans="1:23" ht="18" customHeight="1" thickBot="1" x14ac:dyDescent="0.3">
      <c r="A6" s="1"/>
      <c r="B6" s="153" t="s">
        <v>26</v>
      </c>
      <c r="C6" s="167">
        <v>1200000</v>
      </c>
      <c r="D6" s="167">
        <v>1200000</v>
      </c>
      <c r="E6" s="167">
        <v>0</v>
      </c>
      <c r="F6" s="167">
        <v>1200000</v>
      </c>
      <c r="G6" s="7" t="s">
        <v>222</v>
      </c>
      <c r="H6" s="165">
        <f>ROUNDUP(U14-0.5*U4-O28-1,0)</f>
        <v>-1435817</v>
      </c>
      <c r="I6" s="279" t="s">
        <v>95</v>
      </c>
      <c r="J6" s="279">
        <v>0</v>
      </c>
      <c r="K6" s="279">
        <v>0</v>
      </c>
      <c r="L6" s="279">
        <v>0</v>
      </c>
      <c r="M6" s="279">
        <v>0</v>
      </c>
      <c r="N6" s="279">
        <v>0</v>
      </c>
      <c r="O6" s="1" t="e">
        <f>K6/(L6/100)</f>
        <v>#DIV/0!</v>
      </c>
      <c r="P6" s="1"/>
      <c r="Q6" s="181" t="s">
        <v>103</v>
      </c>
      <c r="R6" s="61">
        <f>R4+R5</f>
        <v>20475957.600000001</v>
      </c>
      <c r="S6" s="1"/>
      <c r="T6" s="185" t="s">
        <v>104</v>
      </c>
      <c r="U6" s="61">
        <f>C21</f>
        <v>0</v>
      </c>
    </row>
    <row r="7" spans="1:23" ht="18" customHeight="1" thickBot="1" x14ac:dyDescent="0.3">
      <c r="A7" s="1"/>
      <c r="B7" s="1"/>
      <c r="C7" s="1"/>
      <c r="D7" s="1"/>
      <c r="E7" s="1"/>
      <c r="F7" s="24"/>
      <c r="G7" s="1"/>
      <c r="I7" s="279" t="s">
        <v>96</v>
      </c>
      <c r="J7" s="147">
        <v>619539</v>
      </c>
      <c r="K7" s="147">
        <v>613750</v>
      </c>
      <c r="L7" s="279">
        <v>11.05</v>
      </c>
      <c r="M7" s="279">
        <v>0</v>
      </c>
      <c r="N7" s="279">
        <v>13</v>
      </c>
      <c r="O7" s="1">
        <f>K7/(L7/100)</f>
        <v>5554298.6425339365</v>
      </c>
      <c r="P7" s="1"/>
      <c r="Q7" s="68" t="s">
        <v>105</v>
      </c>
      <c r="R7" s="61"/>
      <c r="S7" s="1"/>
      <c r="T7" s="185" t="s">
        <v>106</v>
      </c>
      <c r="U7" s="61">
        <f>SUM(U4:U6)</f>
        <v>20475957.600000001</v>
      </c>
    </row>
    <row r="8" spans="1:23" ht="18" customHeight="1" thickBot="1" x14ac:dyDescent="0.3">
      <c r="A8" s="1"/>
      <c r="B8" s="235" t="s">
        <v>107</v>
      </c>
      <c r="C8" s="236"/>
      <c r="D8" s="265"/>
      <c r="E8" s="242"/>
      <c r="F8" s="154" t="s">
        <v>196</v>
      </c>
      <c r="G8" s="127">
        <f>ROUNDDOWN(F9*1.5,0)</f>
        <v>1408311</v>
      </c>
      <c r="H8" t="s">
        <v>262</v>
      </c>
      <c r="I8" s="148" t="s">
        <v>178</v>
      </c>
      <c r="J8" s="148" t="s">
        <v>179</v>
      </c>
      <c r="K8" s="148" t="s">
        <v>180</v>
      </c>
      <c r="L8" s="148" t="s">
        <v>176</v>
      </c>
      <c r="M8" s="148" t="s">
        <v>181</v>
      </c>
      <c r="N8" s="148" t="s">
        <v>207</v>
      </c>
      <c r="O8" s="1"/>
      <c r="P8" s="1"/>
      <c r="Q8" s="70" t="s">
        <v>108</v>
      </c>
      <c r="R8" s="61"/>
      <c r="S8" s="1"/>
      <c r="T8" s="68" t="s">
        <v>109</v>
      </c>
      <c r="U8" s="61"/>
    </row>
    <row r="9" spans="1:23" ht="18" customHeight="1" thickBot="1" x14ac:dyDescent="0.3">
      <c r="A9" s="1"/>
      <c r="B9" s="125" t="s">
        <v>255</v>
      </c>
      <c r="C9" s="194" t="s">
        <v>256</v>
      </c>
      <c r="D9" s="269" t="s">
        <v>3</v>
      </c>
      <c r="E9" s="270"/>
      <c r="F9" s="79">
        <f>I11</f>
        <v>938874</v>
      </c>
      <c r="G9" s="127">
        <f>ROUNDDOWN(F9*2.5,0)</f>
        <v>2347185</v>
      </c>
      <c r="H9">
        <v>3</v>
      </c>
      <c r="I9" s="147">
        <v>1944296</v>
      </c>
      <c r="J9" s="147">
        <v>1965768</v>
      </c>
      <c r="K9" s="147">
        <v>1938507</v>
      </c>
      <c r="L9" s="147">
        <v>27261</v>
      </c>
      <c r="M9" s="147">
        <v>7914820</v>
      </c>
      <c r="N9" s="279">
        <v>9.19</v>
      </c>
      <c r="O9" s="1">
        <f>K9/(N9/100)</f>
        <v>21093656.147986945</v>
      </c>
      <c r="P9" s="1"/>
      <c r="Q9" s="181" t="s">
        <v>111</v>
      </c>
      <c r="R9" s="61">
        <f>D10</f>
        <v>2000000</v>
      </c>
      <c r="S9" s="1"/>
      <c r="T9" s="185" t="s">
        <v>112</v>
      </c>
      <c r="U9" s="61">
        <f>SUM(R9+R10+R11+R13+R14+R15+R16+R20+R21+R22+R24+R25+R27+R28+R29+R30+R31+R32+R34+R36+R37+R38+R23)</f>
        <v>14301670.685509432</v>
      </c>
      <c r="V9" s="1"/>
      <c r="W9" s="1"/>
    </row>
    <row r="10" spans="1:23" ht="18" customHeight="1" thickBot="1" x14ac:dyDescent="0.3">
      <c r="A10" s="1"/>
      <c r="B10" s="196">
        <v>2816622</v>
      </c>
      <c r="C10" s="195">
        <f>I11*3</f>
        <v>2816622</v>
      </c>
      <c r="D10" s="262">
        <v>2000000</v>
      </c>
      <c r="E10" s="264"/>
      <c r="F10" s="1"/>
      <c r="G10" s="127">
        <f>ROUNDDOWN(F9*3,0)</f>
        <v>2816622</v>
      </c>
      <c r="I10" s="148" t="s">
        <v>183</v>
      </c>
      <c r="J10" s="148" t="s">
        <v>184</v>
      </c>
      <c r="K10" s="148" t="s">
        <v>185</v>
      </c>
      <c r="L10" s="148" t="s">
        <v>186</v>
      </c>
      <c r="M10" s="148" t="s">
        <v>163</v>
      </c>
      <c r="N10" s="148" t="s">
        <v>17</v>
      </c>
      <c r="O10" s="1"/>
      <c r="P10" s="1"/>
      <c r="Q10" s="181" t="s">
        <v>32</v>
      </c>
      <c r="R10" s="60">
        <f>IF(B10&lt;=0,0,IF(B10&lt;=G8,规则设置!D24,IF(B10&lt;=G9,规则设置!D25,IF(B10&lt;=G10,规则设置!D26,"请检查计划产量!"))))</f>
        <v>20000</v>
      </c>
      <c r="S10" s="1"/>
      <c r="T10" s="185" t="s">
        <v>113</v>
      </c>
      <c r="U10" s="61">
        <f>(F24+C26)*E26</f>
        <v>0</v>
      </c>
      <c r="V10" s="1"/>
      <c r="W10" s="1"/>
    </row>
    <row r="11" spans="1:23" ht="18" customHeight="1" thickBot="1" x14ac:dyDescent="0.3">
      <c r="A11" s="1"/>
      <c r="B11" s="7" t="s">
        <v>197</v>
      </c>
      <c r="C11" s="193">
        <f>ROUNDDOWN((M9+C26)/规则设置!B20,0)</f>
        <v>5862829</v>
      </c>
      <c r="D11" s="1"/>
      <c r="E11" s="1"/>
      <c r="F11" s="1"/>
      <c r="G11" s="1"/>
      <c r="I11" s="147">
        <v>938874</v>
      </c>
      <c r="J11" s="147">
        <v>938874</v>
      </c>
      <c r="K11" s="279">
        <v>20</v>
      </c>
      <c r="L11" s="279">
        <v>99</v>
      </c>
      <c r="M11" s="279">
        <v>60</v>
      </c>
      <c r="N11" s="279">
        <v>39</v>
      </c>
      <c r="O11" s="1"/>
      <c r="P11" s="131">
        <f>R11/B10</f>
        <v>1.4</v>
      </c>
      <c r="Q11" s="181" t="s">
        <v>39</v>
      </c>
      <c r="R11" s="60">
        <f>IF(B10&lt;=0,0,IF(B10&lt;=F9,规则设置!B30*B10,IF(B10&lt;=G8,规则设置!B30*B10+规则设置!C30*(B10-F9),IF(B10&lt;=2*F9,规则设置!B30*B10+规则设置!B32*(B10-F9),IF(B10&lt;=G9,规则设置!B30*F9+规则设置!B32*F9+规则设置!C32*(B10-2*F9),IF(B10&lt;=G10,规则设置!B30*F9+规则设置!B32*F9+规则设置!B34*(B10-2*F9),"检查计划产量！"))))))</f>
        <v>3943270.8</v>
      </c>
      <c r="S11" s="1"/>
      <c r="T11" s="185" t="s">
        <v>114</v>
      </c>
      <c r="U11" s="61">
        <f>规则设置!D50*D26</f>
        <v>0</v>
      </c>
      <c r="V11" s="1"/>
      <c r="W11" s="1"/>
    </row>
    <row r="12" spans="1:23" ht="18" customHeight="1" thickBot="1" x14ac:dyDescent="0.3">
      <c r="A12" s="1"/>
      <c r="B12" s="158" t="s">
        <v>198</v>
      </c>
      <c r="C12" s="133">
        <f>M4+C15</f>
        <v>1000233</v>
      </c>
      <c r="D12" s="133">
        <f>M5+D15</f>
        <v>943650</v>
      </c>
      <c r="E12" s="133">
        <f>M6+E15</f>
        <v>0</v>
      </c>
      <c r="F12" s="134">
        <f>M7+F15</f>
        <v>900000</v>
      </c>
      <c r="G12" s="127">
        <f>SUM(C12:F12)</f>
        <v>2843883</v>
      </c>
      <c r="P12" s="135">
        <f>B10*规则设置!D82</f>
        <v>3943270.8</v>
      </c>
      <c r="Q12" s="181" t="s">
        <v>115</v>
      </c>
      <c r="R12" s="61">
        <f>F26*G26</f>
        <v>4753049.625</v>
      </c>
      <c r="S12" s="1"/>
      <c r="T12" s="185" t="s">
        <v>116</v>
      </c>
      <c r="U12" s="61">
        <f>E21</f>
        <v>3500000</v>
      </c>
      <c r="V12" s="1"/>
      <c r="W12" s="1"/>
    </row>
    <row r="13" spans="1:23" ht="18" customHeight="1" thickBot="1" x14ac:dyDescent="0.3">
      <c r="A13" s="1"/>
      <c r="B13" s="241" t="s">
        <v>117</v>
      </c>
      <c r="C13" s="265"/>
      <c r="D13" s="265"/>
      <c r="E13" s="265"/>
      <c r="F13" s="242"/>
      <c r="G13" s="1"/>
      <c r="I13" s="266" t="s">
        <v>231</v>
      </c>
      <c r="J13" s="267"/>
      <c r="K13" s="268"/>
      <c r="M13" s="266" t="s">
        <v>232</v>
      </c>
      <c r="N13" s="267"/>
      <c r="O13" s="268"/>
      <c r="P13" s="1"/>
      <c r="Q13" s="181" t="s">
        <v>47</v>
      </c>
      <c r="R13" s="60">
        <f>IF(F24&lt;1,0,IF(F24&lt;=规则设置!C41,规则设置!D40,IF(F24&lt;=规则设置!C42,规则设置!D41,IF(F24&lt;=规则设置!C43,规则设置!D42,IF(F24&lt;=规则设置!C44,规则设置!D43,规则设置!D44)))))</f>
        <v>0</v>
      </c>
      <c r="S13" s="1"/>
      <c r="T13" s="185" t="s">
        <v>118</v>
      </c>
      <c r="U13" s="61">
        <f>C22</f>
        <v>0</v>
      </c>
      <c r="V13" s="1"/>
      <c r="W13" s="1"/>
    </row>
    <row r="14" spans="1:23" ht="18" customHeight="1" thickBot="1" x14ac:dyDescent="0.3">
      <c r="A14" s="1"/>
      <c r="B14" s="149"/>
      <c r="C14" s="150" t="s">
        <v>93</v>
      </c>
      <c r="D14" s="150" t="s">
        <v>94</v>
      </c>
      <c r="E14" s="150" t="s">
        <v>95</v>
      </c>
      <c r="F14" s="151" t="s">
        <v>96</v>
      </c>
      <c r="G14" s="127">
        <f>B10</f>
        <v>2816622</v>
      </c>
      <c r="I14" s="148" t="s">
        <v>213</v>
      </c>
      <c r="J14" s="148" t="s">
        <v>214</v>
      </c>
      <c r="K14" s="148" t="s">
        <v>215</v>
      </c>
      <c r="M14" s="148" t="s">
        <v>213</v>
      </c>
      <c r="N14" s="148" t="s">
        <v>214</v>
      </c>
      <c r="O14" s="148" t="s">
        <v>215</v>
      </c>
      <c r="P14" s="1"/>
      <c r="Q14" s="181" t="s">
        <v>119</v>
      </c>
      <c r="R14" s="61">
        <f>C26*(规则设置!B47)</f>
        <v>0</v>
      </c>
      <c r="S14" s="1"/>
      <c r="T14" s="185" t="s">
        <v>120</v>
      </c>
      <c r="U14" s="61">
        <f>SUM(U9:U13)</f>
        <v>17801670.685509432</v>
      </c>
      <c r="V14" s="1"/>
      <c r="W14" s="1"/>
    </row>
    <row r="15" spans="1:23" ht="18" customHeight="1" thickBot="1" x14ac:dyDescent="0.3">
      <c r="A15" s="1"/>
      <c r="B15" s="152" t="s">
        <v>121</v>
      </c>
      <c r="C15" s="88">
        <v>1000000</v>
      </c>
      <c r="D15" s="88">
        <v>916622</v>
      </c>
      <c r="E15" s="88">
        <v>0</v>
      </c>
      <c r="F15" s="136">
        <v>900000</v>
      </c>
      <c r="G15" s="137">
        <f>SUM(C15:F15)</f>
        <v>2816622</v>
      </c>
      <c r="I15" s="280" t="s">
        <v>97</v>
      </c>
      <c r="J15" s="279"/>
      <c r="K15" s="279"/>
      <c r="M15" s="280" t="s">
        <v>274</v>
      </c>
      <c r="N15" s="279"/>
      <c r="O15" s="279"/>
      <c r="P15" s="1"/>
      <c r="Q15" s="181" t="s">
        <v>122</v>
      </c>
      <c r="R15" s="61">
        <f>K11*规则设置!B50</f>
        <v>240000</v>
      </c>
      <c r="S15" s="1"/>
      <c r="T15" s="68" t="s">
        <v>123</v>
      </c>
      <c r="U15" s="61">
        <f>U7-U14</f>
        <v>2674286.9144905694</v>
      </c>
      <c r="V15" s="1"/>
      <c r="W15" s="1" t="s">
        <v>258</v>
      </c>
    </row>
    <row r="16" spans="1:23" ht="18" customHeight="1" thickBot="1" x14ac:dyDescent="0.3">
      <c r="A16" s="1"/>
      <c r="B16" s="152" t="s">
        <v>124</v>
      </c>
      <c r="C16" s="60">
        <v>0</v>
      </c>
      <c r="D16" s="147"/>
      <c r="E16" s="74"/>
      <c r="F16" s="60"/>
      <c r="G16" s="1">
        <f>G14-G15</f>
        <v>0</v>
      </c>
      <c r="I16" s="280" t="s">
        <v>100</v>
      </c>
      <c r="J16" s="147">
        <v>14323464</v>
      </c>
      <c r="K16" s="147">
        <v>17446563</v>
      </c>
      <c r="M16" s="280" t="s">
        <v>100</v>
      </c>
      <c r="N16" s="147">
        <v>14323464</v>
      </c>
      <c r="O16" s="147">
        <v>17446563</v>
      </c>
      <c r="P16" s="1"/>
      <c r="Q16" s="181" t="s">
        <v>125</v>
      </c>
      <c r="R16" s="61">
        <f>规则设置!C50*D26</f>
        <v>0</v>
      </c>
      <c r="S16" s="1"/>
      <c r="T16" s="75" t="s">
        <v>126</v>
      </c>
      <c r="U16" s="76">
        <f>IF((O28+U15)&gt;=0.5*U4,O28+U15,0.5*U4)</f>
        <v>11673793.914490569</v>
      </c>
      <c r="V16" s="1"/>
      <c r="W16" s="1">
        <f>IF((O28+U15)&gt;=0.5*U4,0,1)</f>
        <v>0</v>
      </c>
    </row>
    <row r="17" spans="1:23" ht="18" customHeight="1" thickBot="1" x14ac:dyDescent="0.3">
      <c r="A17" s="1"/>
      <c r="B17" s="202" t="s">
        <v>260</v>
      </c>
      <c r="C17" s="203">
        <f>((C12*C5-(C6+D10/H9+C15*1.35*E26))/C12)</f>
        <v>2.2969757379863838</v>
      </c>
      <c r="D17" s="203">
        <f>((D12*D5-(D6+D10/H9+D15*1.35*E26))/D12)</f>
        <v>2.2713654515268722</v>
      </c>
      <c r="E17" s="203" t="e">
        <f>((E12*E5-(E6+D10/H9+E15*1.35*E26))/E12)</f>
        <v>#DIV/0!</v>
      </c>
      <c r="F17" s="204">
        <f>((F12*F5-(F6+D10/H9+F15*1.35*E26))/F12)</f>
        <v>2.0884259259259266</v>
      </c>
      <c r="G17" s="214" t="s">
        <v>261</v>
      </c>
      <c r="H17" s="218" t="s">
        <v>268</v>
      </c>
      <c r="I17" s="280" t="s">
        <v>216</v>
      </c>
      <c r="J17" s="279">
        <v>0</v>
      </c>
      <c r="K17" s="279">
        <v>0</v>
      </c>
      <c r="M17" s="280" t="s">
        <v>216</v>
      </c>
      <c r="N17" s="279">
        <v>0</v>
      </c>
      <c r="O17" s="279">
        <v>0</v>
      </c>
      <c r="P17" s="1"/>
      <c r="Q17" s="181" t="s">
        <v>60</v>
      </c>
      <c r="R17" s="61">
        <f>规则设置!C52*O36</f>
        <v>234719.125</v>
      </c>
      <c r="S17" s="1"/>
      <c r="T17" s="1"/>
      <c r="U17" s="1"/>
      <c r="V17" s="1"/>
      <c r="W17" s="1"/>
    </row>
    <row r="18" spans="1:23" ht="18" customHeight="1" thickBot="1" x14ac:dyDescent="0.3">
      <c r="A18" s="1"/>
      <c r="B18" s="153"/>
      <c r="C18" s="77">
        <v>0</v>
      </c>
      <c r="D18" s="77"/>
      <c r="E18" s="77"/>
      <c r="F18" s="76">
        <v>0</v>
      </c>
      <c r="G18" s="213">
        <f>R40</f>
        <v>1077474.1644905657</v>
      </c>
      <c r="H18" s="215">
        <f>U30</f>
        <v>12423414.164490569</v>
      </c>
      <c r="I18" s="280" t="s">
        <v>103</v>
      </c>
      <c r="J18" s="147">
        <v>14323464</v>
      </c>
      <c r="K18" s="147">
        <v>17446563</v>
      </c>
      <c r="M18" s="280" t="s">
        <v>104</v>
      </c>
      <c r="N18" s="279">
        <v>0</v>
      </c>
      <c r="O18" s="147">
        <v>8500000</v>
      </c>
      <c r="P18" s="1"/>
      <c r="Q18" s="181" t="s">
        <v>127</v>
      </c>
      <c r="R18" s="61">
        <f>O35-U23</f>
        <v>109044</v>
      </c>
      <c r="S18" s="1"/>
      <c r="T18" s="1"/>
      <c r="U18" s="1"/>
      <c r="V18" s="1"/>
      <c r="W18" s="1"/>
    </row>
    <row r="19" spans="1:23" ht="18" customHeight="1" thickBot="1" x14ac:dyDescent="0.3">
      <c r="A19" s="1"/>
      <c r="B19" s="138" t="s">
        <v>199</v>
      </c>
      <c r="C19" s="138">
        <f>IF(C12&gt;规则设置!D47*N4,"请核对产品数量！",)</f>
        <v>0</v>
      </c>
      <c r="D19" s="138">
        <f>IF(D12&gt;规则设置!D47*N5,"请核对产品数量！",)</f>
        <v>0</v>
      </c>
      <c r="E19" s="186">
        <f>IF(E12&gt;规则设置!D47*N6,"请核对产品数量！",)</f>
        <v>0</v>
      </c>
      <c r="F19" s="139">
        <f>IF(F12&gt;规则设置!D47*N7,"请核对产品数量！",)</f>
        <v>0</v>
      </c>
      <c r="G19" s="214">
        <v>200</v>
      </c>
      <c r="I19" s="280" t="s">
        <v>105</v>
      </c>
      <c r="J19" s="279"/>
      <c r="K19" s="279"/>
      <c r="M19" s="280" t="s">
        <v>106</v>
      </c>
      <c r="N19" s="147">
        <v>14323464</v>
      </c>
      <c r="O19" s="147">
        <v>25946563</v>
      </c>
      <c r="P19" s="1"/>
      <c r="Q19" s="70" t="s">
        <v>128</v>
      </c>
      <c r="R19" s="61"/>
      <c r="S19" s="1"/>
      <c r="T19" s="241" t="s">
        <v>129</v>
      </c>
      <c r="U19" s="242"/>
      <c r="V19" s="1"/>
      <c r="W19" s="1"/>
    </row>
    <row r="20" spans="1:23" ht="18" customHeight="1" thickBot="1" x14ac:dyDescent="0.3">
      <c r="A20" s="1"/>
      <c r="B20" s="241" t="s">
        <v>130</v>
      </c>
      <c r="C20" s="265"/>
      <c r="D20" s="265"/>
      <c r="E20" s="242"/>
      <c r="F20" s="1"/>
      <c r="G20" s="1"/>
      <c r="I20" s="280" t="s">
        <v>108</v>
      </c>
      <c r="J20" s="279"/>
      <c r="K20" s="279"/>
      <c r="M20" s="280" t="s">
        <v>109</v>
      </c>
      <c r="N20" s="279"/>
      <c r="O20" s="279"/>
      <c r="P20" s="1"/>
      <c r="Q20" s="64" t="s">
        <v>131</v>
      </c>
      <c r="R20" s="61"/>
      <c r="S20" s="1"/>
      <c r="T20" s="56" t="s">
        <v>132</v>
      </c>
      <c r="U20" s="57"/>
      <c r="V20" s="1"/>
      <c r="W20" s="1"/>
    </row>
    <row r="21" spans="1:23" ht="18" customHeight="1" thickBot="1" x14ac:dyDescent="0.3">
      <c r="A21" s="1"/>
      <c r="B21" s="155" t="s">
        <v>104</v>
      </c>
      <c r="C21" s="88">
        <v>0</v>
      </c>
      <c r="D21" s="156" t="s">
        <v>116</v>
      </c>
      <c r="E21" s="136">
        <v>3500000</v>
      </c>
      <c r="F21" s="1" t="s">
        <v>200</v>
      </c>
      <c r="G21" s="140">
        <f>ROUNDUP(H2-H4,0)</f>
        <v>4110103</v>
      </c>
      <c r="I21" s="280" t="s">
        <v>111</v>
      </c>
      <c r="J21" s="147">
        <v>2000000</v>
      </c>
      <c r="K21" s="147">
        <v>2500000</v>
      </c>
      <c r="M21" s="280" t="s">
        <v>112</v>
      </c>
      <c r="N21" s="147">
        <v>8335294</v>
      </c>
      <c r="O21" s="147">
        <v>11792967</v>
      </c>
      <c r="P21" s="1"/>
      <c r="Q21" s="64" t="s">
        <v>133</v>
      </c>
      <c r="R21" s="61"/>
      <c r="S21" s="1"/>
      <c r="T21" s="181" t="s">
        <v>134</v>
      </c>
      <c r="U21" s="61">
        <f>U16</f>
        <v>11673793.914490569</v>
      </c>
      <c r="V21" s="1"/>
      <c r="W21" s="1"/>
    </row>
    <row r="22" spans="1:23" ht="18" customHeight="1" thickBot="1" x14ac:dyDescent="0.3">
      <c r="A22" s="1"/>
      <c r="B22" s="153" t="s">
        <v>118</v>
      </c>
      <c r="C22" s="262">
        <v>0</v>
      </c>
      <c r="D22" s="263"/>
      <c r="E22" s="264"/>
      <c r="F22" s="1"/>
      <c r="G22" s="141">
        <f>ROUNDUP(H2-H4,0)+ROUNDUP(H2-H4,0)*规则设置!E73/4</f>
        <v>4151204.03</v>
      </c>
      <c r="I22" s="280" t="s">
        <v>32</v>
      </c>
      <c r="J22" s="147">
        <v>20000</v>
      </c>
      <c r="K22" s="147">
        <v>20000</v>
      </c>
      <c r="M22" s="280" t="s">
        <v>113</v>
      </c>
      <c r="N22" s="279">
        <v>0</v>
      </c>
      <c r="O22" s="147">
        <v>9640395</v>
      </c>
      <c r="P22" s="1"/>
      <c r="Q22" s="64" t="s">
        <v>135</v>
      </c>
      <c r="R22" s="61"/>
      <c r="S22" s="1"/>
      <c r="T22" s="181" t="s">
        <v>136</v>
      </c>
      <c r="U22" s="61">
        <f>(F24+C26+M9-B10*1.35)*F26</f>
        <v>5140475.375</v>
      </c>
      <c r="V22" s="127" t="e">
        <f>第一季:第六季!U22</f>
        <v>#REF!</v>
      </c>
      <c r="W22" s="1"/>
    </row>
    <row r="23" spans="1:23" ht="18" customHeight="1" thickBot="1" x14ac:dyDescent="0.3">
      <c r="A23" s="1"/>
      <c r="B23" s="1"/>
      <c r="C23" s="1"/>
      <c r="D23" s="1"/>
      <c r="E23" s="1"/>
      <c r="F23" s="1"/>
      <c r="G23" s="1"/>
      <c r="I23" s="280" t="s">
        <v>39</v>
      </c>
      <c r="J23" s="147">
        <v>2176490</v>
      </c>
      <c r="K23" s="147">
        <v>2752075</v>
      </c>
      <c r="M23" s="280" t="s">
        <v>221</v>
      </c>
      <c r="N23" s="147">
        <v>1500000</v>
      </c>
      <c r="O23" s="147">
        <v>3000000</v>
      </c>
      <c r="P23" s="1"/>
      <c r="Q23" s="80" t="s">
        <v>137</v>
      </c>
      <c r="R23" s="61">
        <f>SUM(C6:F6)</f>
        <v>3600000</v>
      </c>
      <c r="S23" s="1"/>
      <c r="T23" s="181" t="s">
        <v>138</v>
      </c>
      <c r="U23" s="61">
        <f>规则设置!B79*(B10-C15-D15-E15-F15)</f>
        <v>0</v>
      </c>
      <c r="V23" s="1"/>
      <c r="W23" s="1"/>
    </row>
    <row r="24" spans="1:23" ht="18" customHeight="1" thickBot="1" x14ac:dyDescent="0.3">
      <c r="A24" s="1"/>
      <c r="B24" s="241" t="s">
        <v>139</v>
      </c>
      <c r="C24" s="265"/>
      <c r="D24" s="242"/>
      <c r="E24" s="32" t="s">
        <v>252</v>
      </c>
      <c r="F24" s="184">
        <v>0</v>
      </c>
      <c r="G24" s="1"/>
      <c r="I24" s="280" t="s">
        <v>115</v>
      </c>
      <c r="J24" s="147">
        <v>2623448</v>
      </c>
      <c r="K24" s="147">
        <v>3317233</v>
      </c>
      <c r="M24" s="280" t="s">
        <v>116</v>
      </c>
      <c r="N24" s="147">
        <v>4000000</v>
      </c>
      <c r="O24" s="279">
        <v>0</v>
      </c>
      <c r="P24" s="1"/>
      <c r="Q24" s="80" t="s">
        <v>61</v>
      </c>
      <c r="R24" s="61">
        <f>规则设置!C55*C15+规则设置!D55*D15+规则设置!E55*E15+规则设置!F55*F15</f>
        <v>941662.2</v>
      </c>
      <c r="S24" s="1"/>
      <c r="T24" s="181" t="s">
        <v>140</v>
      </c>
      <c r="U24" s="61">
        <f>O36-R17+U11</f>
        <v>9154045.875</v>
      </c>
      <c r="V24" s="1"/>
      <c r="W24" s="1"/>
    </row>
    <row r="25" spans="1:23" ht="18" customHeight="1" thickBot="1" x14ac:dyDescent="0.3">
      <c r="A25" s="1"/>
      <c r="B25" s="155" t="s">
        <v>141</v>
      </c>
      <c r="C25" s="156" t="s">
        <v>142</v>
      </c>
      <c r="D25" s="157" t="s">
        <v>143</v>
      </c>
      <c r="E25" s="19" t="s">
        <v>2</v>
      </c>
      <c r="F25" s="19" t="s">
        <v>144</v>
      </c>
      <c r="G25" s="19" t="s">
        <v>145</v>
      </c>
      <c r="H25" s="19" t="s">
        <v>250</v>
      </c>
      <c r="I25" s="280" t="s">
        <v>253</v>
      </c>
      <c r="J25" s="279">
        <v>0</v>
      </c>
      <c r="K25" s="147">
        <v>200000</v>
      </c>
      <c r="M25" s="280" t="s">
        <v>118</v>
      </c>
      <c r="N25" s="279">
        <v>0</v>
      </c>
      <c r="O25" s="279">
        <v>0</v>
      </c>
      <c r="P25" s="1"/>
      <c r="Q25" s="181" t="s">
        <v>66</v>
      </c>
      <c r="R25" s="61">
        <f>规则设置!B12*C26</f>
        <v>0</v>
      </c>
      <c r="S25" s="1"/>
      <c r="T25" s="181" t="s">
        <v>146</v>
      </c>
      <c r="U25" s="61">
        <f>SUM(U21:U24)</f>
        <v>25968315.164490569</v>
      </c>
      <c r="V25" s="1"/>
      <c r="W25" s="1"/>
    </row>
    <row r="26" spans="1:23" ht="18" customHeight="1" thickBot="1" x14ac:dyDescent="0.3">
      <c r="A26" s="1"/>
      <c r="B26" s="159">
        <f>ROUNDDOWN(D41-(M9-B10*1.35),0)+1</f>
        <v>-405000</v>
      </c>
      <c r="C26" s="219">
        <f>IF(B10*1.35-M9&lt;=0,0,B10*1.35-M9)</f>
        <v>0</v>
      </c>
      <c r="D26" s="82">
        <v>0</v>
      </c>
      <c r="E26" s="83">
        <v>2.25</v>
      </c>
      <c r="F26" s="52">
        <f>(U10+O34)/(F24+M9+C26)</f>
        <v>1.25</v>
      </c>
      <c r="G26" s="84">
        <f>规则设置!B20*B10</f>
        <v>3802439.7</v>
      </c>
      <c r="H26" s="84">
        <f>ROUNDDOWN(O42/3/规则设置!D50,0)</f>
        <v>7</v>
      </c>
      <c r="I26" s="280" t="s">
        <v>217</v>
      </c>
      <c r="J26" s="279">
        <v>0</v>
      </c>
      <c r="K26" s="279">
        <v>0</v>
      </c>
      <c r="M26" s="280" t="s">
        <v>120</v>
      </c>
      <c r="N26" s="147">
        <v>13835294</v>
      </c>
      <c r="O26" s="147">
        <v>24433362</v>
      </c>
      <c r="P26" s="1"/>
      <c r="Q26" s="70" t="s">
        <v>147</v>
      </c>
      <c r="R26" s="61"/>
      <c r="S26" s="1"/>
      <c r="T26" s="85" t="s">
        <v>148</v>
      </c>
      <c r="U26" s="61"/>
      <c r="V26" s="1"/>
      <c r="W26" s="1"/>
    </row>
    <row r="27" spans="1:23" ht="18" customHeight="1" thickBot="1" x14ac:dyDescent="0.3">
      <c r="A27" s="1"/>
      <c r="B27" s="1"/>
      <c r="C27" s="1"/>
      <c r="D27" s="1"/>
      <c r="E27" s="1"/>
      <c r="F27" s="1"/>
      <c r="G27" s="1"/>
      <c r="I27" s="280" t="s">
        <v>218</v>
      </c>
      <c r="J27" s="147">
        <v>132000</v>
      </c>
      <c r="K27" s="147">
        <v>168000</v>
      </c>
      <c r="M27" s="280" t="s">
        <v>123</v>
      </c>
      <c r="N27" s="147">
        <v>488170</v>
      </c>
      <c r="O27" s="147">
        <v>1513201</v>
      </c>
      <c r="P27" s="1"/>
      <c r="Q27" s="86" t="s">
        <v>69</v>
      </c>
      <c r="R27" s="61">
        <f>SUM(D30:D34)*规则设置!B64</f>
        <v>1500</v>
      </c>
      <c r="S27" s="1"/>
      <c r="T27" s="181" t="s">
        <v>150</v>
      </c>
      <c r="U27" s="61">
        <f>O41+U6-U12</f>
        <v>13544901</v>
      </c>
      <c r="V27" s="1"/>
      <c r="W27" s="1"/>
    </row>
    <row r="28" spans="1:23" ht="18" customHeight="1" thickBot="1" x14ac:dyDescent="0.3">
      <c r="A28" s="1"/>
      <c r="B28" s="241" t="s">
        <v>151</v>
      </c>
      <c r="C28" s="265"/>
      <c r="D28" s="265"/>
      <c r="E28" s="242"/>
      <c r="F28" s="1"/>
      <c r="I28" s="280" t="s">
        <v>219</v>
      </c>
      <c r="J28" s="147">
        <v>300000</v>
      </c>
      <c r="K28" s="147">
        <v>600000</v>
      </c>
      <c r="M28" s="280" t="s">
        <v>126</v>
      </c>
      <c r="N28" s="147">
        <v>7486306</v>
      </c>
      <c r="O28" s="147">
        <v>8999507</v>
      </c>
      <c r="P28" s="1"/>
      <c r="Q28" s="80" t="s">
        <v>70</v>
      </c>
      <c r="R28" s="61">
        <f>SUM(D30:D34)*规则设置!C64</f>
        <v>3000</v>
      </c>
      <c r="S28" s="1"/>
      <c r="T28" s="181" t="s">
        <v>152</v>
      </c>
      <c r="U28" s="60">
        <f>IF(W16=0,0,0.5*U4-U15-O28)</f>
        <v>0</v>
      </c>
      <c r="V28" s="1"/>
      <c r="W28" s="1"/>
    </row>
    <row r="29" spans="1:23" ht="18" customHeight="1" thickBot="1" x14ac:dyDescent="0.3">
      <c r="A29" s="1"/>
      <c r="B29" s="271" t="s">
        <v>153</v>
      </c>
      <c r="C29" s="272"/>
      <c r="D29" s="174" t="s">
        <v>154</v>
      </c>
      <c r="E29" s="175" t="s">
        <v>155</v>
      </c>
      <c r="F29" s="1"/>
      <c r="G29" s="178" t="s">
        <v>249</v>
      </c>
      <c r="I29" s="280" t="s">
        <v>220</v>
      </c>
      <c r="J29" s="147">
        <v>129553</v>
      </c>
      <c r="K29" s="147">
        <v>163814</v>
      </c>
      <c r="P29" s="1"/>
      <c r="Q29" s="80" t="s">
        <v>71</v>
      </c>
      <c r="R29" s="61">
        <f>规则设置!C67*C37+规则设置!D67*D37+规则设置!C68*C38+规则设置!D68*D38</f>
        <v>814500</v>
      </c>
      <c r="S29" s="1"/>
      <c r="T29" s="181" t="s">
        <v>156</v>
      </c>
      <c r="U29" s="61">
        <f>SUM(U27:U28)</f>
        <v>13544901</v>
      </c>
      <c r="V29" s="1"/>
      <c r="W29" s="1"/>
    </row>
    <row r="30" spans="1:23" ht="18" customHeight="1" thickBot="1" x14ac:dyDescent="0.3">
      <c r="A30" s="1"/>
      <c r="B30" s="273" t="s">
        <v>17</v>
      </c>
      <c r="C30" s="87" t="s">
        <v>93</v>
      </c>
      <c r="D30" s="88">
        <v>3</v>
      </c>
      <c r="E30" s="136"/>
      <c r="F30" s="1"/>
      <c r="G30" s="52">
        <f>ROUNDDOWN(U30/3/规则设置!D50,0)</f>
        <v>8</v>
      </c>
      <c r="I30" s="280" t="s">
        <v>127</v>
      </c>
      <c r="J30" s="147">
        <v>147440</v>
      </c>
      <c r="K30" s="147">
        <v>-109044</v>
      </c>
      <c r="M30" s="235" t="s">
        <v>129</v>
      </c>
      <c r="N30" s="236"/>
      <c r="O30" s="237"/>
      <c r="P30" s="1"/>
      <c r="Q30" s="80" t="s">
        <v>157</v>
      </c>
      <c r="R30" s="61">
        <f>SUM(E30:E33)*规则设置!C70+E34*规则设置!D70</f>
        <v>0</v>
      </c>
      <c r="S30" s="1"/>
      <c r="T30" s="75" t="s">
        <v>158</v>
      </c>
      <c r="U30" s="89">
        <f>U25-U29</f>
        <v>12423414.164490569</v>
      </c>
      <c r="V30" s="1" t="s">
        <v>159</v>
      </c>
      <c r="W30" s="90">
        <v>7353638</v>
      </c>
    </row>
    <row r="31" spans="1:23" ht="18" customHeight="1" thickBot="1" x14ac:dyDescent="0.3">
      <c r="A31" s="1"/>
      <c r="B31" s="274"/>
      <c r="C31" s="87" t="s">
        <v>94</v>
      </c>
      <c r="D31" s="88">
        <v>0</v>
      </c>
      <c r="E31" s="136"/>
      <c r="F31" s="1"/>
      <c r="G31" s="1"/>
      <c r="I31" s="280" t="s">
        <v>128</v>
      </c>
      <c r="J31" s="279"/>
      <c r="K31" s="279"/>
      <c r="M31" s="148" t="s">
        <v>213</v>
      </c>
      <c r="N31" s="148" t="s">
        <v>214</v>
      </c>
      <c r="O31" s="148" t="s">
        <v>215</v>
      </c>
      <c r="P31" s="1"/>
      <c r="Q31" s="80" t="s">
        <v>160</v>
      </c>
      <c r="R31" s="61">
        <f>规则设置!B76*O34</f>
        <v>989352.5</v>
      </c>
      <c r="S31" s="1"/>
      <c r="T31" s="1"/>
      <c r="U31" s="1"/>
      <c r="V31" s="1" t="s">
        <v>161</v>
      </c>
      <c r="W31" s="92">
        <f>U30-W30</f>
        <v>5069776.1644905694</v>
      </c>
    </row>
    <row r="32" spans="1:23" ht="18" customHeight="1" thickBot="1" x14ac:dyDescent="0.3">
      <c r="A32" s="1"/>
      <c r="B32" s="274"/>
      <c r="C32" s="87" t="s">
        <v>95</v>
      </c>
      <c r="D32" s="88">
        <v>0</v>
      </c>
      <c r="E32" s="136"/>
      <c r="F32" s="1"/>
      <c r="G32" s="19" t="s">
        <v>248</v>
      </c>
      <c r="I32" s="280" t="s">
        <v>131</v>
      </c>
      <c r="J32" s="279">
        <v>0</v>
      </c>
      <c r="K32" s="279">
        <v>0</v>
      </c>
      <c r="M32" s="280" t="s">
        <v>275</v>
      </c>
      <c r="N32" s="279"/>
      <c r="O32" s="279"/>
      <c r="P32" s="1"/>
      <c r="Q32" s="80" t="s">
        <v>83</v>
      </c>
      <c r="R32" s="61">
        <f>规则设置!C76*L9</f>
        <v>13630.5</v>
      </c>
      <c r="S32" s="1"/>
      <c r="T32" s="1"/>
      <c r="U32" s="1"/>
      <c r="V32" s="1"/>
      <c r="W32" s="1"/>
    </row>
    <row r="33" spans="1:23" ht="18" customHeight="1" thickBot="1" x14ac:dyDescent="0.3">
      <c r="A33" s="1"/>
      <c r="B33" s="243"/>
      <c r="C33" s="87" t="s">
        <v>96</v>
      </c>
      <c r="D33" s="88">
        <v>0</v>
      </c>
      <c r="E33" s="176"/>
      <c r="F33" s="1"/>
      <c r="G33" s="177">
        <v>0</v>
      </c>
      <c r="I33" s="280" t="s">
        <v>133</v>
      </c>
      <c r="J33" s="279">
        <v>0</v>
      </c>
      <c r="K33" s="279">
        <v>0</v>
      </c>
      <c r="M33" s="280" t="s">
        <v>134</v>
      </c>
      <c r="N33" s="147">
        <v>7486306</v>
      </c>
      <c r="O33" s="147">
        <v>8999507</v>
      </c>
      <c r="P33" s="1"/>
      <c r="Q33" s="93" t="s">
        <v>162</v>
      </c>
      <c r="R33" s="61"/>
      <c r="S33" s="1"/>
      <c r="T33" s="41" t="s">
        <v>201</v>
      </c>
      <c r="U33" s="42" t="s">
        <v>202</v>
      </c>
      <c r="V33" s="42" t="s">
        <v>203</v>
      </c>
      <c r="W33" s="6" t="s">
        <v>204</v>
      </c>
    </row>
    <row r="34" spans="1:23" ht="18" customHeight="1" thickBot="1" x14ac:dyDescent="0.3">
      <c r="A34" s="1"/>
      <c r="B34" s="275" t="s">
        <v>163</v>
      </c>
      <c r="C34" s="276"/>
      <c r="D34" s="94">
        <f>规则设置!B82*D26</f>
        <v>0</v>
      </c>
      <c r="E34" s="142">
        <v>0</v>
      </c>
      <c r="F34" s="1"/>
      <c r="G34" s="1"/>
      <c r="I34" s="280" t="s">
        <v>135</v>
      </c>
      <c r="J34" s="279">
        <v>0</v>
      </c>
      <c r="K34" s="279">
        <v>0</v>
      </c>
      <c r="M34" s="280" t="s">
        <v>136</v>
      </c>
      <c r="N34" s="147">
        <v>3570364</v>
      </c>
      <c r="O34" s="147">
        <v>9893525</v>
      </c>
      <c r="P34" s="1"/>
      <c r="Q34" s="80" t="s">
        <v>164</v>
      </c>
      <c r="R34" s="61">
        <f>U27*(规则设置!E73/4)+O40*3*(规则设置!E73/4)</f>
        <v>135449.01</v>
      </c>
      <c r="S34" s="1"/>
      <c r="T34" s="143">
        <f>U34+V34-W34</f>
        <v>5830932.1731916312</v>
      </c>
      <c r="U34" s="144">
        <f>C22/((1+规则设置!F73/4))</f>
        <v>0</v>
      </c>
      <c r="V34" s="144">
        <f>U30/(1+规则设置!F73/4)</f>
        <v>12330932.173191631</v>
      </c>
      <c r="W34" s="123">
        <f>规则设置!C3</f>
        <v>6500000</v>
      </c>
    </row>
    <row r="35" spans="1:23" ht="18" customHeight="1" thickBot="1" x14ac:dyDescent="0.3">
      <c r="A35" s="1"/>
      <c r="B35" s="1"/>
      <c r="C35" s="1"/>
      <c r="D35" s="1"/>
      <c r="E35" s="1"/>
      <c r="F35" s="1"/>
      <c r="G35" s="1"/>
      <c r="I35" s="280" t="s">
        <v>137</v>
      </c>
      <c r="J35" s="279">
        <v>3</v>
      </c>
      <c r="K35" s="147">
        <v>1800000</v>
      </c>
      <c r="M35" s="280" t="s">
        <v>84</v>
      </c>
      <c r="N35" s="279">
        <v>0</v>
      </c>
      <c r="O35" s="147">
        <v>109044</v>
      </c>
      <c r="P35" s="1"/>
      <c r="Q35" s="93" t="s">
        <v>165</v>
      </c>
      <c r="R35" s="61"/>
      <c r="S35" s="1"/>
      <c r="T35" s="1"/>
      <c r="U35" s="1"/>
      <c r="V35" s="1"/>
      <c r="W35" s="1"/>
    </row>
    <row r="36" spans="1:23" ht="18" customHeight="1" thickBot="1" x14ac:dyDescent="0.3">
      <c r="A36" s="1"/>
      <c r="B36" s="41" t="s">
        <v>71</v>
      </c>
      <c r="C36" s="42" t="s">
        <v>187</v>
      </c>
      <c r="D36" s="6" t="s">
        <v>163</v>
      </c>
      <c r="F36" s="41" t="s">
        <v>208</v>
      </c>
      <c r="G36" s="145"/>
      <c r="I36" s="280" t="s">
        <v>61</v>
      </c>
      <c r="J36" s="147">
        <v>531463</v>
      </c>
      <c r="K36" s="147">
        <v>652076</v>
      </c>
      <c r="M36" s="280" t="s">
        <v>140</v>
      </c>
      <c r="N36" s="147">
        <v>6552579</v>
      </c>
      <c r="O36" s="147">
        <v>9388765</v>
      </c>
      <c r="P36" s="1"/>
      <c r="Q36" s="80" t="s">
        <v>167</v>
      </c>
      <c r="R36" s="61">
        <f>(R4/(1+规则设置!B73))*规则设置!B73</f>
        <v>1159016.4679245283</v>
      </c>
      <c r="S36" s="1"/>
      <c r="T36" s="1"/>
      <c r="U36" s="1"/>
      <c r="V36" s="1"/>
      <c r="W36" s="1"/>
    </row>
    <row r="37" spans="1:23" ht="18" customHeight="1" thickBot="1" x14ac:dyDescent="0.3">
      <c r="A37" s="1"/>
      <c r="B37" s="28" t="s">
        <v>74</v>
      </c>
      <c r="C37" s="34">
        <f>SUM(D30:D33)</f>
        <v>3</v>
      </c>
      <c r="D37" s="11">
        <f>D34</f>
        <v>0</v>
      </c>
      <c r="F37" s="28" t="s">
        <v>209</v>
      </c>
      <c r="G37" s="146">
        <f>D41</f>
        <v>3707379</v>
      </c>
      <c r="I37" s="280" t="s">
        <v>66</v>
      </c>
      <c r="J37" s="279">
        <v>0</v>
      </c>
      <c r="K37" s="279">
        <v>0</v>
      </c>
      <c r="M37" s="280" t="s">
        <v>146</v>
      </c>
      <c r="N37" s="147">
        <v>17609249</v>
      </c>
      <c r="O37" s="147">
        <v>28390841</v>
      </c>
      <c r="P37" s="1"/>
      <c r="Q37" s="80" t="s">
        <v>169</v>
      </c>
      <c r="R37" s="61">
        <f>规则设置!C73*R36</f>
        <v>81131.152754716983</v>
      </c>
      <c r="S37" s="1"/>
      <c r="T37" s="98" t="s">
        <v>170</v>
      </c>
      <c r="U37" s="1"/>
      <c r="V37" s="1"/>
      <c r="W37" s="1"/>
    </row>
    <row r="38" spans="1:23" ht="18" customHeight="1" thickBot="1" x14ac:dyDescent="0.3">
      <c r="A38" s="1"/>
      <c r="B38" s="187" t="s">
        <v>75</v>
      </c>
      <c r="C38" s="188">
        <f>N11-SUM(E30:E33)</f>
        <v>39</v>
      </c>
      <c r="D38" s="189">
        <f>M11-E34</f>
        <v>60</v>
      </c>
      <c r="F38" s="28" t="s">
        <v>210</v>
      </c>
      <c r="G38" s="146">
        <f>ROUNDUP(规则设置!B20*(ROUNDDOWN((J11*0.975+D26*规则设置!C15),0)*0.975+G33*规则设置!C15)*3,0)</f>
        <v>3614694</v>
      </c>
      <c r="I38" s="280" t="s">
        <v>147</v>
      </c>
      <c r="J38" s="279"/>
      <c r="K38" s="279"/>
      <c r="M38" s="280" t="s">
        <v>148</v>
      </c>
      <c r="N38" s="279"/>
      <c r="O38" s="279"/>
      <c r="P38" s="1"/>
      <c r="Q38" s="80" t="s">
        <v>170</v>
      </c>
      <c r="R38" s="101">
        <f>IF(T38&gt;0,T38,)</f>
        <v>359158.05483018875</v>
      </c>
      <c r="S38" s="1"/>
      <c r="T38" s="172">
        <f>(R4/(1+规则设置!B73)-SUM(R9:R34)-R37)*规则设置!D73</f>
        <v>359158.05483018875</v>
      </c>
      <c r="U38" s="1"/>
      <c r="V38" s="1"/>
      <c r="W38" s="1"/>
    </row>
    <row r="39" spans="1:23" ht="18" customHeight="1" thickBot="1" x14ac:dyDescent="0.3">
      <c r="A39" s="1"/>
      <c r="B39" s="138" t="s">
        <v>254</v>
      </c>
      <c r="C39" s="138">
        <f>IF((C38+C37)*规则设置!D47&lt;G41*规则设置!B82,"请核对招聘员工数",0)</f>
        <v>0</v>
      </c>
      <c r="D39" s="138">
        <f>IF((D37+D38)/规则设置!B82&lt;(K11+D26),"请核对工人数量",0)</f>
        <v>0</v>
      </c>
      <c r="F39" s="35" t="s">
        <v>211</v>
      </c>
      <c r="G39" s="123">
        <f>G37+G38+1</f>
        <v>7322074</v>
      </c>
      <c r="I39" s="280" t="s">
        <v>69</v>
      </c>
      <c r="J39" s="147">
        <v>7500</v>
      </c>
      <c r="K39" s="147">
        <v>12000</v>
      </c>
      <c r="M39" s="280" t="s">
        <v>150</v>
      </c>
      <c r="N39" s="147">
        <v>8544901</v>
      </c>
      <c r="O39" s="147">
        <v>17044901</v>
      </c>
      <c r="P39" s="1"/>
      <c r="Q39" s="80" t="s">
        <v>173</v>
      </c>
      <c r="R39" s="61">
        <f>SUM(R9:R38)</f>
        <v>19398483.435509436</v>
      </c>
      <c r="S39" s="1"/>
      <c r="T39" s="1"/>
      <c r="U39" s="1"/>
      <c r="V39" s="1"/>
      <c r="W39" s="1"/>
    </row>
    <row r="40" spans="1:23" ht="18" customHeight="1" thickBot="1" x14ac:dyDescent="0.3">
      <c r="A40" s="1"/>
      <c r="B40" s="274" t="s">
        <v>188</v>
      </c>
      <c r="C40" s="190" t="s">
        <v>189</v>
      </c>
      <c r="D40" s="191" t="s">
        <v>190</v>
      </c>
      <c r="I40" s="280" t="s">
        <v>70</v>
      </c>
      <c r="J40" s="147">
        <v>15000</v>
      </c>
      <c r="K40" s="147">
        <v>24000</v>
      </c>
      <c r="M40" s="280" t="s">
        <v>152</v>
      </c>
      <c r="N40" s="279">
        <v>0</v>
      </c>
      <c r="O40" s="279">
        <v>0</v>
      </c>
      <c r="Q40" s="108" t="s">
        <v>177</v>
      </c>
      <c r="R40" s="89">
        <f>R6-R39</f>
        <v>1077474.1644905657</v>
      </c>
      <c r="S40" s="1"/>
      <c r="T40" s="1"/>
      <c r="U40" s="1"/>
      <c r="V40" s="1"/>
      <c r="W40" s="1"/>
    </row>
    <row r="41" spans="1:23" ht="18" customHeight="1" thickBot="1" x14ac:dyDescent="0.3">
      <c r="A41" s="1"/>
      <c r="B41" s="254"/>
      <c r="C41" s="192">
        <f>G41*3</f>
        <v>2746206</v>
      </c>
      <c r="D41" s="123">
        <f>ROUNDUP(规则设置!B20*C41,0)</f>
        <v>3707379</v>
      </c>
      <c r="F41" s="160" t="s">
        <v>191</v>
      </c>
      <c r="G41" s="161">
        <f>ROUNDDOWN(J11*0.975+D26*规则设置!C15,0)</f>
        <v>915402</v>
      </c>
      <c r="I41" s="280" t="s">
        <v>71</v>
      </c>
      <c r="J41" s="147">
        <v>551250</v>
      </c>
      <c r="K41" s="147">
        <v>706500</v>
      </c>
      <c r="L41" s="1"/>
      <c r="M41" s="280" t="s">
        <v>156</v>
      </c>
      <c r="N41" s="147">
        <v>8544901</v>
      </c>
      <c r="O41" s="147">
        <v>17044901</v>
      </c>
    </row>
    <row r="42" spans="1:23" ht="18" customHeight="1" thickBot="1" x14ac:dyDescent="0.3">
      <c r="A42" s="1"/>
      <c r="I42" s="280" t="s">
        <v>157</v>
      </c>
      <c r="J42" s="279">
        <v>0</v>
      </c>
      <c r="K42" s="279">
        <v>0</v>
      </c>
      <c r="L42" s="1"/>
      <c r="M42" s="280" t="s">
        <v>158</v>
      </c>
      <c r="N42" s="147">
        <v>9064348</v>
      </c>
      <c r="O42" s="147">
        <v>11345940</v>
      </c>
    </row>
    <row r="43" spans="1:23" ht="18" customHeight="1" thickBot="1" x14ac:dyDescent="0.3">
      <c r="A43" s="1"/>
      <c r="I43" s="280" t="s">
        <v>160</v>
      </c>
      <c r="J43" s="147">
        <v>619381</v>
      </c>
      <c r="K43" s="147">
        <v>357036</v>
      </c>
      <c r="L43" s="1"/>
      <c r="M43" s="1"/>
      <c r="N43" s="1"/>
      <c r="O43" s="1"/>
    </row>
    <row r="44" spans="1:23" ht="18" customHeight="1" thickBot="1" x14ac:dyDescent="0.3">
      <c r="A44" s="1"/>
      <c r="I44" s="280" t="s">
        <v>83</v>
      </c>
      <c r="J44" s="279">
        <v>0</v>
      </c>
      <c r="K44" s="147">
        <v>13630</v>
      </c>
      <c r="L44" s="1"/>
      <c r="M44" s="1"/>
      <c r="N44" s="1"/>
      <c r="O44" s="1"/>
    </row>
    <row r="45" spans="1:23" ht="18" customHeight="1" thickBot="1" x14ac:dyDescent="0.3">
      <c r="A45" s="1"/>
      <c r="I45" s="280" t="s">
        <v>162</v>
      </c>
      <c r="J45" s="279"/>
      <c r="K45" s="279"/>
      <c r="L45" s="1"/>
      <c r="M45" s="1"/>
      <c r="N45" s="1"/>
      <c r="O45" s="1"/>
    </row>
    <row r="46" spans="1:23" ht="18" customHeight="1" thickBot="1" x14ac:dyDescent="0.3">
      <c r="A46" s="1"/>
      <c r="I46" s="280" t="s">
        <v>164</v>
      </c>
      <c r="J46" s="147">
        <v>85449</v>
      </c>
      <c r="K46" s="147">
        <v>170449</v>
      </c>
      <c r="L46" s="1"/>
      <c r="M46" s="1"/>
      <c r="N46" s="1"/>
      <c r="O46" s="1"/>
    </row>
    <row r="47" spans="1:23" ht="18" customHeight="1" thickBot="1" x14ac:dyDescent="0.3">
      <c r="A47" s="1"/>
      <c r="I47" s="280" t="s">
        <v>165</v>
      </c>
      <c r="J47" s="279"/>
      <c r="K47" s="279"/>
      <c r="L47" s="1"/>
      <c r="M47" s="1"/>
      <c r="N47" s="1"/>
      <c r="O47" s="1"/>
    </row>
    <row r="48" spans="1:23" ht="18" customHeight="1" thickBot="1" x14ac:dyDescent="0.3">
      <c r="A48" s="1"/>
      <c r="I48" s="280" t="s">
        <v>167</v>
      </c>
      <c r="J48" s="147">
        <v>810762</v>
      </c>
      <c r="K48" s="147">
        <v>987541</v>
      </c>
      <c r="L48" s="1"/>
      <c r="M48" s="1"/>
      <c r="N48" s="1"/>
      <c r="O48" s="1"/>
    </row>
    <row r="49" spans="1:15" ht="18" customHeight="1" thickBot="1" x14ac:dyDescent="0.3">
      <c r="A49" s="1"/>
      <c r="C49" s="1"/>
      <c r="D49" s="1"/>
      <c r="E49" s="1"/>
      <c r="F49" s="1"/>
      <c r="G49" s="1"/>
      <c r="H49" s="1"/>
      <c r="I49" s="280" t="s">
        <v>169</v>
      </c>
      <c r="J49" s="147">
        <v>56753</v>
      </c>
      <c r="K49" s="147">
        <v>69128</v>
      </c>
      <c r="L49" s="1"/>
      <c r="M49" s="1"/>
      <c r="N49" s="1"/>
      <c r="O49" s="1"/>
    </row>
    <row r="50" spans="1:15" ht="18" customHeight="1" thickBot="1" x14ac:dyDescent="0.3">
      <c r="A50" s="1"/>
      <c r="E50" s="1"/>
      <c r="F50" s="1"/>
      <c r="G50" s="1"/>
      <c r="H50" s="1"/>
      <c r="I50" s="280" t="s">
        <v>170</v>
      </c>
      <c r="J50" s="147">
        <v>1029243</v>
      </c>
      <c r="K50" s="147">
        <v>760531</v>
      </c>
      <c r="L50" s="1"/>
      <c r="M50" s="1"/>
      <c r="N50" s="1"/>
      <c r="O50" s="1"/>
    </row>
    <row r="51" spans="1:15" ht="18" customHeight="1" thickBot="1" x14ac:dyDescent="0.3">
      <c r="A51" s="1"/>
      <c r="E51" s="1"/>
      <c r="F51" s="1"/>
      <c r="G51" s="1"/>
      <c r="H51" s="1"/>
      <c r="I51" s="280" t="s">
        <v>173</v>
      </c>
      <c r="J51" s="147">
        <v>11235736</v>
      </c>
      <c r="K51" s="147">
        <v>15164970</v>
      </c>
      <c r="L51" s="1"/>
      <c r="M51" s="1"/>
      <c r="N51" s="1"/>
      <c r="O51" s="1"/>
    </row>
    <row r="52" spans="1:15" ht="18" customHeight="1" thickBot="1" x14ac:dyDescent="0.3">
      <c r="A52" s="1"/>
      <c r="E52" s="1"/>
      <c r="H52" s="1"/>
      <c r="I52" s="280" t="s">
        <v>177</v>
      </c>
      <c r="J52" s="147">
        <v>3087728</v>
      </c>
      <c r="K52" s="147">
        <v>2281593</v>
      </c>
      <c r="L52" s="1"/>
      <c r="M52" s="1"/>
      <c r="N52" s="1"/>
      <c r="O52" s="1"/>
    </row>
    <row r="53" spans="1:15" ht="18" customHeight="1" x14ac:dyDescent="0.25">
      <c r="A53" s="1"/>
      <c r="E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1"/>
      <c r="E54" s="1"/>
      <c r="H54" s="1"/>
      <c r="J54" s="1"/>
      <c r="K54" s="1"/>
      <c r="L54" s="1"/>
      <c r="M54" s="1"/>
      <c r="N54" s="1"/>
      <c r="O54" s="1"/>
    </row>
    <row r="55" spans="1:15" ht="18" customHeight="1" x14ac:dyDescent="0.25">
      <c r="A55" s="1"/>
      <c r="E55" s="1"/>
      <c r="H55" s="1"/>
      <c r="J55" s="1"/>
      <c r="K55" s="1"/>
      <c r="L55" s="1"/>
      <c r="M55" s="1"/>
      <c r="N55" s="1"/>
      <c r="O55" s="1"/>
    </row>
  </sheetData>
  <mergeCells count="20">
    <mergeCell ref="M30:O30"/>
    <mergeCell ref="B34:C34"/>
    <mergeCell ref="B40:B41"/>
    <mergeCell ref="B20:E20"/>
    <mergeCell ref="C22:E22"/>
    <mergeCell ref="B24:D24"/>
    <mergeCell ref="B28:E28"/>
    <mergeCell ref="B29:C29"/>
    <mergeCell ref="B30:B33"/>
    <mergeCell ref="T19:U19"/>
    <mergeCell ref="B2:F2"/>
    <mergeCell ref="I2:N2"/>
    <mergeCell ref="Q2:R2"/>
    <mergeCell ref="T2:U2"/>
    <mergeCell ref="B8:E8"/>
    <mergeCell ref="D9:E9"/>
    <mergeCell ref="D10:E10"/>
    <mergeCell ref="B13:F13"/>
    <mergeCell ref="I13:K13"/>
    <mergeCell ref="M13:O1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1AB7-9A00-4F4D-ACA4-EB1389DB27E6}">
  <dimension ref="A1:W56"/>
  <sheetViews>
    <sheetView zoomScale="85" zoomScaleNormal="85" workbookViewId="0">
      <selection activeCell="F24" sqref="F24"/>
    </sheetView>
  </sheetViews>
  <sheetFormatPr defaultColWidth="15.77734375" defaultRowHeight="13.8" x14ac:dyDescent="0.25"/>
  <cols>
    <col min="1" max="1" width="8.77734375" customWidth="1"/>
  </cols>
  <sheetData>
    <row r="1" spans="1:23" ht="18" customHeight="1" thickBot="1" x14ac:dyDescent="0.3">
      <c r="A1" s="1"/>
      <c r="B1" s="1"/>
      <c r="C1" s="1"/>
      <c r="D1" s="1"/>
      <c r="E1" s="1"/>
      <c r="F1" s="1"/>
      <c r="G1" s="1"/>
      <c r="P1" s="1"/>
      <c r="Q1" s="1"/>
      <c r="R1" s="1"/>
      <c r="S1" s="1"/>
      <c r="T1" s="1"/>
      <c r="U1" s="1"/>
      <c r="V1" s="1"/>
      <c r="W1" s="1"/>
    </row>
    <row r="2" spans="1:23" ht="18" customHeight="1" thickBot="1" x14ac:dyDescent="0.3">
      <c r="A2" s="1"/>
      <c r="B2" s="241" t="s">
        <v>90</v>
      </c>
      <c r="C2" s="265"/>
      <c r="D2" s="265"/>
      <c r="E2" s="265"/>
      <c r="F2" s="242"/>
      <c r="G2" s="2" t="s">
        <v>194</v>
      </c>
      <c r="H2" s="163">
        <f>U15</f>
        <v>2486572.5609669834</v>
      </c>
      <c r="I2" s="277" t="s">
        <v>233</v>
      </c>
      <c r="J2" s="277"/>
      <c r="K2" s="277"/>
      <c r="L2" s="277"/>
      <c r="M2" s="277"/>
      <c r="N2" s="278"/>
      <c r="P2" s="1"/>
      <c r="Q2" s="241" t="s">
        <v>91</v>
      </c>
      <c r="R2" s="242"/>
      <c r="S2" s="1"/>
      <c r="T2" s="241" t="s">
        <v>92</v>
      </c>
      <c r="U2" s="242"/>
      <c r="V2" s="1"/>
      <c r="W2" s="1"/>
    </row>
    <row r="3" spans="1:23" ht="18" customHeight="1" thickBot="1" x14ac:dyDescent="0.3">
      <c r="A3" s="1"/>
      <c r="B3" s="53"/>
      <c r="C3" s="156" t="s">
        <v>93</v>
      </c>
      <c r="D3" s="156" t="s">
        <v>94</v>
      </c>
      <c r="E3" s="156" t="s">
        <v>95</v>
      </c>
      <c r="F3" s="157" t="s">
        <v>96</v>
      </c>
      <c r="G3" s="27"/>
      <c r="H3" s="164"/>
      <c r="I3" s="148" t="s">
        <v>174</v>
      </c>
      <c r="J3" s="148" t="s">
        <v>15</v>
      </c>
      <c r="K3" s="148" t="s">
        <v>175</v>
      </c>
      <c r="L3" s="148" t="s">
        <v>205</v>
      </c>
      <c r="M3" s="148" t="s">
        <v>176</v>
      </c>
      <c r="N3" s="148" t="s">
        <v>17</v>
      </c>
      <c r="O3" s="1" t="s">
        <v>206</v>
      </c>
      <c r="P3" s="19" t="s">
        <v>192</v>
      </c>
      <c r="Q3" s="56" t="s">
        <v>97</v>
      </c>
      <c r="R3" s="57"/>
      <c r="S3" s="1"/>
      <c r="T3" s="56" t="s">
        <v>98</v>
      </c>
      <c r="U3" s="57"/>
      <c r="V3" s="1"/>
      <c r="W3" s="1"/>
    </row>
    <row r="4" spans="1:23" ht="18" customHeight="1" thickBot="1" x14ac:dyDescent="0.3">
      <c r="A4" s="1"/>
      <c r="B4" s="152" t="s">
        <v>99</v>
      </c>
      <c r="C4" s="58">
        <f>第六季!C4</f>
        <v>6</v>
      </c>
      <c r="D4" s="58">
        <f>第六季!D4</f>
        <v>5</v>
      </c>
      <c r="E4" s="58">
        <f>第六季!E4</f>
        <v>5</v>
      </c>
      <c r="F4" s="59">
        <f>第六季!F4</f>
        <v>4</v>
      </c>
      <c r="G4" s="27" t="s">
        <v>195</v>
      </c>
      <c r="H4" s="164">
        <f>0.5*U4-U15-O28</f>
        <v>-1422991.5609669834</v>
      </c>
      <c r="I4" s="279" t="s">
        <v>93</v>
      </c>
      <c r="J4" s="147">
        <v>943302</v>
      </c>
      <c r="K4" s="147">
        <v>943302</v>
      </c>
      <c r="L4" s="279">
        <v>13.7</v>
      </c>
      <c r="M4" s="147">
        <v>56931</v>
      </c>
      <c r="N4" s="279">
        <v>16</v>
      </c>
      <c r="O4" s="1">
        <f>K4/(L4/100)</f>
        <v>6885416.0583941611</v>
      </c>
      <c r="P4" s="124">
        <f>IF(G12&lt;=N11*规则设置!D47,C5*C12+D5*D12+E5*E12+F5*F12,(C5*N4+D5*N5+E5*N6+F5*N7)*规则设置!D47)-(M4*C5+M5*D5+M6*E5+M7*F5)</f>
        <v>16751856.600000001</v>
      </c>
      <c r="Q4" s="125" t="s">
        <v>193</v>
      </c>
      <c r="R4" s="126">
        <f>C5*C12+D5*D12+E5*E12+F5*F12</f>
        <v>19551842</v>
      </c>
      <c r="S4" s="1"/>
      <c r="T4" s="185" t="s">
        <v>100</v>
      </c>
      <c r="U4" s="61">
        <f>R4</f>
        <v>19551842</v>
      </c>
    </row>
    <row r="5" spans="1:23" ht="18" customHeight="1" thickBot="1" x14ac:dyDescent="0.3">
      <c r="A5" s="1"/>
      <c r="B5" s="152" t="s">
        <v>101</v>
      </c>
      <c r="C5" s="128">
        <v>6.1</v>
      </c>
      <c r="D5" s="128">
        <v>6.1</v>
      </c>
      <c r="E5" s="128">
        <v>6.1</v>
      </c>
      <c r="F5" s="166">
        <v>6.1</v>
      </c>
      <c r="G5" s="27"/>
      <c r="H5" s="164"/>
      <c r="I5" s="279" t="s">
        <v>94</v>
      </c>
      <c r="J5" s="147">
        <v>734714</v>
      </c>
      <c r="K5" s="147">
        <v>734714</v>
      </c>
      <c r="L5" s="279">
        <v>10.88</v>
      </c>
      <c r="M5" s="147">
        <v>208936</v>
      </c>
      <c r="N5" s="279">
        <v>13</v>
      </c>
      <c r="O5" s="1">
        <f>K5/(L5/100)</f>
        <v>6752886.0294117639</v>
      </c>
      <c r="P5" s="129">
        <f>IF(G12&lt;=N11*规则设置!D47,,"注意填写库存！")</f>
        <v>0</v>
      </c>
      <c r="Q5" s="64" t="s">
        <v>102</v>
      </c>
      <c r="R5" s="61"/>
      <c r="S5" s="1"/>
      <c r="T5" s="185" t="s">
        <v>102</v>
      </c>
      <c r="U5" s="61">
        <f>R5</f>
        <v>0</v>
      </c>
    </row>
    <row r="6" spans="1:23" ht="18" customHeight="1" thickBot="1" x14ac:dyDescent="0.3">
      <c r="A6" s="1"/>
      <c r="B6" s="153" t="s">
        <v>26</v>
      </c>
      <c r="C6" s="167">
        <v>1000000</v>
      </c>
      <c r="D6" s="167">
        <v>1000000</v>
      </c>
      <c r="E6" s="167">
        <v>0</v>
      </c>
      <c r="F6" s="167">
        <v>1000000</v>
      </c>
      <c r="G6" s="7" t="s">
        <v>222</v>
      </c>
      <c r="H6" s="165">
        <f>ROUNDUP(U14-0.5*U4-O28-1,0)</f>
        <v>-1422993</v>
      </c>
      <c r="I6" s="279" t="s">
        <v>95</v>
      </c>
      <c r="J6" s="279">
        <v>0</v>
      </c>
      <c r="K6" s="279">
        <v>0</v>
      </c>
      <c r="L6" s="279">
        <v>0</v>
      </c>
      <c r="M6" s="279">
        <v>0</v>
      </c>
      <c r="N6" s="279">
        <v>0</v>
      </c>
      <c r="O6" s="1" t="e">
        <f>K6/(L6/100)</f>
        <v>#DIV/0!</v>
      </c>
      <c r="P6" s="1"/>
      <c r="Q6" s="181" t="s">
        <v>103</v>
      </c>
      <c r="R6" s="61">
        <f>R4+R5</f>
        <v>19551842</v>
      </c>
      <c r="S6" s="1"/>
      <c r="T6" s="185" t="s">
        <v>104</v>
      </c>
      <c r="U6" s="61">
        <f>C21</f>
        <v>0</v>
      </c>
    </row>
    <row r="7" spans="1:23" ht="18" customHeight="1" thickBot="1" x14ac:dyDescent="0.3">
      <c r="A7" s="1"/>
      <c r="B7" s="1"/>
      <c r="C7" s="1"/>
      <c r="D7" s="1"/>
      <c r="E7" s="214" t="s">
        <v>270</v>
      </c>
      <c r="F7" s="24"/>
      <c r="G7" s="1"/>
      <c r="I7" s="279" t="s">
        <v>96</v>
      </c>
      <c r="J7" s="147">
        <v>706853</v>
      </c>
      <c r="K7" s="147">
        <v>706853</v>
      </c>
      <c r="L7" s="279">
        <v>10.8</v>
      </c>
      <c r="M7" s="147">
        <v>193147</v>
      </c>
      <c r="N7" s="279">
        <v>13</v>
      </c>
      <c r="O7" s="1">
        <f>K7/(L7/100)</f>
        <v>6544935.1851851847</v>
      </c>
      <c r="P7" s="1"/>
      <c r="Q7" s="68" t="s">
        <v>105</v>
      </c>
      <c r="R7" s="61"/>
      <c r="S7" s="1"/>
      <c r="T7" s="185" t="s">
        <v>106</v>
      </c>
      <c r="U7" s="61">
        <f>SUM(U4:U6)</f>
        <v>19551842</v>
      </c>
    </row>
    <row r="8" spans="1:23" ht="18" customHeight="1" thickBot="1" x14ac:dyDescent="0.3">
      <c r="A8" s="1"/>
      <c r="B8" s="235" t="s">
        <v>107</v>
      </c>
      <c r="C8" s="236"/>
      <c r="D8" s="265"/>
      <c r="E8" s="242"/>
      <c r="F8" s="154" t="s">
        <v>196</v>
      </c>
      <c r="G8" s="127">
        <f>ROUNDDOWN(F9*1.5,0)</f>
        <v>1373103</v>
      </c>
      <c r="H8" t="s">
        <v>262</v>
      </c>
      <c r="I8" s="148" t="s">
        <v>178</v>
      </c>
      <c r="J8" s="148" t="s">
        <v>179</v>
      </c>
      <c r="K8" s="148" t="s">
        <v>180</v>
      </c>
      <c r="L8" s="148" t="s">
        <v>176</v>
      </c>
      <c r="M8" s="148" t="s">
        <v>181</v>
      </c>
      <c r="N8" s="148" t="s">
        <v>207</v>
      </c>
      <c r="O8" s="1"/>
      <c r="P8" s="1"/>
      <c r="Q8" s="70" t="s">
        <v>108</v>
      </c>
      <c r="R8" s="61"/>
      <c r="S8" s="1"/>
      <c r="T8" s="68" t="s">
        <v>109</v>
      </c>
      <c r="U8" s="61"/>
    </row>
    <row r="9" spans="1:23" ht="18" customHeight="1" thickBot="1" x14ac:dyDescent="0.3">
      <c r="A9" s="1"/>
      <c r="B9" s="125" t="s">
        <v>255</v>
      </c>
      <c r="C9" s="194" t="s">
        <v>256</v>
      </c>
      <c r="D9" s="269" t="s">
        <v>3</v>
      </c>
      <c r="E9" s="270"/>
      <c r="F9" s="79">
        <f>I11</f>
        <v>915402</v>
      </c>
      <c r="G9" s="127">
        <f>ROUNDDOWN(F9*2.5,0)</f>
        <v>2288505</v>
      </c>
      <c r="H9">
        <v>3</v>
      </c>
      <c r="I9" s="147">
        <v>2384869</v>
      </c>
      <c r="J9" s="147">
        <v>2816622</v>
      </c>
      <c r="K9" s="147">
        <v>2384869</v>
      </c>
      <c r="L9" s="147">
        <v>459014</v>
      </c>
      <c r="M9" s="147">
        <v>4112380</v>
      </c>
      <c r="N9" s="279">
        <v>8.85</v>
      </c>
      <c r="O9" s="1">
        <f>K9/(N9/100)</f>
        <v>26947672.316384181</v>
      </c>
      <c r="P9" s="1"/>
      <c r="Q9" s="181" t="s">
        <v>111</v>
      </c>
      <c r="R9" s="61">
        <f>D10</f>
        <v>1</v>
      </c>
      <c r="S9" s="1"/>
      <c r="T9" s="185" t="s">
        <v>112</v>
      </c>
      <c r="U9" s="61">
        <f>SUM(R9+R10+R11+R13+R14+R15+R16+R20+R21+R22+R24+R25+R27+R28+R29+R30+R31+R32+R34+R36+R37+R38+R23)</f>
        <v>11553158.189033018</v>
      </c>
      <c r="V9" s="1"/>
      <c r="W9" s="1"/>
    </row>
    <row r="10" spans="1:23" ht="18" customHeight="1" thickBot="1" x14ac:dyDescent="0.3">
      <c r="A10" s="1"/>
      <c r="B10" s="196">
        <v>2746206</v>
      </c>
      <c r="C10" s="195">
        <f>I11*3</f>
        <v>2746206</v>
      </c>
      <c r="D10" s="262">
        <v>1</v>
      </c>
      <c r="E10" s="264"/>
      <c r="F10" s="1"/>
      <c r="G10" s="127">
        <f>ROUNDDOWN(F9*3,0)</f>
        <v>2746206</v>
      </c>
      <c r="I10" s="148" t="s">
        <v>183</v>
      </c>
      <c r="J10" s="148" t="s">
        <v>184</v>
      </c>
      <c r="K10" s="148" t="s">
        <v>185</v>
      </c>
      <c r="L10" s="148" t="s">
        <v>186</v>
      </c>
      <c r="M10" s="148" t="s">
        <v>163</v>
      </c>
      <c r="N10" s="148" t="s">
        <v>17</v>
      </c>
      <c r="O10" s="1"/>
      <c r="P10" s="1"/>
      <c r="Q10" s="181" t="s">
        <v>32</v>
      </c>
      <c r="R10" s="60">
        <f>IF(B10&lt;=0,0,IF(B10&lt;=G8,规则设置!D24,IF(B10&lt;=G9,规则设置!D25,IF(B10&lt;=G10,规则设置!D26,"请检查计划产量!"))))</f>
        <v>20000</v>
      </c>
      <c r="S10" s="1"/>
      <c r="T10" s="185" t="s">
        <v>113</v>
      </c>
      <c r="U10" s="61">
        <f>(F24+C26)*E26</f>
        <v>4012111.25</v>
      </c>
      <c r="V10" s="1"/>
      <c r="W10" s="1"/>
    </row>
    <row r="11" spans="1:23" ht="18" customHeight="1" thickBot="1" x14ac:dyDescent="0.3">
      <c r="A11" s="1"/>
      <c r="B11" s="32" t="s">
        <v>197</v>
      </c>
      <c r="C11" s="130">
        <f>ROUNDDOWN((M9+C26)/规则设置!B20,0)</f>
        <v>3046207</v>
      </c>
      <c r="D11" s="1"/>
      <c r="E11" s="1"/>
      <c r="F11" s="1"/>
      <c r="G11" s="1"/>
      <c r="I11" s="147">
        <v>915402</v>
      </c>
      <c r="J11" s="147">
        <v>915402</v>
      </c>
      <c r="K11" s="279">
        <v>20</v>
      </c>
      <c r="L11" s="279">
        <v>102</v>
      </c>
      <c r="M11" s="279">
        <v>60</v>
      </c>
      <c r="N11" s="279">
        <v>42</v>
      </c>
      <c r="O11" s="1"/>
      <c r="P11" s="131">
        <f>R11/B10</f>
        <v>1.4</v>
      </c>
      <c r="Q11" s="181" t="s">
        <v>39</v>
      </c>
      <c r="R11" s="60">
        <f>IF(B10&lt;=0,0,IF(B10&lt;=F9,规则设置!B30*B10,IF(B10&lt;=G8,规则设置!B30*B10+规则设置!C30*(B10-F9),IF(B10&lt;=2*F9,规则设置!B30*B10+规则设置!B32*(B10-F9),IF(B10&lt;=G9,规则设置!B30*F9+规则设置!B32*F9+规则设置!C32*(B10-2*F9),IF(B10&lt;=G10,规则设置!B30*F9+规则设置!B32*F9+规则设置!B34*(B10-2*F9),"检查计划产量！"))))))</f>
        <v>3844688.4</v>
      </c>
      <c r="S11" s="1"/>
      <c r="T11" s="185" t="s">
        <v>114</v>
      </c>
      <c r="U11" s="61">
        <f>规则设置!D50*D26</f>
        <v>0</v>
      </c>
      <c r="V11" s="1"/>
      <c r="W11" s="1"/>
    </row>
    <row r="12" spans="1:23" ht="18" customHeight="1" thickBot="1" x14ac:dyDescent="0.3">
      <c r="A12" s="1"/>
      <c r="B12" s="158" t="s">
        <v>198</v>
      </c>
      <c r="C12" s="133">
        <f>M4+C15</f>
        <v>1256931</v>
      </c>
      <c r="D12" s="133">
        <f>M5+D15</f>
        <v>993936</v>
      </c>
      <c r="E12" s="133">
        <f>M6+E15</f>
        <v>0</v>
      </c>
      <c r="F12" s="134">
        <f>M7+F15</f>
        <v>954353</v>
      </c>
      <c r="G12" s="127">
        <f>SUM(C12:F12)</f>
        <v>3205220</v>
      </c>
      <c r="P12" s="135">
        <f>B10*规则设置!D82</f>
        <v>3844688.4</v>
      </c>
      <c r="Q12" s="181" t="s">
        <v>115</v>
      </c>
      <c r="R12" s="61">
        <f>F26*G26</f>
        <v>4634222.625</v>
      </c>
      <c r="S12" s="1"/>
      <c r="T12" s="185" t="s">
        <v>116</v>
      </c>
      <c r="U12" s="61">
        <f>E21</f>
        <v>1500000</v>
      </c>
      <c r="V12" s="1"/>
      <c r="W12" s="1"/>
    </row>
    <row r="13" spans="1:23" ht="18" customHeight="1" thickBot="1" x14ac:dyDescent="0.3">
      <c r="A13" s="1"/>
      <c r="B13" s="241" t="s">
        <v>117</v>
      </c>
      <c r="C13" s="265"/>
      <c r="D13" s="265"/>
      <c r="E13" s="265"/>
      <c r="F13" s="242"/>
      <c r="G13" s="1"/>
      <c r="I13" s="266" t="s">
        <v>234</v>
      </c>
      <c r="J13" s="267"/>
      <c r="K13" s="268"/>
      <c r="M13" s="266" t="s">
        <v>235</v>
      </c>
      <c r="N13" s="267"/>
      <c r="O13" s="268"/>
      <c r="P13" s="1"/>
      <c r="Q13" s="181" t="s">
        <v>47</v>
      </c>
      <c r="R13" s="60">
        <f>IF(F24&lt;1,0,IF(F24&lt;=规则设置!C41,规则设置!D40,IF(F24&lt;=规则设置!C42,规则设置!D41,IF(F24&lt;=规则设置!C43,规则设置!D42,IF(F24&lt;=规则设置!C44,规则设置!D43,规则设置!D44)))))</f>
        <v>200000</v>
      </c>
      <c r="S13" s="1"/>
      <c r="T13" s="185" t="s">
        <v>118</v>
      </c>
      <c r="U13" s="61">
        <f>C22</f>
        <v>0</v>
      </c>
      <c r="V13" s="1"/>
      <c r="W13" s="1"/>
    </row>
    <row r="14" spans="1:23" ht="18" customHeight="1" thickBot="1" x14ac:dyDescent="0.3">
      <c r="A14" s="1"/>
      <c r="B14" s="149"/>
      <c r="C14" s="150" t="s">
        <v>93</v>
      </c>
      <c r="D14" s="150" t="s">
        <v>94</v>
      </c>
      <c r="E14" s="150" t="s">
        <v>95</v>
      </c>
      <c r="F14" s="151" t="s">
        <v>96</v>
      </c>
      <c r="G14" s="127">
        <f>B10</f>
        <v>2746206</v>
      </c>
      <c r="I14" s="148" t="s">
        <v>213</v>
      </c>
      <c r="J14" s="148" t="s">
        <v>214</v>
      </c>
      <c r="K14" s="148" t="s">
        <v>215</v>
      </c>
      <c r="M14" s="148" t="s">
        <v>213</v>
      </c>
      <c r="N14" s="148" t="s">
        <v>214</v>
      </c>
      <c r="O14" s="148" t="s">
        <v>215</v>
      </c>
      <c r="P14" s="1"/>
      <c r="Q14" s="181" t="s">
        <v>119</v>
      </c>
      <c r="R14" s="61">
        <f>C26*(规则设置!B47)</f>
        <v>0</v>
      </c>
      <c r="S14" s="1"/>
      <c r="T14" s="185" t="s">
        <v>120</v>
      </c>
      <c r="U14" s="61">
        <f>SUM(U9:U13)</f>
        <v>17065269.439033017</v>
      </c>
      <c r="V14" s="1"/>
      <c r="W14" s="1"/>
    </row>
    <row r="15" spans="1:23" ht="18" customHeight="1" thickBot="1" x14ac:dyDescent="0.3">
      <c r="A15" s="1"/>
      <c r="B15" s="152" t="s">
        <v>121</v>
      </c>
      <c r="C15" s="88">
        <v>1200000</v>
      </c>
      <c r="D15" s="88">
        <v>785000</v>
      </c>
      <c r="E15" s="88">
        <v>0</v>
      </c>
      <c r="F15" s="136">
        <v>761206</v>
      </c>
      <c r="G15" s="137">
        <f>SUM(C15:F15)</f>
        <v>2746206</v>
      </c>
      <c r="I15" s="280" t="s">
        <v>97</v>
      </c>
      <c r="J15" s="279"/>
      <c r="K15" s="279"/>
      <c r="M15" s="280" t="s">
        <v>98</v>
      </c>
      <c r="N15" s="279"/>
      <c r="O15" s="279"/>
      <c r="P15" s="1"/>
      <c r="Q15" s="181" t="s">
        <v>122</v>
      </c>
      <c r="R15" s="61">
        <f>K11*规则设置!B50</f>
        <v>240000</v>
      </c>
      <c r="S15" s="1"/>
      <c r="T15" s="68" t="s">
        <v>123</v>
      </c>
      <c r="U15" s="61">
        <f>U7-U14</f>
        <v>2486572.5609669834</v>
      </c>
      <c r="V15" s="1"/>
      <c r="W15" s="1" t="s">
        <v>258</v>
      </c>
    </row>
    <row r="16" spans="1:23" ht="18" customHeight="1" thickBot="1" x14ac:dyDescent="0.3">
      <c r="A16" s="1"/>
      <c r="B16" s="152" t="s">
        <v>124</v>
      </c>
      <c r="C16" s="74"/>
      <c r="D16" s="74"/>
      <c r="E16" s="74"/>
      <c r="F16" s="60"/>
      <c r="G16" s="1">
        <f>G14-G15</f>
        <v>0</v>
      </c>
      <c r="I16" s="280" t="s">
        <v>100</v>
      </c>
      <c r="J16" s="147">
        <v>17446563</v>
      </c>
      <c r="K16" s="147">
        <v>17171057</v>
      </c>
      <c r="M16" s="280" t="s">
        <v>100</v>
      </c>
      <c r="N16" s="147">
        <v>17446563</v>
      </c>
      <c r="O16" s="147">
        <v>17171057</v>
      </c>
      <c r="P16" s="1"/>
      <c r="Q16" s="181" t="s">
        <v>125</v>
      </c>
      <c r="R16" s="61">
        <f>规则设置!C50*D26</f>
        <v>0</v>
      </c>
      <c r="S16" s="1"/>
      <c r="T16" s="75" t="s">
        <v>126</v>
      </c>
      <c r="U16" s="76">
        <f>IF((O28+U15)&gt;=0.5*U4,O28+U15,0.5*U4)</f>
        <v>11198912.560966983</v>
      </c>
      <c r="V16" s="1"/>
      <c r="W16" s="1">
        <f>IF((O28+U15)&gt;=0.5*U4,0,1)</f>
        <v>0</v>
      </c>
    </row>
    <row r="17" spans="1:23" ht="18" customHeight="1" thickBot="1" x14ac:dyDescent="0.3">
      <c r="A17" s="1"/>
      <c r="B17" s="202" t="s">
        <v>260</v>
      </c>
      <c r="C17" s="203">
        <f>((C12*C5-(C6+D10/H9+C15*1.35*E26))/C12)</f>
        <v>3.6933441586424918</v>
      </c>
      <c r="D17" s="203">
        <f>((D12*D5-(D6+D10/H9+D15*1.35*E26))/D12)</f>
        <v>3.7611292544657466</v>
      </c>
      <c r="E17" s="203" t="e">
        <f>((E12*E5-(E6+D10/H9+E15*1.35*E26))/E12)</f>
        <v>#DIV/0!</v>
      </c>
      <c r="F17" s="204">
        <f>((F12*F5-(F6+D10/H9+F15*1.35*E26))/F12)</f>
        <v>3.7061945021042177</v>
      </c>
      <c r="G17" s="214" t="s">
        <v>261</v>
      </c>
      <c r="H17" s="218" t="s">
        <v>268</v>
      </c>
      <c r="I17" s="280" t="s">
        <v>216</v>
      </c>
      <c r="J17" s="279">
        <v>0</v>
      </c>
      <c r="K17" s="279">
        <v>0</v>
      </c>
      <c r="M17" s="280" t="s">
        <v>216</v>
      </c>
      <c r="N17" s="279">
        <v>0</v>
      </c>
      <c r="O17" s="279">
        <v>0</v>
      </c>
      <c r="P17" s="1"/>
      <c r="Q17" s="181" t="s">
        <v>60</v>
      </c>
      <c r="R17" s="61">
        <f>规则设置!C52*O36</f>
        <v>228851.15000000002</v>
      </c>
      <c r="S17" s="1"/>
      <c r="T17" s="1"/>
      <c r="U17" s="1"/>
      <c r="V17" s="1"/>
      <c r="W17" s="1"/>
    </row>
    <row r="18" spans="1:23" ht="18" customHeight="1" thickBot="1" x14ac:dyDescent="0.3">
      <c r="A18" s="1"/>
      <c r="B18" s="153"/>
      <c r="C18" s="77"/>
      <c r="D18" s="77"/>
      <c r="E18" s="77"/>
      <c r="F18" s="76"/>
      <c r="G18" s="213">
        <f>R40</f>
        <v>1299554.0359669812</v>
      </c>
      <c r="H18" s="215">
        <f>U30</f>
        <v>12597570.035966985</v>
      </c>
      <c r="I18" s="280" t="s">
        <v>103</v>
      </c>
      <c r="J18" s="147">
        <v>17446563</v>
      </c>
      <c r="K18" s="147">
        <v>17171057</v>
      </c>
      <c r="M18" s="280" t="s">
        <v>104</v>
      </c>
      <c r="N18" s="147">
        <v>8500000</v>
      </c>
      <c r="O18" s="279">
        <v>0</v>
      </c>
      <c r="P18" s="1"/>
      <c r="Q18" s="181" t="s">
        <v>127</v>
      </c>
      <c r="R18" s="61">
        <f>O35-U23</f>
        <v>1836056</v>
      </c>
      <c r="S18" s="1"/>
      <c r="T18" s="1"/>
      <c r="U18" s="1"/>
      <c r="V18" s="1"/>
      <c r="W18" s="1"/>
    </row>
    <row r="19" spans="1:23" ht="18" customHeight="1" thickBot="1" x14ac:dyDescent="0.3">
      <c r="A19" s="1"/>
      <c r="B19" s="138" t="s">
        <v>199</v>
      </c>
      <c r="C19" s="138">
        <f>IF(C12&gt;规则设置!D47*N4,"请核对产品数量！",)</f>
        <v>0</v>
      </c>
      <c r="D19" s="138">
        <f>IF(D12&gt;规则设置!D47*N5,"请核对产品数量！",)</f>
        <v>0</v>
      </c>
      <c r="E19" s="138">
        <f>IF(E12&gt;规则设置!D47*N6,"请核对产品数量！",)</f>
        <v>0</v>
      </c>
      <c r="F19" s="139">
        <f>IF(F12&gt;规则设置!D47*N7,"请核对产品数量！",)</f>
        <v>0</v>
      </c>
      <c r="G19" s="214" t="s">
        <v>273</v>
      </c>
      <c r="I19" s="280" t="s">
        <v>105</v>
      </c>
      <c r="J19" s="279"/>
      <c r="K19" s="279"/>
      <c r="M19" s="280" t="s">
        <v>106</v>
      </c>
      <c r="N19" s="147">
        <v>25946563</v>
      </c>
      <c r="O19" s="147">
        <v>17171057</v>
      </c>
      <c r="P19" s="1"/>
      <c r="Q19" s="70" t="s">
        <v>128</v>
      </c>
      <c r="R19" s="61"/>
      <c r="S19" s="1"/>
      <c r="T19" s="241" t="s">
        <v>129</v>
      </c>
      <c r="U19" s="242"/>
      <c r="V19" s="1"/>
      <c r="W19" s="1"/>
    </row>
    <row r="20" spans="1:23" ht="18" customHeight="1" thickBot="1" x14ac:dyDescent="0.3">
      <c r="A20" s="1"/>
      <c r="B20" s="241" t="s">
        <v>130</v>
      </c>
      <c r="C20" s="265"/>
      <c r="D20" s="265"/>
      <c r="E20" s="242"/>
      <c r="F20" s="1"/>
      <c r="G20" s="1"/>
      <c r="I20" s="280" t="s">
        <v>108</v>
      </c>
      <c r="J20" s="279"/>
      <c r="K20" s="279"/>
      <c r="M20" s="280" t="s">
        <v>109</v>
      </c>
      <c r="N20" s="279"/>
      <c r="O20" s="279"/>
      <c r="P20" s="1"/>
      <c r="Q20" s="64" t="s">
        <v>131</v>
      </c>
      <c r="R20" s="61"/>
      <c r="S20" s="1"/>
      <c r="T20" s="56" t="s">
        <v>132</v>
      </c>
      <c r="U20" s="57"/>
      <c r="V20" s="1"/>
      <c r="W20" s="1"/>
    </row>
    <row r="21" spans="1:23" ht="18" customHeight="1" thickBot="1" x14ac:dyDescent="0.3">
      <c r="A21" s="1"/>
      <c r="B21" s="155" t="s">
        <v>104</v>
      </c>
      <c r="C21" s="88">
        <v>0</v>
      </c>
      <c r="D21" s="156" t="s">
        <v>116</v>
      </c>
      <c r="E21" s="136">
        <v>1500000</v>
      </c>
      <c r="F21" s="1" t="s">
        <v>200</v>
      </c>
      <c r="G21" s="140">
        <f>ROUNDUP(H2-H4,0)</f>
        <v>3909565</v>
      </c>
      <c r="H21">
        <f>3000000*1.35</f>
        <v>4050000.0000000005</v>
      </c>
      <c r="I21" s="280" t="s">
        <v>111</v>
      </c>
      <c r="J21" s="147">
        <v>2500000</v>
      </c>
      <c r="K21" s="147">
        <v>2000000</v>
      </c>
      <c r="M21" s="280" t="s">
        <v>112</v>
      </c>
      <c r="N21" s="147">
        <v>11792967</v>
      </c>
      <c r="O21" s="147">
        <v>13958223</v>
      </c>
      <c r="P21" s="1"/>
      <c r="Q21" s="64" t="s">
        <v>133</v>
      </c>
      <c r="R21" s="61"/>
      <c r="S21" s="1"/>
      <c r="T21" s="181" t="s">
        <v>134</v>
      </c>
      <c r="U21" s="61">
        <f>U16</f>
        <v>11198912.560966983</v>
      </c>
      <c r="V21" s="1"/>
      <c r="W21" s="1"/>
    </row>
    <row r="22" spans="1:23" ht="18" customHeight="1" thickBot="1" x14ac:dyDescent="0.3">
      <c r="A22" s="1"/>
      <c r="B22" s="153" t="s">
        <v>118</v>
      </c>
      <c r="C22" s="262">
        <v>0</v>
      </c>
      <c r="D22" s="263"/>
      <c r="E22" s="264"/>
      <c r="F22" s="1"/>
      <c r="G22" s="141">
        <f>ROUNDUP(H2-H4,0)+ROUNDUP(H2-H4,0)*规则设置!E73/4</f>
        <v>3948660.65</v>
      </c>
      <c r="I22" s="280" t="s">
        <v>32</v>
      </c>
      <c r="J22" s="147">
        <v>20000</v>
      </c>
      <c r="K22" s="147">
        <v>20000</v>
      </c>
      <c r="M22" s="280" t="s">
        <v>113</v>
      </c>
      <c r="N22" s="147">
        <v>9640395</v>
      </c>
      <c r="O22" s="279">
        <v>0</v>
      </c>
      <c r="P22" s="1"/>
      <c r="Q22" s="64" t="s">
        <v>135</v>
      </c>
      <c r="R22" s="61"/>
      <c r="S22" s="1"/>
      <c r="T22" s="181" t="s">
        <v>136</v>
      </c>
      <c r="U22" s="61">
        <f>(F24+C26+M9-B10*1.35)*F26</f>
        <v>4518363.625</v>
      </c>
      <c r="V22" s="127"/>
      <c r="W22" s="1"/>
    </row>
    <row r="23" spans="1:23" ht="18" customHeight="1" thickBot="1" x14ac:dyDescent="0.3">
      <c r="A23" s="1"/>
      <c r="B23" s="1"/>
      <c r="C23" s="1"/>
      <c r="D23" s="1"/>
      <c r="E23" s="1"/>
      <c r="F23" s="1"/>
      <c r="G23" s="1"/>
      <c r="I23" s="280" t="s">
        <v>39</v>
      </c>
      <c r="J23" s="147">
        <v>2752075</v>
      </c>
      <c r="K23" s="147">
        <v>3943270</v>
      </c>
      <c r="M23" s="280" t="s">
        <v>221</v>
      </c>
      <c r="N23" s="147">
        <v>3000000</v>
      </c>
      <c r="O23" s="279">
        <v>0</v>
      </c>
      <c r="P23" s="1"/>
      <c r="Q23" s="80" t="s">
        <v>137</v>
      </c>
      <c r="R23" s="61">
        <f>SUM(C6:F6)</f>
        <v>3000000</v>
      </c>
      <c r="S23" s="1"/>
      <c r="T23" s="181" t="s">
        <v>138</v>
      </c>
      <c r="U23" s="61">
        <f>规则设置!B79*(B10-C15-D15-E15-F15)</f>
        <v>0</v>
      </c>
      <c r="V23" s="1"/>
      <c r="W23" s="1"/>
    </row>
    <row r="24" spans="1:23" ht="18" customHeight="1" thickBot="1" x14ac:dyDescent="0.3">
      <c r="A24" s="1"/>
      <c r="B24" s="241" t="s">
        <v>139</v>
      </c>
      <c r="C24" s="265"/>
      <c r="D24" s="242"/>
      <c r="E24" s="32" t="s">
        <v>252</v>
      </c>
      <c r="F24" s="184">
        <v>3209689</v>
      </c>
      <c r="G24" s="1"/>
      <c r="I24" s="280" t="s">
        <v>115</v>
      </c>
      <c r="J24" s="147">
        <v>3317233</v>
      </c>
      <c r="K24" s="147">
        <v>4753049</v>
      </c>
      <c r="M24" s="280" t="s">
        <v>116</v>
      </c>
      <c r="N24" s="279">
        <v>0</v>
      </c>
      <c r="O24" s="147">
        <v>3500000</v>
      </c>
      <c r="P24" s="1"/>
      <c r="Q24" s="80" t="s">
        <v>61</v>
      </c>
      <c r="R24" s="61">
        <f>规则设置!C55*C15+规则设置!D55*D15+规则设置!E55*E15+规则设置!F55*F15</f>
        <v>939103</v>
      </c>
      <c r="S24" s="1"/>
      <c r="T24" s="181" t="s">
        <v>140</v>
      </c>
      <c r="U24" s="61">
        <f>O36-R17+U11</f>
        <v>8925194.8499999996</v>
      </c>
      <c r="V24" s="1"/>
      <c r="W24" s="1"/>
    </row>
    <row r="25" spans="1:23" ht="18" customHeight="1" thickBot="1" x14ac:dyDescent="0.3">
      <c r="A25" s="1"/>
      <c r="B25" s="155" t="s">
        <v>141</v>
      </c>
      <c r="C25" s="156" t="s">
        <v>142</v>
      </c>
      <c r="D25" s="157" t="s">
        <v>143</v>
      </c>
      <c r="E25" s="19" t="s">
        <v>2</v>
      </c>
      <c r="F25" s="19" t="s">
        <v>257</v>
      </c>
      <c r="G25" s="19" t="s">
        <v>145</v>
      </c>
      <c r="H25" s="19" t="s">
        <v>250</v>
      </c>
      <c r="I25" s="280" t="s">
        <v>266</v>
      </c>
      <c r="J25" s="147">
        <v>200000</v>
      </c>
      <c r="K25" s="279">
        <v>0</v>
      </c>
      <c r="M25" s="280" t="s">
        <v>118</v>
      </c>
      <c r="N25" s="279">
        <v>0</v>
      </c>
      <c r="O25" s="279">
        <v>0</v>
      </c>
      <c r="P25" s="1"/>
      <c r="Q25" s="181" t="s">
        <v>66</v>
      </c>
      <c r="R25" s="61">
        <f>规则设置!B12*C26</f>
        <v>0</v>
      </c>
      <c r="S25" s="1"/>
      <c r="T25" s="181" t="s">
        <v>146</v>
      </c>
      <c r="U25" s="61">
        <f>SUM(U21:U24)</f>
        <v>24642471.035966985</v>
      </c>
      <c r="V25" s="1"/>
      <c r="W25" s="1"/>
    </row>
    <row r="26" spans="1:23" ht="18" customHeight="1" thickBot="1" x14ac:dyDescent="0.3">
      <c r="A26" s="1"/>
      <c r="B26" s="159">
        <f>ROUNDDOWN(D41-(M9-B10*1.35),0)+1</f>
        <v>3209689</v>
      </c>
      <c r="C26" s="219">
        <f>IF(B10*1.35-M9&lt;=0,0,B10*1.35-M9)</f>
        <v>0</v>
      </c>
      <c r="D26" s="82">
        <v>0</v>
      </c>
      <c r="E26" s="83">
        <v>1.25</v>
      </c>
      <c r="F26" s="52">
        <f>(U10+O34)/(F24+M9+C26)</f>
        <v>1.25</v>
      </c>
      <c r="G26" s="84">
        <f>规则设置!B20*B10</f>
        <v>3707378.1</v>
      </c>
      <c r="H26" s="84">
        <f>ROUNDDOWN(O42/3/规则设置!D50,0)</f>
        <v>7</v>
      </c>
      <c r="I26" s="280" t="s">
        <v>217</v>
      </c>
      <c r="J26" s="279">
        <v>0</v>
      </c>
      <c r="K26" s="279">
        <v>0</v>
      </c>
      <c r="M26" s="280" t="s">
        <v>120</v>
      </c>
      <c r="N26" s="147">
        <v>24433362</v>
      </c>
      <c r="O26" s="147">
        <v>17458223</v>
      </c>
      <c r="P26" s="1"/>
      <c r="Q26" s="70" t="s">
        <v>147</v>
      </c>
      <c r="R26" s="61"/>
      <c r="S26" s="1"/>
      <c r="T26" s="85" t="s">
        <v>148</v>
      </c>
      <c r="U26" s="61"/>
      <c r="V26" s="1"/>
      <c r="W26" s="1"/>
    </row>
    <row r="27" spans="1:23" ht="18" customHeight="1" thickBot="1" x14ac:dyDescent="0.3">
      <c r="A27" s="1"/>
      <c r="B27" s="1"/>
      <c r="C27" s="1"/>
      <c r="D27" s="1"/>
      <c r="E27" s="1"/>
      <c r="F27" s="1"/>
      <c r="G27" s="1"/>
      <c r="I27" s="280" t="s">
        <v>218</v>
      </c>
      <c r="J27" s="147">
        <v>168000</v>
      </c>
      <c r="K27" s="147">
        <v>240000</v>
      </c>
      <c r="M27" s="280" t="s">
        <v>123</v>
      </c>
      <c r="N27" s="147">
        <v>1513201</v>
      </c>
      <c r="O27" s="147">
        <v>-287167</v>
      </c>
      <c r="P27" s="1"/>
      <c r="Q27" s="86" t="s">
        <v>69</v>
      </c>
      <c r="R27" s="61">
        <f>SUM(D30:D34)*规则设置!B64</f>
        <v>0</v>
      </c>
      <c r="S27" s="1"/>
      <c r="T27" s="181" t="s">
        <v>150</v>
      </c>
      <c r="U27" s="61">
        <f>O41+U6-U12</f>
        <v>12044901</v>
      </c>
      <c r="V27" s="1"/>
      <c r="W27" s="1"/>
    </row>
    <row r="28" spans="1:23" ht="18" customHeight="1" thickBot="1" x14ac:dyDescent="0.3">
      <c r="A28" s="1"/>
      <c r="B28" s="241" t="s">
        <v>151</v>
      </c>
      <c r="C28" s="265"/>
      <c r="D28" s="265"/>
      <c r="E28" s="242"/>
      <c r="F28" s="1"/>
      <c r="I28" s="280" t="s">
        <v>219</v>
      </c>
      <c r="J28" s="147">
        <v>600000</v>
      </c>
      <c r="K28" s="279">
        <v>0</v>
      </c>
      <c r="M28" s="280" t="s">
        <v>126</v>
      </c>
      <c r="N28" s="147">
        <v>8999507</v>
      </c>
      <c r="O28" s="147">
        <v>8712340</v>
      </c>
      <c r="P28" s="1"/>
      <c r="Q28" s="80" t="s">
        <v>70</v>
      </c>
      <c r="R28" s="61">
        <f>SUM(D30:D34)*规则设置!C64</f>
        <v>0</v>
      </c>
      <c r="S28" s="1"/>
      <c r="T28" s="181" t="s">
        <v>152</v>
      </c>
      <c r="U28" s="60">
        <f>IF(W16=0,0,0.5*U4-U15-O28)</f>
        <v>0</v>
      </c>
      <c r="V28" s="1"/>
      <c r="W28" s="1"/>
    </row>
    <row r="29" spans="1:23" ht="18" customHeight="1" thickBot="1" x14ac:dyDescent="0.3">
      <c r="A29" s="1"/>
      <c r="B29" s="271" t="s">
        <v>153</v>
      </c>
      <c r="C29" s="272"/>
      <c r="D29" s="174" t="s">
        <v>154</v>
      </c>
      <c r="E29" s="175" t="s">
        <v>155</v>
      </c>
      <c r="F29" s="1"/>
      <c r="G29">
        <f>1500000*1.35</f>
        <v>2025000.0000000002</v>
      </c>
      <c r="H29">
        <f>1071467*0.975*3</f>
        <v>3134040.9749999996</v>
      </c>
      <c r="I29" s="280" t="s">
        <v>220</v>
      </c>
      <c r="J29" s="147">
        <v>163814</v>
      </c>
      <c r="K29" s="147">
        <v>234719</v>
      </c>
      <c r="P29" s="1"/>
      <c r="Q29" s="80" t="s">
        <v>71</v>
      </c>
      <c r="R29" s="61">
        <f>规则设置!C67*C37+规则设置!D67*D37+规则设置!C68*C38+规则设置!D68*D38</f>
        <v>828000</v>
      </c>
      <c r="S29" s="1"/>
      <c r="T29" s="181" t="s">
        <v>156</v>
      </c>
      <c r="U29" s="61">
        <f>SUM(U27:U28)</f>
        <v>12044901</v>
      </c>
      <c r="V29" s="1"/>
      <c r="W29" s="1"/>
    </row>
    <row r="30" spans="1:23" ht="18" customHeight="1" thickBot="1" x14ac:dyDescent="0.3">
      <c r="A30" s="1"/>
      <c r="B30" s="273" t="s">
        <v>17</v>
      </c>
      <c r="C30" s="87" t="s">
        <v>93</v>
      </c>
      <c r="D30" s="88">
        <v>0</v>
      </c>
      <c r="E30" s="136">
        <v>0</v>
      </c>
      <c r="F30" s="1"/>
      <c r="I30" s="280" t="s">
        <v>127</v>
      </c>
      <c r="J30" s="147">
        <v>-109044</v>
      </c>
      <c r="K30" s="147">
        <v>-1727012</v>
      </c>
      <c r="M30" s="235" t="s">
        <v>129</v>
      </c>
      <c r="N30" s="236"/>
      <c r="O30" s="237"/>
      <c r="P30" s="1"/>
      <c r="Q30" s="80" t="s">
        <v>157</v>
      </c>
      <c r="R30" s="61">
        <f>SUM(E30:E33)*规则设置!C70+E34*规则设置!D70</f>
        <v>0</v>
      </c>
      <c r="S30" s="1"/>
      <c r="T30" s="75" t="s">
        <v>158</v>
      </c>
      <c r="U30" s="89">
        <f>U25-U29</f>
        <v>12597570.035966985</v>
      </c>
      <c r="V30" s="1" t="s">
        <v>159</v>
      </c>
      <c r="W30" s="197">
        <v>7353638</v>
      </c>
    </row>
    <row r="31" spans="1:23" ht="18" customHeight="1" thickBot="1" x14ac:dyDescent="0.3">
      <c r="A31" s="1"/>
      <c r="B31" s="274"/>
      <c r="C31" s="87" t="s">
        <v>94</v>
      </c>
      <c r="D31" s="88">
        <v>0</v>
      </c>
      <c r="E31" s="136">
        <v>0</v>
      </c>
      <c r="F31" s="1"/>
      <c r="G31" s="131">
        <f>B10*1.35-M9</f>
        <v>-405001.89999999991</v>
      </c>
      <c r="I31" s="280" t="s">
        <v>128</v>
      </c>
      <c r="J31" s="279"/>
      <c r="K31" s="279"/>
      <c r="M31" s="148" t="s">
        <v>213</v>
      </c>
      <c r="N31" s="148" t="s">
        <v>214</v>
      </c>
      <c r="O31" s="148" t="s">
        <v>215</v>
      </c>
      <c r="P31" s="1"/>
      <c r="Q31" s="80" t="s">
        <v>160</v>
      </c>
      <c r="R31" s="61">
        <f>规则设置!B76*O34</f>
        <v>514047.5</v>
      </c>
      <c r="S31" s="1"/>
      <c r="T31" s="1"/>
      <c r="U31" s="1"/>
      <c r="V31" s="1" t="s">
        <v>161</v>
      </c>
      <c r="W31" s="92">
        <f>U30-W30</f>
        <v>5243932.0359669849</v>
      </c>
    </row>
    <row r="32" spans="1:23" ht="18" customHeight="1" thickBot="1" x14ac:dyDescent="0.3">
      <c r="A32" s="1"/>
      <c r="B32" s="274"/>
      <c r="C32" s="87" t="s">
        <v>95</v>
      </c>
      <c r="D32" s="88">
        <v>0</v>
      </c>
      <c r="E32" s="136">
        <v>0</v>
      </c>
      <c r="F32" s="131"/>
      <c r="G32" s="208">
        <f>I11*0.975*3*1.35</f>
        <v>3614693.6475</v>
      </c>
      <c r="H32" s="208">
        <f>G32+G31</f>
        <v>3209691.7475000001</v>
      </c>
      <c r="I32" s="280" t="s">
        <v>131</v>
      </c>
      <c r="J32" s="279">
        <v>0</v>
      </c>
      <c r="K32" s="279">
        <v>0</v>
      </c>
      <c r="M32" s="280" t="s">
        <v>132</v>
      </c>
      <c r="N32" s="279"/>
      <c r="O32" s="279"/>
      <c r="P32" s="1"/>
      <c r="Q32" s="80" t="s">
        <v>83</v>
      </c>
      <c r="R32" s="61">
        <f>规则设置!C76*L9</f>
        <v>229507</v>
      </c>
      <c r="S32" s="1"/>
      <c r="T32" s="1"/>
      <c r="U32" s="1"/>
      <c r="V32" s="1"/>
      <c r="W32" s="1"/>
    </row>
    <row r="33" spans="1:23" ht="18" customHeight="1" thickBot="1" x14ac:dyDescent="0.3">
      <c r="A33" s="1"/>
      <c r="B33" s="243"/>
      <c r="C33" s="87" t="s">
        <v>96</v>
      </c>
      <c r="D33" s="88">
        <v>0</v>
      </c>
      <c r="E33" s="176">
        <v>0</v>
      </c>
      <c r="F33" s="1"/>
      <c r="G33" s="208">
        <f>G32+2400000*1.35</f>
        <v>6854693.6475</v>
      </c>
      <c r="I33" s="280" t="s">
        <v>133</v>
      </c>
      <c r="J33" s="279">
        <v>0</v>
      </c>
      <c r="K33" s="279">
        <v>0</v>
      </c>
      <c r="M33" s="280" t="s">
        <v>134</v>
      </c>
      <c r="N33" s="147">
        <v>8999507</v>
      </c>
      <c r="O33" s="147">
        <v>8712340</v>
      </c>
      <c r="P33" s="1"/>
      <c r="Q33" s="93" t="s">
        <v>162</v>
      </c>
      <c r="R33" s="61"/>
      <c r="S33" s="1"/>
      <c r="T33" s="41" t="s">
        <v>201</v>
      </c>
      <c r="U33" s="42" t="s">
        <v>202</v>
      </c>
      <c r="V33" s="42" t="s">
        <v>203</v>
      </c>
      <c r="W33" s="6" t="s">
        <v>204</v>
      </c>
    </row>
    <row r="34" spans="1:23" ht="18" customHeight="1" thickBot="1" x14ac:dyDescent="0.3">
      <c r="A34" s="1"/>
      <c r="B34" s="275" t="s">
        <v>163</v>
      </c>
      <c r="C34" s="276"/>
      <c r="D34" s="94">
        <f>规则设置!B82*D26</f>
        <v>0</v>
      </c>
      <c r="E34" s="142"/>
      <c r="F34" s="1"/>
      <c r="G34" s="1"/>
      <c r="I34" s="280" t="s">
        <v>135</v>
      </c>
      <c r="J34" s="279">
        <v>0</v>
      </c>
      <c r="K34" s="279">
        <v>0</v>
      </c>
      <c r="M34" s="280" t="s">
        <v>136</v>
      </c>
      <c r="N34" s="147">
        <v>9893525</v>
      </c>
      <c r="O34" s="147">
        <v>5140475</v>
      </c>
      <c r="P34" s="1"/>
      <c r="Q34" s="80" t="s">
        <v>164</v>
      </c>
      <c r="R34" s="61">
        <f>U27*(规则设置!E73/4)+O40*3*(规则设置!E73/4)</f>
        <v>120449.01000000001</v>
      </c>
      <c r="S34" s="1"/>
      <c r="T34" s="143">
        <f>U34+V34-W34</f>
        <v>6003791.5989746749</v>
      </c>
      <c r="U34" s="144">
        <f>C22/((1+规则设置!F73/4))</f>
        <v>0</v>
      </c>
      <c r="V34" s="144">
        <f>U30/(1+规则设置!F73/4)</f>
        <v>12503791.598974675</v>
      </c>
      <c r="W34" s="123">
        <f>规则设置!C3</f>
        <v>6500000</v>
      </c>
    </row>
    <row r="35" spans="1:23" ht="18" customHeight="1" thickBot="1" x14ac:dyDescent="0.3">
      <c r="A35" s="1"/>
      <c r="B35" s="1"/>
      <c r="C35" s="1"/>
      <c r="D35" s="1"/>
      <c r="E35" s="1"/>
      <c r="F35" s="1"/>
      <c r="G35" s="1"/>
      <c r="I35" s="280" t="s">
        <v>137</v>
      </c>
      <c r="J35" s="147">
        <v>1800000</v>
      </c>
      <c r="K35" s="147">
        <v>3600000</v>
      </c>
      <c r="M35" s="280" t="s">
        <v>84</v>
      </c>
      <c r="N35" s="147">
        <v>109044</v>
      </c>
      <c r="O35" s="147">
        <v>1836056</v>
      </c>
      <c r="P35" s="1"/>
      <c r="Q35" s="93" t="s">
        <v>165</v>
      </c>
      <c r="R35" s="61"/>
      <c r="S35" s="1"/>
      <c r="T35" s="1"/>
      <c r="U35" s="1"/>
      <c r="V35" s="1"/>
      <c r="W35" s="1"/>
    </row>
    <row r="36" spans="1:23" ht="18" customHeight="1" thickBot="1" x14ac:dyDescent="0.3">
      <c r="A36" s="1"/>
      <c r="B36" s="41" t="s">
        <v>71</v>
      </c>
      <c r="C36" s="42" t="s">
        <v>187</v>
      </c>
      <c r="D36" s="6" t="s">
        <v>163</v>
      </c>
      <c r="F36" s="41" t="s">
        <v>208</v>
      </c>
      <c r="G36" s="145"/>
      <c r="I36" s="280" t="s">
        <v>61</v>
      </c>
      <c r="J36" s="147">
        <v>652076</v>
      </c>
      <c r="K36" s="147">
        <v>941662</v>
      </c>
      <c r="M36" s="280" t="s">
        <v>140</v>
      </c>
      <c r="N36" s="147">
        <v>9388765</v>
      </c>
      <c r="O36" s="147">
        <v>9154046</v>
      </c>
      <c r="P36" s="1"/>
      <c r="Q36" s="80" t="s">
        <v>167</v>
      </c>
      <c r="R36" s="61">
        <f>(R4/(1+规则设置!B73))*规则设置!B73</f>
        <v>1106708.0377358489</v>
      </c>
      <c r="S36" s="1"/>
      <c r="T36" s="1"/>
      <c r="U36" s="1"/>
      <c r="V36" s="1"/>
      <c r="W36" s="1"/>
    </row>
    <row r="37" spans="1:23" ht="18" customHeight="1" thickBot="1" x14ac:dyDescent="0.3">
      <c r="A37" s="1"/>
      <c r="B37" s="28" t="s">
        <v>74</v>
      </c>
      <c r="C37" s="34">
        <f>SUM(D30:D33)</f>
        <v>0</v>
      </c>
      <c r="D37" s="11">
        <f>D34</f>
        <v>0</v>
      </c>
      <c r="F37" s="28" t="s">
        <v>209</v>
      </c>
      <c r="G37" s="146">
        <f>D41</f>
        <v>3614690</v>
      </c>
      <c r="I37" s="280" t="s">
        <v>66</v>
      </c>
      <c r="J37" s="279">
        <v>0</v>
      </c>
      <c r="K37" s="279">
        <v>0</v>
      </c>
      <c r="M37" s="280" t="s">
        <v>146</v>
      </c>
      <c r="N37" s="147">
        <v>28390841</v>
      </c>
      <c r="O37" s="147">
        <v>24842917</v>
      </c>
      <c r="P37" s="1"/>
      <c r="Q37" s="80" t="s">
        <v>169</v>
      </c>
      <c r="R37" s="61">
        <f>规则设置!C73*R36</f>
        <v>77469.56264150943</v>
      </c>
      <c r="S37" s="1"/>
      <c r="T37" s="98" t="s">
        <v>170</v>
      </c>
      <c r="U37" s="1"/>
      <c r="V37" s="1"/>
      <c r="W37" s="1"/>
    </row>
    <row r="38" spans="1:23" ht="18" customHeight="1" thickBot="1" x14ac:dyDescent="0.3">
      <c r="A38" s="1"/>
      <c r="B38" s="35" t="s">
        <v>75</v>
      </c>
      <c r="C38" s="144">
        <f>N11-SUM(E30:E33)</f>
        <v>42</v>
      </c>
      <c r="D38" s="123">
        <f>M11-E34</f>
        <v>60</v>
      </c>
      <c r="F38" s="28" t="s">
        <v>210</v>
      </c>
      <c r="G38" s="146">
        <f>ROUNDUP(规则设置!B20*(ROUNDDOWN((J11*0.975+D26*规则设置!C15),0)*0.975+G33*规则设置!C15)*3,0)</f>
        <v>1388078987942</v>
      </c>
      <c r="I38" s="280" t="s">
        <v>147</v>
      </c>
      <c r="J38" s="279"/>
      <c r="K38" s="279"/>
      <c r="M38" s="280" t="s">
        <v>148</v>
      </c>
      <c r="N38" s="279"/>
      <c r="O38" s="279"/>
      <c r="P38" s="1"/>
      <c r="Q38" s="80" t="s">
        <v>170</v>
      </c>
      <c r="R38" s="101">
        <f>IF(T38&gt;0,T38,)</f>
        <v>433184.67865566013</v>
      </c>
      <c r="S38" s="1"/>
      <c r="T38" s="172">
        <f>(R4/(1+规则设置!B73)-SUM(R9:R34)-R37)*规则设置!D73</f>
        <v>433184.67865566013</v>
      </c>
      <c r="U38" s="1"/>
      <c r="V38" s="1"/>
      <c r="W38" s="1"/>
    </row>
    <row r="39" spans="1:23" ht="18" customHeight="1" thickBot="1" x14ac:dyDescent="0.3">
      <c r="A39" s="1"/>
      <c r="B39" s="138" t="s">
        <v>254</v>
      </c>
      <c r="C39" s="138">
        <f>IF((C38+C37)*规则设置!D47&lt;G41*规则设置!B82,"请核对招聘员工数",0)</f>
        <v>0</v>
      </c>
      <c r="D39" s="138">
        <f>IF((D37+D38)/规则设置!B82&lt;(K11+D26),"请核对工人数量",0)</f>
        <v>0</v>
      </c>
      <c r="F39" s="35" t="s">
        <v>211</v>
      </c>
      <c r="G39" s="123">
        <f>G37+G38+1</f>
        <v>1388082602633</v>
      </c>
      <c r="I39" s="280" t="s">
        <v>69</v>
      </c>
      <c r="J39" s="147">
        <v>12000</v>
      </c>
      <c r="K39" s="147">
        <v>1500</v>
      </c>
      <c r="M39" s="280" t="s">
        <v>150</v>
      </c>
      <c r="N39" s="147">
        <v>17044901</v>
      </c>
      <c r="O39" s="147">
        <v>13544901</v>
      </c>
      <c r="P39" s="1"/>
      <c r="Q39" s="80" t="s">
        <v>173</v>
      </c>
      <c r="R39" s="61">
        <f>SUM(R9:R38)</f>
        <v>18252287.964033019</v>
      </c>
      <c r="S39" s="1"/>
      <c r="T39" s="1"/>
      <c r="U39" s="1"/>
      <c r="V39" s="1"/>
      <c r="W39" s="1"/>
    </row>
    <row r="40" spans="1:23" ht="18" customHeight="1" thickBot="1" x14ac:dyDescent="0.3">
      <c r="A40" s="1"/>
      <c r="B40" s="253" t="s">
        <v>188</v>
      </c>
      <c r="C40" s="121" t="s">
        <v>189</v>
      </c>
      <c r="D40" s="6" t="s">
        <v>190</v>
      </c>
      <c r="I40" s="280" t="s">
        <v>70</v>
      </c>
      <c r="J40" s="147">
        <v>24000</v>
      </c>
      <c r="K40" s="147">
        <v>3000</v>
      </c>
      <c r="M40" s="280" t="s">
        <v>152</v>
      </c>
      <c r="N40" s="279">
        <v>0</v>
      </c>
      <c r="O40" s="279">
        <v>0</v>
      </c>
      <c r="Q40" s="108" t="s">
        <v>177</v>
      </c>
      <c r="R40" s="89">
        <f>R6-R39</f>
        <v>1299554.0359669812</v>
      </c>
      <c r="S40" s="1"/>
      <c r="T40" s="1"/>
      <c r="U40" s="1"/>
      <c r="V40" s="1"/>
      <c r="W40" s="1"/>
    </row>
    <row r="41" spans="1:23" ht="18" customHeight="1" thickBot="1" x14ac:dyDescent="0.3">
      <c r="A41" s="1"/>
      <c r="B41" s="254"/>
      <c r="C41" s="192">
        <f>G41*3</f>
        <v>2677548</v>
      </c>
      <c r="D41" s="123">
        <f>ROUNDUP(规则设置!B20*C41,0)</f>
        <v>3614690</v>
      </c>
      <c r="F41" s="160" t="s">
        <v>191</v>
      </c>
      <c r="G41" s="161">
        <f>ROUNDDOWN(J11*0.975+D26*规则设置!C15,0)</f>
        <v>892516</v>
      </c>
      <c r="I41" s="280" t="s">
        <v>71</v>
      </c>
      <c r="J41" s="147">
        <v>706500</v>
      </c>
      <c r="K41" s="147">
        <v>814500</v>
      </c>
      <c r="L41" s="1"/>
      <c r="M41" s="280" t="s">
        <v>156</v>
      </c>
      <c r="N41" s="147">
        <v>17044901</v>
      </c>
      <c r="O41" s="147">
        <v>13544901</v>
      </c>
    </row>
    <row r="42" spans="1:23" ht="18" customHeight="1" thickBot="1" x14ac:dyDescent="0.3">
      <c r="A42" s="1"/>
      <c r="I42" s="280" t="s">
        <v>157</v>
      </c>
      <c r="J42" s="279">
        <v>0</v>
      </c>
      <c r="K42" s="279">
        <v>0</v>
      </c>
      <c r="L42" s="1"/>
      <c r="M42" s="280" t="s">
        <v>158</v>
      </c>
      <c r="N42" s="147">
        <v>11345940</v>
      </c>
      <c r="O42" s="147">
        <v>11298016</v>
      </c>
    </row>
    <row r="43" spans="1:23" ht="18" customHeight="1" thickBot="1" x14ac:dyDescent="0.3">
      <c r="A43" s="1"/>
      <c r="D43" s="208">
        <f>C10*1.35-M9</f>
        <v>-405001.89999999991</v>
      </c>
      <c r="I43" s="280" t="s">
        <v>160</v>
      </c>
      <c r="J43" s="147">
        <v>357036</v>
      </c>
      <c r="K43" s="147">
        <v>989352</v>
      </c>
      <c r="L43" s="1"/>
      <c r="M43" s="1"/>
      <c r="N43" s="1"/>
      <c r="O43" s="1"/>
    </row>
    <row r="44" spans="1:23" ht="18" customHeight="1" thickBot="1" x14ac:dyDescent="0.3">
      <c r="A44" s="1"/>
      <c r="G44" s="207">
        <f>C11-C10</f>
        <v>300001</v>
      </c>
      <c r="I44" s="280" t="s">
        <v>83</v>
      </c>
      <c r="J44" s="147">
        <v>13630</v>
      </c>
      <c r="K44" s="147">
        <v>229507</v>
      </c>
      <c r="L44" s="1"/>
      <c r="M44" s="1"/>
      <c r="N44" s="1"/>
      <c r="O44" s="1"/>
    </row>
    <row r="45" spans="1:23" ht="18" customHeight="1" thickBot="1" x14ac:dyDescent="0.3">
      <c r="A45" s="1"/>
      <c r="G45" s="208">
        <f>G44*1.35</f>
        <v>405001.35000000003</v>
      </c>
      <c r="I45" s="280" t="s">
        <v>162</v>
      </c>
      <c r="J45" s="279"/>
      <c r="K45" s="279"/>
      <c r="L45" s="1"/>
      <c r="M45" s="1"/>
      <c r="N45" s="1"/>
      <c r="O45" s="1"/>
    </row>
    <row r="46" spans="1:23" ht="18" customHeight="1" thickBot="1" x14ac:dyDescent="0.3">
      <c r="A46" s="1"/>
      <c r="G46" s="208">
        <f>G47-G45</f>
        <v>4102377.3000000003</v>
      </c>
      <c r="I46" s="280" t="s">
        <v>164</v>
      </c>
      <c r="J46" s="147">
        <v>170449</v>
      </c>
      <c r="K46" s="147">
        <v>135449</v>
      </c>
      <c r="L46" s="1"/>
      <c r="M46" s="1"/>
      <c r="N46" s="1"/>
      <c r="O46" s="1"/>
    </row>
    <row r="47" spans="1:23" ht="18" customHeight="1" thickBot="1" x14ac:dyDescent="0.3">
      <c r="A47" s="1"/>
      <c r="G47">
        <f>3338799*1.35</f>
        <v>4507378.6500000004</v>
      </c>
      <c r="I47" s="280" t="s">
        <v>165</v>
      </c>
      <c r="J47" s="279"/>
      <c r="K47" s="279"/>
      <c r="L47" s="1"/>
      <c r="M47" s="1"/>
      <c r="N47" s="1"/>
      <c r="O47" s="1"/>
    </row>
    <row r="48" spans="1:23" ht="18" customHeight="1" thickBot="1" x14ac:dyDescent="0.3">
      <c r="A48" s="1"/>
      <c r="I48" s="280" t="s">
        <v>167</v>
      </c>
      <c r="J48" s="147">
        <v>987541</v>
      </c>
      <c r="K48" s="147">
        <v>971947</v>
      </c>
      <c r="L48" s="1"/>
      <c r="M48" s="1"/>
      <c r="N48" s="1"/>
      <c r="O48" s="1"/>
    </row>
    <row r="49" spans="1:15" ht="18" customHeight="1" thickBot="1" x14ac:dyDescent="0.3">
      <c r="A49" s="1"/>
      <c r="C49" s="1"/>
      <c r="D49" s="1"/>
      <c r="E49" s="1"/>
      <c r="F49" s="1"/>
      <c r="G49" s="1"/>
      <c r="H49" s="1"/>
      <c r="I49" s="280" t="s">
        <v>169</v>
      </c>
      <c r="J49" s="147">
        <v>69128</v>
      </c>
      <c r="K49" s="147">
        <v>68036</v>
      </c>
      <c r="L49" s="1"/>
      <c r="M49" s="1"/>
      <c r="N49" s="1"/>
      <c r="O49" s="1"/>
    </row>
    <row r="50" spans="1:15" ht="18" customHeight="1" thickBot="1" x14ac:dyDescent="0.3">
      <c r="A50" s="1"/>
      <c r="E50" s="1"/>
      <c r="F50" s="1"/>
      <c r="G50" s="1"/>
      <c r="H50" s="1"/>
      <c r="I50" s="280" t="s">
        <v>170</v>
      </c>
      <c r="J50" s="147">
        <v>760531</v>
      </c>
      <c r="K50" s="279">
        <v>0</v>
      </c>
      <c r="L50" s="1"/>
      <c r="M50" s="1"/>
      <c r="N50" s="1"/>
      <c r="O50" s="1"/>
    </row>
    <row r="51" spans="1:15" ht="18" customHeight="1" thickBot="1" x14ac:dyDescent="0.3">
      <c r="A51" s="1"/>
      <c r="E51" s="1"/>
      <c r="F51" s="1"/>
      <c r="G51" s="1"/>
      <c r="H51" s="1"/>
      <c r="I51" s="280" t="s">
        <v>173</v>
      </c>
      <c r="J51" s="147">
        <v>15164970</v>
      </c>
      <c r="K51" s="147">
        <v>17218980</v>
      </c>
      <c r="L51" s="1"/>
      <c r="M51" s="1"/>
      <c r="N51" s="1"/>
      <c r="O51" s="1"/>
    </row>
    <row r="52" spans="1:15" ht="18" customHeight="1" thickBot="1" x14ac:dyDescent="0.3">
      <c r="A52" s="1"/>
      <c r="E52" s="1"/>
      <c r="H52" s="1"/>
      <c r="I52" s="280" t="s">
        <v>177</v>
      </c>
      <c r="J52" s="147">
        <v>2281593</v>
      </c>
      <c r="K52" s="147">
        <v>-47923</v>
      </c>
      <c r="L52" s="1"/>
      <c r="M52" s="1"/>
      <c r="N52" s="1"/>
      <c r="O52" s="1"/>
    </row>
    <row r="53" spans="1:15" ht="18" customHeight="1" x14ac:dyDescent="0.25">
      <c r="A53" s="1"/>
      <c r="E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5">
      <c r="A54" s="1"/>
      <c r="E54" s="1"/>
      <c r="H54" s="1"/>
      <c r="J54" s="1"/>
      <c r="K54" s="1"/>
      <c r="L54" s="1"/>
      <c r="M54" s="1"/>
      <c r="N54" s="1"/>
      <c r="O54" s="1"/>
    </row>
    <row r="55" spans="1:15" ht="18" customHeight="1" x14ac:dyDescent="0.25">
      <c r="A55" s="1"/>
      <c r="E55" s="1"/>
      <c r="H55" s="1"/>
      <c r="J55" s="1"/>
      <c r="K55" s="1"/>
      <c r="L55" s="1"/>
      <c r="M55" s="1"/>
      <c r="N55" s="1"/>
      <c r="O55" s="1"/>
    </row>
    <row r="56" spans="1:15" x14ac:dyDescent="0.25">
      <c r="F56">
        <f>980/140</f>
        <v>7</v>
      </c>
    </row>
  </sheetData>
  <mergeCells count="20">
    <mergeCell ref="M30:O30"/>
    <mergeCell ref="B34:C34"/>
    <mergeCell ref="B40:B41"/>
    <mergeCell ref="B20:E20"/>
    <mergeCell ref="C22:E22"/>
    <mergeCell ref="B24:D24"/>
    <mergeCell ref="B28:E28"/>
    <mergeCell ref="B29:C29"/>
    <mergeCell ref="B30:B33"/>
    <mergeCell ref="T19:U19"/>
    <mergeCell ref="B2:F2"/>
    <mergeCell ref="I2:N2"/>
    <mergeCell ref="Q2:R2"/>
    <mergeCell ref="T2:U2"/>
    <mergeCell ref="B8:E8"/>
    <mergeCell ref="D9:E9"/>
    <mergeCell ref="D10:E10"/>
    <mergeCell ref="B13:F13"/>
    <mergeCell ref="I13:K13"/>
    <mergeCell ref="M13:O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规则设置</vt:lpstr>
      <vt:lpstr>第0季</vt:lpstr>
      <vt:lpstr>第一季</vt:lpstr>
      <vt:lpstr>第二季</vt:lpstr>
      <vt:lpstr>第三季</vt:lpstr>
      <vt:lpstr>第四季</vt:lpstr>
      <vt:lpstr>第五季</vt:lpstr>
      <vt:lpstr>第六季</vt:lpstr>
      <vt:lpstr>第七季</vt:lpstr>
      <vt:lpstr>第八季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玛卡巴卡</dc:creator>
  <cp:lastModifiedBy>逵妹儿</cp:lastModifiedBy>
  <dcterms:created xsi:type="dcterms:W3CDTF">2015-06-05T18:19:34Z</dcterms:created>
  <dcterms:modified xsi:type="dcterms:W3CDTF">2021-09-04T08:09:34Z</dcterms:modified>
</cp:coreProperties>
</file>