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\OneDrive - VMware, Inc\VMwareCorp\Documents\UiPath\PRJ-00006347 Procurement Process Audit\"/>
    </mc:Choice>
  </mc:AlternateContent>
  <xr:revisionPtr revIDLastSave="0" documentId="8_{E0656BD1-9466-49F6-81E4-1627050247B0}" xr6:coauthVersionLast="47" xr6:coauthVersionMax="47" xr10:uidLastSave="{00000000-0000-0000-0000-000000000000}"/>
  <bookViews>
    <workbookView xWindow="1860" yWindow="1590" windowWidth="14400" windowHeight="7270"/>
  </bookViews>
  <sheets>
    <sheet name="requisition_header_list" sheetId="1" r:id="rId1"/>
    <sheet name="$250K" sheetId="2" r:id="rId2"/>
    <sheet name="$100k Consulting" sheetId="3" r:id="rId3"/>
    <sheet name="Foreign Currency" sheetId="4" r:id="rId4"/>
    <sheet name="Projects" sheetId="5" r:id="rId5"/>
    <sheet name="PII" sheetId="6" r:id="rId6"/>
  </sheets>
  <definedNames>
    <definedName name="_xlnm._FilterDatabase" localSheetId="0" hidden="1">requisition_header_list!$A$1:$K$310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0" i="1" l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<sst xmlns="http://schemas.openxmlformats.org/spreadsheetml/2006/main" count="2130" uniqueCount="460">
  <si>
    <t>Req #</t>
  </si>
  <si>
    <t>Requested By</t>
  </si>
  <si>
    <t>Submitted On</t>
  </si>
  <si>
    <t>Status</t>
  </si>
  <si>
    <t>Total</t>
  </si>
  <si>
    <t>Commodity</t>
  </si>
  <si>
    <t>Will supplier receive PII? (Required)</t>
  </si>
  <si>
    <t>Milen Vasilev Borchev</t>
  </si>
  <si>
    <t>Ordered</t>
  </si>
  <si>
    <t>Termed Software</t>
  </si>
  <si>
    <t>No</t>
  </si>
  <si>
    <t>Gavin Gray</t>
  </si>
  <si>
    <t>Computer/Thin Client, HW Req Maintenance, Computer Peripherals</t>
  </si>
  <si>
    <t>Nirmaladevi Ponnusamy</t>
  </si>
  <si>
    <t>Temporary Help</t>
  </si>
  <si>
    <t>Vijay Mohan Inukollu</t>
  </si>
  <si>
    <t>Carlos Rodriguez</t>
  </si>
  <si>
    <t>Computer Peripherals</t>
  </si>
  <si>
    <t>Pei-I Pai</t>
  </si>
  <si>
    <t>Translation Svcs</t>
  </si>
  <si>
    <t>Jatinder Kaur</t>
  </si>
  <si>
    <t>CIO Services</t>
  </si>
  <si>
    <t>Stacy Blumberg</t>
  </si>
  <si>
    <t>Promo Merchandise</t>
  </si>
  <si>
    <t>Bijithlal Chandri Balan</t>
  </si>
  <si>
    <t>Susan Tse</t>
  </si>
  <si>
    <t>Software Maint/Suppt</t>
  </si>
  <si>
    <t>Jason Tan U Jin</t>
  </si>
  <si>
    <t>Sales Training Svc</t>
  </si>
  <si>
    <t>Yes</t>
  </si>
  <si>
    <t>Jean Williams</t>
  </si>
  <si>
    <t>Kristopher Anderson</t>
  </si>
  <si>
    <t>Media Services</t>
  </si>
  <si>
    <t>Mohammad Sabourian</t>
  </si>
  <si>
    <t>HW Req Maintenance, Software Maint/Suppt</t>
  </si>
  <si>
    <t>Sunny Fan</t>
  </si>
  <si>
    <t>University Relations</t>
  </si>
  <si>
    <t>Darren Humphries</t>
  </si>
  <si>
    <t>Marcus Santos</t>
  </si>
  <si>
    <t>Event Production</t>
  </si>
  <si>
    <t>Carol Patrao</t>
  </si>
  <si>
    <t>BU Services</t>
  </si>
  <si>
    <t>Hashmatullah Noori</t>
  </si>
  <si>
    <t>Security Supplies</t>
  </si>
  <si>
    <t>Atsushi Nishii</t>
  </si>
  <si>
    <t>Boshen Parthasarathy</t>
  </si>
  <si>
    <t>Project Funding</t>
  </si>
  <si>
    <t>Menaka Raman</t>
  </si>
  <si>
    <t>Pravin Pandey</t>
  </si>
  <si>
    <t>Sunder Vudhya</t>
  </si>
  <si>
    <t>Nicole Vierra</t>
  </si>
  <si>
    <t>Loand Equipment</t>
  </si>
  <si>
    <t>Arasu Muthuram</t>
  </si>
  <si>
    <t>Praveen Cherakkara</t>
  </si>
  <si>
    <t>Loaned Equipt Access</t>
  </si>
  <si>
    <t>Gabrielle Williams</t>
  </si>
  <si>
    <t>Elia Mak</t>
  </si>
  <si>
    <t>Karin Tanaka</t>
  </si>
  <si>
    <t>C Scott Armstrong</t>
  </si>
  <si>
    <t>Venkata Datla</t>
  </si>
  <si>
    <t>Carey Hardey</t>
  </si>
  <si>
    <t>Karin Li</t>
  </si>
  <si>
    <t>Computer/Thin Client</t>
  </si>
  <si>
    <t>Brandee Trybala</t>
  </si>
  <si>
    <t>Camille Huang</t>
  </si>
  <si>
    <t>Jade Nielsen</t>
  </si>
  <si>
    <t>David Tuakoi</t>
  </si>
  <si>
    <t>Building Maintenance</t>
  </si>
  <si>
    <t>Marcy Burnett</t>
  </si>
  <si>
    <t>Consulting SalesStgy</t>
  </si>
  <si>
    <t>Graham Hosie</t>
  </si>
  <si>
    <t>Najim Sutar</t>
  </si>
  <si>
    <t>Patrick Adams</t>
  </si>
  <si>
    <t>Jose Hernandez</t>
  </si>
  <si>
    <t>Yukari Nakano</t>
  </si>
  <si>
    <t>Lisa Rubio</t>
  </si>
  <si>
    <t>Subscriptions</t>
  </si>
  <si>
    <t>Toni Threatt</t>
  </si>
  <si>
    <t>PSO Subcontracts</t>
  </si>
  <si>
    <t>Analyst Relations</t>
  </si>
  <si>
    <t>Jonathan Hallett</t>
  </si>
  <si>
    <t>Mark Groth</t>
  </si>
  <si>
    <t>Ayesha Mathews</t>
  </si>
  <si>
    <t>Creative Svc</t>
  </si>
  <si>
    <t>Mary Futch</t>
  </si>
  <si>
    <t>Brecca Hansen</t>
  </si>
  <si>
    <t>Telephony Equipment, Computer Peripherals</t>
  </si>
  <si>
    <t>Andre Patterson</t>
  </si>
  <si>
    <t>Arun Arjun</t>
  </si>
  <si>
    <t>Shawn Watson</t>
  </si>
  <si>
    <t>LAN/WAN Access, Office Supplies</t>
  </si>
  <si>
    <t>Richard Barrett</t>
  </si>
  <si>
    <t>Niall Daly</t>
  </si>
  <si>
    <t>General Audit Svc</t>
  </si>
  <si>
    <t>Diana Nikolaeva Mihova</t>
  </si>
  <si>
    <t>Landscaping &amp; Maint</t>
  </si>
  <si>
    <t>Brandon Gojenola</t>
  </si>
  <si>
    <t>Social Campaign</t>
  </si>
  <si>
    <t>Nagabhushan V</t>
  </si>
  <si>
    <t>Legal Operations</t>
  </si>
  <si>
    <t>Siobhan Curley</t>
  </si>
  <si>
    <t>Clove Lynch</t>
  </si>
  <si>
    <t>Adaptation Svcs</t>
  </si>
  <si>
    <t>Brendan Hourihane</t>
  </si>
  <si>
    <t>Kiran B K</t>
  </si>
  <si>
    <t>Gilbert Leal</t>
  </si>
  <si>
    <t>Abhishek Srivastava</t>
  </si>
  <si>
    <t>Arnold Maniaul</t>
  </si>
  <si>
    <t>Kimberly Weine</t>
  </si>
  <si>
    <t>Dara O'Sullivan</t>
  </si>
  <si>
    <t>Jeena Moorkoth</t>
  </si>
  <si>
    <t>Garry Johnston</t>
  </si>
  <si>
    <t>Carlos Herrera Angulo</t>
  </si>
  <si>
    <t>Mahesh Kumar</t>
  </si>
  <si>
    <t>Marina Chamberlain</t>
  </si>
  <si>
    <t>Booths and Exhibits</t>
  </si>
  <si>
    <t>Roshan Pandit</t>
  </si>
  <si>
    <t>Leah Kgomotso Mokgothu</t>
  </si>
  <si>
    <t>Aasim Ulla Shariff</t>
  </si>
  <si>
    <t>Prashanth Prabhu K</t>
  </si>
  <si>
    <t>Furniture/Fixtures</t>
  </si>
  <si>
    <t>Sheldon D'Paiva</t>
  </si>
  <si>
    <t>Mktg Sponsorships</t>
  </si>
  <si>
    <t>Lesley Wilde</t>
  </si>
  <si>
    <t>Balthes Katzenberger</t>
  </si>
  <si>
    <t>Sunil Kumar Kale</t>
  </si>
  <si>
    <t>Kasireddy Sainath Reddy</t>
  </si>
  <si>
    <t>Kalyan Maddipatla</t>
  </si>
  <si>
    <t>Christopher Soto</t>
  </si>
  <si>
    <t>Siobhan Ring</t>
  </si>
  <si>
    <t>Employee Training</t>
  </si>
  <si>
    <t>Shankar Gopalakrishnan</t>
  </si>
  <si>
    <t>Jean Monnery</t>
  </si>
  <si>
    <t>Ganesh Srinivasan</t>
  </si>
  <si>
    <t>Vanishree S</t>
  </si>
  <si>
    <t>Rebekah Ong</t>
  </si>
  <si>
    <t>Telesvcs/Prospecting</t>
  </si>
  <si>
    <t>Gopinath K N</t>
  </si>
  <si>
    <t>Event Registration</t>
  </si>
  <si>
    <t>Jackie Hogan</t>
  </si>
  <si>
    <t>Julie Morel</t>
  </si>
  <si>
    <t>Bala Sabbavarapu</t>
  </si>
  <si>
    <t>Ram Prasad H</t>
  </si>
  <si>
    <t>Sai Sukanya Paneer</t>
  </si>
  <si>
    <t>Richard Thompson</t>
  </si>
  <si>
    <t>LAN/WAN Access</t>
  </si>
  <si>
    <t>Saurav Falia</t>
  </si>
  <si>
    <t>Manoj Warrier</t>
  </si>
  <si>
    <t>Joshua Burton</t>
  </si>
  <si>
    <t>Nicolas Tailhardat</t>
  </si>
  <si>
    <t>Laurent Dupin</t>
  </si>
  <si>
    <t>Kentaro Kadoya</t>
  </si>
  <si>
    <t>Alessandro Lorusso</t>
  </si>
  <si>
    <t>Mahantesh Katageri</t>
  </si>
  <si>
    <t>Mobile Phones</t>
  </si>
  <si>
    <t>Beena Noronha</t>
  </si>
  <si>
    <t>Janitorial Services</t>
  </si>
  <si>
    <t>Yoshihiro Saito</t>
  </si>
  <si>
    <t>Hong Ming Lim</t>
  </si>
  <si>
    <t>Sriram Balasubramanian</t>
  </si>
  <si>
    <t>Alka Sippy</t>
  </si>
  <si>
    <t>Audio/Video Svc</t>
  </si>
  <si>
    <t>Mehul Patel</t>
  </si>
  <si>
    <t>Chaitra Devi</t>
  </si>
  <si>
    <t>Gaurav Sawhney</t>
  </si>
  <si>
    <t>Craig Fletcher</t>
  </si>
  <si>
    <t>Christian Meier</t>
  </si>
  <si>
    <t>IT Managed Svcs</t>
  </si>
  <si>
    <t>Christina Lee</t>
  </si>
  <si>
    <t>Office Supplies</t>
  </si>
  <si>
    <t>Neil Moore</t>
  </si>
  <si>
    <t>Office Supplies, Computer Peripherals</t>
  </si>
  <si>
    <t>Paulina Nervet Labbe</t>
  </si>
  <si>
    <t>Suzanne McCormac</t>
  </si>
  <si>
    <t>Public Relations Svc</t>
  </si>
  <si>
    <t>Anisa Bux</t>
  </si>
  <si>
    <t>Sam Coleman</t>
  </si>
  <si>
    <t>Anne Daly</t>
  </si>
  <si>
    <t>Tax Advisory &amp; M&amp;A</t>
  </si>
  <si>
    <t>Aamir Khan</t>
  </si>
  <si>
    <t>Ashish Padgaonkar</t>
  </si>
  <si>
    <t>Rosa Lear</t>
  </si>
  <si>
    <t>Production Svc</t>
  </si>
  <si>
    <t>Syed Riyaz</t>
  </si>
  <si>
    <t>Theresa Cordero</t>
  </si>
  <si>
    <t>Marcello Napoli</t>
  </si>
  <si>
    <t>Shawn Fenwick</t>
  </si>
  <si>
    <t>Computer Peripherals, Computer Server</t>
  </si>
  <si>
    <t>Raeed Aldawood</t>
  </si>
  <si>
    <t>Sunny Sahajpal</t>
  </si>
  <si>
    <t>OEM-MDF/Rebate JMF</t>
  </si>
  <si>
    <t>Keizo Kawasaki</t>
  </si>
  <si>
    <t>Event Sales</t>
  </si>
  <si>
    <t>Parvathi Chandrasekhar</t>
  </si>
  <si>
    <t>Wenqi Heng</t>
  </si>
  <si>
    <t>Brian Kocoloski</t>
  </si>
  <si>
    <t>Erika Lizano</t>
  </si>
  <si>
    <t>Da Yu</t>
  </si>
  <si>
    <t>Janitorial Supplies</t>
  </si>
  <si>
    <t>Meredith McCarthy</t>
  </si>
  <si>
    <t>Breakroom Snacks</t>
  </si>
  <si>
    <t>Ryosuke Kobayashi</t>
  </si>
  <si>
    <t>Ellen Ma</t>
  </si>
  <si>
    <t>R&amp;D Services</t>
  </si>
  <si>
    <t>Curtis Hironaka</t>
  </si>
  <si>
    <t>Dominick Delfino</t>
  </si>
  <si>
    <t>Michael Valley</t>
  </si>
  <si>
    <t>Darius Eslami</t>
  </si>
  <si>
    <t>Demand Generation</t>
  </si>
  <si>
    <t>Mitul Bhat</t>
  </si>
  <si>
    <t>Mayan Weiss</t>
  </si>
  <si>
    <t>Recruitment Agency</t>
  </si>
  <si>
    <t>Himanshu Singh</t>
  </si>
  <si>
    <t>Fatima Gomonova</t>
  </si>
  <si>
    <t>Print/Copy Services</t>
  </si>
  <si>
    <t>Liron Oz</t>
  </si>
  <si>
    <t>Other Managed Svcs</t>
  </si>
  <si>
    <t>Matthew Simpson</t>
  </si>
  <si>
    <t>Aaron Williams</t>
  </si>
  <si>
    <t>Printer/Copiers</t>
  </si>
  <si>
    <t>David Edwards</t>
  </si>
  <si>
    <t>Robert Bauer</t>
  </si>
  <si>
    <t>Julie Cecilio</t>
  </si>
  <si>
    <t>Event Lodging</t>
  </si>
  <si>
    <t>Duyen Riggs</t>
  </si>
  <si>
    <t>Krnee Deemark</t>
  </si>
  <si>
    <t>Melanie Chew</t>
  </si>
  <si>
    <t>MDF/COOP/Rebates</t>
  </si>
  <si>
    <t>Kristin Gansheimer</t>
  </si>
  <si>
    <t>Michael Hofer</t>
  </si>
  <si>
    <t>Presentation Svc</t>
  </si>
  <si>
    <t>HW Req Maintenance</t>
  </si>
  <si>
    <t>Jane Micheli</t>
  </si>
  <si>
    <t>LaTreece Butler-Morton</t>
  </si>
  <si>
    <t>Consulting Sales</t>
  </si>
  <si>
    <t>Michael King</t>
  </si>
  <si>
    <t>Alexa Tambellini</t>
  </si>
  <si>
    <t>Katherine Nguyen</t>
  </si>
  <si>
    <t>Vitaly Tsipris</t>
  </si>
  <si>
    <t>Sean Fahey</t>
  </si>
  <si>
    <t>Michael Comeau</t>
  </si>
  <si>
    <t>Brian Kupke</t>
  </si>
  <si>
    <t>Clinton Umemoto</t>
  </si>
  <si>
    <t>Jonathan Miller</t>
  </si>
  <si>
    <t>Keita Sugiura</t>
  </si>
  <si>
    <t>Database Services</t>
  </si>
  <si>
    <t>James Coon</t>
  </si>
  <si>
    <t>Ian Smith</t>
  </si>
  <si>
    <t>Anthony Caracciolo</t>
  </si>
  <si>
    <t>Philip Hebert</t>
  </si>
  <si>
    <t>Christopher Poyner</t>
  </si>
  <si>
    <t>Jason Scarano</t>
  </si>
  <si>
    <t>David Coty</t>
  </si>
  <si>
    <t>Colin Neagle</t>
  </si>
  <si>
    <t>Ryan Wilson</t>
  </si>
  <si>
    <t>James Lark</t>
  </si>
  <si>
    <t>Audio Visual Mtls</t>
  </si>
  <si>
    <t>Christopher De La Rosa</t>
  </si>
  <si>
    <t>Michael Wong</t>
  </si>
  <si>
    <t>Benjamin Eisenpress</t>
  </si>
  <si>
    <t>Shanker Padmanabhan</t>
  </si>
  <si>
    <t>Hosted/SaaS</t>
  </si>
  <si>
    <t>Sachin Katti</t>
  </si>
  <si>
    <t>Abhishek Bharani</t>
  </si>
  <si>
    <t>Kipp Bertke</t>
  </si>
  <si>
    <t>Madeline Edwards</t>
  </si>
  <si>
    <t>Furniture/Fixtures, Office Supplies</t>
  </si>
  <si>
    <t>Cheryl Gillis</t>
  </si>
  <si>
    <t>Scott Gass</t>
  </si>
  <si>
    <t>Felicia Carr</t>
  </si>
  <si>
    <t>Audio Visual Mtls, Computer Peripherals</t>
  </si>
  <si>
    <t>Gary Zaleski</t>
  </si>
  <si>
    <t>Jordan Welsh</t>
  </si>
  <si>
    <t>Brandon Foster</t>
  </si>
  <si>
    <t>Sankar Tanguturi</t>
  </si>
  <si>
    <t>Lance Mead</t>
  </si>
  <si>
    <t>Sean Hanrahan</t>
  </si>
  <si>
    <t>Telephony Equipment</t>
  </si>
  <si>
    <t>Marino Wijay</t>
  </si>
  <si>
    <t>Computer Peripherals, Office Supplies</t>
  </si>
  <si>
    <t>Darren Burnett</t>
  </si>
  <si>
    <t>Mohammad Quadri</t>
  </si>
  <si>
    <t>Jian Ma</t>
  </si>
  <si>
    <t>LAN/WAN Mtls</t>
  </si>
  <si>
    <t>Teresa Rosa</t>
  </si>
  <si>
    <t>Isaiah Gallegos</t>
  </si>
  <si>
    <t>Supplier</t>
  </si>
  <si>
    <t>Currency</t>
  </si>
  <si>
    <t>USD Value</t>
  </si>
  <si>
    <t>Exchange</t>
  </si>
  <si>
    <t>BG10|Telelink EAD|0001006954</t>
  </si>
  <si>
    <t>BGN</t>
  </si>
  <si>
    <t>Preferred|DE10|Bechtle GmbH And Co KG Systemhaus Muenster|0001004935 (DE10|Bechtle GmbH And Co KG Systemhaus Muenster|0001004935)</t>
  </si>
  <si>
    <t>EUR</t>
  </si>
  <si>
    <t>Preferred|IN10|Allegis Global Solutions India Private Limited|0001012997 (IN10|Allegis Global Solutions India Private Limited|0001012997)</t>
  </si>
  <si>
    <t>INR</t>
  </si>
  <si>
    <t>CR10|Electronet SA|0001002718</t>
  </si>
  <si>
    <t>USD</t>
  </si>
  <si>
    <t>Preferred|IE10|Lionbridge Technologies Inc|0001002245 (IE10|Lionbridge Technologies Inc|0001002245)</t>
  </si>
  <si>
    <t>Preferred|US10|Deloitte Consulting LLP|0001006934 (US10|Deloitte Consulting LLP|0001006934)</t>
  </si>
  <si>
    <t>Preferred|US10|BrandVia Alliance Inc|0001005088 (US10|BrandVia Alliance Inc|0001005088)</t>
  </si>
  <si>
    <t>Preferred|IN10|True Value Info Systems|0001009794 (IN10|True Value Info Systems|0001009794)</t>
  </si>
  <si>
    <t>US10|EchoVision LLC|0001006853</t>
  </si>
  <si>
    <t>TH10|Hewlett Packard Thailand Ltd|0001006547</t>
  </si>
  <si>
    <t>THB</t>
  </si>
  <si>
    <t>MY10|IVT System SDN BHD|0001007107</t>
  </si>
  <si>
    <t>MYR</t>
  </si>
  <si>
    <t>Preferred|US10|Just Media|0001007073 (US10|Just Media|0001007073)</t>
  </si>
  <si>
    <t>Preferred|US10|EMC Corporation|0000001013 (US10|EMC Corporation|0000001013)</t>
  </si>
  <si>
    <t>CN10|BEIJING NOWCODER TECHNOLOGY CO LTD|0001013395</t>
  </si>
  <si>
    <t>CNY</t>
  </si>
  <si>
    <t>Preferred|CA10|Dell Canada Inc|0001004188 (CA10|Dell Canada Inc|0001004188)</t>
  </si>
  <si>
    <t>CAD</t>
  </si>
  <si>
    <t>Preferred|US10|Fig Street Marketing Group, Inc.|0001006508 (US10|Fig Street Marketing Group Inc|0001006508)</t>
  </si>
  <si>
    <t>Preferred|US10|Cognizant Technology Solutions US Corp|0001003803 (US10|Cognizant Technology Solutions US Corp|0001003803)</t>
  </si>
  <si>
    <t>US10|Johnson Controls Security Solutions|0001011995</t>
  </si>
  <si>
    <t>JP10|CTC TECHNOLOGY Corporation|0001000687</t>
  </si>
  <si>
    <t>JPY</t>
  </si>
  <si>
    <t>Project Supplier (US10|Project Supplier|0001002954)</t>
  </si>
  <si>
    <t>Preferred|US10|Cognizant Technology Solutions US Corp|0001004675 (US10|Cognizant Technology Solutions US Corp|0001004675)</t>
  </si>
  <si>
    <t>Preferred|US10|UST Global Inc|0001009696 (US10|UST Global Inc|0001009696)</t>
  </si>
  <si>
    <t>Preferred|US10|Capgemini America Inc|0001008113 (US10|Capgemini America Inc|0001008113)</t>
  </si>
  <si>
    <t>US10|Mellanox Technologies|0001003966</t>
  </si>
  <si>
    <t>US10|Intel Corporation|0001002024</t>
  </si>
  <si>
    <t>Preferred|US10|LinkedIn|0001007060 (US10|LinkedIn|0001007060)</t>
  </si>
  <si>
    <t>Preferred|US10|Kelly Services Inc DBA Kelly Temporary Services|0001000758 (US10|Kelly Services Inc DBA Kelly Temporary Services|0001000758)</t>
  </si>
  <si>
    <t>Preferred|US10|Accenture International Limited|0001013085 (US10|Accenture International Limited|0001013085)</t>
  </si>
  <si>
    <t>Preferred|US10|CDW Computer Centers, Inc.|0001005097 (US10|CDW Computer Centers, Inc.|0001005097)</t>
  </si>
  <si>
    <t>Preferred|US10|Dell Computer|0001001886 (US10|Dell Computer|0001001886)</t>
  </si>
  <si>
    <t>US10|Valley Oil Co|0001002647</t>
  </si>
  <si>
    <t>US10|Capitol Advocacy LLC|0001008877</t>
  </si>
  <si>
    <t>US10|Ohio Governmental Services|0001002202</t>
  </si>
  <si>
    <t>US10|Flotron and McIntosh LLC|0001004636</t>
  </si>
  <si>
    <t>Preferred|CA10|Kelly Services Canada Ltd|0001003206 (CA10|Kelly Services Canada Ltd|0001003206)</t>
  </si>
  <si>
    <t>Preferred|CR10|SERVICIO INFOTREE SRL|0001007193 (CR10|SERVICIO INFOTREE SRL|0001007193)</t>
  </si>
  <si>
    <t>IE10|SDL Global Solutions Ireland Ltd|0001001517</t>
  </si>
  <si>
    <t>US10|Poppulo Inc|0001009586</t>
  </si>
  <si>
    <t>Preferred|US10|SPJ Solutions Inc|0001006196 (US10|SPJ Solutions Inc|0001006196)</t>
  </si>
  <si>
    <t>US10|Spotlight LLC|0001001840</t>
  </si>
  <si>
    <t>Preferred|US10|BOIT Consulting|0001013213 (US10|BOIT Consulting|0001013213)</t>
  </si>
  <si>
    <t>US10|Alexa Wright Inc|0001013706</t>
  </si>
  <si>
    <t>US10|Smith Anderson et al|0001002396</t>
  </si>
  <si>
    <t>Preferred|CA10|CDW Canada|0001001023 (CA10|CDW Canada|0001001023)</t>
  </si>
  <si>
    <t>Preferred|IE10|Dell Ireland|0001001561 (IE10|Dell Ireland|0001001561)</t>
  </si>
  <si>
    <t>Preferred|IE10|PRICEWATERHOUSECOOPERS|0001004413 (IE10|PRICEWATERHOUSECOOPERS|0001004413)</t>
  </si>
  <si>
    <t>BG10|Botanic Lab LTD|0001013393</t>
  </si>
  <si>
    <t>US10|Twitter Inc|0001000280</t>
  </si>
  <si>
    <t>Payment Request | (Dummy - Payment Request |)</t>
  </si>
  <si>
    <t>Preferred|UK10|PRICEWATERHOUSECOOPERS|0001004413 (UK10|PRICEWATERHOUSECOOPERS|0001004413)</t>
  </si>
  <si>
    <t>Preferred|BM10|PRICEWATERHOUSECOOPERS|0001004413 (BM10|PRICEWATERHOUSECOOPERS|0001004413)</t>
  </si>
  <si>
    <t>US10|Sinapi LLC|0001003429</t>
  </si>
  <si>
    <t>Preferred|IE11|PRICEWATERHOUSECOOPERS|0001004413 (IE11|PRICEWATERHOUSECOOPERS|0001004413)</t>
  </si>
  <si>
    <t>US10|Spartan Software Inc|0001005012</t>
  </si>
  <si>
    <t>BE10|PwC Belgium|0001011511</t>
  </si>
  <si>
    <t>Preferred|SA10|PricewaterhouseCoopers Pwc|0001011200 (SA10|PricewaterhouseCoopers Pwc|0001011200)</t>
  </si>
  <si>
    <t>SAR</t>
  </si>
  <si>
    <t>Preferred|US10|Visualize Inc|0001002723 (US10|Visualize Inc|0001002723)</t>
  </si>
  <si>
    <t>Preferred|ES10|PRICEWATERHOUSECOOPERS AUDITORES SL|0001006435 (ES10|PRICEWATERHOUSECOOPERS AUDITORES SL|0001006435)</t>
  </si>
  <si>
    <t>Preferred|IN10|Gift Links India Pvt Ltd|0001006232 (IN10|Gift Links India Pvt Ltd|0001006232)</t>
  </si>
  <si>
    <t>Preferred|BG10|PricewaterhouseCoopers Audit OOD|0001003811 (BG10|PricewaterhouseCoopers Audit OOD|0001003811)</t>
  </si>
  <si>
    <t>Preferred|CR10|Dell World Trade LP|0001001306 (CR10|Dell World Trade LP|0001001306)</t>
  </si>
  <si>
    <t>Preferred|IN10|Dell Global BV|0001001958 (IN10|Dell Global BV|0001001958)</t>
  </si>
  <si>
    <t>Preferred|NL10|PricewaterhouseCoopers Accountants N V|0001000645 (NL10|PricewaterhouseCoopers Accountants|0001000645)</t>
  </si>
  <si>
    <t>Preferred|US10|Group Delphi|0001004790 (US10|Group Delphi|0001004790)</t>
  </si>
  <si>
    <t>Preferred|ZA10|Strategix Technical Solutions Pty Ltd|0001003544 (ZA10|Strategix Technical Solutions Pty Ltd|0001003544)</t>
  </si>
  <si>
    <t>ZAR</t>
  </si>
  <si>
    <t>Preferred|AE10|PRICEWATERHOUSECOOPERS|0001005268 (AE10|PRICEWATERHOUSECOOPERS|0001005268)</t>
  </si>
  <si>
    <t>AED</t>
  </si>
  <si>
    <t>IN10|VITRA INTERNATIONAL AG|0001003070</t>
  </si>
  <si>
    <t>Preferred|IT10|PricewaterhouseCoopers SpA|0001002594 (IT10|PricewaterhouseCoopers SpA|0001002594)</t>
  </si>
  <si>
    <t>Preferred|FR10|PRICEWATERHOUSECOOPERS AUDIT SA|0001004608 (FR10|PRICEWATERHOUSECOOPERS AUDIT SA|0001004608)</t>
  </si>
  <si>
    <t>US10|VMware User Group VMUG|0001002106</t>
  </si>
  <si>
    <t>Preferred|UK10|Vicos Ltd|0001002850 (UK10|Vicos Ltd|0001002850)</t>
  </si>
  <si>
    <t>GBP</t>
  </si>
  <si>
    <t>Preferred|DE10|Evoila GmbH|0001004814 (DE10|Evoila GmbH|0001004814)</t>
  </si>
  <si>
    <t>US10|Franklin Covey Client Sales Inc|0001011364</t>
  </si>
  <si>
    <t>IE10|Stream Solutions Ltd|0001003122</t>
  </si>
  <si>
    <t>Preferred|US10|Enquero Inc|0001003121 (US10|Enquero Inc|0001003121)</t>
  </si>
  <si>
    <t>Preferred|IN10|SRISHTI GIFTS LLP|0001008924 (IN10|SRISHTI GIFTS LLP|0001008924)</t>
  </si>
  <si>
    <t>IE10|bChannels Ltd|0001000063</t>
  </si>
  <si>
    <t>Preferred|SG10|RainFocus LLC|0001005602 (SG10|RainFocus LLC|0001005602)</t>
  </si>
  <si>
    <t>SGD</t>
  </si>
  <si>
    <t>Preferred|CH10|PricewaterhouseCoopers SA|0001006751 (CH10|PricewaterhouseCoopers SA|0001006751)</t>
  </si>
  <si>
    <t>CHF</t>
  </si>
  <si>
    <t>Preferred|SE10|Ohrlings PricewaterhouseCoopers AB|0001006957 (SE10|Ohrlings PricewaterhouseCoopers AB|0001006957)</t>
  </si>
  <si>
    <t>SEK</t>
  </si>
  <si>
    <t>Preferred|FR10|MOBINERGY SAS|0001008615 (FR10|MOBINERGY SAS|0001008615)</t>
  </si>
  <si>
    <t>Preferred|US10|CoachSource LLC|0001006456 (US10|CoachSource LLC|0001006456)</t>
  </si>
  <si>
    <t>Preferred|US10|Cognizant Technology Solutions US Corp|0001004000 (US10|Cognizant Technology Solutions US Corp|0001004000)</t>
  </si>
  <si>
    <t>Preferred|US10|World Wide Technology LLC|0001012774 (US10|World Wide Technology LLC|0001012774)</t>
  </si>
  <si>
    <t>Preferred|FR10|Metanext SAS|0001003641 (FR10|Metanext SAS|0001003641)</t>
  </si>
  <si>
    <t>Preferred|FR10|SCC|0001000944 (FR10|SCC|0001000944)</t>
  </si>
  <si>
    <t>JP10|VSN Inc|0001011657</t>
  </si>
  <si>
    <t>Preferred|US10|Accenture LLP|0001006964 (US10|Accenture LLP|0001006964)</t>
  </si>
  <si>
    <t>IT10|Stream Solutions Ltd|0001003122</t>
  </si>
  <si>
    <t>US10|Tata Consultancy Services Ltd|0001011172</t>
  </si>
  <si>
    <t>Preferred|JP10|Digital Technologies Corporation|0001002296 (JP10|Digital Technologies Corporation|0001002296)</t>
  </si>
  <si>
    <t>Preferred|US10|Accenture LLP|0001003945 (US10|Accenture LLP|0001003945)</t>
  </si>
  <si>
    <t>Preferred|IN10|RAKESH TRADING COMPANY|0001011256 (IN10|RAKESH TRADING COMPANY|0001011256)</t>
  </si>
  <si>
    <t>IN10|Excetra Workspace Solutions Pvt Ltd|0001013366</t>
  </si>
  <si>
    <t>Preferred|MY10|Now Communications Group Pte Ltd|0001004361 (MY10|Now Communications Group Pte Ltd|0001004361)</t>
  </si>
  <si>
    <t>Preferred|SG10|Now Communications Group Pte Ltd|0001004361 (SG10|Now Communications Group Pte Ltd|0001004361)</t>
  </si>
  <si>
    <t>CR10|Joseph D Angelo and Associates Inc|0001009163</t>
  </si>
  <si>
    <t>Preferred|US10|HCL Technologies Ltd|0001008842 (US10|HCL Technologies Ltd|0001008842)</t>
  </si>
  <si>
    <t>Preferred|US10|Prolifics Inc|0001003738 (US10|Prolifics Inc|0001003738)</t>
  </si>
  <si>
    <t>US10|Direct Line Communications|0001006832</t>
  </si>
  <si>
    <t>Preferred|US10|Office Depot|0001002637 (US10|Office Depot|0001002637)</t>
  </si>
  <si>
    <t>IE10|GSMA Ltd|0001002070</t>
  </si>
  <si>
    <t>Preferred|IE10|Edelman Singapore Pte Ltd|0001011111 (IE10|Edelman Singapore Pte Ltd|0001011111)</t>
  </si>
  <si>
    <t>Preferred|UK10|Xtravirt Limited|0001000126 (UK10|Xtravirt Limited|0001000126)</t>
  </si>
  <si>
    <t>US10|Cummins Inc dba Cummins Sales and Service|0001012896</t>
  </si>
  <si>
    <t>Preferred|IE10|KPMG|0001006985 (IE10|KPMG|0001006985)</t>
  </si>
  <si>
    <t>Preferred|DK10|PricewaterhouseCoopers DK|0001004610 (DK10|PricewaterhouseCoopers DK|0001004610)</t>
  </si>
  <si>
    <t>DKK</t>
  </si>
  <si>
    <t>Preferred|US10|J-Cut Films Inc.|0001003853 (US10|J Cut Films Inc|0001003853)</t>
  </si>
  <si>
    <t>Preferred|IN10|EZMATA TECHNOLOGIES PVT LTD|0001000231 (IN10|EZMATA TECHNOLOGIES PVT LTD|0001000231)</t>
  </si>
  <si>
    <t>Preferred|US10|Chrome Media Group LLC|0001004064 (US10|Chrome Media Group LLC|0001004064)</t>
  </si>
  <si>
    <t>IN10|Latentview Analytics Private Limite|0001009769</t>
  </si>
  <si>
    <t>Preferred|US10|Super Systems Inc|0001011525 (US10|Super Systems Inc|0001011525)</t>
  </si>
  <si>
    <t>Preferred|AU10|Dell Australia PTY Ltd|0001004851 (AU10|Dell Australia PTY Ltd|0001004851)</t>
  </si>
  <si>
    <t>AUD</t>
  </si>
  <si>
    <t>Preferred|IE10|Field Fisher Waterhouse LLP|0001000069 (IE10|Field Fisher Waterhouse LLP|0001000069)</t>
  </si>
  <si>
    <t>Preferred|IN10|Koenig Solutions Private Limited|0001009220 (IN10|Koenig Solutions Private Limited|0001009220)</t>
  </si>
  <si>
    <t>SA10|Hilal Computer and Technical for Tr Co|0001011684</t>
  </si>
  <si>
    <t>IE10|Lenovo United States Inc|0001003816</t>
  </si>
  <si>
    <t>JP10|Star Festival Inc|0001001810</t>
  </si>
  <si>
    <t>US10|JetBrains Americas|0001007742</t>
  </si>
  <si>
    <t>SG10|Up 2 Speed Pte Ltd|0001009117</t>
  </si>
  <si>
    <t>Preferred|TH10|IVT Solutions Thailand Co Ltd|0001004138 (TH10|IVT Solutions Thailand Co Ltd|0001004138)</t>
  </si>
  <si>
    <t>Payment Request (PCT) | (Dummy - Payment Request (PCT) |)</t>
  </si>
  <si>
    <t>US10|Canteen|0001013975</t>
  </si>
  <si>
    <t>US10|Kaleo Partners LLC|0001007553</t>
  </si>
  <si>
    <t>JP10|Yuki Lapin|0001001912</t>
  </si>
  <si>
    <t>Preferred|US10|SDL Inc|0001007990 (US10|SDL Inc|0001007990)</t>
  </si>
  <si>
    <t>US10|Grainger Industrial Supply|0001006896</t>
  </si>
  <si>
    <t>US10|UBM LLC|0001004936</t>
  </si>
  <si>
    <t>Preferred|US10|Mindstix Software Labs Private Limited|0001002287 (US10|Mindstix Software Labs Private Limited|0001002287)</t>
  </si>
  <si>
    <t>US10|Interviewing io|0001013158</t>
  </si>
  <si>
    <t>RU10|KOMUS LLC|0001012690</t>
  </si>
  <si>
    <t>RUB</t>
  </si>
  <si>
    <t>BG10|ATIA PRINT Ltd|0001000893</t>
  </si>
  <si>
    <t>IL10|Occupational Physiotherapy Solution|0001007692</t>
  </si>
  <si>
    <t>Preferred|US10|Sunbelt Controls Inc|0001004259 (US10|Sunbelt Controls Inc|0001004259)</t>
  </si>
  <si>
    <t>US10|ATV Video Center Inc|0001007184</t>
  </si>
  <si>
    <t>IE10|A HOTELS SA|0001000933</t>
  </si>
  <si>
    <t>Preferred|US10|GlobalLogic Inc|0001007607 (US10|GlobalLogic Inc|0001007607)</t>
  </si>
  <si>
    <t>US10|WAN Dynamics Inc|0001014410</t>
  </si>
  <si>
    <t>US10|MAHALO DIGITAL INC|0001003115</t>
  </si>
  <si>
    <t>Preferred|US10|QuisLex Inc|0001007173 (US10|QuisLex Inc|0001007173)</t>
  </si>
  <si>
    <t>Preferred|US10|KPMG LLP|0001004736 (US10|KPMG LLP|0001004736)</t>
  </si>
  <si>
    <t>Preferred|US10|Salesforce.Com Inc|0001006743 (US10|Salesforce.Com Inc|0001006743)</t>
  </si>
  <si>
    <t>US10|Ijeoma Oluo|0009000515</t>
  </si>
  <si>
    <t>Preferred|US10|Zorch International Inc|0001012979 (US10|Zorch International Inc|0001012979)</t>
  </si>
  <si>
    <t>US10|Bloomberg Finance LP|0001000972</t>
  </si>
  <si>
    <t>US10|TeleManagement Forum|0001001854</t>
  </si>
  <si>
    <t>JP10|D and R Integrates Inc|0001002420</t>
  </si>
  <si>
    <t>US10|1105 Media Inc|0001001973</t>
  </si>
  <si>
    <t>Preferred|US10|Slack Technologies Inc|0001003066 (US10|Slack Technologies Inc|0001003066)</t>
  </si>
  <si>
    <t>Preferred|IE10|Hesscroft Limited Brook Food Services|0001010143 (IE10|Hesscroft Ltd|0001010143)</t>
  </si>
  <si>
    <t>CN10|BeiJing Teamsun Technology Co Ltd|0001011383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</si>
</sst>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"/>
  <sheetViews>
    <sheetView tabSelected="1" workbookViewId="0"/>
  </sheetViews>
  <sheetFormatPr defaultRowHeight="14.5" x14ac:dyDescent="0.35"/>
  <cols>
    <col min="5" max="5" width="11.36328125" style="3" bestFit="1" customWidth="1"/>
    <col min="6" max="6" width="8.7265625" style="3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289</v>
      </c>
      <c r="G1" t="s">
        <v>288</v>
      </c>
      <c r="H1" t="s">
        <v>5</v>
      </c>
      <c r="I1" t="s">
        <v>6</v>
      </c>
      <c r="J1" t="s">
        <v>286</v>
      </c>
      <c r="K1" t="s">
        <v>287</v>
      </c>
    </row>
    <row r="2" spans="1:11" x14ac:dyDescent="0.35">
      <c r="A2">
        <v>377256</v>
      </c>
      <c r="B2" t="s">
        <v>7</v>
      </c>
      <c r="C2" s="1">
        <v>43864</v>
      </c>
      <c r="D2" t="s">
        <v>8</v>
      </c>
      <c r="E2" s="3">
        <v>91725.95</v>
      </c>
      <c r="F2" s="3">
        <v>74.27</v>
      </c>
      <c r="G2" s="2">
        <f>91725.95/74.27</f>
        <v>1235.0336609667429</v>
      </c>
      <c r="H2" t="s">
        <v>9</v>
      </c>
      <c r="I2" t="s">
        <v>10</v>
      </c>
      <c r="J2" t="s">
        <v>290</v>
      </c>
      <c r="K2" t="s">
        <v>291</v>
      </c>
    </row>
    <row r="3" spans="1:11" x14ac:dyDescent="0.35">
      <c r="A3">
        <v>377253</v>
      </c>
      <c r="B3" t="s">
        <v>11</v>
      </c>
      <c r="C3" s="1">
        <v>43864</v>
      </c>
      <c r="D3" t="s">
        <v>8</v>
      </c>
      <c r="E3" s="3">
        <v>266889.42</v>
      </c>
      <c r="F3" s="3">
        <v>74.27</v>
      </c>
      <c r="G3" s="2">
        <f>266889.42/74.27</f>
        <v>3593.502356267672</v>
      </c>
      <c r="H3" t="s">
        <v>12</v>
      </c>
      <c r="I3" t="s">
        <v>10</v>
      </c>
      <c r="J3" t="s">
        <v>292</v>
      </c>
      <c r="K3" t="s">
        <v>293</v>
      </c>
    </row>
    <row r="4" spans="1:11" x14ac:dyDescent="0.35">
      <c r="A4">
        <v>377250</v>
      </c>
      <c r="B4" t="s">
        <v>13</v>
      </c>
      <c r="C4" s="1">
        <v>43864</v>
      </c>
      <c r="D4" t="s">
        <v>8</v>
      </c>
      <c r="E4" s="3">
        <v>34270.76</v>
      </c>
      <c r="F4" s="3">
        <v>74.27</v>
      </c>
      <c r="G4" s="2">
        <f>34270.76/74.27</f>
        <v>461.43476504645218</v>
      </c>
      <c r="H4" t="s">
        <v>14</v>
      </c>
      <c r="I4" t="s">
        <v>10</v>
      </c>
      <c r="J4" t="s">
        <v>294</v>
      </c>
      <c r="K4" t="s">
        <v>295</v>
      </c>
    </row>
    <row r="5" spans="1:11" x14ac:dyDescent="0.35">
      <c r="A5">
        <v>377248</v>
      </c>
      <c r="B5" t="s">
        <v>15</v>
      </c>
      <c r="C5" s="1">
        <v>43864</v>
      </c>
      <c r="D5" t="s">
        <v>8</v>
      </c>
      <c r="E5" s="3">
        <v>213658.83</v>
      </c>
      <c r="F5" s="3">
        <v>74.27</v>
      </c>
      <c r="G5" s="2">
        <f>213658.83/74.27</f>
        <v>2876.7851083883129</v>
      </c>
      <c r="H5" t="s">
        <v>14</v>
      </c>
      <c r="I5" t="s">
        <v>10</v>
      </c>
      <c r="J5" t="s">
        <v>294</v>
      </c>
      <c r="K5" t="s">
        <v>295</v>
      </c>
    </row>
    <row r="6" spans="1:11" x14ac:dyDescent="0.35">
      <c r="A6">
        <v>377247</v>
      </c>
      <c r="B6" t="s">
        <v>16</v>
      </c>
      <c r="C6" s="1">
        <v>43864</v>
      </c>
      <c r="D6" t="s">
        <v>8</v>
      </c>
      <c r="E6" s="3">
        <v>18017.689999999999</v>
      </c>
      <c r="F6" s="3">
        <v>74.27</v>
      </c>
      <c r="G6" s="2">
        <f>18017.69/74.27</f>
        <v>242.5971455500202</v>
      </c>
      <c r="H6" t="s">
        <v>17</v>
      </c>
      <c r="I6" t="s">
        <v>10</v>
      </c>
      <c r="J6" t="s">
        <v>296</v>
      </c>
      <c r="K6" t="s">
        <v>297</v>
      </c>
    </row>
    <row r="7" spans="1:11" x14ac:dyDescent="0.35">
      <c r="A7">
        <v>377246</v>
      </c>
      <c r="B7" t="s">
        <v>15</v>
      </c>
      <c r="C7" s="1">
        <v>43864</v>
      </c>
      <c r="D7" t="s">
        <v>8</v>
      </c>
      <c r="E7" s="3">
        <v>177000.95999999999</v>
      </c>
      <c r="F7" s="3">
        <v>74.27</v>
      </c>
      <c r="G7" s="2">
        <f>177000.96/74.27</f>
        <v>2383.2093712131414</v>
      </c>
      <c r="H7" t="s">
        <v>14</v>
      </c>
      <c r="I7" t="s">
        <v>10</v>
      </c>
      <c r="J7" t="s">
        <v>294</v>
      </c>
      <c r="K7" t="s">
        <v>295</v>
      </c>
    </row>
    <row r="8" spans="1:11" x14ac:dyDescent="0.35">
      <c r="A8">
        <v>377244</v>
      </c>
      <c r="B8" t="s">
        <v>18</v>
      </c>
      <c r="C8" s="1">
        <v>43864</v>
      </c>
      <c r="D8" t="s">
        <v>8</v>
      </c>
      <c r="E8" s="3">
        <v>750737</v>
      </c>
      <c r="F8" s="3">
        <v>74.27</v>
      </c>
      <c r="G8" s="2">
        <f>750737/74.27</f>
        <v>10108.213275885284</v>
      </c>
      <c r="H8" t="s">
        <v>19</v>
      </c>
      <c r="I8" t="s">
        <v>10</v>
      </c>
      <c r="J8" t="s">
        <v>298</v>
      </c>
      <c r="K8" t="s">
        <v>297</v>
      </c>
    </row>
    <row r="9" spans="1:11" x14ac:dyDescent="0.35">
      <c r="A9">
        <v>377243</v>
      </c>
      <c r="B9" t="s">
        <v>20</v>
      </c>
      <c r="C9" s="1">
        <v>43864</v>
      </c>
      <c r="D9" t="s">
        <v>8</v>
      </c>
      <c r="E9" s="3">
        <v>756742.9</v>
      </c>
      <c r="F9" s="3">
        <v>74.27</v>
      </c>
      <c r="G9" s="2">
        <f>756742.9/74.27</f>
        <v>10189.079035949913</v>
      </c>
      <c r="H9" t="s">
        <v>21</v>
      </c>
      <c r="I9" t="s">
        <v>10</v>
      </c>
      <c r="J9" t="s">
        <v>299</v>
      </c>
      <c r="K9" t="s">
        <v>297</v>
      </c>
    </row>
    <row r="10" spans="1:11" x14ac:dyDescent="0.35">
      <c r="A10">
        <v>377239</v>
      </c>
      <c r="B10" t="s">
        <v>22</v>
      </c>
      <c r="C10" s="1">
        <v>43864</v>
      </c>
      <c r="D10" t="s">
        <v>8</v>
      </c>
      <c r="E10" s="3">
        <v>5333.24</v>
      </c>
      <c r="F10" s="3">
        <v>74.27</v>
      </c>
      <c r="G10" s="2">
        <f>5333.24/74.27</f>
        <v>71.808805708899968</v>
      </c>
      <c r="H10" t="s">
        <v>23</v>
      </c>
      <c r="I10" t="s">
        <v>10</v>
      </c>
      <c r="J10" t="s">
        <v>300</v>
      </c>
      <c r="K10" t="s">
        <v>297</v>
      </c>
    </row>
    <row r="11" spans="1:11" x14ac:dyDescent="0.35">
      <c r="A11">
        <v>377236</v>
      </c>
      <c r="B11" t="s">
        <v>24</v>
      </c>
      <c r="C11" s="1">
        <v>43864</v>
      </c>
      <c r="D11" t="s">
        <v>8</v>
      </c>
      <c r="E11" s="3">
        <v>20500</v>
      </c>
      <c r="F11" s="3">
        <v>74.27</v>
      </c>
      <c r="G11" s="2">
        <f>20500/74.27</f>
        <v>276.01992729231188</v>
      </c>
      <c r="H11" t="s">
        <v>17</v>
      </c>
      <c r="I11" t="s">
        <v>10</v>
      </c>
      <c r="J11" t="s">
        <v>301</v>
      </c>
      <c r="K11" t="s">
        <v>295</v>
      </c>
    </row>
    <row r="12" spans="1:11" x14ac:dyDescent="0.35">
      <c r="A12">
        <v>377233</v>
      </c>
      <c r="B12" t="s">
        <v>25</v>
      </c>
      <c r="C12" s="1">
        <v>43864</v>
      </c>
      <c r="D12" t="s">
        <v>8</v>
      </c>
      <c r="E12" s="3">
        <v>6171058.1399999997</v>
      </c>
      <c r="F12" s="3">
        <v>74.27</v>
      </c>
      <c r="G12" s="2">
        <f>6171058.14/74.27</f>
        <v>83089.513127777027</v>
      </c>
      <c r="H12" t="s">
        <v>26</v>
      </c>
      <c r="I12" t="s">
        <v>10</v>
      </c>
      <c r="J12" t="s">
        <v>302</v>
      </c>
      <c r="K12" t="s">
        <v>297</v>
      </c>
    </row>
    <row r="13" spans="1:11" x14ac:dyDescent="0.35">
      <c r="A13">
        <v>377230</v>
      </c>
      <c r="B13" t="s">
        <v>27</v>
      </c>
      <c r="C13" s="1">
        <v>43864</v>
      </c>
      <c r="D13" t="s">
        <v>8</v>
      </c>
      <c r="E13" s="3">
        <v>4532359.16</v>
      </c>
      <c r="F13" s="3">
        <v>74.27</v>
      </c>
      <c r="G13" s="2">
        <f>4532359.16/74.27</f>
        <v>61025.436380772859</v>
      </c>
      <c r="H13" t="s">
        <v>28</v>
      </c>
      <c r="I13" t="s">
        <v>29</v>
      </c>
      <c r="J13" t="s">
        <v>303</v>
      </c>
      <c r="K13" t="s">
        <v>304</v>
      </c>
    </row>
    <row r="14" spans="1:11" x14ac:dyDescent="0.35">
      <c r="A14">
        <v>377229</v>
      </c>
      <c r="B14" t="s">
        <v>30</v>
      </c>
      <c r="C14" s="1">
        <v>43864</v>
      </c>
      <c r="D14" t="s">
        <v>8</v>
      </c>
      <c r="E14" s="3">
        <v>178881.86</v>
      </c>
      <c r="F14" s="3">
        <v>74.27</v>
      </c>
      <c r="G14" s="2">
        <f>178881.86/74.27</f>
        <v>2408.534536151878</v>
      </c>
      <c r="H14" t="s">
        <v>23</v>
      </c>
      <c r="I14" t="s">
        <v>10</v>
      </c>
      <c r="J14" t="s">
        <v>300</v>
      </c>
      <c r="K14" t="s">
        <v>297</v>
      </c>
    </row>
    <row r="15" spans="1:11" x14ac:dyDescent="0.35">
      <c r="A15">
        <v>377228</v>
      </c>
      <c r="B15" t="s">
        <v>27</v>
      </c>
      <c r="C15" s="1">
        <v>43864</v>
      </c>
      <c r="D15" t="s">
        <v>8</v>
      </c>
      <c r="E15" s="3">
        <v>1800888.18</v>
      </c>
      <c r="F15" s="3">
        <v>74.27</v>
      </c>
      <c r="G15" s="2">
        <f>1800888.18/74.27</f>
        <v>24247.854853911405</v>
      </c>
      <c r="H15" t="s">
        <v>28</v>
      </c>
      <c r="I15" t="s">
        <v>29</v>
      </c>
      <c r="J15" t="s">
        <v>305</v>
      </c>
      <c r="K15" t="s">
        <v>306</v>
      </c>
    </row>
    <row r="16" spans="1:11" x14ac:dyDescent="0.35">
      <c r="A16">
        <v>377225</v>
      </c>
      <c r="B16" t="s">
        <v>31</v>
      </c>
      <c r="C16" s="1">
        <v>43864</v>
      </c>
      <c r="D16" t="s">
        <v>8</v>
      </c>
      <c r="E16" s="3">
        <v>11939721.25</v>
      </c>
      <c r="F16" s="3">
        <v>74.27</v>
      </c>
      <c r="G16" s="2">
        <f>11939721.25/74.27</f>
        <v>160761.02396660834</v>
      </c>
      <c r="H16" t="s">
        <v>32</v>
      </c>
      <c r="I16" t="s">
        <v>10</v>
      </c>
      <c r="J16" t="s">
        <v>307</v>
      </c>
      <c r="K16" t="s">
        <v>297</v>
      </c>
    </row>
    <row r="17" spans="1:11" x14ac:dyDescent="0.35">
      <c r="A17">
        <v>377220</v>
      </c>
      <c r="B17" t="s">
        <v>33</v>
      </c>
      <c r="C17" s="1">
        <v>43864</v>
      </c>
      <c r="D17" t="s">
        <v>8</v>
      </c>
      <c r="E17" s="3">
        <v>9634448.1600000001</v>
      </c>
      <c r="F17" s="3">
        <v>74.27</v>
      </c>
      <c r="G17" s="2">
        <f>9634448.16/74.27</f>
        <v>129721.93564023159</v>
      </c>
      <c r="H17" t="s">
        <v>34</v>
      </c>
      <c r="I17" t="s">
        <v>10</v>
      </c>
      <c r="J17" t="s">
        <v>308</v>
      </c>
      <c r="K17" t="s">
        <v>297</v>
      </c>
    </row>
    <row r="18" spans="1:11" x14ac:dyDescent="0.35">
      <c r="A18">
        <v>377218</v>
      </c>
      <c r="B18" t="s">
        <v>35</v>
      </c>
      <c r="C18" s="1">
        <v>43864</v>
      </c>
      <c r="D18" t="s">
        <v>8</v>
      </c>
      <c r="E18" s="3">
        <v>834649.87</v>
      </c>
      <c r="F18" s="3">
        <v>74.27</v>
      </c>
      <c r="G18" s="2">
        <f>834649.87/74.27</f>
        <v>11238.048606435977</v>
      </c>
      <c r="H18" t="s">
        <v>36</v>
      </c>
      <c r="I18" t="s">
        <v>10</v>
      </c>
      <c r="J18" t="s">
        <v>309</v>
      </c>
      <c r="K18" t="s">
        <v>310</v>
      </c>
    </row>
    <row r="19" spans="1:11" x14ac:dyDescent="0.35">
      <c r="A19">
        <v>377215</v>
      </c>
      <c r="B19" t="s">
        <v>37</v>
      </c>
      <c r="C19" s="1">
        <v>43864</v>
      </c>
      <c r="D19" t="s">
        <v>8</v>
      </c>
      <c r="E19" s="3">
        <v>37786.660000000003</v>
      </c>
      <c r="F19" s="3">
        <v>74.27</v>
      </c>
      <c r="G19" s="2">
        <f>37786.66/74.27</f>
        <v>508.77420223508824</v>
      </c>
      <c r="H19" t="s">
        <v>17</v>
      </c>
      <c r="I19" t="s">
        <v>10</v>
      </c>
      <c r="J19" t="s">
        <v>311</v>
      </c>
      <c r="K19" t="s">
        <v>312</v>
      </c>
    </row>
    <row r="20" spans="1:11" x14ac:dyDescent="0.35">
      <c r="A20">
        <v>377214</v>
      </c>
      <c r="B20" t="s">
        <v>38</v>
      </c>
      <c r="C20" s="1">
        <v>43864</v>
      </c>
      <c r="D20" t="s">
        <v>8</v>
      </c>
      <c r="E20" s="3">
        <v>3002948</v>
      </c>
      <c r="F20" s="3">
        <v>74.27</v>
      </c>
      <c r="G20" s="2">
        <f>3002948/74.27</f>
        <v>40432.853103541136</v>
      </c>
      <c r="H20" t="s">
        <v>39</v>
      </c>
      <c r="I20" t="s">
        <v>10</v>
      </c>
      <c r="J20" t="s">
        <v>313</v>
      </c>
      <c r="K20" t="s">
        <v>297</v>
      </c>
    </row>
    <row r="21" spans="1:11" x14ac:dyDescent="0.35">
      <c r="A21">
        <v>377213</v>
      </c>
      <c r="B21" t="s">
        <v>40</v>
      </c>
      <c r="C21" s="1">
        <v>43864</v>
      </c>
      <c r="D21" t="s">
        <v>8</v>
      </c>
      <c r="E21" s="3">
        <v>1191569.77</v>
      </c>
      <c r="F21" s="3">
        <v>74.27</v>
      </c>
      <c r="G21" s="2">
        <f>1191569.77/74.27</f>
        <v>16043.756159956914</v>
      </c>
      <c r="H21" t="s">
        <v>41</v>
      </c>
      <c r="I21" t="s">
        <v>10</v>
      </c>
      <c r="J21" t="s">
        <v>314</v>
      </c>
      <c r="K21" t="s">
        <v>297</v>
      </c>
    </row>
    <row r="22" spans="1:11" x14ac:dyDescent="0.35">
      <c r="A22">
        <v>377211</v>
      </c>
      <c r="B22" t="s">
        <v>42</v>
      </c>
      <c r="C22" s="1">
        <v>43864</v>
      </c>
      <c r="D22" t="s">
        <v>8</v>
      </c>
      <c r="E22" s="3">
        <v>3820233.33</v>
      </c>
      <c r="F22" s="3">
        <v>74.27</v>
      </c>
      <c r="G22" s="2">
        <f>3820233.33/74.27</f>
        <v>51437.098828598362</v>
      </c>
      <c r="H22" t="s">
        <v>43</v>
      </c>
      <c r="I22" t="s">
        <v>10</v>
      </c>
      <c r="J22" t="s">
        <v>315</v>
      </c>
      <c r="K22" t="s">
        <v>297</v>
      </c>
    </row>
    <row r="23" spans="1:11" x14ac:dyDescent="0.35">
      <c r="A23">
        <v>377207</v>
      </c>
      <c r="B23" t="s">
        <v>42</v>
      </c>
      <c r="C23" s="1">
        <v>43864</v>
      </c>
      <c r="D23" t="s">
        <v>8</v>
      </c>
      <c r="E23" s="3">
        <v>3624763.19</v>
      </c>
      <c r="F23" s="3">
        <v>74.27</v>
      </c>
      <c r="G23" s="2">
        <f>3624763.19/74.27</f>
        <v>48805.213275885282</v>
      </c>
      <c r="H23" t="s">
        <v>43</v>
      </c>
      <c r="I23" t="s">
        <v>10</v>
      </c>
      <c r="J23" t="s">
        <v>315</v>
      </c>
      <c r="K23" t="s">
        <v>297</v>
      </c>
    </row>
    <row r="24" spans="1:11" x14ac:dyDescent="0.35">
      <c r="A24">
        <v>377201</v>
      </c>
      <c r="B24" t="s">
        <v>44</v>
      </c>
      <c r="C24" s="1">
        <v>43864</v>
      </c>
      <c r="D24" t="s">
        <v>8</v>
      </c>
      <c r="E24" s="3">
        <v>340456.7</v>
      </c>
      <c r="F24" s="3">
        <v>74.27</v>
      </c>
      <c r="G24" s="2">
        <f>340456.7/74.27</f>
        <v>4584.0406624478255</v>
      </c>
      <c r="H24" t="s">
        <v>28</v>
      </c>
      <c r="I24" t="s">
        <v>10</v>
      </c>
      <c r="J24" t="s">
        <v>316</v>
      </c>
      <c r="K24" t="s">
        <v>317</v>
      </c>
    </row>
    <row r="25" spans="1:11" x14ac:dyDescent="0.35">
      <c r="A25">
        <v>377200</v>
      </c>
      <c r="B25" t="s">
        <v>44</v>
      </c>
      <c r="C25" s="1">
        <v>43864</v>
      </c>
      <c r="D25" t="s">
        <v>8</v>
      </c>
      <c r="E25" s="3">
        <v>510685.06</v>
      </c>
      <c r="F25" s="3">
        <v>74.27</v>
      </c>
      <c r="G25" s="2">
        <f>510685.06/74.27</f>
        <v>6876.0611283156059</v>
      </c>
      <c r="H25" t="s">
        <v>28</v>
      </c>
      <c r="I25" t="s">
        <v>10</v>
      </c>
      <c r="J25" t="s">
        <v>316</v>
      </c>
      <c r="K25" t="s">
        <v>317</v>
      </c>
    </row>
    <row r="26" spans="1:11" x14ac:dyDescent="0.35">
      <c r="A26">
        <v>377199</v>
      </c>
      <c r="B26" t="s">
        <v>44</v>
      </c>
      <c r="C26" s="1">
        <v>43864</v>
      </c>
      <c r="D26" t="s">
        <v>8</v>
      </c>
      <c r="E26" s="3">
        <v>425570.88</v>
      </c>
      <c r="F26" s="3">
        <v>74.27</v>
      </c>
      <c r="G26" s="2">
        <f>425570.88/74.27</f>
        <v>5730.0508953817161</v>
      </c>
      <c r="H26" t="s">
        <v>28</v>
      </c>
      <c r="I26" t="s">
        <v>10</v>
      </c>
      <c r="J26" t="s">
        <v>316</v>
      </c>
      <c r="K26" t="s">
        <v>317</v>
      </c>
    </row>
    <row r="27" spans="1:11" x14ac:dyDescent="0.35">
      <c r="A27">
        <v>377198</v>
      </c>
      <c r="B27" t="s">
        <v>45</v>
      </c>
      <c r="C27" s="1">
        <v>43864</v>
      </c>
      <c r="D27" t="s">
        <v>8</v>
      </c>
      <c r="E27" s="3">
        <v>26275795</v>
      </c>
      <c r="F27" s="3">
        <v>74.27</v>
      </c>
      <c r="G27" s="2">
        <f>26275795/74.27</f>
        <v>353787.46465598495</v>
      </c>
      <c r="H27" t="s">
        <v>46</v>
      </c>
      <c r="I27" t="s">
        <v>10</v>
      </c>
      <c r="J27" t="s">
        <v>318</v>
      </c>
      <c r="K27" t="s">
        <v>297</v>
      </c>
    </row>
    <row r="28" spans="1:11" x14ac:dyDescent="0.35">
      <c r="A28">
        <v>377196</v>
      </c>
      <c r="B28" t="s">
        <v>47</v>
      </c>
      <c r="C28" s="1">
        <v>43864</v>
      </c>
      <c r="D28" t="s">
        <v>8</v>
      </c>
      <c r="E28" s="3">
        <v>893677.32</v>
      </c>
      <c r="F28" s="3">
        <v>74.27</v>
      </c>
      <c r="G28" s="2">
        <f>893677.32/74.27</f>
        <v>12032.817018984786</v>
      </c>
      <c r="H28" t="s">
        <v>41</v>
      </c>
      <c r="I28" t="s">
        <v>10</v>
      </c>
      <c r="J28" t="s">
        <v>319</v>
      </c>
      <c r="K28" t="s">
        <v>297</v>
      </c>
    </row>
    <row r="29" spans="1:11" x14ac:dyDescent="0.35">
      <c r="A29">
        <v>377194</v>
      </c>
      <c r="B29" t="s">
        <v>48</v>
      </c>
      <c r="C29" s="1">
        <v>43864</v>
      </c>
      <c r="D29" t="s">
        <v>8</v>
      </c>
      <c r="E29" s="3">
        <v>895231.35</v>
      </c>
      <c r="F29" s="3">
        <v>74.27</v>
      </c>
      <c r="G29" s="2">
        <f>895231.35/74.27</f>
        <v>12053.741079843814</v>
      </c>
      <c r="H29" t="s">
        <v>41</v>
      </c>
      <c r="I29" t="s">
        <v>10</v>
      </c>
      <c r="J29" t="s">
        <v>320</v>
      </c>
      <c r="K29" t="s">
        <v>297</v>
      </c>
    </row>
    <row r="30" spans="1:11" x14ac:dyDescent="0.35">
      <c r="A30">
        <v>377193</v>
      </c>
      <c r="B30" t="s">
        <v>48</v>
      </c>
      <c r="C30" s="1">
        <v>43864</v>
      </c>
      <c r="D30" t="s">
        <v>8</v>
      </c>
      <c r="E30" s="3">
        <v>3603537.6</v>
      </c>
      <c r="F30" s="3">
        <v>74.27</v>
      </c>
      <c r="G30" s="2">
        <f>3603537.6/74.27</f>
        <v>48519.423724249362</v>
      </c>
      <c r="H30" t="s">
        <v>41</v>
      </c>
      <c r="I30" t="s">
        <v>10</v>
      </c>
      <c r="J30" t="s">
        <v>321</v>
      </c>
      <c r="K30" t="s">
        <v>297</v>
      </c>
    </row>
    <row r="31" spans="1:11" x14ac:dyDescent="0.35">
      <c r="A31">
        <v>377192</v>
      </c>
      <c r="B31" t="s">
        <v>49</v>
      </c>
      <c r="C31" s="1">
        <v>43864</v>
      </c>
      <c r="D31" t="s">
        <v>8</v>
      </c>
      <c r="E31" s="3">
        <v>893677.32</v>
      </c>
      <c r="F31" s="3">
        <v>74.27</v>
      </c>
      <c r="G31" s="2">
        <f>893677.32/74.27</f>
        <v>12032.817018984786</v>
      </c>
      <c r="H31" t="s">
        <v>41</v>
      </c>
      <c r="I31" t="s">
        <v>10</v>
      </c>
      <c r="J31" t="s">
        <v>319</v>
      </c>
      <c r="K31" t="s">
        <v>297</v>
      </c>
    </row>
    <row r="32" spans="1:11" x14ac:dyDescent="0.35">
      <c r="A32">
        <v>377189</v>
      </c>
      <c r="B32" t="s">
        <v>49</v>
      </c>
      <c r="C32" s="1">
        <v>43864</v>
      </c>
      <c r="D32" t="s">
        <v>8</v>
      </c>
      <c r="E32" s="3">
        <v>3574709.3</v>
      </c>
      <c r="F32" s="3">
        <v>74.27</v>
      </c>
      <c r="G32" s="2">
        <f>3574709.3/74.27</f>
        <v>48131.268345226876</v>
      </c>
      <c r="H32" t="s">
        <v>41</v>
      </c>
      <c r="I32" t="s">
        <v>10</v>
      </c>
      <c r="J32" t="s">
        <v>319</v>
      </c>
      <c r="K32" t="s">
        <v>297</v>
      </c>
    </row>
    <row r="33" spans="1:11" x14ac:dyDescent="0.35">
      <c r="A33">
        <v>377188</v>
      </c>
      <c r="B33" t="s">
        <v>50</v>
      </c>
      <c r="C33" s="1">
        <v>43864</v>
      </c>
      <c r="D33" t="s">
        <v>8</v>
      </c>
      <c r="E33" s="3">
        <v>0</v>
      </c>
      <c r="F33" s="3">
        <v>74.27</v>
      </c>
      <c r="G33">
        <f>0/74.27</f>
        <v>0</v>
      </c>
      <c r="H33" t="s">
        <v>51</v>
      </c>
      <c r="I33" t="s">
        <v>10</v>
      </c>
      <c r="J33" t="s">
        <v>322</v>
      </c>
      <c r="K33" t="s">
        <v>297</v>
      </c>
    </row>
    <row r="34" spans="1:11" x14ac:dyDescent="0.35">
      <c r="A34">
        <v>377187</v>
      </c>
      <c r="B34" t="s">
        <v>52</v>
      </c>
      <c r="C34" s="1">
        <v>43864</v>
      </c>
      <c r="D34" t="s">
        <v>8</v>
      </c>
      <c r="E34" s="3">
        <v>893677.32</v>
      </c>
      <c r="F34" s="3">
        <v>74.27</v>
      </c>
      <c r="G34" s="2">
        <f>893677.32/74.27</f>
        <v>12032.817018984786</v>
      </c>
      <c r="H34" t="s">
        <v>41</v>
      </c>
      <c r="I34" t="s">
        <v>10</v>
      </c>
      <c r="J34" t="s">
        <v>319</v>
      </c>
      <c r="K34" t="s">
        <v>297</v>
      </c>
    </row>
    <row r="35" spans="1:11" x14ac:dyDescent="0.35">
      <c r="A35">
        <v>377186</v>
      </c>
      <c r="B35" t="s">
        <v>47</v>
      </c>
      <c r="C35" s="1">
        <v>43864</v>
      </c>
      <c r="D35" t="s">
        <v>8</v>
      </c>
      <c r="E35" s="3">
        <v>1489462.21</v>
      </c>
      <c r="F35" s="3">
        <v>74.27</v>
      </c>
      <c r="G35" s="2">
        <f>1489462.21/74.27</f>
        <v>20054.695166285175</v>
      </c>
      <c r="H35" t="s">
        <v>41</v>
      </c>
      <c r="I35" t="s">
        <v>10</v>
      </c>
      <c r="J35" t="s">
        <v>321</v>
      </c>
      <c r="K35" t="s">
        <v>297</v>
      </c>
    </row>
    <row r="36" spans="1:11" x14ac:dyDescent="0.35">
      <c r="A36">
        <v>377185</v>
      </c>
      <c r="B36" t="s">
        <v>53</v>
      </c>
      <c r="C36" s="1">
        <v>43864</v>
      </c>
      <c r="D36" t="s">
        <v>8</v>
      </c>
      <c r="E36" s="3">
        <v>893677.32</v>
      </c>
      <c r="F36" s="3">
        <v>74.27</v>
      </c>
      <c r="G36" s="2">
        <f>893677.32/74.27</f>
        <v>12032.817018984786</v>
      </c>
      <c r="H36" t="s">
        <v>41</v>
      </c>
      <c r="I36" t="s">
        <v>10</v>
      </c>
      <c r="J36" t="s">
        <v>319</v>
      </c>
      <c r="K36" t="s">
        <v>297</v>
      </c>
    </row>
    <row r="37" spans="1:11" x14ac:dyDescent="0.35">
      <c r="A37">
        <v>377178</v>
      </c>
      <c r="B37" t="s">
        <v>50</v>
      </c>
      <c r="C37" s="1">
        <v>43864</v>
      </c>
      <c r="D37" t="s">
        <v>8</v>
      </c>
      <c r="E37" s="3">
        <v>0</v>
      </c>
      <c r="F37" s="3">
        <v>74.27</v>
      </c>
      <c r="G37">
        <f>0/74.27</f>
        <v>0</v>
      </c>
      <c r="H37" t="s">
        <v>54</v>
      </c>
      <c r="I37" t="s">
        <v>10</v>
      </c>
      <c r="J37" t="s">
        <v>323</v>
      </c>
      <c r="K37" t="s">
        <v>297</v>
      </c>
    </row>
    <row r="38" spans="1:11" x14ac:dyDescent="0.35">
      <c r="A38">
        <v>377170</v>
      </c>
      <c r="B38" t="s">
        <v>55</v>
      </c>
      <c r="C38" s="1">
        <v>43864</v>
      </c>
      <c r="D38" t="s">
        <v>8</v>
      </c>
      <c r="E38" s="3">
        <v>8258107</v>
      </c>
      <c r="F38" s="3">
        <v>74.27</v>
      </c>
      <c r="G38" s="2">
        <f>8258107/74.27</f>
        <v>111190.34603473812</v>
      </c>
      <c r="H38" t="s">
        <v>32</v>
      </c>
      <c r="I38" t="s">
        <v>10</v>
      </c>
      <c r="J38" t="s">
        <v>324</v>
      </c>
      <c r="K38" t="s">
        <v>297</v>
      </c>
    </row>
    <row r="39" spans="1:11" x14ac:dyDescent="0.35">
      <c r="A39">
        <v>377162</v>
      </c>
      <c r="B39" t="s">
        <v>56</v>
      </c>
      <c r="C39" s="1">
        <v>43864</v>
      </c>
      <c r="D39" t="s">
        <v>8</v>
      </c>
      <c r="E39" s="3">
        <v>10496429.369999999</v>
      </c>
      <c r="F39" s="3">
        <v>74.27</v>
      </c>
      <c r="G39" s="2">
        <f>10496429.37/74.27</f>
        <v>141327.98397737983</v>
      </c>
      <c r="H39" t="s">
        <v>14</v>
      </c>
      <c r="I39" t="s">
        <v>10</v>
      </c>
      <c r="J39" t="s">
        <v>325</v>
      </c>
      <c r="K39" t="s">
        <v>297</v>
      </c>
    </row>
    <row r="40" spans="1:11" x14ac:dyDescent="0.35">
      <c r="A40">
        <v>377158</v>
      </c>
      <c r="B40" t="s">
        <v>57</v>
      </c>
      <c r="C40" s="1">
        <v>43864</v>
      </c>
      <c r="D40" t="s">
        <v>8</v>
      </c>
      <c r="E40" s="3">
        <v>525515.9</v>
      </c>
      <c r="F40" s="3">
        <v>74.27</v>
      </c>
      <c r="G40" s="2">
        <f>525515.9/74.27</f>
        <v>7075.7492931196994</v>
      </c>
      <c r="H40" t="s">
        <v>14</v>
      </c>
      <c r="I40" t="s">
        <v>10</v>
      </c>
      <c r="J40" t="s">
        <v>325</v>
      </c>
      <c r="K40" t="s">
        <v>297</v>
      </c>
    </row>
    <row r="41" spans="1:11" x14ac:dyDescent="0.35">
      <c r="A41">
        <v>377154</v>
      </c>
      <c r="B41" t="s">
        <v>58</v>
      </c>
      <c r="C41" s="1">
        <v>43864</v>
      </c>
      <c r="D41" t="s">
        <v>8</v>
      </c>
      <c r="E41" s="3">
        <v>4581027.2</v>
      </c>
      <c r="F41" s="3">
        <v>74.27</v>
      </c>
      <c r="G41" s="2">
        <f>4581027.2/74.27</f>
        <v>61680.721691126972</v>
      </c>
      <c r="H41" t="s">
        <v>14</v>
      </c>
      <c r="I41" t="s">
        <v>10</v>
      </c>
      <c r="J41" t="s">
        <v>325</v>
      </c>
      <c r="K41" t="s">
        <v>297</v>
      </c>
    </row>
    <row r="42" spans="1:11" x14ac:dyDescent="0.35">
      <c r="A42">
        <v>377153</v>
      </c>
      <c r="B42" t="s">
        <v>58</v>
      </c>
      <c r="C42" s="1">
        <v>43864</v>
      </c>
      <c r="D42" t="s">
        <v>8</v>
      </c>
      <c r="E42" s="3">
        <v>2966131.86</v>
      </c>
      <c r="F42" s="3">
        <v>74.27</v>
      </c>
      <c r="G42" s="2">
        <f>2966131.86/74.27</f>
        <v>39937.146357883401</v>
      </c>
      <c r="H42" t="s">
        <v>14</v>
      </c>
      <c r="I42" t="s">
        <v>10</v>
      </c>
      <c r="J42" t="s">
        <v>325</v>
      </c>
      <c r="K42" t="s">
        <v>297</v>
      </c>
    </row>
    <row r="43" spans="1:11" x14ac:dyDescent="0.35">
      <c r="A43">
        <v>377152</v>
      </c>
      <c r="B43" t="s">
        <v>59</v>
      </c>
      <c r="C43" s="1">
        <v>43864</v>
      </c>
      <c r="D43" t="s">
        <v>8</v>
      </c>
      <c r="E43" s="3">
        <v>960943.36</v>
      </c>
      <c r="F43" s="3">
        <v>74.27</v>
      </c>
      <c r="G43" s="2">
        <f>960943.36/74.27</f>
        <v>12938.512993133163</v>
      </c>
      <c r="H43" t="s">
        <v>41</v>
      </c>
      <c r="I43" t="s">
        <v>10</v>
      </c>
      <c r="J43" t="s">
        <v>326</v>
      </c>
      <c r="K43" t="s">
        <v>297</v>
      </c>
    </row>
    <row r="44" spans="1:11" x14ac:dyDescent="0.35">
      <c r="A44">
        <v>377151</v>
      </c>
      <c r="B44" t="s">
        <v>59</v>
      </c>
      <c r="C44" s="1">
        <v>43864</v>
      </c>
      <c r="D44" t="s">
        <v>8</v>
      </c>
      <c r="E44" s="3">
        <v>960943.36</v>
      </c>
      <c r="F44" s="3">
        <v>74.27</v>
      </c>
      <c r="G44" s="2">
        <f>960943.36/74.27</f>
        <v>12938.512993133163</v>
      </c>
      <c r="H44" t="s">
        <v>41</v>
      </c>
      <c r="I44" t="s">
        <v>10</v>
      </c>
      <c r="J44" t="s">
        <v>326</v>
      </c>
      <c r="K44" t="s">
        <v>297</v>
      </c>
    </row>
    <row r="45" spans="1:11" x14ac:dyDescent="0.35">
      <c r="A45">
        <v>377150</v>
      </c>
      <c r="B45" t="s">
        <v>59</v>
      </c>
      <c r="C45" s="1">
        <v>43864</v>
      </c>
      <c r="D45" t="s">
        <v>8</v>
      </c>
      <c r="E45" s="3">
        <v>2229388.6</v>
      </c>
      <c r="F45" s="3">
        <v>74.27</v>
      </c>
      <c r="G45" s="2">
        <f>2229388.6/74.27</f>
        <v>30017.350208697997</v>
      </c>
      <c r="H45" t="s">
        <v>41</v>
      </c>
      <c r="I45" t="s">
        <v>10</v>
      </c>
      <c r="J45" t="s">
        <v>326</v>
      </c>
      <c r="K45" t="s">
        <v>297</v>
      </c>
    </row>
    <row r="46" spans="1:11" x14ac:dyDescent="0.35">
      <c r="A46">
        <v>377142</v>
      </c>
      <c r="B46" t="s">
        <v>60</v>
      </c>
      <c r="C46" s="1">
        <v>43864</v>
      </c>
      <c r="D46" t="s">
        <v>8</v>
      </c>
      <c r="E46" s="3">
        <v>260555.65</v>
      </c>
      <c r="F46" s="3">
        <v>74.27</v>
      </c>
      <c r="G46" s="2">
        <f>260555.65/74.27</f>
        <v>3508.2220277366368</v>
      </c>
      <c r="H46" t="s">
        <v>14</v>
      </c>
      <c r="I46" t="s">
        <v>10</v>
      </c>
      <c r="J46" t="s">
        <v>294</v>
      </c>
      <c r="K46" t="s">
        <v>295</v>
      </c>
    </row>
    <row r="47" spans="1:11" x14ac:dyDescent="0.35">
      <c r="A47">
        <v>377139</v>
      </c>
      <c r="B47" t="s">
        <v>61</v>
      </c>
      <c r="C47" s="1">
        <v>43864</v>
      </c>
      <c r="D47" t="s">
        <v>8</v>
      </c>
      <c r="E47" s="3">
        <v>37999.300000000003</v>
      </c>
      <c r="F47" s="3">
        <v>74.27</v>
      </c>
      <c r="G47" s="2">
        <f>37999.3/74.27</f>
        <v>511.63726942237787</v>
      </c>
      <c r="H47" t="s">
        <v>62</v>
      </c>
      <c r="I47" t="s">
        <v>10</v>
      </c>
      <c r="J47" t="s">
        <v>327</v>
      </c>
      <c r="K47" t="s">
        <v>297</v>
      </c>
    </row>
    <row r="48" spans="1:11" x14ac:dyDescent="0.35">
      <c r="A48">
        <v>377136</v>
      </c>
      <c r="B48" t="s">
        <v>61</v>
      </c>
      <c r="C48" s="1">
        <v>43864</v>
      </c>
      <c r="D48" t="s">
        <v>8</v>
      </c>
      <c r="E48" s="3">
        <v>37415.980000000003</v>
      </c>
      <c r="F48" s="3">
        <v>74.27</v>
      </c>
      <c r="G48" s="2">
        <f>37415.98/74.27</f>
        <v>503.78322337417535</v>
      </c>
      <c r="H48" t="s">
        <v>62</v>
      </c>
      <c r="I48" t="s">
        <v>10</v>
      </c>
      <c r="J48" t="s">
        <v>327</v>
      </c>
      <c r="K48" t="s">
        <v>297</v>
      </c>
    </row>
    <row r="49" spans="1:11" x14ac:dyDescent="0.35">
      <c r="A49">
        <v>377124</v>
      </c>
      <c r="B49" t="s">
        <v>63</v>
      </c>
      <c r="C49" s="1">
        <v>43864</v>
      </c>
      <c r="D49" t="s">
        <v>8</v>
      </c>
      <c r="E49" s="3">
        <v>90538.880000000005</v>
      </c>
      <c r="F49" s="3">
        <v>74.27</v>
      </c>
      <c r="G49" s="2">
        <f>90538.88/74.27</f>
        <v>1219.0504914501146</v>
      </c>
      <c r="H49" t="s">
        <v>14</v>
      </c>
      <c r="I49" t="s">
        <v>10</v>
      </c>
      <c r="J49" t="s">
        <v>325</v>
      </c>
      <c r="K49" t="s">
        <v>297</v>
      </c>
    </row>
    <row r="50" spans="1:11" x14ac:dyDescent="0.35">
      <c r="A50">
        <v>377122</v>
      </c>
      <c r="B50" t="s">
        <v>64</v>
      </c>
      <c r="C50" s="1">
        <v>43864</v>
      </c>
      <c r="D50" t="s">
        <v>8</v>
      </c>
      <c r="E50" s="3">
        <v>122977.48</v>
      </c>
      <c r="F50" s="3">
        <v>74.27</v>
      </c>
      <c r="G50" s="2">
        <f>122977.48/74.27</f>
        <v>1655.8163457654505</v>
      </c>
      <c r="H50" t="s">
        <v>14</v>
      </c>
      <c r="I50" t="s">
        <v>10</v>
      </c>
      <c r="J50" t="s">
        <v>325</v>
      </c>
      <c r="K50" t="s">
        <v>297</v>
      </c>
    </row>
    <row r="51" spans="1:11" x14ac:dyDescent="0.35">
      <c r="A51">
        <v>377119</v>
      </c>
      <c r="B51" t="s">
        <v>25</v>
      </c>
      <c r="C51" s="1">
        <v>43864</v>
      </c>
      <c r="D51" t="s">
        <v>8</v>
      </c>
      <c r="E51" s="3">
        <v>4294966.38</v>
      </c>
      <c r="F51" s="3">
        <v>74.27</v>
      </c>
      <c r="G51" s="2">
        <f>4294966.38/74.27</f>
        <v>57829.088191732866</v>
      </c>
      <c r="H51" t="s">
        <v>14</v>
      </c>
      <c r="I51" t="s">
        <v>10</v>
      </c>
      <c r="J51" t="s">
        <v>325</v>
      </c>
      <c r="K51" t="s">
        <v>297</v>
      </c>
    </row>
    <row r="52" spans="1:11" x14ac:dyDescent="0.35">
      <c r="A52">
        <v>377111</v>
      </c>
      <c r="B52" t="s">
        <v>65</v>
      </c>
      <c r="C52" s="1">
        <v>43864</v>
      </c>
      <c r="D52" t="s">
        <v>8</v>
      </c>
      <c r="E52" s="3">
        <v>3413.6</v>
      </c>
      <c r="F52" s="3">
        <v>74.27</v>
      </c>
      <c r="G52" s="2">
        <f>3413.6/74.27</f>
        <v>45.962030429513938</v>
      </c>
      <c r="H52" t="s">
        <v>17</v>
      </c>
      <c r="I52" t="s">
        <v>10</v>
      </c>
      <c r="J52" t="s">
        <v>328</v>
      </c>
      <c r="K52" t="s">
        <v>297</v>
      </c>
    </row>
    <row r="53" spans="1:11" x14ac:dyDescent="0.35">
      <c r="A53">
        <v>377110</v>
      </c>
      <c r="B53" t="s">
        <v>66</v>
      </c>
      <c r="C53" s="1">
        <v>43864</v>
      </c>
      <c r="D53" t="s">
        <v>8</v>
      </c>
      <c r="E53" s="3">
        <v>270265.32</v>
      </c>
      <c r="F53" s="3">
        <v>74.27</v>
      </c>
      <c r="G53" s="2">
        <f>270265.32/74.27</f>
        <v>3638.9567793187025</v>
      </c>
      <c r="H53" t="s">
        <v>67</v>
      </c>
      <c r="I53" t="s">
        <v>10</v>
      </c>
      <c r="J53" t="s">
        <v>329</v>
      </c>
      <c r="K53" t="s">
        <v>297</v>
      </c>
    </row>
    <row r="54" spans="1:11" x14ac:dyDescent="0.35">
      <c r="A54">
        <v>377106</v>
      </c>
      <c r="B54" t="s">
        <v>68</v>
      </c>
      <c r="C54" s="1">
        <v>43864</v>
      </c>
      <c r="D54" t="s">
        <v>8</v>
      </c>
      <c r="E54" s="3">
        <v>6756633</v>
      </c>
      <c r="F54" s="3">
        <v>74.27</v>
      </c>
      <c r="G54" s="2">
        <f>6756633/74.27</f>
        <v>90973.919482967554</v>
      </c>
      <c r="H54" t="s">
        <v>69</v>
      </c>
      <c r="I54" t="s">
        <v>10</v>
      </c>
      <c r="J54" t="s">
        <v>330</v>
      </c>
      <c r="K54" t="s">
        <v>297</v>
      </c>
    </row>
    <row r="55" spans="1:11" x14ac:dyDescent="0.35">
      <c r="A55">
        <v>377103</v>
      </c>
      <c r="B55" t="s">
        <v>68</v>
      </c>
      <c r="C55" s="1">
        <v>43864</v>
      </c>
      <c r="D55" t="s">
        <v>8</v>
      </c>
      <c r="E55" s="3">
        <v>187684.25</v>
      </c>
      <c r="F55" s="3">
        <v>74.27</v>
      </c>
      <c r="G55" s="2">
        <f>187684.25/74.27</f>
        <v>2527.053318971321</v>
      </c>
      <c r="H55" t="s">
        <v>69</v>
      </c>
      <c r="I55" t="s">
        <v>10</v>
      </c>
      <c r="J55" t="s">
        <v>331</v>
      </c>
      <c r="K55" t="s">
        <v>297</v>
      </c>
    </row>
    <row r="56" spans="1:11" x14ac:dyDescent="0.35">
      <c r="A56">
        <v>377101</v>
      </c>
      <c r="B56" t="s">
        <v>68</v>
      </c>
      <c r="C56" s="1">
        <v>43864</v>
      </c>
      <c r="D56" t="s">
        <v>8</v>
      </c>
      <c r="E56" s="3">
        <v>187684.25</v>
      </c>
      <c r="F56" s="3">
        <v>74.27</v>
      </c>
      <c r="G56" s="2">
        <f>187684.25/74.27</f>
        <v>2527.053318971321</v>
      </c>
      <c r="H56" t="s">
        <v>69</v>
      </c>
      <c r="I56" t="s">
        <v>10</v>
      </c>
      <c r="J56" t="s">
        <v>332</v>
      </c>
      <c r="K56" t="s">
        <v>297</v>
      </c>
    </row>
    <row r="57" spans="1:11" x14ac:dyDescent="0.35">
      <c r="A57">
        <v>377100</v>
      </c>
      <c r="B57" t="s">
        <v>70</v>
      </c>
      <c r="C57" s="1">
        <v>43864</v>
      </c>
      <c r="D57" t="s">
        <v>8</v>
      </c>
      <c r="E57" s="3">
        <v>14791320.67</v>
      </c>
      <c r="F57" s="3">
        <v>74.27</v>
      </c>
      <c r="G57" s="2">
        <f>14791320.67/74.27</f>
        <v>199156.06126295947</v>
      </c>
      <c r="H57" t="s">
        <v>14</v>
      </c>
      <c r="I57" t="s">
        <v>10</v>
      </c>
      <c r="J57" t="s">
        <v>325</v>
      </c>
      <c r="K57" t="s">
        <v>297</v>
      </c>
    </row>
    <row r="58" spans="1:11" x14ac:dyDescent="0.35">
      <c r="A58">
        <v>377093</v>
      </c>
      <c r="B58" t="s">
        <v>71</v>
      </c>
      <c r="C58" s="1">
        <v>43864</v>
      </c>
      <c r="D58" t="s">
        <v>8</v>
      </c>
      <c r="E58" s="3">
        <v>40263.53</v>
      </c>
      <c r="F58" s="3">
        <v>74.27</v>
      </c>
      <c r="G58" s="2">
        <f>40263.53/74.27</f>
        <v>542.12373771374712</v>
      </c>
      <c r="H58" t="s">
        <v>17</v>
      </c>
      <c r="I58" t="s">
        <v>10</v>
      </c>
      <c r="J58" t="s">
        <v>328</v>
      </c>
      <c r="K58" t="s">
        <v>297</v>
      </c>
    </row>
    <row r="59" spans="1:11" x14ac:dyDescent="0.35">
      <c r="A59">
        <v>377092</v>
      </c>
      <c r="B59" t="s">
        <v>72</v>
      </c>
      <c r="C59" s="1">
        <v>43864</v>
      </c>
      <c r="D59" t="s">
        <v>8</v>
      </c>
      <c r="E59" s="3">
        <v>4336297.32</v>
      </c>
      <c r="F59" s="3">
        <v>74.27</v>
      </c>
      <c r="G59" s="2">
        <f>4336297.32/74.27</f>
        <v>58385.583950451066</v>
      </c>
      <c r="H59" t="s">
        <v>14</v>
      </c>
      <c r="I59" t="s">
        <v>10</v>
      </c>
      <c r="J59" t="s">
        <v>333</v>
      </c>
      <c r="K59" t="s">
        <v>312</v>
      </c>
    </row>
    <row r="60" spans="1:11" x14ac:dyDescent="0.35">
      <c r="A60">
        <v>377091</v>
      </c>
      <c r="B60" t="s">
        <v>73</v>
      </c>
      <c r="C60" s="1">
        <v>43864</v>
      </c>
      <c r="D60" t="s">
        <v>8</v>
      </c>
      <c r="E60" s="3">
        <v>1954582.82</v>
      </c>
      <c r="F60" s="3">
        <v>74.27</v>
      </c>
      <c r="G60" s="2">
        <f>1954582.82/74.27</f>
        <v>26317.25892015619</v>
      </c>
      <c r="H60" t="s">
        <v>14</v>
      </c>
      <c r="I60" t="s">
        <v>10</v>
      </c>
      <c r="J60" t="s">
        <v>334</v>
      </c>
      <c r="K60" t="s">
        <v>297</v>
      </c>
    </row>
    <row r="61" spans="1:11" x14ac:dyDescent="0.35">
      <c r="A61">
        <v>377089</v>
      </c>
      <c r="B61" t="s">
        <v>73</v>
      </c>
      <c r="C61" s="1">
        <v>43864</v>
      </c>
      <c r="D61" t="s">
        <v>8</v>
      </c>
      <c r="E61" s="3">
        <v>2013740.89</v>
      </c>
      <c r="F61" s="3">
        <v>74.27</v>
      </c>
      <c r="G61" s="2">
        <f>2013740.89/74.27</f>
        <v>27113.786050895382</v>
      </c>
      <c r="H61" t="s">
        <v>14</v>
      </c>
      <c r="I61" t="s">
        <v>10</v>
      </c>
      <c r="J61" t="s">
        <v>334</v>
      </c>
      <c r="K61" t="s">
        <v>297</v>
      </c>
    </row>
    <row r="62" spans="1:11" x14ac:dyDescent="0.35">
      <c r="A62">
        <v>377079</v>
      </c>
      <c r="B62" t="s">
        <v>74</v>
      </c>
      <c r="C62" s="1">
        <v>43864</v>
      </c>
      <c r="D62" t="s">
        <v>8</v>
      </c>
      <c r="E62" s="3">
        <v>600589.6</v>
      </c>
      <c r="F62" s="3">
        <v>74.27</v>
      </c>
      <c r="G62" s="2">
        <f>600589.6/74.27</f>
        <v>8086.5706207082267</v>
      </c>
      <c r="H62" t="s">
        <v>19</v>
      </c>
      <c r="I62" t="s">
        <v>10</v>
      </c>
      <c r="J62" t="s">
        <v>335</v>
      </c>
      <c r="K62" t="s">
        <v>297</v>
      </c>
    </row>
    <row r="63" spans="1:11" x14ac:dyDescent="0.35">
      <c r="A63">
        <v>377078</v>
      </c>
      <c r="B63" t="s">
        <v>75</v>
      </c>
      <c r="C63" s="1">
        <v>43864</v>
      </c>
      <c r="D63" t="s">
        <v>8</v>
      </c>
      <c r="E63" s="3">
        <v>29716.42</v>
      </c>
      <c r="F63" s="3">
        <v>74.27</v>
      </c>
      <c r="G63" s="2">
        <f>29716.42/74.27</f>
        <v>400.11337013599029</v>
      </c>
      <c r="H63" t="s">
        <v>76</v>
      </c>
      <c r="I63" t="s">
        <v>10</v>
      </c>
      <c r="J63" t="s">
        <v>336</v>
      </c>
      <c r="K63" t="s">
        <v>297</v>
      </c>
    </row>
    <row r="64" spans="1:11" x14ac:dyDescent="0.35">
      <c r="A64">
        <v>377067</v>
      </c>
      <c r="B64" t="s">
        <v>77</v>
      </c>
      <c r="C64" s="1">
        <v>43864</v>
      </c>
      <c r="D64" t="s">
        <v>8</v>
      </c>
      <c r="E64" s="3">
        <v>9032867.5800000001</v>
      </c>
      <c r="F64" s="3">
        <v>74.27</v>
      </c>
      <c r="G64" s="2">
        <f>9032867.58/74.27</f>
        <v>121622.02208159419</v>
      </c>
      <c r="H64" t="s">
        <v>78</v>
      </c>
      <c r="I64" t="s">
        <v>10</v>
      </c>
      <c r="J64" t="s">
        <v>337</v>
      </c>
      <c r="K64" t="s">
        <v>297</v>
      </c>
    </row>
    <row r="65" spans="1:11" x14ac:dyDescent="0.35">
      <c r="A65">
        <v>377066</v>
      </c>
      <c r="B65" t="s">
        <v>75</v>
      </c>
      <c r="C65" s="1">
        <v>43864</v>
      </c>
      <c r="D65" t="s">
        <v>8</v>
      </c>
      <c r="E65" s="3">
        <v>3153095.4</v>
      </c>
      <c r="F65" s="3">
        <v>74.27</v>
      </c>
      <c r="G65" s="2">
        <f>3153095.4/74.27</f>
        <v>42454.495758718193</v>
      </c>
      <c r="H65" t="s">
        <v>79</v>
      </c>
      <c r="I65" t="s">
        <v>10</v>
      </c>
      <c r="J65" t="s">
        <v>338</v>
      </c>
      <c r="K65" t="s">
        <v>297</v>
      </c>
    </row>
    <row r="66" spans="1:11" x14ac:dyDescent="0.35">
      <c r="A66">
        <v>377063</v>
      </c>
      <c r="B66" t="s">
        <v>80</v>
      </c>
      <c r="C66" s="1">
        <v>43864</v>
      </c>
      <c r="D66" t="s">
        <v>8</v>
      </c>
      <c r="E66" s="3">
        <v>1689158.25</v>
      </c>
      <c r="F66" s="3">
        <v>74.27</v>
      </c>
      <c r="G66" s="2">
        <f>1689158.25/74.27</f>
        <v>22743.479870741889</v>
      </c>
      <c r="H66" t="s">
        <v>78</v>
      </c>
      <c r="I66" t="s">
        <v>10</v>
      </c>
      <c r="J66" t="s">
        <v>339</v>
      </c>
      <c r="K66" t="s">
        <v>297</v>
      </c>
    </row>
    <row r="67" spans="1:11" x14ac:dyDescent="0.35">
      <c r="A67">
        <v>377062</v>
      </c>
      <c r="B67" t="s">
        <v>81</v>
      </c>
      <c r="C67" s="1">
        <v>43864</v>
      </c>
      <c r="D67" t="s">
        <v>8</v>
      </c>
      <c r="E67" s="3">
        <v>2665.87</v>
      </c>
      <c r="F67" s="3">
        <v>74.27</v>
      </c>
      <c r="G67" s="2">
        <f>2665.87/74.27</f>
        <v>35.894304564427088</v>
      </c>
      <c r="H67" t="s">
        <v>17</v>
      </c>
      <c r="I67" t="s">
        <v>10</v>
      </c>
      <c r="J67" t="s">
        <v>328</v>
      </c>
      <c r="K67" t="s">
        <v>297</v>
      </c>
    </row>
    <row r="68" spans="1:11" x14ac:dyDescent="0.35">
      <c r="A68">
        <v>377060</v>
      </c>
      <c r="B68" t="s">
        <v>82</v>
      </c>
      <c r="C68" s="1">
        <v>43864</v>
      </c>
      <c r="D68" t="s">
        <v>8</v>
      </c>
      <c r="E68" s="3">
        <v>668155.93000000005</v>
      </c>
      <c r="F68" s="3">
        <v>74.27</v>
      </c>
      <c r="G68" s="2">
        <f>668155.93/74.27</f>
        <v>8996.309815537903</v>
      </c>
      <c r="H68" t="s">
        <v>83</v>
      </c>
      <c r="I68" t="s">
        <v>10</v>
      </c>
      <c r="J68" t="s">
        <v>340</v>
      </c>
      <c r="K68" t="s">
        <v>297</v>
      </c>
    </row>
    <row r="69" spans="1:11" x14ac:dyDescent="0.35">
      <c r="A69">
        <v>377059</v>
      </c>
      <c r="B69" t="s">
        <v>84</v>
      </c>
      <c r="C69" s="1">
        <v>43864</v>
      </c>
      <c r="D69" t="s">
        <v>8</v>
      </c>
      <c r="E69" s="3">
        <v>1501474</v>
      </c>
      <c r="F69" s="3">
        <v>74.27</v>
      </c>
      <c r="G69" s="2">
        <f>1501474/74.27</f>
        <v>20216.426551770568</v>
      </c>
      <c r="H69" t="s">
        <v>14</v>
      </c>
      <c r="I69" t="s">
        <v>10</v>
      </c>
      <c r="J69" t="s">
        <v>325</v>
      </c>
      <c r="K69" t="s">
        <v>297</v>
      </c>
    </row>
    <row r="70" spans="1:11" x14ac:dyDescent="0.35">
      <c r="A70">
        <v>377050</v>
      </c>
      <c r="B70" t="s">
        <v>85</v>
      </c>
      <c r="C70" s="1">
        <v>43864</v>
      </c>
      <c r="D70" t="s">
        <v>8</v>
      </c>
      <c r="E70" s="3">
        <v>71350.039999999994</v>
      </c>
      <c r="F70" s="3">
        <v>74.27</v>
      </c>
      <c r="G70" s="2">
        <f>71350.04/74.27</f>
        <v>960.68452941968485</v>
      </c>
      <c r="H70" t="s">
        <v>86</v>
      </c>
      <c r="I70" t="s">
        <v>10</v>
      </c>
      <c r="J70" t="s">
        <v>327</v>
      </c>
      <c r="K70" t="s">
        <v>297</v>
      </c>
    </row>
    <row r="71" spans="1:11" x14ac:dyDescent="0.35">
      <c r="A71">
        <v>377049</v>
      </c>
      <c r="B71" t="s">
        <v>87</v>
      </c>
      <c r="C71" s="1">
        <v>43864</v>
      </c>
      <c r="D71" t="s">
        <v>8</v>
      </c>
      <c r="E71" s="3">
        <v>1505.98</v>
      </c>
      <c r="F71" s="3">
        <v>74.27</v>
      </c>
      <c r="G71" s="2">
        <f>1505.98/74.27</f>
        <v>20.277097078228088</v>
      </c>
      <c r="H71" t="s">
        <v>17</v>
      </c>
      <c r="I71" t="s">
        <v>10</v>
      </c>
      <c r="J71" t="s">
        <v>328</v>
      </c>
      <c r="K71" t="s">
        <v>297</v>
      </c>
    </row>
    <row r="72" spans="1:11" x14ac:dyDescent="0.35">
      <c r="A72">
        <v>377040</v>
      </c>
      <c r="B72" t="s">
        <v>68</v>
      </c>
      <c r="C72" s="1">
        <v>43864</v>
      </c>
      <c r="D72" t="s">
        <v>8</v>
      </c>
      <c r="E72" s="3">
        <v>375368.5</v>
      </c>
      <c r="F72" s="3">
        <v>74.27</v>
      </c>
      <c r="G72" s="2">
        <f>375368.5/74.27</f>
        <v>5054.106637942642</v>
      </c>
      <c r="H72" t="s">
        <v>69</v>
      </c>
      <c r="I72" t="s">
        <v>10</v>
      </c>
      <c r="J72" t="s">
        <v>341</v>
      </c>
      <c r="K72" t="s">
        <v>297</v>
      </c>
    </row>
    <row r="73" spans="1:11" x14ac:dyDescent="0.35">
      <c r="A73">
        <v>377038</v>
      </c>
      <c r="B73" t="s">
        <v>88</v>
      </c>
      <c r="C73" s="1">
        <v>43864</v>
      </c>
      <c r="D73" t="s">
        <v>8</v>
      </c>
      <c r="E73" s="3">
        <v>357855</v>
      </c>
      <c r="F73" s="3">
        <v>74.27</v>
      </c>
      <c r="G73" s="2">
        <f>357855/74.27</f>
        <v>4818.2981015214764</v>
      </c>
      <c r="H73" t="s">
        <v>14</v>
      </c>
      <c r="I73" t="s">
        <v>10</v>
      </c>
      <c r="J73" t="s">
        <v>294</v>
      </c>
      <c r="K73" t="s">
        <v>295</v>
      </c>
    </row>
    <row r="74" spans="1:11" x14ac:dyDescent="0.35">
      <c r="A74">
        <v>377037</v>
      </c>
      <c r="B74" t="s">
        <v>89</v>
      </c>
      <c r="C74" s="1">
        <v>43864</v>
      </c>
      <c r="D74" t="s">
        <v>8</v>
      </c>
      <c r="E74" s="3">
        <v>2489.89</v>
      </c>
      <c r="F74" s="3">
        <v>74.27</v>
      </c>
      <c r="G74" s="2">
        <f>2489.89/74.27</f>
        <v>33.524841793456311</v>
      </c>
      <c r="H74" t="s">
        <v>90</v>
      </c>
      <c r="I74" t="s">
        <v>10</v>
      </c>
      <c r="J74" t="s">
        <v>342</v>
      </c>
      <c r="K74" t="s">
        <v>312</v>
      </c>
    </row>
    <row r="75" spans="1:11" x14ac:dyDescent="0.35">
      <c r="A75">
        <v>377035</v>
      </c>
      <c r="B75" t="s">
        <v>91</v>
      </c>
      <c r="C75" s="1">
        <v>43864</v>
      </c>
      <c r="D75" t="s">
        <v>8</v>
      </c>
      <c r="E75" s="3">
        <v>158118.89000000001</v>
      </c>
      <c r="F75" s="3">
        <v>74.27</v>
      </c>
      <c r="G75" s="2">
        <f>158118.89/74.27</f>
        <v>2128.9738790898077</v>
      </c>
      <c r="H75" t="s">
        <v>62</v>
      </c>
      <c r="I75" t="s">
        <v>10</v>
      </c>
      <c r="J75" t="s">
        <v>343</v>
      </c>
      <c r="K75" t="s">
        <v>293</v>
      </c>
    </row>
    <row r="76" spans="1:11" x14ac:dyDescent="0.35">
      <c r="A76">
        <v>377032</v>
      </c>
      <c r="B76" t="s">
        <v>91</v>
      </c>
      <c r="C76" s="1">
        <v>43864</v>
      </c>
      <c r="D76" t="s">
        <v>8</v>
      </c>
      <c r="E76" s="3">
        <v>515438.45</v>
      </c>
      <c r="F76" s="3">
        <v>74.27</v>
      </c>
      <c r="G76" s="2">
        <f>515438.45/74.27</f>
        <v>6940.0626093981427</v>
      </c>
      <c r="H76" t="s">
        <v>17</v>
      </c>
      <c r="I76" t="s">
        <v>10</v>
      </c>
      <c r="J76" t="s">
        <v>343</v>
      </c>
      <c r="K76" t="s">
        <v>293</v>
      </c>
    </row>
    <row r="77" spans="1:11" x14ac:dyDescent="0.35">
      <c r="A77">
        <v>377031</v>
      </c>
      <c r="B77" t="s">
        <v>92</v>
      </c>
      <c r="C77" s="1">
        <v>43864</v>
      </c>
      <c r="D77" t="s">
        <v>8</v>
      </c>
      <c r="E77" s="3">
        <v>594054.43999999994</v>
      </c>
      <c r="F77" s="3">
        <v>74.27</v>
      </c>
      <c r="G77" s="2">
        <f>594054.44/74.27</f>
        <v>7998.5786993402444</v>
      </c>
      <c r="H77" t="s">
        <v>93</v>
      </c>
      <c r="I77" t="s">
        <v>10</v>
      </c>
      <c r="J77" t="s">
        <v>344</v>
      </c>
      <c r="K77" t="s">
        <v>293</v>
      </c>
    </row>
    <row r="78" spans="1:11" x14ac:dyDescent="0.35">
      <c r="A78">
        <v>377030</v>
      </c>
      <c r="B78" t="s">
        <v>94</v>
      </c>
      <c r="C78" s="1">
        <v>43864</v>
      </c>
      <c r="D78" t="s">
        <v>8</v>
      </c>
      <c r="E78" s="3">
        <v>10117.629999999999</v>
      </c>
      <c r="F78" s="3">
        <v>74.27</v>
      </c>
      <c r="G78" s="2">
        <f>10117.63/74.27</f>
        <v>136.22768277904942</v>
      </c>
      <c r="H78" t="s">
        <v>95</v>
      </c>
      <c r="I78" t="s">
        <v>10</v>
      </c>
      <c r="J78" t="s">
        <v>345</v>
      </c>
      <c r="K78" t="s">
        <v>291</v>
      </c>
    </row>
    <row r="79" spans="1:11" x14ac:dyDescent="0.35">
      <c r="A79">
        <v>377029</v>
      </c>
      <c r="B79" t="s">
        <v>92</v>
      </c>
      <c r="C79" s="1">
        <v>43864</v>
      </c>
      <c r="D79" t="s">
        <v>8</v>
      </c>
      <c r="E79" s="3">
        <v>251008.92</v>
      </c>
      <c r="F79" s="3">
        <v>74.27</v>
      </c>
      <c r="G79" s="2">
        <f>251008.92/74.27</f>
        <v>3379.6811633230109</v>
      </c>
      <c r="H79" t="s">
        <v>93</v>
      </c>
      <c r="I79" t="s">
        <v>10</v>
      </c>
      <c r="J79" t="s">
        <v>344</v>
      </c>
      <c r="K79" t="s">
        <v>293</v>
      </c>
    </row>
    <row r="80" spans="1:11" x14ac:dyDescent="0.35">
      <c r="A80">
        <v>377028</v>
      </c>
      <c r="B80" t="s">
        <v>91</v>
      </c>
      <c r="C80" s="1">
        <v>43864</v>
      </c>
      <c r="D80" t="s">
        <v>8</v>
      </c>
      <c r="E80" s="3">
        <v>336853.97</v>
      </c>
      <c r="F80" s="3">
        <v>74.27</v>
      </c>
      <c r="G80" s="2">
        <f>336853.97/74.27</f>
        <v>4535.5321125622722</v>
      </c>
      <c r="H80" t="s">
        <v>17</v>
      </c>
      <c r="I80" t="s">
        <v>10</v>
      </c>
      <c r="J80" t="s">
        <v>343</v>
      </c>
      <c r="K80" t="s">
        <v>293</v>
      </c>
    </row>
    <row r="81" spans="1:11" x14ac:dyDescent="0.35">
      <c r="A81">
        <v>377027</v>
      </c>
      <c r="B81" t="s">
        <v>96</v>
      </c>
      <c r="C81" s="1">
        <v>43864</v>
      </c>
      <c r="D81" t="s">
        <v>8</v>
      </c>
      <c r="E81" s="3">
        <v>1501474</v>
      </c>
      <c r="F81" s="3">
        <v>74.27</v>
      </c>
      <c r="G81" s="2">
        <f>1501474/74.27</f>
        <v>20216.426551770568</v>
      </c>
      <c r="H81" t="s">
        <v>97</v>
      </c>
      <c r="I81" t="s">
        <v>10</v>
      </c>
      <c r="J81" t="s">
        <v>346</v>
      </c>
      <c r="K81" t="s">
        <v>297</v>
      </c>
    </row>
    <row r="82" spans="1:11" x14ac:dyDescent="0.35">
      <c r="A82">
        <v>377026</v>
      </c>
      <c r="B82" t="s">
        <v>92</v>
      </c>
      <c r="C82" s="1">
        <v>43864</v>
      </c>
      <c r="D82" t="s">
        <v>8</v>
      </c>
      <c r="E82" s="3">
        <v>2510089.2000000002</v>
      </c>
      <c r="F82" s="3">
        <v>74.27</v>
      </c>
      <c r="G82" s="2">
        <f>2510089.2/74.27</f>
        <v>33796.811633230114</v>
      </c>
      <c r="H82" t="s">
        <v>93</v>
      </c>
      <c r="I82" t="s">
        <v>10</v>
      </c>
      <c r="J82" t="s">
        <v>344</v>
      </c>
      <c r="K82" t="s">
        <v>293</v>
      </c>
    </row>
    <row r="83" spans="1:11" x14ac:dyDescent="0.35">
      <c r="A83">
        <v>377021</v>
      </c>
      <c r="B83" t="s">
        <v>92</v>
      </c>
      <c r="C83" s="1">
        <v>43864</v>
      </c>
      <c r="D83" t="s">
        <v>8</v>
      </c>
      <c r="E83" s="3">
        <v>619155.34</v>
      </c>
      <c r="F83" s="3">
        <v>74.27</v>
      </c>
      <c r="G83" s="2">
        <f>619155.34/74.27</f>
        <v>8336.5469233876393</v>
      </c>
      <c r="H83" t="s">
        <v>93</v>
      </c>
      <c r="I83" t="s">
        <v>10</v>
      </c>
      <c r="J83" t="s">
        <v>344</v>
      </c>
      <c r="K83" t="s">
        <v>293</v>
      </c>
    </row>
    <row r="84" spans="1:11" x14ac:dyDescent="0.35">
      <c r="A84">
        <v>377018</v>
      </c>
      <c r="B84" t="s">
        <v>98</v>
      </c>
      <c r="C84" s="1">
        <v>43864</v>
      </c>
      <c r="D84" t="s">
        <v>8</v>
      </c>
      <c r="E84" s="3">
        <v>1339900</v>
      </c>
      <c r="F84" s="3">
        <v>74.27</v>
      </c>
      <c r="G84" s="2">
        <f>1339900/74.27</f>
        <v>18040.931735559447</v>
      </c>
      <c r="H84" t="s">
        <v>99</v>
      </c>
      <c r="I84" t="s">
        <v>10</v>
      </c>
      <c r="J84" t="s">
        <v>347</v>
      </c>
      <c r="K84" t="s">
        <v>295</v>
      </c>
    </row>
    <row r="85" spans="1:11" x14ac:dyDescent="0.35">
      <c r="A85">
        <v>377017</v>
      </c>
      <c r="B85" t="s">
        <v>92</v>
      </c>
      <c r="C85" s="1">
        <v>43864</v>
      </c>
      <c r="D85" t="s">
        <v>8</v>
      </c>
      <c r="E85" s="3">
        <v>1916034.76</v>
      </c>
      <c r="F85" s="3">
        <v>74.27</v>
      </c>
      <c r="G85" s="2">
        <f>1916034.76/74.27</f>
        <v>25798.232933889863</v>
      </c>
      <c r="H85" t="s">
        <v>93</v>
      </c>
      <c r="I85" t="s">
        <v>10</v>
      </c>
      <c r="J85" t="s">
        <v>348</v>
      </c>
      <c r="K85" t="s">
        <v>293</v>
      </c>
    </row>
    <row r="86" spans="1:11" x14ac:dyDescent="0.35">
      <c r="A86">
        <v>377015</v>
      </c>
      <c r="B86" t="s">
        <v>98</v>
      </c>
      <c r="C86" s="1">
        <v>43864</v>
      </c>
      <c r="D86" t="s">
        <v>8</v>
      </c>
      <c r="E86" s="3">
        <v>1392500</v>
      </c>
      <c r="F86" s="3">
        <v>74.27</v>
      </c>
      <c r="G86" s="2">
        <f>1392500/74.27</f>
        <v>18749.158475831427</v>
      </c>
      <c r="H86" t="s">
        <v>99</v>
      </c>
      <c r="I86" t="s">
        <v>10</v>
      </c>
      <c r="J86" t="s">
        <v>347</v>
      </c>
      <c r="K86" t="s">
        <v>295</v>
      </c>
    </row>
    <row r="87" spans="1:11" x14ac:dyDescent="0.35">
      <c r="A87">
        <v>377014</v>
      </c>
      <c r="B87" t="s">
        <v>98</v>
      </c>
      <c r="C87" s="1">
        <v>43864</v>
      </c>
      <c r="D87" t="s">
        <v>8</v>
      </c>
      <c r="E87" s="3">
        <v>3226502</v>
      </c>
      <c r="F87" s="3">
        <v>74.27</v>
      </c>
      <c r="G87" s="2">
        <f>3226502/74.27</f>
        <v>43442.870607243844</v>
      </c>
      <c r="H87" t="s">
        <v>99</v>
      </c>
      <c r="I87" t="s">
        <v>10</v>
      </c>
      <c r="J87" t="s">
        <v>347</v>
      </c>
      <c r="K87" t="s">
        <v>295</v>
      </c>
    </row>
    <row r="88" spans="1:11" x14ac:dyDescent="0.35">
      <c r="A88">
        <v>377012</v>
      </c>
      <c r="B88" t="s">
        <v>100</v>
      </c>
      <c r="C88" s="1">
        <v>43864</v>
      </c>
      <c r="D88" t="s">
        <v>8</v>
      </c>
      <c r="E88" s="3">
        <v>1460035.22</v>
      </c>
      <c r="F88" s="3">
        <v>74.27</v>
      </c>
      <c r="G88" s="2">
        <f>1460035.22/74.27</f>
        <v>19658.478793590952</v>
      </c>
      <c r="H88" t="s">
        <v>93</v>
      </c>
      <c r="I88" t="s">
        <v>10</v>
      </c>
      <c r="J88" t="s">
        <v>349</v>
      </c>
      <c r="K88" t="s">
        <v>293</v>
      </c>
    </row>
    <row r="89" spans="1:11" x14ac:dyDescent="0.35">
      <c r="A89">
        <v>377011</v>
      </c>
      <c r="B89" t="s">
        <v>101</v>
      </c>
      <c r="C89" s="1">
        <v>43864</v>
      </c>
      <c r="D89" t="s">
        <v>8</v>
      </c>
      <c r="E89" s="3">
        <v>2627579.5</v>
      </c>
      <c r="F89" s="3">
        <v>74.27</v>
      </c>
      <c r="G89" s="2">
        <f>2627579.5/74.27</f>
        <v>35378.746465598495</v>
      </c>
      <c r="H89" t="s">
        <v>102</v>
      </c>
      <c r="I89" t="s">
        <v>10</v>
      </c>
      <c r="J89" t="s">
        <v>350</v>
      </c>
      <c r="K89" t="s">
        <v>297</v>
      </c>
    </row>
    <row r="90" spans="1:11" x14ac:dyDescent="0.35">
      <c r="A90">
        <v>377010</v>
      </c>
      <c r="B90" t="s">
        <v>103</v>
      </c>
      <c r="C90" s="1">
        <v>43864</v>
      </c>
      <c r="D90" t="s">
        <v>8</v>
      </c>
      <c r="E90" s="3">
        <v>1263411.56</v>
      </c>
      <c r="F90" s="3">
        <v>74.27</v>
      </c>
      <c r="G90" s="2">
        <f>1263411.56/74.27</f>
        <v>17011.061801534943</v>
      </c>
      <c r="H90" t="s">
        <v>93</v>
      </c>
      <c r="I90" t="s">
        <v>10</v>
      </c>
      <c r="J90" t="s">
        <v>351</v>
      </c>
      <c r="K90" t="s">
        <v>293</v>
      </c>
    </row>
    <row r="91" spans="1:11" x14ac:dyDescent="0.35">
      <c r="A91">
        <v>377009</v>
      </c>
      <c r="B91" t="s">
        <v>104</v>
      </c>
      <c r="C91" s="1">
        <v>43864</v>
      </c>
      <c r="D91" t="s">
        <v>8</v>
      </c>
      <c r="E91" s="3">
        <v>173686.48</v>
      </c>
      <c r="F91" s="3">
        <v>74.27</v>
      </c>
      <c r="G91" s="2">
        <f>173686.48/74.27</f>
        <v>2338.5819307930528</v>
      </c>
      <c r="H91" t="s">
        <v>14</v>
      </c>
      <c r="I91" t="s">
        <v>10</v>
      </c>
      <c r="J91" t="s">
        <v>294</v>
      </c>
      <c r="K91" t="s">
        <v>295</v>
      </c>
    </row>
    <row r="92" spans="1:11" x14ac:dyDescent="0.35">
      <c r="A92">
        <v>377007</v>
      </c>
      <c r="B92" t="s">
        <v>92</v>
      </c>
      <c r="C92" s="1">
        <v>43864</v>
      </c>
      <c r="D92" t="s">
        <v>8</v>
      </c>
      <c r="E92" s="3">
        <v>5020178.4000000004</v>
      </c>
      <c r="F92" s="3">
        <v>74.27</v>
      </c>
      <c r="G92" s="2">
        <f>5020178.4/74.27</f>
        <v>67593.623266460228</v>
      </c>
      <c r="H92" t="s">
        <v>93</v>
      </c>
      <c r="I92" t="s">
        <v>10</v>
      </c>
      <c r="J92" t="s">
        <v>344</v>
      </c>
      <c r="K92" t="s">
        <v>293</v>
      </c>
    </row>
    <row r="93" spans="1:11" x14ac:dyDescent="0.35">
      <c r="A93">
        <v>377006</v>
      </c>
      <c r="B93" t="s">
        <v>101</v>
      </c>
      <c r="C93" s="1">
        <v>43864</v>
      </c>
      <c r="D93" t="s">
        <v>8</v>
      </c>
      <c r="E93" s="3">
        <v>1876842.5</v>
      </c>
      <c r="F93" s="3">
        <v>74.27</v>
      </c>
      <c r="G93" s="2">
        <f>1876842.5/74.27</f>
        <v>25270.533189713209</v>
      </c>
      <c r="H93" t="s">
        <v>102</v>
      </c>
      <c r="I93" t="s">
        <v>10</v>
      </c>
      <c r="J93" t="s">
        <v>352</v>
      </c>
      <c r="K93" t="s">
        <v>297</v>
      </c>
    </row>
    <row r="94" spans="1:11" x14ac:dyDescent="0.35">
      <c r="A94">
        <v>377005</v>
      </c>
      <c r="B94" t="s">
        <v>92</v>
      </c>
      <c r="C94" s="1">
        <v>43864</v>
      </c>
      <c r="D94" t="s">
        <v>8</v>
      </c>
      <c r="E94" s="3">
        <v>836696.4</v>
      </c>
      <c r="F94" s="3">
        <v>74.27</v>
      </c>
      <c r="G94" s="2">
        <f>836696.4/74.27</f>
        <v>11265.60387774337</v>
      </c>
      <c r="H94" t="s">
        <v>93</v>
      </c>
      <c r="I94" t="s">
        <v>10</v>
      </c>
      <c r="J94" t="s">
        <v>344</v>
      </c>
      <c r="K94" t="s">
        <v>293</v>
      </c>
    </row>
    <row r="95" spans="1:11" x14ac:dyDescent="0.35">
      <c r="A95">
        <v>377004</v>
      </c>
      <c r="B95" t="s">
        <v>18</v>
      </c>
      <c r="C95" s="1">
        <v>43864</v>
      </c>
      <c r="D95" t="s">
        <v>8</v>
      </c>
      <c r="E95" s="3">
        <v>225221.1</v>
      </c>
      <c r="F95" s="3">
        <v>74.27</v>
      </c>
      <c r="G95" s="2">
        <f>225221.1/74.27</f>
        <v>3032.4639827655851</v>
      </c>
      <c r="H95" t="s">
        <v>19</v>
      </c>
      <c r="I95" t="s">
        <v>10</v>
      </c>
      <c r="J95" t="s">
        <v>298</v>
      </c>
      <c r="K95" t="s">
        <v>297</v>
      </c>
    </row>
    <row r="96" spans="1:11" x14ac:dyDescent="0.35">
      <c r="A96">
        <v>377003</v>
      </c>
      <c r="B96" t="s">
        <v>92</v>
      </c>
      <c r="C96" s="1">
        <v>43864</v>
      </c>
      <c r="D96" t="s">
        <v>8</v>
      </c>
      <c r="E96" s="3">
        <v>2024805.29</v>
      </c>
      <c r="F96" s="3">
        <v>74.27</v>
      </c>
      <c r="G96" s="2">
        <f>2024805.29/74.27</f>
        <v>27262.761411067728</v>
      </c>
      <c r="H96" t="s">
        <v>93</v>
      </c>
      <c r="I96" t="s">
        <v>10</v>
      </c>
      <c r="J96" t="s">
        <v>344</v>
      </c>
      <c r="K96" t="s">
        <v>293</v>
      </c>
    </row>
    <row r="97" spans="1:11" x14ac:dyDescent="0.35">
      <c r="A97">
        <v>377002</v>
      </c>
      <c r="B97" t="s">
        <v>92</v>
      </c>
      <c r="C97" s="1">
        <v>43864</v>
      </c>
      <c r="D97" t="s">
        <v>8</v>
      </c>
      <c r="E97" s="3">
        <v>2259080.2799999998</v>
      </c>
      <c r="F97" s="3">
        <v>74.27</v>
      </c>
      <c r="G97" s="2">
        <f>2259080.28/74.27</f>
        <v>30417.130469907093</v>
      </c>
      <c r="H97" t="s">
        <v>93</v>
      </c>
      <c r="I97" t="s">
        <v>10</v>
      </c>
      <c r="J97" t="s">
        <v>344</v>
      </c>
      <c r="K97" t="s">
        <v>293</v>
      </c>
    </row>
    <row r="98" spans="1:11" x14ac:dyDescent="0.35">
      <c r="A98">
        <v>376999</v>
      </c>
      <c r="B98" t="s">
        <v>105</v>
      </c>
      <c r="C98" s="1">
        <v>43864</v>
      </c>
      <c r="D98" t="s">
        <v>8</v>
      </c>
      <c r="E98" s="3">
        <v>23272.85</v>
      </c>
      <c r="F98" s="3">
        <v>74.27</v>
      </c>
      <c r="G98" s="2">
        <f>23272.85/74.27</f>
        <v>313.35465194560385</v>
      </c>
      <c r="H98" t="s">
        <v>17</v>
      </c>
      <c r="I98" t="s">
        <v>10</v>
      </c>
      <c r="J98" t="s">
        <v>327</v>
      </c>
      <c r="K98" t="s">
        <v>297</v>
      </c>
    </row>
    <row r="99" spans="1:11" x14ac:dyDescent="0.35">
      <c r="A99">
        <v>376998</v>
      </c>
      <c r="B99" t="s">
        <v>106</v>
      </c>
      <c r="C99" s="1">
        <v>43864</v>
      </c>
      <c r="D99" t="s">
        <v>8</v>
      </c>
      <c r="E99" s="3">
        <v>7572.68</v>
      </c>
      <c r="F99" s="3">
        <v>74.27</v>
      </c>
      <c r="G99" s="2">
        <f>7572.68/74.27</f>
        <v>101.96149185404606</v>
      </c>
      <c r="H99" t="s">
        <v>17</v>
      </c>
      <c r="I99" t="s">
        <v>10</v>
      </c>
      <c r="J99" t="s">
        <v>327</v>
      </c>
      <c r="K99" t="s">
        <v>297</v>
      </c>
    </row>
    <row r="100" spans="1:11" x14ac:dyDescent="0.35">
      <c r="A100">
        <v>376997</v>
      </c>
      <c r="B100" t="s">
        <v>107</v>
      </c>
      <c r="C100" s="1">
        <v>43864</v>
      </c>
      <c r="D100" t="s">
        <v>8</v>
      </c>
      <c r="E100" s="3">
        <v>2635593.66</v>
      </c>
      <c r="F100" s="3">
        <v>74.27</v>
      </c>
      <c r="G100" s="2">
        <f>2635593.66/74.27</f>
        <v>35486.652214891619</v>
      </c>
      <c r="H100" t="s">
        <v>93</v>
      </c>
      <c r="I100" t="s">
        <v>10</v>
      </c>
      <c r="J100" t="s">
        <v>353</v>
      </c>
      <c r="K100" t="s">
        <v>293</v>
      </c>
    </row>
    <row r="101" spans="1:11" x14ac:dyDescent="0.35">
      <c r="A101">
        <v>376996</v>
      </c>
      <c r="B101" t="s">
        <v>107</v>
      </c>
      <c r="C101" s="1">
        <v>43864</v>
      </c>
      <c r="D101" t="s">
        <v>8</v>
      </c>
      <c r="E101" s="3">
        <v>911999.08</v>
      </c>
      <c r="F101" s="3">
        <v>74.27</v>
      </c>
      <c r="G101" s="2">
        <f>911999.08/74.27</f>
        <v>12279.508280597818</v>
      </c>
      <c r="H101" t="s">
        <v>93</v>
      </c>
      <c r="I101" t="s">
        <v>10</v>
      </c>
      <c r="J101" t="s">
        <v>344</v>
      </c>
      <c r="K101" t="s">
        <v>293</v>
      </c>
    </row>
    <row r="102" spans="1:11" x14ac:dyDescent="0.35">
      <c r="A102">
        <v>376995</v>
      </c>
      <c r="B102" t="s">
        <v>107</v>
      </c>
      <c r="C102" s="1">
        <v>43864</v>
      </c>
      <c r="D102" t="s">
        <v>8</v>
      </c>
      <c r="E102" s="3">
        <v>1200571.2</v>
      </c>
      <c r="F102" s="3">
        <v>74.27</v>
      </c>
      <c r="G102" s="2">
        <f>1200571.2/74.27</f>
        <v>16164.954894304565</v>
      </c>
      <c r="H102" t="s">
        <v>93</v>
      </c>
      <c r="I102" t="s">
        <v>10</v>
      </c>
      <c r="J102" t="s">
        <v>354</v>
      </c>
      <c r="K102" t="s">
        <v>355</v>
      </c>
    </row>
    <row r="103" spans="1:11" x14ac:dyDescent="0.35">
      <c r="A103">
        <v>376994</v>
      </c>
      <c r="B103" t="s">
        <v>108</v>
      </c>
      <c r="C103" s="1">
        <v>43864</v>
      </c>
      <c r="D103" t="s">
        <v>8</v>
      </c>
      <c r="E103" s="3">
        <v>3402715.45</v>
      </c>
      <c r="F103" s="3">
        <v>74.27</v>
      </c>
      <c r="G103" s="2">
        <f>3402715.45/74.27</f>
        <v>45815.476639289089</v>
      </c>
      <c r="H103" t="s">
        <v>28</v>
      </c>
      <c r="I103" t="s">
        <v>10</v>
      </c>
      <c r="J103" t="s">
        <v>356</v>
      </c>
      <c r="K103" t="s">
        <v>297</v>
      </c>
    </row>
    <row r="104" spans="1:11" x14ac:dyDescent="0.35">
      <c r="A104">
        <v>376993</v>
      </c>
      <c r="B104" t="s">
        <v>80</v>
      </c>
      <c r="C104" s="1">
        <v>43864</v>
      </c>
      <c r="D104" t="s">
        <v>8</v>
      </c>
      <c r="E104" s="3">
        <v>10134949.5</v>
      </c>
      <c r="F104" s="3">
        <v>74.27</v>
      </c>
      <c r="G104" s="2">
        <f>10134949.5/74.27</f>
        <v>136460.87922445135</v>
      </c>
      <c r="H104" t="s">
        <v>78</v>
      </c>
      <c r="I104" t="s">
        <v>10</v>
      </c>
      <c r="J104" t="s">
        <v>339</v>
      </c>
      <c r="K104" t="s">
        <v>297</v>
      </c>
    </row>
    <row r="105" spans="1:11" x14ac:dyDescent="0.35">
      <c r="A105">
        <v>376992</v>
      </c>
      <c r="B105" t="s">
        <v>109</v>
      </c>
      <c r="C105" s="1">
        <v>43864</v>
      </c>
      <c r="D105" t="s">
        <v>8</v>
      </c>
      <c r="E105" s="3">
        <v>2279997.69</v>
      </c>
      <c r="F105" s="3">
        <v>74.27</v>
      </c>
      <c r="G105" s="2">
        <f>2279997.69/74.27</f>
        <v>30698.770566850682</v>
      </c>
      <c r="H105" t="s">
        <v>93</v>
      </c>
      <c r="I105" t="s">
        <v>10</v>
      </c>
      <c r="J105" t="s">
        <v>357</v>
      </c>
      <c r="K105" t="s">
        <v>293</v>
      </c>
    </row>
    <row r="106" spans="1:11" x14ac:dyDescent="0.35">
      <c r="A106">
        <v>376991</v>
      </c>
      <c r="B106" t="s">
        <v>110</v>
      </c>
      <c r="C106" s="1">
        <v>43864</v>
      </c>
      <c r="D106" t="s">
        <v>8</v>
      </c>
      <c r="E106" s="3">
        <v>260190</v>
      </c>
      <c r="F106" s="3">
        <v>74.27</v>
      </c>
      <c r="G106" s="2">
        <f>260190/74.27</f>
        <v>3503.2987747408106</v>
      </c>
      <c r="H106" t="s">
        <v>23</v>
      </c>
      <c r="I106" t="s">
        <v>10</v>
      </c>
      <c r="J106" t="s">
        <v>358</v>
      </c>
      <c r="K106" t="s">
        <v>295</v>
      </c>
    </row>
    <row r="107" spans="1:11" x14ac:dyDescent="0.35">
      <c r="A107">
        <v>376990</v>
      </c>
      <c r="B107" t="s">
        <v>111</v>
      </c>
      <c r="C107" s="1">
        <v>43864</v>
      </c>
      <c r="D107" t="s">
        <v>8</v>
      </c>
      <c r="E107" s="3">
        <v>1924966.8</v>
      </c>
      <c r="F107" s="3">
        <v>74.27</v>
      </c>
      <c r="G107" s="2">
        <f>1924966.8/74.27</f>
        <v>25918.497374444596</v>
      </c>
      <c r="H107" t="s">
        <v>93</v>
      </c>
      <c r="I107" t="s">
        <v>10</v>
      </c>
      <c r="J107" t="s">
        <v>359</v>
      </c>
      <c r="K107" t="s">
        <v>291</v>
      </c>
    </row>
    <row r="108" spans="1:11" x14ac:dyDescent="0.35">
      <c r="A108">
        <v>376989</v>
      </c>
      <c r="B108" t="s">
        <v>112</v>
      </c>
      <c r="C108" s="1">
        <v>43864</v>
      </c>
      <c r="D108" t="s">
        <v>8</v>
      </c>
      <c r="E108" s="3">
        <v>13117.63</v>
      </c>
      <c r="F108" s="3">
        <v>74.27</v>
      </c>
      <c r="G108" s="2">
        <f>13117.63/74.27</f>
        <v>176.62084287060725</v>
      </c>
      <c r="H108" t="s">
        <v>17</v>
      </c>
      <c r="I108" t="s">
        <v>10</v>
      </c>
      <c r="J108" t="s">
        <v>360</v>
      </c>
      <c r="K108" t="s">
        <v>297</v>
      </c>
    </row>
    <row r="109" spans="1:11" x14ac:dyDescent="0.35">
      <c r="A109">
        <v>376988</v>
      </c>
      <c r="B109" t="s">
        <v>113</v>
      </c>
      <c r="C109" s="1">
        <v>43864</v>
      </c>
      <c r="D109" t="s">
        <v>8</v>
      </c>
      <c r="E109" s="3">
        <v>2895592.61</v>
      </c>
      <c r="F109" s="3">
        <v>74.27</v>
      </c>
      <c r="G109" s="2">
        <f>2895592.61/74.27</f>
        <v>38987.378618553928</v>
      </c>
      <c r="H109" t="s">
        <v>62</v>
      </c>
      <c r="I109" t="s">
        <v>10</v>
      </c>
      <c r="J109" t="s">
        <v>361</v>
      </c>
      <c r="K109" t="s">
        <v>297</v>
      </c>
    </row>
    <row r="110" spans="1:11" x14ac:dyDescent="0.35">
      <c r="A110">
        <v>376987</v>
      </c>
      <c r="B110" t="s">
        <v>111</v>
      </c>
      <c r="C110" s="1">
        <v>43864</v>
      </c>
      <c r="D110" t="s">
        <v>8</v>
      </c>
      <c r="E110" s="3">
        <v>2719263.3</v>
      </c>
      <c r="F110" s="3">
        <v>74.27</v>
      </c>
      <c r="G110" s="2">
        <f>2719263.3/74.27</f>
        <v>36613.212602665946</v>
      </c>
      <c r="H110" t="s">
        <v>93</v>
      </c>
      <c r="I110" t="s">
        <v>10</v>
      </c>
      <c r="J110" t="s">
        <v>362</v>
      </c>
      <c r="K110" t="s">
        <v>293</v>
      </c>
    </row>
    <row r="111" spans="1:11" x14ac:dyDescent="0.35">
      <c r="A111">
        <v>376986</v>
      </c>
      <c r="B111" t="s">
        <v>114</v>
      </c>
      <c r="C111" s="1">
        <v>43864</v>
      </c>
      <c r="D111" t="s">
        <v>8</v>
      </c>
      <c r="E111" s="3">
        <v>113106.04</v>
      </c>
      <c r="F111" s="3">
        <v>74.27</v>
      </c>
      <c r="G111" s="2">
        <f>113106.04/74.27</f>
        <v>1522.9034603473813</v>
      </c>
      <c r="H111" t="s">
        <v>115</v>
      </c>
      <c r="I111" t="s">
        <v>10</v>
      </c>
      <c r="J111" t="s">
        <v>363</v>
      </c>
      <c r="K111" t="s">
        <v>297</v>
      </c>
    </row>
    <row r="112" spans="1:11" x14ac:dyDescent="0.35">
      <c r="A112">
        <v>376985</v>
      </c>
      <c r="B112" t="s">
        <v>116</v>
      </c>
      <c r="C112" s="1">
        <v>43864</v>
      </c>
      <c r="D112" t="s">
        <v>8</v>
      </c>
      <c r="E112" s="3">
        <v>430</v>
      </c>
      <c r="F112" s="3">
        <v>74.27</v>
      </c>
      <c r="G112">
        <f>430/74.27</f>
        <v>5.7896862797899562</v>
      </c>
      <c r="H112" t="s">
        <v>17</v>
      </c>
      <c r="I112" t="s">
        <v>10</v>
      </c>
      <c r="J112" t="s">
        <v>301</v>
      </c>
      <c r="K112" t="s">
        <v>295</v>
      </c>
    </row>
    <row r="113" spans="1:11" x14ac:dyDescent="0.35">
      <c r="A113">
        <v>376984</v>
      </c>
      <c r="B113" t="s">
        <v>117</v>
      </c>
      <c r="C113" s="1">
        <v>43864</v>
      </c>
      <c r="D113" t="s">
        <v>8</v>
      </c>
      <c r="E113" s="3">
        <v>775183.83</v>
      </c>
      <c r="F113" s="3">
        <v>74.27</v>
      </c>
      <c r="G113" s="2">
        <f>775183.83/74.27</f>
        <v>10437.374848525649</v>
      </c>
      <c r="H113" t="s">
        <v>78</v>
      </c>
      <c r="I113" t="s">
        <v>10</v>
      </c>
      <c r="J113" t="s">
        <v>364</v>
      </c>
      <c r="K113" t="s">
        <v>365</v>
      </c>
    </row>
    <row r="114" spans="1:11" x14ac:dyDescent="0.35">
      <c r="A114">
        <v>376983</v>
      </c>
      <c r="B114" t="s">
        <v>118</v>
      </c>
      <c r="C114" s="1">
        <v>43864</v>
      </c>
      <c r="D114" t="s">
        <v>8</v>
      </c>
      <c r="E114" s="3">
        <v>293479.14</v>
      </c>
      <c r="F114" s="3">
        <v>74.27</v>
      </c>
      <c r="G114" s="2">
        <f>293479.14/74.27</f>
        <v>3951.5166285175715</v>
      </c>
      <c r="H114" t="s">
        <v>14</v>
      </c>
      <c r="I114" t="s">
        <v>10</v>
      </c>
      <c r="J114" t="s">
        <v>294</v>
      </c>
      <c r="K114" t="s">
        <v>295</v>
      </c>
    </row>
    <row r="115" spans="1:11" x14ac:dyDescent="0.35">
      <c r="A115">
        <v>376982</v>
      </c>
      <c r="B115" t="s">
        <v>18</v>
      </c>
      <c r="C115" s="1">
        <v>43864</v>
      </c>
      <c r="D115" t="s">
        <v>8</v>
      </c>
      <c r="E115" s="3">
        <v>375368.5</v>
      </c>
      <c r="F115" s="3">
        <v>74.27</v>
      </c>
      <c r="G115" s="2">
        <f>375368.5/74.27</f>
        <v>5054.106637942642</v>
      </c>
      <c r="H115" t="s">
        <v>19</v>
      </c>
      <c r="I115" t="s">
        <v>10</v>
      </c>
      <c r="J115" t="s">
        <v>335</v>
      </c>
      <c r="K115" t="s">
        <v>297</v>
      </c>
    </row>
    <row r="116" spans="1:11" x14ac:dyDescent="0.35">
      <c r="A116">
        <v>376981</v>
      </c>
      <c r="B116" t="s">
        <v>118</v>
      </c>
      <c r="C116" s="1">
        <v>43864</v>
      </c>
      <c r="D116" t="s">
        <v>8</v>
      </c>
      <c r="E116" s="3">
        <v>293479.14</v>
      </c>
      <c r="F116" s="3">
        <v>74.27</v>
      </c>
      <c r="G116" s="2">
        <f>293479.14/74.27</f>
        <v>3951.5166285175715</v>
      </c>
      <c r="H116" t="s">
        <v>14</v>
      </c>
      <c r="I116" t="s">
        <v>10</v>
      </c>
      <c r="J116" t="s">
        <v>294</v>
      </c>
      <c r="K116" t="s">
        <v>295</v>
      </c>
    </row>
    <row r="117" spans="1:11" x14ac:dyDescent="0.35">
      <c r="A117">
        <v>376980</v>
      </c>
      <c r="B117" t="s">
        <v>109</v>
      </c>
      <c r="C117" s="1">
        <v>43864</v>
      </c>
      <c r="D117" t="s">
        <v>8</v>
      </c>
      <c r="E117" s="3">
        <v>2370963.44</v>
      </c>
      <c r="F117" s="3">
        <v>74.27</v>
      </c>
      <c r="G117" s="2">
        <f>2370963.44/74.27</f>
        <v>31923.568601050221</v>
      </c>
      <c r="H117" t="s">
        <v>93</v>
      </c>
      <c r="I117" t="s">
        <v>10</v>
      </c>
      <c r="J117" t="s">
        <v>366</v>
      </c>
      <c r="K117" t="s">
        <v>367</v>
      </c>
    </row>
    <row r="118" spans="1:11" x14ac:dyDescent="0.35">
      <c r="A118">
        <v>376978</v>
      </c>
      <c r="B118" t="s">
        <v>119</v>
      </c>
      <c r="C118" s="1">
        <v>43864</v>
      </c>
      <c r="D118" t="s">
        <v>8</v>
      </c>
      <c r="E118" s="3">
        <v>895265.15</v>
      </c>
      <c r="F118" s="3">
        <v>74.27</v>
      </c>
      <c r="G118" s="2">
        <f>895265.15/74.27</f>
        <v>12054.196176114179</v>
      </c>
      <c r="H118" t="s">
        <v>120</v>
      </c>
      <c r="I118" t="s">
        <v>10</v>
      </c>
      <c r="J118" t="s">
        <v>368</v>
      </c>
      <c r="K118" t="s">
        <v>293</v>
      </c>
    </row>
    <row r="119" spans="1:11" x14ac:dyDescent="0.35">
      <c r="A119">
        <v>376977</v>
      </c>
      <c r="B119" t="s">
        <v>111</v>
      </c>
      <c r="C119" s="1">
        <v>43864</v>
      </c>
      <c r="D119" t="s">
        <v>8</v>
      </c>
      <c r="E119" s="3">
        <v>2886602.58</v>
      </c>
      <c r="F119" s="3">
        <v>74.27</v>
      </c>
      <c r="G119" s="2">
        <f>2886602.58/74.27</f>
        <v>38866.333378214622</v>
      </c>
      <c r="H119" t="s">
        <v>93</v>
      </c>
      <c r="I119" t="s">
        <v>10</v>
      </c>
      <c r="J119" t="s">
        <v>369</v>
      </c>
      <c r="K119" t="s">
        <v>293</v>
      </c>
    </row>
    <row r="120" spans="1:11" x14ac:dyDescent="0.35">
      <c r="A120">
        <v>376974</v>
      </c>
      <c r="B120" t="s">
        <v>92</v>
      </c>
      <c r="C120" s="1">
        <v>43864</v>
      </c>
      <c r="D120" t="s">
        <v>8</v>
      </c>
      <c r="E120" s="3">
        <v>2802932.94</v>
      </c>
      <c r="F120" s="3">
        <v>74.27</v>
      </c>
      <c r="G120" s="2">
        <f>2802932.94/74.27</f>
        <v>37739.772990440288</v>
      </c>
      <c r="H120" t="s">
        <v>93</v>
      </c>
      <c r="I120" t="s">
        <v>10</v>
      </c>
      <c r="J120" t="s">
        <v>370</v>
      </c>
      <c r="K120" t="s">
        <v>293</v>
      </c>
    </row>
    <row r="121" spans="1:11" x14ac:dyDescent="0.35">
      <c r="A121">
        <v>376973</v>
      </c>
      <c r="B121" t="s">
        <v>121</v>
      </c>
      <c r="C121" s="1">
        <v>43864</v>
      </c>
      <c r="D121" t="s">
        <v>8</v>
      </c>
      <c r="E121" s="3">
        <v>7507370</v>
      </c>
      <c r="F121" s="3">
        <v>74.27</v>
      </c>
      <c r="G121" s="2">
        <f>7507370/74.27</f>
        <v>101082.13275885284</v>
      </c>
      <c r="H121" t="s">
        <v>122</v>
      </c>
      <c r="I121" t="s">
        <v>10</v>
      </c>
      <c r="J121" t="s">
        <v>371</v>
      </c>
      <c r="K121" t="s">
        <v>297</v>
      </c>
    </row>
    <row r="122" spans="1:11" x14ac:dyDescent="0.35">
      <c r="A122">
        <v>376972</v>
      </c>
      <c r="B122" t="s">
        <v>123</v>
      </c>
      <c r="C122" s="1">
        <v>43864</v>
      </c>
      <c r="D122" t="s">
        <v>8</v>
      </c>
      <c r="E122" s="3">
        <v>7430593.5999999996</v>
      </c>
      <c r="F122" s="3">
        <v>74.27</v>
      </c>
      <c r="G122" s="2">
        <f>7430593.6/74.27</f>
        <v>100048.38562003501</v>
      </c>
      <c r="H122" t="s">
        <v>78</v>
      </c>
      <c r="I122" t="s">
        <v>10</v>
      </c>
      <c r="J122" t="s">
        <v>372</v>
      </c>
      <c r="K122" t="s">
        <v>373</v>
      </c>
    </row>
    <row r="123" spans="1:11" x14ac:dyDescent="0.35">
      <c r="A123">
        <v>376971</v>
      </c>
      <c r="B123" t="s">
        <v>124</v>
      </c>
      <c r="C123" s="1">
        <v>43864</v>
      </c>
      <c r="D123" t="s">
        <v>8</v>
      </c>
      <c r="E123" s="3">
        <v>175706.23999999999</v>
      </c>
      <c r="F123" s="3">
        <v>74.27</v>
      </c>
      <c r="G123" s="2">
        <f>175706.24/74.27</f>
        <v>2365.7767604685605</v>
      </c>
      <c r="H123" t="s">
        <v>78</v>
      </c>
      <c r="I123" t="s">
        <v>10</v>
      </c>
      <c r="J123" t="s">
        <v>374</v>
      </c>
      <c r="K123" t="s">
        <v>293</v>
      </c>
    </row>
    <row r="124" spans="1:11" x14ac:dyDescent="0.35">
      <c r="A124">
        <v>376968</v>
      </c>
      <c r="B124" t="s">
        <v>125</v>
      </c>
      <c r="C124" s="1">
        <v>43864</v>
      </c>
      <c r="D124" t="s">
        <v>8</v>
      </c>
      <c r="E124" s="3">
        <v>543683.61</v>
      </c>
      <c r="F124" s="3">
        <v>74.27</v>
      </c>
      <c r="G124" s="2">
        <f>543683.61/74.27</f>
        <v>7320.3663659620306</v>
      </c>
      <c r="H124" t="s">
        <v>14</v>
      </c>
      <c r="I124" t="s">
        <v>10</v>
      </c>
      <c r="J124" t="s">
        <v>294</v>
      </c>
      <c r="K124" t="s">
        <v>295</v>
      </c>
    </row>
    <row r="125" spans="1:11" x14ac:dyDescent="0.35">
      <c r="A125">
        <v>376967</v>
      </c>
      <c r="B125" t="s">
        <v>125</v>
      </c>
      <c r="C125" s="1">
        <v>43864</v>
      </c>
      <c r="D125" t="s">
        <v>8</v>
      </c>
      <c r="E125" s="3">
        <v>543683.61</v>
      </c>
      <c r="F125" s="3">
        <v>74.27</v>
      </c>
      <c r="G125" s="2">
        <f>543683.61/74.27</f>
        <v>7320.3663659620306</v>
      </c>
      <c r="H125" t="s">
        <v>14</v>
      </c>
      <c r="I125" t="s">
        <v>10</v>
      </c>
      <c r="J125" t="s">
        <v>294</v>
      </c>
      <c r="K125" t="s">
        <v>295</v>
      </c>
    </row>
    <row r="126" spans="1:11" x14ac:dyDescent="0.35">
      <c r="A126">
        <v>376966</v>
      </c>
      <c r="B126" t="s">
        <v>126</v>
      </c>
      <c r="C126" s="1">
        <v>43864</v>
      </c>
      <c r="D126" t="s">
        <v>8</v>
      </c>
      <c r="E126" s="3">
        <v>4372292.29</v>
      </c>
      <c r="F126" s="3">
        <v>74.27</v>
      </c>
      <c r="G126" s="2">
        <f>4372292.29/74.27</f>
        <v>58870.23414568467</v>
      </c>
      <c r="H126" t="s">
        <v>21</v>
      </c>
      <c r="I126" t="s">
        <v>10</v>
      </c>
      <c r="J126" t="s">
        <v>299</v>
      </c>
      <c r="K126" t="s">
        <v>297</v>
      </c>
    </row>
    <row r="127" spans="1:11" x14ac:dyDescent="0.35">
      <c r="A127">
        <v>376961</v>
      </c>
      <c r="B127" t="s">
        <v>127</v>
      </c>
      <c r="C127" s="1">
        <v>43864</v>
      </c>
      <c r="D127" t="s">
        <v>8</v>
      </c>
      <c r="E127" s="3">
        <v>1437607.66</v>
      </c>
      <c r="F127" s="3">
        <v>74.27</v>
      </c>
      <c r="G127" s="2">
        <f>1437607.66/74.27</f>
        <v>19356.505453076614</v>
      </c>
      <c r="H127" t="s">
        <v>14</v>
      </c>
      <c r="I127" t="s">
        <v>10</v>
      </c>
      <c r="J127" t="s">
        <v>294</v>
      </c>
      <c r="K127" t="s">
        <v>295</v>
      </c>
    </row>
    <row r="128" spans="1:11" x14ac:dyDescent="0.35">
      <c r="A128">
        <v>376960</v>
      </c>
      <c r="B128" t="s">
        <v>128</v>
      </c>
      <c r="C128" s="1">
        <v>43864</v>
      </c>
      <c r="D128" t="s">
        <v>8</v>
      </c>
      <c r="E128" s="3">
        <v>472934.28</v>
      </c>
      <c r="F128" s="3">
        <v>74.27</v>
      </c>
      <c r="G128" s="2">
        <f>472934.28/74.27</f>
        <v>6367.770028275213</v>
      </c>
      <c r="H128" t="s">
        <v>17</v>
      </c>
      <c r="I128" t="s">
        <v>10</v>
      </c>
      <c r="J128" t="s">
        <v>360</v>
      </c>
      <c r="K128" t="s">
        <v>297</v>
      </c>
    </row>
    <row r="129" spans="1:11" x14ac:dyDescent="0.35">
      <c r="A129">
        <v>376959</v>
      </c>
      <c r="B129" t="s">
        <v>126</v>
      </c>
      <c r="C129" s="1">
        <v>43864</v>
      </c>
      <c r="D129" t="s">
        <v>8</v>
      </c>
      <c r="E129" s="3">
        <v>1093073.07</v>
      </c>
      <c r="F129" s="3">
        <v>74.27</v>
      </c>
      <c r="G129" s="2">
        <f>1093073.07/74.27</f>
        <v>14717.558502760201</v>
      </c>
      <c r="H129" t="s">
        <v>21</v>
      </c>
      <c r="I129" t="s">
        <v>10</v>
      </c>
      <c r="J129" t="s">
        <v>299</v>
      </c>
      <c r="K129" t="s">
        <v>297</v>
      </c>
    </row>
    <row r="130" spans="1:11" x14ac:dyDescent="0.35">
      <c r="A130">
        <v>376958</v>
      </c>
      <c r="B130" t="s">
        <v>129</v>
      </c>
      <c r="C130" s="1">
        <v>43864</v>
      </c>
      <c r="D130" t="s">
        <v>8</v>
      </c>
      <c r="E130" s="3">
        <v>144687.29</v>
      </c>
      <c r="F130" s="3">
        <v>74.27</v>
      </c>
      <c r="G130" s="2">
        <f>144687.29/74.27</f>
        <v>1948.125622727885</v>
      </c>
      <c r="H130" t="s">
        <v>130</v>
      </c>
      <c r="I130" t="s">
        <v>29</v>
      </c>
      <c r="J130" t="s">
        <v>375</v>
      </c>
      <c r="K130" t="s">
        <v>297</v>
      </c>
    </row>
    <row r="131" spans="1:11" x14ac:dyDescent="0.35">
      <c r="A131">
        <v>376957</v>
      </c>
      <c r="B131" t="s">
        <v>91</v>
      </c>
      <c r="C131" s="1">
        <v>43864</v>
      </c>
      <c r="D131" t="s">
        <v>8</v>
      </c>
      <c r="E131" s="3">
        <v>282502.17</v>
      </c>
      <c r="F131" s="3">
        <v>74.27</v>
      </c>
      <c r="G131" s="2">
        <f>282502.17/74.27</f>
        <v>3803.7184596741617</v>
      </c>
      <c r="H131" t="s">
        <v>12</v>
      </c>
      <c r="I131" t="s">
        <v>10</v>
      </c>
      <c r="J131" t="s">
        <v>376</v>
      </c>
      <c r="K131" t="s">
        <v>293</v>
      </c>
    </row>
    <row r="132" spans="1:11" x14ac:dyDescent="0.35">
      <c r="A132">
        <v>376955</v>
      </c>
      <c r="B132" t="s">
        <v>131</v>
      </c>
      <c r="C132" s="1">
        <v>43864</v>
      </c>
      <c r="D132" t="s">
        <v>8</v>
      </c>
      <c r="E132" s="3">
        <v>1261238.1599999999</v>
      </c>
      <c r="F132" s="3">
        <v>74.27</v>
      </c>
      <c r="G132" s="2">
        <f>1261238.16/74.27</f>
        <v>16981.798303487278</v>
      </c>
      <c r="H132" t="s">
        <v>21</v>
      </c>
      <c r="I132" t="s">
        <v>10</v>
      </c>
      <c r="J132" t="s">
        <v>377</v>
      </c>
      <c r="K132" t="s">
        <v>297</v>
      </c>
    </row>
    <row r="133" spans="1:11" x14ac:dyDescent="0.35">
      <c r="A133">
        <v>376954</v>
      </c>
      <c r="B133" t="s">
        <v>132</v>
      </c>
      <c r="C133" s="1">
        <v>43864</v>
      </c>
      <c r="D133" t="s">
        <v>8</v>
      </c>
      <c r="E133" s="3">
        <v>5710452.9299999997</v>
      </c>
      <c r="F133" s="3">
        <v>74.27</v>
      </c>
      <c r="G133" s="2">
        <f>5710452.93/74.27</f>
        <v>76887.746465598495</v>
      </c>
      <c r="H133" t="s">
        <v>78</v>
      </c>
      <c r="I133" t="s">
        <v>10</v>
      </c>
      <c r="J133" t="s">
        <v>374</v>
      </c>
      <c r="K133" t="s">
        <v>293</v>
      </c>
    </row>
    <row r="134" spans="1:11" x14ac:dyDescent="0.35">
      <c r="A134">
        <v>376953</v>
      </c>
      <c r="B134" t="s">
        <v>133</v>
      </c>
      <c r="C134" s="1">
        <v>43864</v>
      </c>
      <c r="D134" t="s">
        <v>8</v>
      </c>
      <c r="E134" s="3">
        <v>6800</v>
      </c>
      <c r="F134" s="3">
        <v>74.27</v>
      </c>
      <c r="G134" s="2">
        <f>6800/74.27</f>
        <v>91.557829540864418</v>
      </c>
      <c r="H134" t="s">
        <v>17</v>
      </c>
      <c r="I134" t="s">
        <v>10</v>
      </c>
      <c r="J134" t="s">
        <v>301</v>
      </c>
      <c r="K134" t="s">
        <v>295</v>
      </c>
    </row>
    <row r="135" spans="1:11" x14ac:dyDescent="0.35">
      <c r="A135">
        <v>376950</v>
      </c>
      <c r="B135" t="s">
        <v>134</v>
      </c>
      <c r="C135" s="1">
        <v>43864</v>
      </c>
      <c r="D135" t="s">
        <v>8</v>
      </c>
      <c r="E135" s="3">
        <v>12600</v>
      </c>
      <c r="F135" s="3">
        <v>74.27</v>
      </c>
      <c r="G135" s="2">
        <f>12600/74.27</f>
        <v>169.65127238454289</v>
      </c>
      <c r="H135" t="s">
        <v>23</v>
      </c>
      <c r="I135" t="s">
        <v>10</v>
      </c>
      <c r="J135" t="s">
        <v>378</v>
      </c>
      <c r="K135" t="s">
        <v>295</v>
      </c>
    </row>
    <row r="136" spans="1:11" x14ac:dyDescent="0.35">
      <c r="A136">
        <v>376949</v>
      </c>
      <c r="B136" t="s">
        <v>132</v>
      </c>
      <c r="C136" s="1">
        <v>43864</v>
      </c>
      <c r="D136" t="s">
        <v>8</v>
      </c>
      <c r="E136" s="3">
        <v>7530267.5999999996</v>
      </c>
      <c r="F136" s="3">
        <v>74.27</v>
      </c>
      <c r="G136" s="2">
        <f>7530267.6/74.27</f>
        <v>101390.43489969031</v>
      </c>
      <c r="H136" t="s">
        <v>78</v>
      </c>
      <c r="I136" t="s">
        <v>10</v>
      </c>
      <c r="J136" t="s">
        <v>374</v>
      </c>
      <c r="K136" t="s">
        <v>293</v>
      </c>
    </row>
    <row r="137" spans="1:11" x14ac:dyDescent="0.35">
      <c r="A137">
        <v>376947</v>
      </c>
      <c r="B137" t="s">
        <v>135</v>
      </c>
      <c r="C137" s="1">
        <v>43864</v>
      </c>
      <c r="D137" t="s">
        <v>8</v>
      </c>
      <c r="E137" s="3">
        <v>4493160.95</v>
      </c>
      <c r="F137" s="3">
        <v>74.27</v>
      </c>
      <c r="G137" s="2">
        <f>4493160.95/74.27</f>
        <v>60497.65652349536</v>
      </c>
      <c r="H137" t="s">
        <v>136</v>
      </c>
      <c r="I137" t="s">
        <v>10</v>
      </c>
      <c r="J137" t="s">
        <v>379</v>
      </c>
      <c r="K137" t="s">
        <v>297</v>
      </c>
    </row>
    <row r="138" spans="1:11" x14ac:dyDescent="0.35">
      <c r="A138">
        <v>376945</v>
      </c>
      <c r="B138" t="s">
        <v>131</v>
      </c>
      <c r="C138" s="1">
        <v>43864</v>
      </c>
      <c r="D138" t="s">
        <v>8</v>
      </c>
      <c r="E138" s="3">
        <v>4996905.47</v>
      </c>
      <c r="F138" s="3">
        <v>74.27</v>
      </c>
      <c r="G138" s="2">
        <f>4996905.47/74.27</f>
        <v>67280.267537363674</v>
      </c>
      <c r="H138" t="s">
        <v>21</v>
      </c>
      <c r="I138" t="s">
        <v>10</v>
      </c>
      <c r="J138" t="s">
        <v>377</v>
      </c>
      <c r="K138" t="s">
        <v>297</v>
      </c>
    </row>
    <row r="139" spans="1:11" x14ac:dyDescent="0.35">
      <c r="A139">
        <v>376944</v>
      </c>
      <c r="B139" t="s">
        <v>137</v>
      </c>
      <c r="C139" s="1">
        <v>43864</v>
      </c>
      <c r="D139" t="s">
        <v>8</v>
      </c>
      <c r="E139" s="3">
        <v>1576455</v>
      </c>
      <c r="F139" s="3">
        <v>74.27</v>
      </c>
      <c r="G139" s="2">
        <f>1576455/74.27</f>
        <v>21225.999730712269</v>
      </c>
      <c r="H139" t="s">
        <v>14</v>
      </c>
      <c r="I139" t="s">
        <v>10</v>
      </c>
      <c r="J139" t="s">
        <v>294</v>
      </c>
      <c r="K139" t="s">
        <v>295</v>
      </c>
    </row>
    <row r="140" spans="1:11" x14ac:dyDescent="0.35">
      <c r="A140">
        <v>376943</v>
      </c>
      <c r="B140" t="s">
        <v>137</v>
      </c>
      <c r="C140" s="1">
        <v>43864</v>
      </c>
      <c r="D140" t="s">
        <v>8</v>
      </c>
      <c r="E140" s="3">
        <v>1337598.18</v>
      </c>
      <c r="F140" s="3">
        <v>74.27</v>
      </c>
      <c r="G140" s="2">
        <f>1337598.18/74.27</f>
        <v>18009.939140972128</v>
      </c>
      <c r="H140" t="s">
        <v>14</v>
      </c>
      <c r="I140" t="s">
        <v>10</v>
      </c>
      <c r="J140" t="s">
        <v>294</v>
      </c>
      <c r="K140" t="s">
        <v>295</v>
      </c>
    </row>
    <row r="141" spans="1:11" x14ac:dyDescent="0.35">
      <c r="A141">
        <v>376942</v>
      </c>
      <c r="B141" t="s">
        <v>137</v>
      </c>
      <c r="C141" s="1">
        <v>43864</v>
      </c>
      <c r="D141" t="s">
        <v>8</v>
      </c>
      <c r="E141" s="3">
        <v>1457026.59</v>
      </c>
      <c r="F141" s="3">
        <v>74.27</v>
      </c>
      <c r="G141" s="2">
        <f>1457026.59/74.27</f>
        <v>19617.969435842198</v>
      </c>
      <c r="H141" t="s">
        <v>14</v>
      </c>
      <c r="I141" t="s">
        <v>10</v>
      </c>
      <c r="J141" t="s">
        <v>294</v>
      </c>
      <c r="K141" t="s">
        <v>295</v>
      </c>
    </row>
    <row r="142" spans="1:11" x14ac:dyDescent="0.35">
      <c r="A142">
        <v>376941</v>
      </c>
      <c r="B142" t="s">
        <v>135</v>
      </c>
      <c r="C142" s="1">
        <v>43864</v>
      </c>
      <c r="D142" t="s">
        <v>8</v>
      </c>
      <c r="E142" s="3">
        <v>3258558.35</v>
      </c>
      <c r="F142" s="3">
        <v>74.27</v>
      </c>
      <c r="G142" s="2">
        <f>3258558.35/74.27</f>
        <v>43874.489699744183</v>
      </c>
      <c r="H142" t="s">
        <v>138</v>
      </c>
      <c r="I142" t="s">
        <v>10</v>
      </c>
      <c r="J142" t="s">
        <v>380</v>
      </c>
      <c r="K142" t="s">
        <v>381</v>
      </c>
    </row>
    <row r="143" spans="1:11" x14ac:dyDescent="0.35">
      <c r="A143">
        <v>376940</v>
      </c>
      <c r="B143" t="s">
        <v>111</v>
      </c>
      <c r="C143" s="1">
        <v>43864</v>
      </c>
      <c r="D143" t="s">
        <v>8</v>
      </c>
      <c r="E143" s="3">
        <v>2056924.1</v>
      </c>
      <c r="F143" s="3">
        <v>74.27</v>
      </c>
      <c r="G143" s="2">
        <f>2056924.1/74.27</f>
        <v>27695.221489161173</v>
      </c>
      <c r="H143" t="s">
        <v>93</v>
      </c>
      <c r="I143" t="s">
        <v>10</v>
      </c>
      <c r="J143" t="s">
        <v>382</v>
      </c>
      <c r="K143" t="s">
        <v>383</v>
      </c>
    </row>
    <row r="144" spans="1:11" x14ac:dyDescent="0.35">
      <c r="A144">
        <v>376938</v>
      </c>
      <c r="B144" t="s">
        <v>132</v>
      </c>
      <c r="C144" s="1">
        <v>43864</v>
      </c>
      <c r="D144" t="s">
        <v>8</v>
      </c>
      <c r="E144" s="3">
        <v>7680872.9500000002</v>
      </c>
      <c r="F144" s="3">
        <v>74.27</v>
      </c>
      <c r="G144" s="2">
        <f>7680872.95/74.27</f>
        <v>103418.24357075537</v>
      </c>
      <c r="H144" t="s">
        <v>78</v>
      </c>
      <c r="I144" t="s">
        <v>10</v>
      </c>
      <c r="J144" t="s">
        <v>374</v>
      </c>
      <c r="K144" t="s">
        <v>293</v>
      </c>
    </row>
    <row r="145" spans="1:11" x14ac:dyDescent="0.35">
      <c r="A145">
        <v>376937</v>
      </c>
      <c r="B145" t="s">
        <v>139</v>
      </c>
      <c r="C145" s="1">
        <v>43864</v>
      </c>
      <c r="D145" t="s">
        <v>8</v>
      </c>
      <c r="E145" s="3">
        <v>269631.73</v>
      </c>
      <c r="F145" s="3">
        <v>74.27</v>
      </c>
      <c r="G145" s="2">
        <f>269631.73/74.27</f>
        <v>3630.425878551232</v>
      </c>
      <c r="H145" t="s">
        <v>14</v>
      </c>
      <c r="I145" t="s">
        <v>10</v>
      </c>
      <c r="J145" t="s">
        <v>294</v>
      </c>
      <c r="K145" t="s">
        <v>295</v>
      </c>
    </row>
    <row r="146" spans="1:11" x14ac:dyDescent="0.35">
      <c r="A146">
        <v>376936</v>
      </c>
      <c r="B146" t="s">
        <v>139</v>
      </c>
      <c r="C146" s="1">
        <v>43864</v>
      </c>
      <c r="D146" t="s">
        <v>8</v>
      </c>
      <c r="E146" s="3">
        <v>360126.84</v>
      </c>
      <c r="F146" s="3">
        <v>74.27</v>
      </c>
      <c r="G146" s="2">
        <f>360126.84/74.27</f>
        <v>4848.8870337956114</v>
      </c>
      <c r="H146" t="s">
        <v>14</v>
      </c>
      <c r="I146" t="s">
        <v>10</v>
      </c>
      <c r="J146" t="s">
        <v>294</v>
      </c>
      <c r="K146" t="s">
        <v>295</v>
      </c>
    </row>
    <row r="147" spans="1:11" x14ac:dyDescent="0.35">
      <c r="A147">
        <v>376935</v>
      </c>
      <c r="B147" t="s">
        <v>126</v>
      </c>
      <c r="C147" s="1">
        <v>43864</v>
      </c>
      <c r="D147" t="s">
        <v>8</v>
      </c>
      <c r="E147" s="3">
        <v>1093073.07</v>
      </c>
      <c r="F147" s="3">
        <v>74.27</v>
      </c>
      <c r="G147" s="2">
        <f>1093073.07/74.27</f>
        <v>14717.558502760201</v>
      </c>
      <c r="H147" t="s">
        <v>21</v>
      </c>
      <c r="I147" t="s">
        <v>10</v>
      </c>
      <c r="J147" t="s">
        <v>299</v>
      </c>
      <c r="K147" t="s">
        <v>297</v>
      </c>
    </row>
    <row r="148" spans="1:11" x14ac:dyDescent="0.35">
      <c r="A148">
        <v>376934</v>
      </c>
      <c r="B148" t="s">
        <v>103</v>
      </c>
      <c r="C148" s="1">
        <v>43864</v>
      </c>
      <c r="D148" t="s">
        <v>8</v>
      </c>
      <c r="E148" s="3">
        <v>1997787.5</v>
      </c>
      <c r="F148" s="3">
        <v>74.27</v>
      </c>
      <c r="G148" s="2">
        <f>1997787.5/74.27</f>
        <v>26898.983438804364</v>
      </c>
      <c r="H148" t="s">
        <v>93</v>
      </c>
      <c r="I148" t="s">
        <v>10</v>
      </c>
      <c r="J148" t="s">
        <v>384</v>
      </c>
      <c r="K148" t="s">
        <v>385</v>
      </c>
    </row>
    <row r="149" spans="1:11" x14ac:dyDescent="0.35">
      <c r="A149">
        <v>376933</v>
      </c>
      <c r="B149" t="s">
        <v>140</v>
      </c>
      <c r="C149" s="1">
        <v>43864</v>
      </c>
      <c r="D149" t="s">
        <v>8</v>
      </c>
      <c r="E149" s="3">
        <v>143911.78</v>
      </c>
      <c r="F149" s="3">
        <v>74.27</v>
      </c>
      <c r="G149" s="2">
        <f>143911.78/74.27</f>
        <v>1937.6838562003502</v>
      </c>
      <c r="H149" t="s">
        <v>78</v>
      </c>
      <c r="I149" t="s">
        <v>10</v>
      </c>
      <c r="J149" t="s">
        <v>386</v>
      </c>
      <c r="K149" t="s">
        <v>293</v>
      </c>
    </row>
    <row r="150" spans="1:11" x14ac:dyDescent="0.35">
      <c r="A150">
        <v>376932</v>
      </c>
      <c r="B150" t="s">
        <v>129</v>
      </c>
      <c r="C150" s="1">
        <v>43864</v>
      </c>
      <c r="D150" t="s">
        <v>8</v>
      </c>
      <c r="E150" s="3">
        <v>1523996.11</v>
      </c>
      <c r="F150" s="3">
        <v>74.27</v>
      </c>
      <c r="G150" s="2">
        <f>1523996.11/74.27</f>
        <v>20519.672950047127</v>
      </c>
      <c r="H150" t="s">
        <v>130</v>
      </c>
      <c r="I150" t="s">
        <v>29</v>
      </c>
      <c r="J150" t="s">
        <v>387</v>
      </c>
      <c r="K150" t="s">
        <v>297</v>
      </c>
    </row>
    <row r="151" spans="1:11" x14ac:dyDescent="0.35">
      <c r="A151">
        <v>376931</v>
      </c>
      <c r="B151" t="s">
        <v>141</v>
      </c>
      <c r="C151" s="1">
        <v>43864</v>
      </c>
      <c r="D151" t="s">
        <v>8</v>
      </c>
      <c r="E151" s="3">
        <v>2980638.7200000002</v>
      </c>
      <c r="F151" s="3">
        <v>74.27</v>
      </c>
      <c r="G151" s="2">
        <f>2980638.72/74.27</f>
        <v>40132.472330685341</v>
      </c>
      <c r="H151" t="s">
        <v>14</v>
      </c>
      <c r="I151" t="s">
        <v>10</v>
      </c>
      <c r="J151" t="s">
        <v>294</v>
      </c>
      <c r="K151" t="s">
        <v>295</v>
      </c>
    </row>
    <row r="152" spans="1:11" x14ac:dyDescent="0.35">
      <c r="A152">
        <v>376928</v>
      </c>
      <c r="B152" t="s">
        <v>142</v>
      </c>
      <c r="C152" s="1">
        <v>43864</v>
      </c>
      <c r="D152" t="s">
        <v>8</v>
      </c>
      <c r="E152" s="3">
        <v>2186146.14</v>
      </c>
      <c r="F152" s="3">
        <v>74.27</v>
      </c>
      <c r="G152" s="2">
        <f>2186146.14/74.27</f>
        <v>29435.117005520402</v>
      </c>
      <c r="H152" t="s">
        <v>21</v>
      </c>
      <c r="I152" t="s">
        <v>10</v>
      </c>
      <c r="J152" t="s">
        <v>299</v>
      </c>
      <c r="K152" t="s">
        <v>297</v>
      </c>
    </row>
    <row r="153" spans="1:11" x14ac:dyDescent="0.35">
      <c r="A153">
        <v>376927</v>
      </c>
      <c r="B153" t="s">
        <v>47</v>
      </c>
      <c r="C153" s="1">
        <v>43864</v>
      </c>
      <c r="D153" t="s">
        <v>8</v>
      </c>
      <c r="E153" s="3">
        <v>893677.32</v>
      </c>
      <c r="F153" s="3">
        <v>74.27</v>
      </c>
      <c r="G153" s="2">
        <f>893677.32/74.27</f>
        <v>12032.817018984786</v>
      </c>
      <c r="H153" t="s">
        <v>21</v>
      </c>
      <c r="I153" t="s">
        <v>10</v>
      </c>
      <c r="J153" t="s">
        <v>388</v>
      </c>
      <c r="K153" t="s">
        <v>297</v>
      </c>
    </row>
    <row r="154" spans="1:11" x14ac:dyDescent="0.35">
      <c r="A154">
        <v>376924</v>
      </c>
      <c r="B154" t="s">
        <v>20</v>
      </c>
      <c r="C154" s="1">
        <v>43864</v>
      </c>
      <c r="D154" t="s">
        <v>8</v>
      </c>
      <c r="E154" s="3">
        <v>1581052.12</v>
      </c>
      <c r="F154" s="3">
        <v>74.27</v>
      </c>
      <c r="G154" s="2">
        <f>1581052.12/74.27</f>
        <v>21287.897132085636</v>
      </c>
      <c r="H154" t="s">
        <v>21</v>
      </c>
      <c r="I154" t="s">
        <v>10</v>
      </c>
      <c r="J154" t="s">
        <v>299</v>
      </c>
      <c r="K154" t="s">
        <v>297</v>
      </c>
    </row>
    <row r="155" spans="1:11" x14ac:dyDescent="0.35">
      <c r="A155">
        <v>376922</v>
      </c>
      <c r="B155" t="s">
        <v>143</v>
      </c>
      <c r="C155" s="1">
        <v>43864</v>
      </c>
      <c r="D155" t="s">
        <v>8</v>
      </c>
      <c r="E155" s="3">
        <v>216882.43</v>
      </c>
      <c r="F155" s="3">
        <v>74.27</v>
      </c>
      <c r="G155" s="2">
        <f>216882.43/74.27</f>
        <v>2920.1889053453615</v>
      </c>
      <c r="H155" t="s">
        <v>14</v>
      </c>
      <c r="I155" t="s">
        <v>10</v>
      </c>
      <c r="J155" t="s">
        <v>294</v>
      </c>
      <c r="K155" t="s">
        <v>295</v>
      </c>
    </row>
    <row r="156" spans="1:11" x14ac:dyDescent="0.35">
      <c r="A156">
        <v>376921</v>
      </c>
      <c r="B156" t="s">
        <v>144</v>
      </c>
      <c r="C156" s="1">
        <v>43864</v>
      </c>
      <c r="D156" t="s">
        <v>8</v>
      </c>
      <c r="E156" s="3">
        <v>361104.5</v>
      </c>
      <c r="F156" s="3">
        <v>74.27</v>
      </c>
      <c r="G156" s="2">
        <f>361104.5/74.27</f>
        <v>4862.0506260939819</v>
      </c>
      <c r="H156" t="s">
        <v>145</v>
      </c>
      <c r="I156" t="s">
        <v>10</v>
      </c>
      <c r="J156" t="s">
        <v>389</v>
      </c>
      <c r="K156" t="s">
        <v>297</v>
      </c>
    </row>
    <row r="157" spans="1:11" x14ac:dyDescent="0.35">
      <c r="A157">
        <v>376918</v>
      </c>
      <c r="B157" t="s">
        <v>146</v>
      </c>
      <c r="C157" s="1">
        <v>43864</v>
      </c>
      <c r="D157" t="s">
        <v>8</v>
      </c>
      <c r="E157" s="3">
        <v>756041.7</v>
      </c>
      <c r="F157" s="3">
        <v>74.27</v>
      </c>
      <c r="G157" s="2">
        <f>756041.7/74.27</f>
        <v>10179.637807997846</v>
      </c>
      <c r="H157" t="s">
        <v>14</v>
      </c>
      <c r="I157" t="s">
        <v>10</v>
      </c>
      <c r="J157" t="s">
        <v>294</v>
      </c>
      <c r="K157" t="s">
        <v>295</v>
      </c>
    </row>
    <row r="158" spans="1:11" x14ac:dyDescent="0.35">
      <c r="A158">
        <v>376915</v>
      </c>
      <c r="B158" t="s">
        <v>15</v>
      </c>
      <c r="C158" s="1">
        <v>43864</v>
      </c>
      <c r="D158" t="s">
        <v>8</v>
      </c>
      <c r="E158" s="3">
        <v>2978924.42</v>
      </c>
      <c r="F158" s="3">
        <v>74.27</v>
      </c>
      <c r="G158" s="2">
        <f>2978924.42/74.27</f>
        <v>40109.39033257035</v>
      </c>
      <c r="H158" t="s">
        <v>41</v>
      </c>
      <c r="I158" t="s">
        <v>10</v>
      </c>
      <c r="J158" t="s">
        <v>321</v>
      </c>
      <c r="K158" t="s">
        <v>297</v>
      </c>
    </row>
    <row r="159" spans="1:11" x14ac:dyDescent="0.35">
      <c r="A159">
        <v>376913</v>
      </c>
      <c r="B159" t="s">
        <v>147</v>
      </c>
      <c r="C159" s="1">
        <v>43864</v>
      </c>
      <c r="D159" t="s">
        <v>8</v>
      </c>
      <c r="E159" s="3">
        <v>3497833.83</v>
      </c>
      <c r="F159" s="3">
        <v>74.27</v>
      </c>
      <c r="G159" s="2">
        <f>3497833.83/74.27</f>
        <v>47096.18728961896</v>
      </c>
      <c r="H159" t="s">
        <v>21</v>
      </c>
      <c r="I159" t="s">
        <v>10</v>
      </c>
      <c r="J159" t="s">
        <v>377</v>
      </c>
      <c r="K159" t="s">
        <v>297</v>
      </c>
    </row>
    <row r="160" spans="1:11" x14ac:dyDescent="0.35">
      <c r="A160">
        <v>376912</v>
      </c>
      <c r="B160" t="s">
        <v>148</v>
      </c>
      <c r="C160" s="1">
        <v>43863</v>
      </c>
      <c r="D160" t="s">
        <v>8</v>
      </c>
      <c r="E160" s="3">
        <v>1024523.74</v>
      </c>
      <c r="F160" s="3">
        <v>74.27</v>
      </c>
      <c r="G160" s="2">
        <f>1024523.74/74.27</f>
        <v>13794.583815807191</v>
      </c>
      <c r="H160" t="s">
        <v>14</v>
      </c>
      <c r="I160" t="s">
        <v>10</v>
      </c>
      <c r="J160" t="s">
        <v>294</v>
      </c>
      <c r="K160" t="s">
        <v>295</v>
      </c>
    </row>
    <row r="161" spans="1:11" x14ac:dyDescent="0.35">
      <c r="A161">
        <v>376911</v>
      </c>
      <c r="B161" t="s">
        <v>149</v>
      </c>
      <c r="C161" s="1">
        <v>43864</v>
      </c>
      <c r="D161" t="s">
        <v>8</v>
      </c>
      <c r="E161" s="3">
        <v>748843.28</v>
      </c>
      <c r="F161" s="3">
        <v>74.27</v>
      </c>
      <c r="G161" s="2">
        <f>748843.28/74.27</f>
        <v>10082.715497509089</v>
      </c>
      <c r="H161" t="s">
        <v>78</v>
      </c>
      <c r="I161" t="s">
        <v>10</v>
      </c>
      <c r="J161" t="s">
        <v>390</v>
      </c>
      <c r="K161" t="s">
        <v>293</v>
      </c>
    </row>
    <row r="162" spans="1:11" x14ac:dyDescent="0.35">
      <c r="A162">
        <v>376909</v>
      </c>
      <c r="B162" t="s">
        <v>15</v>
      </c>
      <c r="C162" s="1">
        <v>43863</v>
      </c>
      <c r="D162" t="s">
        <v>8</v>
      </c>
      <c r="E162" s="3">
        <v>2978924.42</v>
      </c>
      <c r="F162" s="3">
        <v>74.27</v>
      </c>
      <c r="G162" s="2">
        <f>2978924.42/74.27</f>
        <v>40109.39033257035</v>
      </c>
      <c r="H162" t="s">
        <v>41</v>
      </c>
      <c r="I162" t="s">
        <v>10</v>
      </c>
      <c r="J162" t="s">
        <v>321</v>
      </c>
      <c r="K162" t="s">
        <v>297</v>
      </c>
    </row>
    <row r="163" spans="1:11" x14ac:dyDescent="0.35">
      <c r="A163">
        <v>376908</v>
      </c>
      <c r="B163" t="s">
        <v>15</v>
      </c>
      <c r="C163" s="1">
        <v>43863</v>
      </c>
      <c r="D163" t="s">
        <v>8</v>
      </c>
      <c r="E163" s="3">
        <v>5026934.95</v>
      </c>
      <c r="F163" s="3">
        <v>74.27</v>
      </c>
      <c r="G163" s="2">
        <f>5026934.95/74.27</f>
        <v>67684.596068399085</v>
      </c>
      <c r="H163" t="s">
        <v>41</v>
      </c>
      <c r="I163" t="s">
        <v>10</v>
      </c>
      <c r="J163" t="s">
        <v>321</v>
      </c>
      <c r="K163" t="s">
        <v>297</v>
      </c>
    </row>
    <row r="164" spans="1:11" x14ac:dyDescent="0.35">
      <c r="A164">
        <v>376907</v>
      </c>
      <c r="B164" t="s">
        <v>150</v>
      </c>
      <c r="C164" s="1">
        <v>43863</v>
      </c>
      <c r="D164" t="s">
        <v>8</v>
      </c>
      <c r="E164" s="3">
        <v>1447484.77</v>
      </c>
      <c r="F164" s="3">
        <v>74.27</v>
      </c>
      <c r="G164" s="2">
        <f>1447484.77/74.27</f>
        <v>19489.494681567256</v>
      </c>
      <c r="H164" t="s">
        <v>78</v>
      </c>
      <c r="I164" t="s">
        <v>10</v>
      </c>
      <c r="J164" t="s">
        <v>391</v>
      </c>
      <c r="K164" t="s">
        <v>293</v>
      </c>
    </row>
    <row r="165" spans="1:11" x14ac:dyDescent="0.35">
      <c r="A165">
        <v>376906</v>
      </c>
      <c r="B165" t="s">
        <v>151</v>
      </c>
      <c r="C165" s="1">
        <v>43864</v>
      </c>
      <c r="D165" t="s">
        <v>8</v>
      </c>
      <c r="E165" s="3">
        <v>4132722.72</v>
      </c>
      <c r="F165" s="3">
        <v>74.27</v>
      </c>
      <c r="G165" s="2">
        <f>4132722.72/74.27</f>
        <v>55644.576814326116</v>
      </c>
      <c r="H165" t="s">
        <v>78</v>
      </c>
      <c r="I165" t="s">
        <v>10</v>
      </c>
      <c r="J165" t="s">
        <v>392</v>
      </c>
      <c r="K165" t="s">
        <v>317</v>
      </c>
    </row>
    <row r="166" spans="1:11" x14ac:dyDescent="0.35">
      <c r="A166">
        <v>376905</v>
      </c>
      <c r="B166" t="s">
        <v>15</v>
      </c>
      <c r="C166" s="1">
        <v>43863</v>
      </c>
      <c r="D166" t="s">
        <v>8</v>
      </c>
      <c r="E166" s="3">
        <v>4989698.4000000004</v>
      </c>
      <c r="F166" s="3">
        <v>74.27</v>
      </c>
      <c r="G166" s="2">
        <f>4989698.4/74.27</f>
        <v>67183.228759929989</v>
      </c>
      <c r="H166" t="s">
        <v>41</v>
      </c>
      <c r="I166" t="s">
        <v>10</v>
      </c>
      <c r="J166" t="s">
        <v>321</v>
      </c>
      <c r="K166" t="s">
        <v>297</v>
      </c>
    </row>
    <row r="167" spans="1:11" x14ac:dyDescent="0.35">
      <c r="A167">
        <v>376901</v>
      </c>
      <c r="B167" t="s">
        <v>142</v>
      </c>
      <c r="C167" s="1">
        <v>43863</v>
      </c>
      <c r="D167" t="s">
        <v>8</v>
      </c>
      <c r="E167" s="3">
        <v>3654587.72</v>
      </c>
      <c r="F167" s="3">
        <v>74.27</v>
      </c>
      <c r="G167" s="2">
        <f>3654587.72/74.27</f>
        <v>49206.782280867112</v>
      </c>
      <c r="H167" t="s">
        <v>21</v>
      </c>
      <c r="I167" t="s">
        <v>10</v>
      </c>
      <c r="J167" t="s">
        <v>393</v>
      </c>
      <c r="K167" t="s">
        <v>297</v>
      </c>
    </row>
    <row r="168" spans="1:11" x14ac:dyDescent="0.35">
      <c r="A168">
        <v>376900</v>
      </c>
      <c r="B168" t="s">
        <v>152</v>
      </c>
      <c r="C168" s="1">
        <v>43864</v>
      </c>
      <c r="D168" t="s">
        <v>8</v>
      </c>
      <c r="E168" s="3">
        <v>282502.17</v>
      </c>
      <c r="F168" s="3">
        <v>74.27</v>
      </c>
      <c r="G168" s="2">
        <f>282502.17/74.27</f>
        <v>3803.7184596741617</v>
      </c>
      <c r="H168" t="s">
        <v>12</v>
      </c>
      <c r="I168" t="s">
        <v>10</v>
      </c>
      <c r="J168" t="s">
        <v>394</v>
      </c>
      <c r="K168" t="s">
        <v>293</v>
      </c>
    </row>
    <row r="169" spans="1:11" x14ac:dyDescent="0.35">
      <c r="A169">
        <v>376899</v>
      </c>
      <c r="B169" t="s">
        <v>142</v>
      </c>
      <c r="C169" s="1">
        <v>43863</v>
      </c>
      <c r="D169" t="s">
        <v>8</v>
      </c>
      <c r="E169" s="3">
        <v>1219947.6299999999</v>
      </c>
      <c r="F169" s="3">
        <v>74.27</v>
      </c>
      <c r="G169" s="2">
        <f>1219947.63/74.27</f>
        <v>16425.846640635518</v>
      </c>
      <c r="H169" t="s">
        <v>21</v>
      </c>
      <c r="I169" t="s">
        <v>10</v>
      </c>
      <c r="J169" t="s">
        <v>395</v>
      </c>
      <c r="K169" t="s">
        <v>297</v>
      </c>
    </row>
    <row r="170" spans="1:11" x14ac:dyDescent="0.35">
      <c r="A170">
        <v>376897</v>
      </c>
      <c r="B170" t="s">
        <v>142</v>
      </c>
      <c r="C170" s="1">
        <v>43863</v>
      </c>
      <c r="D170" t="s">
        <v>8</v>
      </c>
      <c r="E170" s="3">
        <v>3372310.6</v>
      </c>
      <c r="F170" s="3">
        <v>74.27</v>
      </c>
      <c r="G170" s="2">
        <f>3372310.6/74.27</f>
        <v>45406.093981419152</v>
      </c>
      <c r="H170" t="s">
        <v>21</v>
      </c>
      <c r="I170" t="s">
        <v>10</v>
      </c>
      <c r="J170" t="s">
        <v>377</v>
      </c>
      <c r="K170" t="s">
        <v>297</v>
      </c>
    </row>
    <row r="171" spans="1:11" x14ac:dyDescent="0.35">
      <c r="A171">
        <v>376896</v>
      </c>
      <c r="B171" t="s">
        <v>151</v>
      </c>
      <c r="C171" s="1">
        <v>43863</v>
      </c>
      <c r="D171" t="s">
        <v>8</v>
      </c>
      <c r="E171" s="3">
        <v>12073003.380000001</v>
      </c>
      <c r="F171" s="3">
        <v>74.27</v>
      </c>
      <c r="G171" s="2">
        <f>12073003.38/74.27</f>
        <v>162555.58610475296</v>
      </c>
      <c r="H171" t="s">
        <v>78</v>
      </c>
      <c r="I171" t="s">
        <v>10</v>
      </c>
      <c r="J171" t="s">
        <v>396</v>
      </c>
      <c r="K171" t="s">
        <v>317</v>
      </c>
    </row>
    <row r="172" spans="1:11" x14ac:dyDescent="0.35">
      <c r="A172">
        <v>376893</v>
      </c>
      <c r="B172" t="s">
        <v>142</v>
      </c>
      <c r="C172" s="1">
        <v>43863</v>
      </c>
      <c r="D172" t="s">
        <v>8</v>
      </c>
      <c r="E172" s="3">
        <v>3495431.47</v>
      </c>
      <c r="F172" s="3">
        <v>74.27</v>
      </c>
      <c r="G172" s="2">
        <f>3495431.47/74.27</f>
        <v>47063.84098559311</v>
      </c>
      <c r="H172" t="s">
        <v>21</v>
      </c>
      <c r="I172" t="s">
        <v>10</v>
      </c>
      <c r="J172" t="s">
        <v>397</v>
      </c>
      <c r="K172" t="s">
        <v>297</v>
      </c>
    </row>
    <row r="173" spans="1:11" x14ac:dyDescent="0.35">
      <c r="A173">
        <v>376892</v>
      </c>
      <c r="B173" t="s">
        <v>128</v>
      </c>
      <c r="C173" s="1">
        <v>43864</v>
      </c>
      <c r="D173" t="s">
        <v>8</v>
      </c>
      <c r="E173" s="3">
        <v>412875.32</v>
      </c>
      <c r="F173" s="3">
        <v>74.27</v>
      </c>
      <c r="G173" s="2">
        <f>412875.32/74.27</f>
        <v>5559.1129662043895</v>
      </c>
      <c r="H173" t="s">
        <v>17</v>
      </c>
      <c r="I173" t="s">
        <v>10</v>
      </c>
      <c r="J173" t="s">
        <v>360</v>
      </c>
      <c r="K173" t="s">
        <v>297</v>
      </c>
    </row>
    <row r="174" spans="1:11" x14ac:dyDescent="0.35">
      <c r="A174">
        <v>376891</v>
      </c>
      <c r="B174" t="s">
        <v>153</v>
      </c>
      <c r="C174" s="1">
        <v>43863</v>
      </c>
      <c r="D174" t="s">
        <v>8</v>
      </c>
      <c r="E174" s="3">
        <v>131000</v>
      </c>
      <c r="F174" s="3">
        <v>74.27</v>
      </c>
      <c r="G174" s="2">
        <f>131000/74.27</f>
        <v>1763.8346573313586</v>
      </c>
      <c r="H174" t="s">
        <v>154</v>
      </c>
      <c r="I174" t="s">
        <v>10</v>
      </c>
      <c r="J174" t="s">
        <v>398</v>
      </c>
      <c r="K174" t="s">
        <v>295</v>
      </c>
    </row>
    <row r="175" spans="1:11" x14ac:dyDescent="0.35">
      <c r="A175">
        <v>376890</v>
      </c>
      <c r="B175" t="s">
        <v>20</v>
      </c>
      <c r="C175" s="1">
        <v>43863</v>
      </c>
      <c r="D175" t="s">
        <v>8</v>
      </c>
      <c r="E175" s="3">
        <v>4335656.32</v>
      </c>
      <c r="F175" s="3">
        <v>74.27</v>
      </c>
      <c r="G175" s="2">
        <f>4335656.32/74.27</f>
        <v>58376.95327857817</v>
      </c>
      <c r="H175" t="s">
        <v>21</v>
      </c>
      <c r="I175" t="s">
        <v>10</v>
      </c>
      <c r="J175" t="s">
        <v>326</v>
      </c>
      <c r="K175" t="s">
        <v>297</v>
      </c>
    </row>
    <row r="176" spans="1:11" x14ac:dyDescent="0.35">
      <c r="A176">
        <v>376889</v>
      </c>
      <c r="B176" t="s">
        <v>155</v>
      </c>
      <c r="C176" s="1">
        <v>43863</v>
      </c>
      <c r="D176" t="s">
        <v>8</v>
      </c>
      <c r="E176" s="3">
        <v>44802</v>
      </c>
      <c r="F176" s="3">
        <v>74.27</v>
      </c>
      <c r="G176" s="2">
        <f>44802/74.27</f>
        <v>603.23145280732467</v>
      </c>
      <c r="H176" t="s">
        <v>156</v>
      </c>
      <c r="I176" t="s">
        <v>10</v>
      </c>
      <c r="J176" t="s">
        <v>399</v>
      </c>
      <c r="K176" t="s">
        <v>295</v>
      </c>
    </row>
    <row r="177" spans="1:11" x14ac:dyDescent="0.35">
      <c r="A177">
        <v>376887</v>
      </c>
      <c r="B177" t="s">
        <v>142</v>
      </c>
      <c r="C177" s="1">
        <v>43863</v>
      </c>
      <c r="D177" t="s">
        <v>8</v>
      </c>
      <c r="E177" s="3">
        <v>3262552.85</v>
      </c>
      <c r="F177" s="3">
        <v>74.27</v>
      </c>
      <c r="G177" s="2">
        <f>3262552.85/74.27</f>
        <v>43928.273192406086</v>
      </c>
      <c r="H177" t="s">
        <v>21</v>
      </c>
      <c r="I177" t="s">
        <v>10</v>
      </c>
      <c r="J177" t="s">
        <v>326</v>
      </c>
      <c r="K177" t="s">
        <v>297</v>
      </c>
    </row>
    <row r="178" spans="1:11" x14ac:dyDescent="0.35">
      <c r="A178">
        <v>376886</v>
      </c>
      <c r="B178" t="s">
        <v>157</v>
      </c>
      <c r="C178" s="1">
        <v>43863</v>
      </c>
      <c r="D178" t="s">
        <v>8</v>
      </c>
      <c r="E178" s="3">
        <v>325360</v>
      </c>
      <c r="F178" s="3">
        <v>74.27</v>
      </c>
      <c r="G178" s="2">
        <f>325360/74.27</f>
        <v>4380.7728557964183</v>
      </c>
      <c r="H178" t="s">
        <v>78</v>
      </c>
      <c r="I178" t="s">
        <v>10</v>
      </c>
      <c r="J178" t="s">
        <v>396</v>
      </c>
      <c r="K178" t="s">
        <v>317</v>
      </c>
    </row>
    <row r="179" spans="1:11" x14ac:dyDescent="0.35">
      <c r="A179">
        <v>376883</v>
      </c>
      <c r="B179" t="s">
        <v>158</v>
      </c>
      <c r="C179" s="1">
        <v>43863</v>
      </c>
      <c r="D179" t="s">
        <v>8</v>
      </c>
      <c r="E179" s="3">
        <v>150147.4</v>
      </c>
      <c r="F179" s="3">
        <v>74.27</v>
      </c>
      <c r="G179" s="2">
        <f>150147.4/74.27</f>
        <v>2021.6426551770567</v>
      </c>
      <c r="H179" t="s">
        <v>36</v>
      </c>
      <c r="I179" t="s">
        <v>10</v>
      </c>
      <c r="J179" t="s">
        <v>400</v>
      </c>
      <c r="K179" t="s">
        <v>297</v>
      </c>
    </row>
    <row r="180" spans="1:11" x14ac:dyDescent="0.35">
      <c r="A180">
        <v>376882</v>
      </c>
      <c r="B180" t="s">
        <v>158</v>
      </c>
      <c r="C180" s="1">
        <v>43863</v>
      </c>
      <c r="D180" t="s">
        <v>8</v>
      </c>
      <c r="E180" s="3">
        <v>302503.52</v>
      </c>
      <c r="F180" s="3">
        <v>74.27</v>
      </c>
      <c r="G180" s="2">
        <f>302503.52/74.27</f>
        <v>4073.0243705399225</v>
      </c>
      <c r="H180" t="s">
        <v>36</v>
      </c>
      <c r="I180" t="s">
        <v>10</v>
      </c>
      <c r="J180" t="s">
        <v>401</v>
      </c>
      <c r="K180" t="s">
        <v>381</v>
      </c>
    </row>
    <row r="181" spans="1:11" x14ac:dyDescent="0.35">
      <c r="A181">
        <v>376881</v>
      </c>
      <c r="B181" t="s">
        <v>159</v>
      </c>
      <c r="C181" s="1">
        <v>43863</v>
      </c>
      <c r="D181" t="s">
        <v>8</v>
      </c>
      <c r="E181" s="3">
        <v>338390.73</v>
      </c>
      <c r="F181" s="3">
        <v>74.27</v>
      </c>
      <c r="G181" s="2">
        <f>338390.73/74.27</f>
        <v>4556.2236434630404</v>
      </c>
      <c r="H181" t="s">
        <v>14</v>
      </c>
      <c r="I181" t="s">
        <v>10</v>
      </c>
      <c r="J181" t="s">
        <v>294</v>
      </c>
      <c r="K181" t="s">
        <v>295</v>
      </c>
    </row>
    <row r="182" spans="1:11" x14ac:dyDescent="0.35">
      <c r="A182">
        <v>376880</v>
      </c>
      <c r="B182" t="s">
        <v>159</v>
      </c>
      <c r="C182" s="1">
        <v>43863</v>
      </c>
      <c r="D182" t="s">
        <v>8</v>
      </c>
      <c r="E182" s="3">
        <v>248656.62</v>
      </c>
      <c r="F182" s="3">
        <v>74.27</v>
      </c>
      <c r="G182" s="2">
        <f>248656.62/74.27</f>
        <v>3348.0088864952204</v>
      </c>
      <c r="H182" t="s">
        <v>14</v>
      </c>
      <c r="I182" t="s">
        <v>10</v>
      </c>
      <c r="J182" t="s">
        <v>294</v>
      </c>
      <c r="K182" t="s">
        <v>295</v>
      </c>
    </row>
    <row r="183" spans="1:11" x14ac:dyDescent="0.35">
      <c r="A183">
        <v>376879</v>
      </c>
      <c r="B183" t="s">
        <v>159</v>
      </c>
      <c r="C183" s="1">
        <v>43863</v>
      </c>
      <c r="D183" t="s">
        <v>8</v>
      </c>
      <c r="E183" s="3">
        <v>385582.7</v>
      </c>
      <c r="F183" s="3">
        <v>74.27</v>
      </c>
      <c r="G183" s="2">
        <f>385582.7/74.27</f>
        <v>5191.6345765450387</v>
      </c>
      <c r="H183" t="s">
        <v>14</v>
      </c>
      <c r="I183" t="s">
        <v>10</v>
      </c>
      <c r="J183" t="s">
        <v>294</v>
      </c>
      <c r="K183" t="s">
        <v>295</v>
      </c>
    </row>
    <row r="184" spans="1:11" x14ac:dyDescent="0.35">
      <c r="A184">
        <v>376878</v>
      </c>
      <c r="B184" t="s">
        <v>160</v>
      </c>
      <c r="C184" s="1">
        <v>43864</v>
      </c>
      <c r="D184" t="s">
        <v>8</v>
      </c>
      <c r="E184" s="3">
        <v>2026989.9</v>
      </c>
      <c r="F184" s="3">
        <v>74.27</v>
      </c>
      <c r="G184" s="2">
        <f>2026989.9/74.27</f>
        <v>27292.175844890266</v>
      </c>
      <c r="H184" t="s">
        <v>161</v>
      </c>
      <c r="I184" t="s">
        <v>10</v>
      </c>
      <c r="J184" t="s">
        <v>402</v>
      </c>
      <c r="K184" t="s">
        <v>297</v>
      </c>
    </row>
    <row r="185" spans="1:11" x14ac:dyDescent="0.35">
      <c r="A185">
        <v>376877</v>
      </c>
      <c r="B185" t="s">
        <v>15</v>
      </c>
      <c r="C185" s="1">
        <v>43863</v>
      </c>
      <c r="D185" t="s">
        <v>8</v>
      </c>
      <c r="E185" s="3">
        <v>5175881.17</v>
      </c>
      <c r="F185" s="3">
        <v>74.27</v>
      </c>
      <c r="G185" s="2">
        <f>5175881.17/74.27</f>
        <v>69690.065571563217</v>
      </c>
      <c r="H185" t="s">
        <v>41</v>
      </c>
      <c r="I185" t="s">
        <v>10</v>
      </c>
      <c r="J185" t="s">
        <v>321</v>
      </c>
      <c r="K185" t="s">
        <v>297</v>
      </c>
    </row>
    <row r="186" spans="1:11" x14ac:dyDescent="0.35">
      <c r="A186">
        <v>376876</v>
      </c>
      <c r="B186" t="s">
        <v>15</v>
      </c>
      <c r="C186" s="1">
        <v>43863</v>
      </c>
      <c r="D186" t="s">
        <v>8</v>
      </c>
      <c r="E186" s="3">
        <v>5138644.62</v>
      </c>
      <c r="F186" s="3">
        <v>74.27</v>
      </c>
      <c r="G186" s="2">
        <f>5138644.62/74.27</f>
        <v>69188.69826309412</v>
      </c>
      <c r="H186" t="s">
        <v>41</v>
      </c>
      <c r="I186" t="s">
        <v>10</v>
      </c>
      <c r="J186" t="s">
        <v>321</v>
      </c>
      <c r="K186" t="s">
        <v>297</v>
      </c>
    </row>
    <row r="187" spans="1:11" x14ac:dyDescent="0.35">
      <c r="A187">
        <v>376875</v>
      </c>
      <c r="B187" t="s">
        <v>162</v>
      </c>
      <c r="C187" s="1">
        <v>43863</v>
      </c>
      <c r="D187" t="s">
        <v>8</v>
      </c>
      <c r="E187" s="3">
        <v>1466189.36</v>
      </c>
      <c r="F187" s="3">
        <v>74.27</v>
      </c>
      <c r="G187" s="2">
        <f>1466189.36/74.27</f>
        <v>19741.340514339576</v>
      </c>
      <c r="H187" t="s">
        <v>41</v>
      </c>
      <c r="I187" t="s">
        <v>10</v>
      </c>
      <c r="J187" t="s">
        <v>320</v>
      </c>
      <c r="K187" t="s">
        <v>297</v>
      </c>
    </row>
    <row r="188" spans="1:11" x14ac:dyDescent="0.35">
      <c r="A188">
        <v>376874</v>
      </c>
      <c r="B188" t="s">
        <v>162</v>
      </c>
      <c r="C188" s="1">
        <v>43863</v>
      </c>
      <c r="D188" t="s">
        <v>8</v>
      </c>
      <c r="E188" s="3">
        <v>2186146.14</v>
      </c>
      <c r="F188" s="3">
        <v>74.27</v>
      </c>
      <c r="G188" s="2">
        <f>2186146.14/74.27</f>
        <v>29435.117005520402</v>
      </c>
      <c r="H188" t="s">
        <v>41</v>
      </c>
      <c r="I188" t="s">
        <v>10</v>
      </c>
      <c r="J188" t="s">
        <v>403</v>
      </c>
      <c r="K188" t="s">
        <v>297</v>
      </c>
    </row>
    <row r="189" spans="1:11" x14ac:dyDescent="0.35">
      <c r="A189">
        <v>376873</v>
      </c>
      <c r="B189" t="s">
        <v>163</v>
      </c>
      <c r="C189" s="1">
        <v>43863</v>
      </c>
      <c r="D189" t="s">
        <v>8</v>
      </c>
      <c r="E189" s="3">
        <v>3240180.89</v>
      </c>
      <c r="F189" s="3">
        <v>74.27</v>
      </c>
      <c r="G189" s="2">
        <f>3240180.89/74.27</f>
        <v>43627.048471792114</v>
      </c>
      <c r="H189" t="s">
        <v>41</v>
      </c>
      <c r="I189" t="s">
        <v>10</v>
      </c>
      <c r="J189" t="s">
        <v>299</v>
      </c>
      <c r="K189" t="s">
        <v>297</v>
      </c>
    </row>
    <row r="190" spans="1:11" x14ac:dyDescent="0.35">
      <c r="A190">
        <v>376872</v>
      </c>
      <c r="B190" t="s">
        <v>15</v>
      </c>
      <c r="C190" s="1">
        <v>43863</v>
      </c>
      <c r="D190" t="s">
        <v>8</v>
      </c>
      <c r="E190" s="3">
        <v>1513485.79</v>
      </c>
      <c r="F190" s="3">
        <v>74.27</v>
      </c>
      <c r="G190" s="2">
        <f>1513485.79/74.27</f>
        <v>20378.157937255961</v>
      </c>
      <c r="H190" t="s">
        <v>41</v>
      </c>
      <c r="I190" t="s">
        <v>10</v>
      </c>
      <c r="J190" t="s">
        <v>404</v>
      </c>
      <c r="K190" t="s">
        <v>297</v>
      </c>
    </row>
    <row r="191" spans="1:11" x14ac:dyDescent="0.35">
      <c r="A191">
        <v>376871</v>
      </c>
      <c r="B191" t="s">
        <v>164</v>
      </c>
      <c r="C191" s="1">
        <v>43863</v>
      </c>
      <c r="D191" t="s">
        <v>8</v>
      </c>
      <c r="E191" s="3">
        <v>3752183.53</v>
      </c>
      <c r="F191" s="3">
        <v>74.27</v>
      </c>
      <c r="G191" s="2">
        <f>3752183.53/74.27</f>
        <v>50520.850006732195</v>
      </c>
      <c r="H191" t="s">
        <v>41</v>
      </c>
      <c r="I191" t="s">
        <v>10</v>
      </c>
      <c r="J191" t="s">
        <v>299</v>
      </c>
      <c r="K191" t="s">
        <v>297</v>
      </c>
    </row>
    <row r="192" spans="1:11" x14ac:dyDescent="0.35">
      <c r="A192">
        <v>376870</v>
      </c>
      <c r="B192" t="s">
        <v>164</v>
      </c>
      <c r="C192" s="1">
        <v>43863</v>
      </c>
      <c r="D192" t="s">
        <v>8</v>
      </c>
      <c r="E192" s="3">
        <v>3743174.68</v>
      </c>
      <c r="F192" s="3">
        <v>74.27</v>
      </c>
      <c r="G192" s="2">
        <f>3743174.68/74.27</f>
        <v>50399.551366635256</v>
      </c>
      <c r="H192" t="s">
        <v>41</v>
      </c>
      <c r="I192" t="s">
        <v>10</v>
      </c>
      <c r="J192" t="s">
        <v>326</v>
      </c>
      <c r="K192" t="s">
        <v>297</v>
      </c>
    </row>
    <row r="193" spans="1:11" x14ac:dyDescent="0.35">
      <c r="A193">
        <v>376868</v>
      </c>
      <c r="B193" t="s">
        <v>52</v>
      </c>
      <c r="C193" s="1">
        <v>43863</v>
      </c>
      <c r="D193" t="s">
        <v>8</v>
      </c>
      <c r="E193" s="3">
        <v>744731.1</v>
      </c>
      <c r="F193" s="3">
        <v>74.27</v>
      </c>
      <c r="G193" s="2">
        <f>744731.1/74.27</f>
        <v>10027.347515820655</v>
      </c>
      <c r="H193" t="s">
        <v>41</v>
      </c>
      <c r="I193" t="s">
        <v>10</v>
      </c>
      <c r="J193" t="s">
        <v>321</v>
      </c>
      <c r="K193" t="s">
        <v>297</v>
      </c>
    </row>
    <row r="194" spans="1:11" x14ac:dyDescent="0.35">
      <c r="A194">
        <v>376857</v>
      </c>
      <c r="B194" t="s">
        <v>165</v>
      </c>
      <c r="C194" s="1">
        <v>43863</v>
      </c>
      <c r="D194" t="s">
        <v>8</v>
      </c>
      <c r="E194" s="3">
        <v>6728.86</v>
      </c>
      <c r="F194" s="3">
        <v>74.27</v>
      </c>
      <c r="G194" s="2">
        <f>6728.86/74.27</f>
        <v>90.5999730712266</v>
      </c>
      <c r="H194" t="s">
        <v>17</v>
      </c>
      <c r="I194" t="s">
        <v>10</v>
      </c>
      <c r="J194" t="s">
        <v>327</v>
      </c>
      <c r="K194" t="s">
        <v>297</v>
      </c>
    </row>
    <row r="195" spans="1:11" x14ac:dyDescent="0.35">
      <c r="A195">
        <v>376856</v>
      </c>
      <c r="B195" t="s">
        <v>166</v>
      </c>
      <c r="C195" s="1">
        <v>43864</v>
      </c>
      <c r="D195" t="s">
        <v>8</v>
      </c>
      <c r="E195" s="3">
        <v>282502.17</v>
      </c>
      <c r="F195" s="3">
        <v>74.27</v>
      </c>
      <c r="G195" s="2">
        <f>282502.17/74.27</f>
        <v>3803.7184596741617</v>
      </c>
      <c r="H195" t="s">
        <v>12</v>
      </c>
      <c r="I195" t="s">
        <v>10</v>
      </c>
      <c r="J195" t="s">
        <v>376</v>
      </c>
      <c r="K195" t="s">
        <v>293</v>
      </c>
    </row>
    <row r="196" spans="1:11" x14ac:dyDescent="0.35">
      <c r="A196">
        <v>376854</v>
      </c>
      <c r="B196" t="s">
        <v>70</v>
      </c>
      <c r="C196" s="1">
        <v>43863</v>
      </c>
      <c r="D196" t="s">
        <v>8</v>
      </c>
      <c r="E196" s="3">
        <v>366509.8</v>
      </c>
      <c r="F196" s="3">
        <v>74.27</v>
      </c>
      <c r="G196" s="2">
        <f>366509.8/74.27</f>
        <v>4934.8296755082811</v>
      </c>
      <c r="H196" t="s">
        <v>167</v>
      </c>
      <c r="I196" t="s">
        <v>10</v>
      </c>
      <c r="J196" t="s">
        <v>405</v>
      </c>
      <c r="K196" t="s">
        <v>297</v>
      </c>
    </row>
    <row r="197" spans="1:11" x14ac:dyDescent="0.35">
      <c r="A197">
        <v>376853</v>
      </c>
      <c r="B197" t="s">
        <v>144</v>
      </c>
      <c r="C197" s="1">
        <v>43864</v>
      </c>
      <c r="D197" t="s">
        <v>8</v>
      </c>
      <c r="E197" s="3">
        <v>361029.42</v>
      </c>
      <c r="F197" s="3">
        <v>74.27</v>
      </c>
      <c r="G197" s="2">
        <f>361029.42/74.27</f>
        <v>4861.0397199407571</v>
      </c>
      <c r="H197" t="s">
        <v>17</v>
      </c>
      <c r="I197" t="s">
        <v>10</v>
      </c>
      <c r="J197" t="s">
        <v>327</v>
      </c>
      <c r="K197" t="s">
        <v>297</v>
      </c>
    </row>
    <row r="198" spans="1:11" x14ac:dyDescent="0.35">
      <c r="A198">
        <v>376838</v>
      </c>
      <c r="B198" t="s">
        <v>168</v>
      </c>
      <c r="C198" s="1">
        <v>43864</v>
      </c>
      <c r="D198" t="s">
        <v>8</v>
      </c>
      <c r="E198" s="3">
        <v>1462.44</v>
      </c>
      <c r="F198" s="3">
        <v>74.27</v>
      </c>
      <c r="G198" s="2">
        <f>1462.44/74.27</f>
        <v>19.690857681432611</v>
      </c>
      <c r="H198" t="s">
        <v>169</v>
      </c>
      <c r="I198" t="s">
        <v>10</v>
      </c>
      <c r="J198" t="s">
        <v>406</v>
      </c>
      <c r="K198" t="s">
        <v>297</v>
      </c>
    </row>
    <row r="199" spans="1:11" x14ac:dyDescent="0.35">
      <c r="A199">
        <v>376836</v>
      </c>
      <c r="B199" t="s">
        <v>170</v>
      </c>
      <c r="C199" s="1">
        <v>43864</v>
      </c>
      <c r="D199" t="s">
        <v>8</v>
      </c>
      <c r="E199" s="3">
        <v>121898.67</v>
      </c>
      <c r="F199" s="3">
        <v>74.27</v>
      </c>
      <c r="G199" s="2">
        <f>121898.67/74.27</f>
        <v>1641.2908307526593</v>
      </c>
      <c r="H199" t="s">
        <v>171</v>
      </c>
      <c r="I199" t="s">
        <v>10</v>
      </c>
      <c r="J199" t="s">
        <v>327</v>
      </c>
      <c r="K199" t="s">
        <v>297</v>
      </c>
    </row>
    <row r="200" spans="1:11" x14ac:dyDescent="0.35">
      <c r="A200">
        <v>376835</v>
      </c>
      <c r="B200" t="s">
        <v>172</v>
      </c>
      <c r="C200" s="1">
        <v>43864</v>
      </c>
      <c r="D200" t="s">
        <v>8</v>
      </c>
      <c r="E200" s="3">
        <v>3468404.94</v>
      </c>
      <c r="F200" s="3">
        <v>74.27</v>
      </c>
      <c r="G200" s="2">
        <f>3468404.94/74.27</f>
        <v>46699.945334590011</v>
      </c>
      <c r="H200" t="s">
        <v>23</v>
      </c>
      <c r="I200" t="s">
        <v>10</v>
      </c>
      <c r="J200" t="s">
        <v>300</v>
      </c>
      <c r="K200" t="s">
        <v>297</v>
      </c>
    </row>
    <row r="201" spans="1:11" x14ac:dyDescent="0.35">
      <c r="A201">
        <v>376815</v>
      </c>
      <c r="B201" t="s">
        <v>173</v>
      </c>
      <c r="C201" s="1">
        <v>43863</v>
      </c>
      <c r="D201" t="s">
        <v>8</v>
      </c>
      <c r="E201" s="3">
        <v>3856342.19</v>
      </c>
      <c r="F201" s="3">
        <v>74.27</v>
      </c>
      <c r="G201" s="2">
        <f>3856342.19/74.27</f>
        <v>51923.28248283291</v>
      </c>
      <c r="H201" t="s">
        <v>122</v>
      </c>
      <c r="I201" t="s">
        <v>10</v>
      </c>
      <c r="J201" t="s">
        <v>407</v>
      </c>
      <c r="K201" t="s">
        <v>373</v>
      </c>
    </row>
    <row r="202" spans="1:11" x14ac:dyDescent="0.35">
      <c r="A202">
        <v>376783</v>
      </c>
      <c r="B202" t="s">
        <v>75</v>
      </c>
      <c r="C202" s="1">
        <v>43864</v>
      </c>
      <c r="D202" t="s">
        <v>8</v>
      </c>
      <c r="E202" s="3">
        <v>3978906.1</v>
      </c>
      <c r="F202" s="3">
        <v>74.27</v>
      </c>
      <c r="G202" s="2">
        <f>3978906.1/74.27</f>
        <v>53573.530362192003</v>
      </c>
      <c r="H202" t="s">
        <v>174</v>
      </c>
      <c r="I202" t="s">
        <v>10</v>
      </c>
      <c r="J202" t="s">
        <v>408</v>
      </c>
      <c r="K202" t="s">
        <v>297</v>
      </c>
    </row>
    <row r="203" spans="1:11" x14ac:dyDescent="0.35">
      <c r="A203">
        <v>376772</v>
      </c>
      <c r="B203" t="s">
        <v>175</v>
      </c>
      <c r="C203" s="1">
        <v>43863</v>
      </c>
      <c r="D203" t="s">
        <v>8</v>
      </c>
      <c r="E203" s="3">
        <v>597803.22</v>
      </c>
      <c r="F203" s="3">
        <v>74.27</v>
      </c>
      <c r="G203" s="2">
        <f>597803.22/74.27</f>
        <v>8049.0537229029214</v>
      </c>
      <c r="H203" t="s">
        <v>78</v>
      </c>
      <c r="I203" t="s">
        <v>10</v>
      </c>
      <c r="J203" t="s">
        <v>409</v>
      </c>
      <c r="K203" t="s">
        <v>373</v>
      </c>
    </row>
    <row r="204" spans="1:11" x14ac:dyDescent="0.35">
      <c r="A204">
        <v>376758</v>
      </c>
      <c r="B204" t="s">
        <v>176</v>
      </c>
      <c r="C204" s="1">
        <v>43864</v>
      </c>
      <c r="D204" t="s">
        <v>8</v>
      </c>
      <c r="E204" s="3">
        <v>750737</v>
      </c>
      <c r="F204" s="3">
        <v>74.27</v>
      </c>
      <c r="G204" s="2">
        <f>750737/74.27</f>
        <v>10108.213275885284</v>
      </c>
      <c r="H204" t="s">
        <v>67</v>
      </c>
      <c r="I204" t="s">
        <v>10</v>
      </c>
      <c r="J204" t="s">
        <v>410</v>
      </c>
      <c r="K204" t="s">
        <v>297</v>
      </c>
    </row>
    <row r="205" spans="1:11" x14ac:dyDescent="0.35">
      <c r="A205">
        <v>376747</v>
      </c>
      <c r="B205" t="s">
        <v>177</v>
      </c>
      <c r="C205" s="1">
        <v>43864</v>
      </c>
      <c r="D205" t="s">
        <v>8</v>
      </c>
      <c r="E205" s="3">
        <v>1600642.05</v>
      </c>
      <c r="F205" s="3">
        <v>74.27</v>
      </c>
      <c r="G205" s="2">
        <f>1600642.05/74.27</f>
        <v>21551.66352497644</v>
      </c>
      <c r="H205" t="s">
        <v>178</v>
      </c>
      <c r="I205" t="s">
        <v>10</v>
      </c>
      <c r="J205" t="s">
        <v>411</v>
      </c>
      <c r="K205" t="s">
        <v>293</v>
      </c>
    </row>
    <row r="206" spans="1:11" x14ac:dyDescent="0.35">
      <c r="A206">
        <v>376741</v>
      </c>
      <c r="B206" t="s">
        <v>107</v>
      </c>
      <c r="C206" s="1">
        <v>43864</v>
      </c>
      <c r="D206" t="s">
        <v>8</v>
      </c>
      <c r="E206" s="3">
        <v>1483870.08</v>
      </c>
      <c r="F206" s="3">
        <v>74.27</v>
      </c>
      <c r="G206" s="2">
        <f>1483870.08/74.27</f>
        <v>19979.400565504242</v>
      </c>
      <c r="H206" t="s">
        <v>93</v>
      </c>
      <c r="I206" t="s">
        <v>10</v>
      </c>
      <c r="J206" t="s">
        <v>412</v>
      </c>
      <c r="K206" t="s">
        <v>413</v>
      </c>
    </row>
    <row r="207" spans="1:11" x14ac:dyDescent="0.35">
      <c r="A207">
        <v>376730</v>
      </c>
      <c r="B207" t="s">
        <v>179</v>
      </c>
      <c r="C207" s="1">
        <v>43863</v>
      </c>
      <c r="D207" t="s">
        <v>8</v>
      </c>
      <c r="E207" s="3">
        <v>107700</v>
      </c>
      <c r="F207" s="3">
        <v>74.27</v>
      </c>
      <c r="G207" s="2">
        <f>107700/74.27</f>
        <v>1450.1144472869262</v>
      </c>
      <c r="H207" t="s">
        <v>154</v>
      </c>
      <c r="I207" t="s">
        <v>10</v>
      </c>
      <c r="J207" t="s">
        <v>398</v>
      </c>
      <c r="K207" t="s">
        <v>295</v>
      </c>
    </row>
    <row r="208" spans="1:11" x14ac:dyDescent="0.35">
      <c r="A208">
        <v>376703</v>
      </c>
      <c r="B208" t="s">
        <v>91</v>
      </c>
      <c r="C208" s="1">
        <v>43864</v>
      </c>
      <c r="D208" t="s">
        <v>8</v>
      </c>
      <c r="E208" s="3">
        <v>3162377.71</v>
      </c>
      <c r="F208" s="3">
        <v>74.27</v>
      </c>
      <c r="G208" s="2">
        <f>3162377.71/74.27</f>
        <v>42579.47637000135</v>
      </c>
      <c r="H208" t="s">
        <v>62</v>
      </c>
      <c r="I208" t="s">
        <v>10</v>
      </c>
      <c r="J208" t="s">
        <v>343</v>
      </c>
      <c r="K208" t="s">
        <v>293</v>
      </c>
    </row>
    <row r="209" spans="1:11" x14ac:dyDescent="0.35">
      <c r="A209">
        <v>376690</v>
      </c>
      <c r="B209" t="s">
        <v>75</v>
      </c>
      <c r="C209" s="1">
        <v>43864</v>
      </c>
      <c r="D209" t="s">
        <v>8</v>
      </c>
      <c r="E209" s="3">
        <v>1501474</v>
      </c>
      <c r="F209" s="3">
        <v>74.27</v>
      </c>
      <c r="G209" s="2">
        <f>1501474/74.27</f>
        <v>20216.426551770568</v>
      </c>
      <c r="H209" t="s">
        <v>161</v>
      </c>
      <c r="I209" t="s">
        <v>10</v>
      </c>
      <c r="J209" t="s">
        <v>414</v>
      </c>
      <c r="K209" t="s">
        <v>297</v>
      </c>
    </row>
    <row r="210" spans="1:11" x14ac:dyDescent="0.35">
      <c r="A210">
        <v>376685</v>
      </c>
      <c r="B210" t="s">
        <v>180</v>
      </c>
      <c r="C210" s="1">
        <v>43863</v>
      </c>
      <c r="D210" t="s">
        <v>8</v>
      </c>
      <c r="E210" s="3">
        <v>1506764.96</v>
      </c>
      <c r="F210" s="3">
        <v>74.27</v>
      </c>
      <c r="G210" s="2">
        <f>1506764.96/74.27</f>
        <v>20287.666083209911</v>
      </c>
      <c r="H210" t="s">
        <v>78</v>
      </c>
      <c r="I210" t="s">
        <v>10</v>
      </c>
      <c r="J210" t="s">
        <v>415</v>
      </c>
      <c r="K210" t="s">
        <v>295</v>
      </c>
    </row>
    <row r="211" spans="1:11" x14ac:dyDescent="0.35">
      <c r="A211">
        <v>376680</v>
      </c>
      <c r="B211" t="s">
        <v>181</v>
      </c>
      <c r="C211" s="1">
        <v>43864</v>
      </c>
      <c r="D211" t="s">
        <v>8</v>
      </c>
      <c r="E211" s="3">
        <v>450442.2</v>
      </c>
      <c r="F211" s="3">
        <v>74.27</v>
      </c>
      <c r="G211" s="2">
        <f>450442.2/74.27</f>
        <v>6064.9279655311702</v>
      </c>
      <c r="H211" t="s">
        <v>182</v>
      </c>
      <c r="I211" t="s">
        <v>10</v>
      </c>
      <c r="J211" t="s">
        <v>416</v>
      </c>
      <c r="K211" t="s">
        <v>297</v>
      </c>
    </row>
    <row r="212" spans="1:11" x14ac:dyDescent="0.35">
      <c r="A212">
        <v>376679</v>
      </c>
      <c r="B212" t="s">
        <v>183</v>
      </c>
      <c r="C212" s="1">
        <v>43863</v>
      </c>
      <c r="D212" t="s">
        <v>8</v>
      </c>
      <c r="E212" s="3">
        <v>706752</v>
      </c>
      <c r="F212" s="3">
        <v>74.27</v>
      </c>
      <c r="G212" s="2">
        <f>706752/74.27</f>
        <v>9515.982227009561</v>
      </c>
      <c r="H212" t="s">
        <v>41</v>
      </c>
      <c r="I212" t="s">
        <v>10</v>
      </c>
      <c r="J212" t="s">
        <v>417</v>
      </c>
      <c r="K212" t="s">
        <v>295</v>
      </c>
    </row>
    <row r="213" spans="1:11" x14ac:dyDescent="0.35">
      <c r="A213">
        <v>376676</v>
      </c>
      <c r="B213" t="s">
        <v>184</v>
      </c>
      <c r="C213" s="1">
        <v>43864</v>
      </c>
      <c r="D213" t="s">
        <v>8</v>
      </c>
      <c r="E213" s="3">
        <v>10618694.390000001</v>
      </c>
      <c r="F213" s="3">
        <v>74.27</v>
      </c>
      <c r="G213" s="2">
        <f>10618694.39/74.27</f>
        <v>142974.20748619901</v>
      </c>
      <c r="H213" t="s">
        <v>78</v>
      </c>
      <c r="I213" t="s">
        <v>10</v>
      </c>
      <c r="J213" t="s">
        <v>418</v>
      </c>
      <c r="K213" t="s">
        <v>297</v>
      </c>
    </row>
    <row r="214" spans="1:11" x14ac:dyDescent="0.35">
      <c r="A214">
        <v>376669</v>
      </c>
      <c r="B214" t="s">
        <v>185</v>
      </c>
      <c r="C214" s="1">
        <v>43863</v>
      </c>
      <c r="D214" t="s">
        <v>8</v>
      </c>
      <c r="E214" s="3">
        <v>100835.63</v>
      </c>
      <c r="F214" s="3">
        <v>74.27</v>
      </c>
      <c r="G214" s="2">
        <f>100835.63/74.27</f>
        <v>1357.6899151743639</v>
      </c>
      <c r="H214" t="s">
        <v>62</v>
      </c>
      <c r="I214" t="s">
        <v>10</v>
      </c>
      <c r="J214" t="s">
        <v>419</v>
      </c>
      <c r="K214" t="s">
        <v>420</v>
      </c>
    </row>
    <row r="215" spans="1:11" x14ac:dyDescent="0.35">
      <c r="A215">
        <v>376647</v>
      </c>
      <c r="B215" t="s">
        <v>101</v>
      </c>
      <c r="C215" s="1">
        <v>43864</v>
      </c>
      <c r="D215" t="s">
        <v>8</v>
      </c>
      <c r="E215" s="3">
        <v>1876842.5</v>
      </c>
      <c r="F215" s="3">
        <v>74.27</v>
      </c>
      <c r="G215" s="2">
        <f>1876842.5/74.27</f>
        <v>25270.533189713209</v>
      </c>
      <c r="H215" t="s">
        <v>102</v>
      </c>
      <c r="I215" t="s">
        <v>10</v>
      </c>
      <c r="J215" t="s">
        <v>352</v>
      </c>
      <c r="K215" t="s">
        <v>297</v>
      </c>
    </row>
    <row r="216" spans="1:11" x14ac:dyDescent="0.35">
      <c r="A216">
        <v>376633</v>
      </c>
      <c r="B216" t="s">
        <v>186</v>
      </c>
      <c r="C216" s="1">
        <v>43864</v>
      </c>
      <c r="D216" t="s">
        <v>8</v>
      </c>
      <c r="E216" s="3">
        <v>502355.65</v>
      </c>
      <c r="F216" s="3">
        <v>74.27</v>
      </c>
      <c r="G216" s="2">
        <f>502355.65/74.27</f>
        <v>6763.9107311161979</v>
      </c>
      <c r="H216" t="s">
        <v>99</v>
      </c>
      <c r="I216" t="s">
        <v>10</v>
      </c>
      <c r="J216" t="s">
        <v>421</v>
      </c>
      <c r="K216" t="s">
        <v>373</v>
      </c>
    </row>
    <row r="217" spans="1:11" x14ac:dyDescent="0.35">
      <c r="A217">
        <v>376623</v>
      </c>
      <c r="B217" t="s">
        <v>110</v>
      </c>
      <c r="C217" s="1">
        <v>43864</v>
      </c>
      <c r="D217" t="s">
        <v>8</v>
      </c>
      <c r="E217" s="3">
        <v>275000</v>
      </c>
      <c r="F217" s="3">
        <v>74.27</v>
      </c>
      <c r="G217" s="2">
        <f>275000/74.27</f>
        <v>3702.7063417261347</v>
      </c>
      <c r="H217" t="s">
        <v>130</v>
      </c>
      <c r="I217" t="s">
        <v>10</v>
      </c>
      <c r="J217" t="s">
        <v>422</v>
      </c>
      <c r="K217" t="s">
        <v>295</v>
      </c>
    </row>
    <row r="218" spans="1:11" x14ac:dyDescent="0.35">
      <c r="A218">
        <v>376614</v>
      </c>
      <c r="B218" t="s">
        <v>144</v>
      </c>
      <c r="C218" s="1">
        <v>43863</v>
      </c>
      <c r="D218" t="s">
        <v>8</v>
      </c>
      <c r="E218" s="3">
        <v>3183396.65</v>
      </c>
      <c r="F218" s="3">
        <v>74.27</v>
      </c>
      <c r="G218" s="2">
        <f>3183396.65/74.27</f>
        <v>42862.4835061263</v>
      </c>
      <c r="H218" t="s">
        <v>187</v>
      </c>
      <c r="I218" t="s">
        <v>10</v>
      </c>
      <c r="J218" t="s">
        <v>328</v>
      </c>
      <c r="K218" t="s">
        <v>297</v>
      </c>
    </row>
    <row r="219" spans="1:11" x14ac:dyDescent="0.35">
      <c r="A219">
        <v>376613</v>
      </c>
      <c r="B219" t="s">
        <v>142</v>
      </c>
      <c r="C219" s="1">
        <v>43863</v>
      </c>
      <c r="D219" t="s">
        <v>8</v>
      </c>
      <c r="E219" s="3">
        <v>960943.36</v>
      </c>
      <c r="F219" s="3">
        <v>74.27</v>
      </c>
      <c r="G219" s="2">
        <f>960943.36/74.27</f>
        <v>12938.512993133163</v>
      </c>
      <c r="H219" t="s">
        <v>21</v>
      </c>
      <c r="I219" t="s">
        <v>10</v>
      </c>
      <c r="J219" t="s">
        <v>326</v>
      </c>
      <c r="K219" t="s">
        <v>297</v>
      </c>
    </row>
    <row r="220" spans="1:11" x14ac:dyDescent="0.35">
      <c r="A220">
        <v>376589</v>
      </c>
      <c r="B220" t="s">
        <v>188</v>
      </c>
      <c r="C220" s="1">
        <v>43863</v>
      </c>
      <c r="D220" t="s">
        <v>8</v>
      </c>
      <c r="E220" s="3">
        <v>62838.7</v>
      </c>
      <c r="F220" s="3">
        <v>74.27</v>
      </c>
      <c r="G220" s="2">
        <f>62838.7/74.27</f>
        <v>846.08455634845836</v>
      </c>
      <c r="H220" t="s">
        <v>17</v>
      </c>
      <c r="I220" t="s">
        <v>10</v>
      </c>
      <c r="J220" t="s">
        <v>423</v>
      </c>
      <c r="K220" t="s">
        <v>355</v>
      </c>
    </row>
    <row r="221" spans="1:11" x14ac:dyDescent="0.35">
      <c r="A221">
        <v>376578</v>
      </c>
      <c r="B221" t="s">
        <v>189</v>
      </c>
      <c r="C221" s="1">
        <v>43863</v>
      </c>
      <c r="D221" t="s">
        <v>8</v>
      </c>
      <c r="E221" s="3">
        <v>2252211</v>
      </c>
      <c r="F221" s="3">
        <v>74.27</v>
      </c>
      <c r="G221" s="2">
        <f>2252211/74.27</f>
        <v>30324.63982765585</v>
      </c>
      <c r="H221" t="s">
        <v>190</v>
      </c>
      <c r="I221" t="s">
        <v>10</v>
      </c>
      <c r="J221" t="s">
        <v>424</v>
      </c>
      <c r="K221" t="s">
        <v>297</v>
      </c>
    </row>
    <row r="222" spans="1:11" x14ac:dyDescent="0.35">
      <c r="A222">
        <v>376575</v>
      </c>
      <c r="B222" t="s">
        <v>191</v>
      </c>
      <c r="C222" s="1">
        <v>43864</v>
      </c>
      <c r="D222" t="s">
        <v>8</v>
      </c>
      <c r="E222" s="3">
        <v>15981.68</v>
      </c>
      <c r="F222" s="3">
        <v>74.27</v>
      </c>
      <c r="G222" s="2">
        <f>15981.68/74.27</f>
        <v>215.18351959068266</v>
      </c>
      <c r="H222" t="s">
        <v>192</v>
      </c>
      <c r="I222" t="s">
        <v>10</v>
      </c>
      <c r="J222" t="s">
        <v>425</v>
      </c>
      <c r="K222" t="s">
        <v>317</v>
      </c>
    </row>
    <row r="223" spans="1:11" x14ac:dyDescent="0.35">
      <c r="A223">
        <v>376559</v>
      </c>
      <c r="B223" t="s">
        <v>193</v>
      </c>
      <c r="C223" s="1">
        <v>43864</v>
      </c>
      <c r="D223" t="s">
        <v>8</v>
      </c>
      <c r="E223" s="3">
        <v>12698.72</v>
      </c>
      <c r="F223" s="3">
        <v>74.27</v>
      </c>
      <c r="G223" s="2">
        <f>12698.72/74.27</f>
        <v>170.98047663928909</v>
      </c>
      <c r="H223" t="s">
        <v>9</v>
      </c>
      <c r="I223" t="s">
        <v>10</v>
      </c>
      <c r="J223" t="s">
        <v>426</v>
      </c>
      <c r="K223" t="s">
        <v>297</v>
      </c>
    </row>
    <row r="224" spans="1:11" x14ac:dyDescent="0.35">
      <c r="A224">
        <v>376534</v>
      </c>
      <c r="B224" t="s">
        <v>194</v>
      </c>
      <c r="C224" s="1">
        <v>43864</v>
      </c>
      <c r="D224" t="s">
        <v>8</v>
      </c>
      <c r="E224" s="3">
        <v>986258.03</v>
      </c>
      <c r="F224" s="3">
        <v>74.27</v>
      </c>
      <c r="G224" s="2">
        <f>986258.03/74.27</f>
        <v>13279.359499124816</v>
      </c>
      <c r="H224" t="s">
        <v>28</v>
      </c>
      <c r="I224" t="s">
        <v>10</v>
      </c>
      <c r="J224" t="s">
        <v>427</v>
      </c>
      <c r="K224" t="s">
        <v>381</v>
      </c>
    </row>
    <row r="225" spans="1:11" x14ac:dyDescent="0.35">
      <c r="A225">
        <v>376522</v>
      </c>
      <c r="B225" t="s">
        <v>27</v>
      </c>
      <c r="C225" s="1">
        <v>43864</v>
      </c>
      <c r="D225" t="s">
        <v>8</v>
      </c>
      <c r="E225" s="3">
        <v>6586158.7800000003</v>
      </c>
      <c r="F225" s="3">
        <v>74.27</v>
      </c>
      <c r="G225" s="2">
        <f>6586158.78/74.27</f>
        <v>88678.588662986411</v>
      </c>
      <c r="H225" t="s">
        <v>28</v>
      </c>
      <c r="I225" t="s">
        <v>29</v>
      </c>
      <c r="J225" t="s">
        <v>428</v>
      </c>
      <c r="K225" t="s">
        <v>304</v>
      </c>
    </row>
    <row r="226" spans="1:11" x14ac:dyDescent="0.35">
      <c r="A226">
        <v>376511</v>
      </c>
      <c r="B226" t="s">
        <v>195</v>
      </c>
      <c r="C226" s="1">
        <v>43864</v>
      </c>
      <c r="D226" t="s">
        <v>8</v>
      </c>
      <c r="E226" s="3">
        <v>2940.64</v>
      </c>
      <c r="F226" s="3">
        <v>74.27</v>
      </c>
      <c r="G226" s="2">
        <f>2940.64/74.27</f>
        <v>39.593914097212874</v>
      </c>
      <c r="H226" t="s">
        <v>17</v>
      </c>
      <c r="I226" t="s">
        <v>10</v>
      </c>
      <c r="J226" t="s">
        <v>327</v>
      </c>
      <c r="K226" t="s">
        <v>297</v>
      </c>
    </row>
    <row r="227" spans="1:11" x14ac:dyDescent="0.35">
      <c r="A227">
        <v>376496</v>
      </c>
      <c r="B227" t="s">
        <v>196</v>
      </c>
      <c r="C227" s="1">
        <v>43864</v>
      </c>
      <c r="D227" t="s">
        <v>8</v>
      </c>
      <c r="E227" s="3">
        <v>23570138.850000001</v>
      </c>
      <c r="F227" s="3">
        <v>74.27</v>
      </c>
      <c r="G227" s="2">
        <f>23570138.85/74.27</f>
        <v>317357.46398276562</v>
      </c>
      <c r="H227" t="s">
        <v>78</v>
      </c>
      <c r="I227" t="s">
        <v>10</v>
      </c>
      <c r="J227" t="s">
        <v>429</v>
      </c>
      <c r="K227" t="s">
        <v>297</v>
      </c>
    </row>
    <row r="228" spans="1:11" x14ac:dyDescent="0.35">
      <c r="A228">
        <v>376469</v>
      </c>
      <c r="B228" t="s">
        <v>197</v>
      </c>
      <c r="C228" s="1">
        <v>43864</v>
      </c>
      <c r="D228" t="s">
        <v>8</v>
      </c>
      <c r="E228" s="3">
        <v>2055.52</v>
      </c>
      <c r="F228" s="3">
        <v>74.27</v>
      </c>
      <c r="G228" s="2">
        <f>2055.52/74.27</f>
        <v>27.676316143799649</v>
      </c>
      <c r="H228" t="s">
        <v>198</v>
      </c>
      <c r="I228" t="s">
        <v>10</v>
      </c>
      <c r="J228" t="s">
        <v>406</v>
      </c>
      <c r="K228" t="s">
        <v>297</v>
      </c>
    </row>
    <row r="229" spans="1:11" x14ac:dyDescent="0.35">
      <c r="A229">
        <v>376433</v>
      </c>
      <c r="B229" t="s">
        <v>15</v>
      </c>
      <c r="C229" s="1">
        <v>43864</v>
      </c>
      <c r="D229" t="s">
        <v>8</v>
      </c>
      <c r="E229" s="3">
        <v>2122483.65</v>
      </c>
      <c r="F229" s="3">
        <v>74.27</v>
      </c>
      <c r="G229" s="2">
        <f>2122483.65/74.27</f>
        <v>28577.940622054666</v>
      </c>
      <c r="H229" t="s">
        <v>167</v>
      </c>
      <c r="I229" t="s">
        <v>10</v>
      </c>
      <c r="J229" t="s">
        <v>321</v>
      </c>
      <c r="K229" t="s">
        <v>297</v>
      </c>
    </row>
    <row r="230" spans="1:11" x14ac:dyDescent="0.35">
      <c r="A230">
        <v>376427</v>
      </c>
      <c r="B230" t="s">
        <v>199</v>
      </c>
      <c r="C230" s="1">
        <v>43864</v>
      </c>
      <c r="D230" t="s">
        <v>8</v>
      </c>
      <c r="E230" s="3">
        <v>64056.63</v>
      </c>
      <c r="F230" s="3">
        <v>74.27</v>
      </c>
      <c r="G230" s="2">
        <f>64056.63/74.27</f>
        <v>862.48323683856199</v>
      </c>
      <c r="H230" t="s">
        <v>200</v>
      </c>
      <c r="I230" t="s">
        <v>10</v>
      </c>
      <c r="J230" t="s">
        <v>430</v>
      </c>
      <c r="K230" t="s">
        <v>297</v>
      </c>
    </row>
    <row r="231" spans="1:11" x14ac:dyDescent="0.35">
      <c r="A231">
        <v>376390</v>
      </c>
      <c r="B231" t="s">
        <v>68</v>
      </c>
      <c r="C231" s="1">
        <v>43864</v>
      </c>
      <c r="D231" t="s">
        <v>8</v>
      </c>
      <c r="E231" s="3">
        <v>39975.99</v>
      </c>
      <c r="F231" s="3">
        <v>74.27</v>
      </c>
      <c r="G231" s="2">
        <f>39975.99/74.27</f>
        <v>538.25218796283832</v>
      </c>
      <c r="H231" t="s">
        <v>69</v>
      </c>
      <c r="I231" t="s">
        <v>10</v>
      </c>
      <c r="J231" t="s">
        <v>431</v>
      </c>
      <c r="K231" t="s">
        <v>297</v>
      </c>
    </row>
    <row r="232" spans="1:11" x14ac:dyDescent="0.35">
      <c r="A232">
        <v>376250</v>
      </c>
      <c r="B232" t="s">
        <v>201</v>
      </c>
      <c r="C232" s="1">
        <v>43864</v>
      </c>
      <c r="D232" t="s">
        <v>8</v>
      </c>
      <c r="E232" s="3">
        <v>136333.84</v>
      </c>
      <c r="F232" s="3">
        <v>74.27</v>
      </c>
      <c r="G232" s="2">
        <f>136333.84/74.27</f>
        <v>1835.6515416722768</v>
      </c>
      <c r="H232" t="s">
        <v>19</v>
      </c>
      <c r="I232" t="s">
        <v>29</v>
      </c>
      <c r="J232" t="s">
        <v>432</v>
      </c>
      <c r="K232" t="s">
        <v>297</v>
      </c>
    </row>
    <row r="233" spans="1:11" x14ac:dyDescent="0.35">
      <c r="A233">
        <v>376246</v>
      </c>
      <c r="B233" t="s">
        <v>44</v>
      </c>
      <c r="C233" s="1">
        <v>43864</v>
      </c>
      <c r="D233" t="s">
        <v>8</v>
      </c>
      <c r="E233" s="3">
        <v>638356.31999999995</v>
      </c>
      <c r="F233" s="3">
        <v>74.27</v>
      </c>
      <c r="G233" s="2">
        <f>638356.32/74.27</f>
        <v>8595.0763430725729</v>
      </c>
      <c r="H233" t="s">
        <v>28</v>
      </c>
      <c r="I233" t="s">
        <v>10</v>
      </c>
      <c r="J233" t="s">
        <v>316</v>
      </c>
      <c r="K233" t="s">
        <v>317</v>
      </c>
    </row>
    <row r="234" spans="1:11" x14ac:dyDescent="0.35">
      <c r="A234">
        <v>376187</v>
      </c>
      <c r="B234" t="s">
        <v>202</v>
      </c>
      <c r="C234" s="1">
        <v>43864</v>
      </c>
      <c r="D234" t="s">
        <v>8</v>
      </c>
      <c r="E234" s="3">
        <v>450442.2</v>
      </c>
      <c r="F234" s="3">
        <v>74.27</v>
      </c>
      <c r="G234" s="2">
        <f>450442.2/74.27</f>
        <v>6064.9279655311702</v>
      </c>
      <c r="H234" t="s">
        <v>203</v>
      </c>
      <c r="I234" t="s">
        <v>10</v>
      </c>
      <c r="J234" t="s">
        <v>433</v>
      </c>
      <c r="K234" t="s">
        <v>297</v>
      </c>
    </row>
    <row r="235" spans="1:11" x14ac:dyDescent="0.35">
      <c r="A235">
        <v>376154</v>
      </c>
      <c r="B235" t="s">
        <v>66</v>
      </c>
      <c r="C235" s="1">
        <v>43864</v>
      </c>
      <c r="D235" t="s">
        <v>8</v>
      </c>
      <c r="E235" s="3">
        <v>272705.21999999997</v>
      </c>
      <c r="F235" s="3">
        <v>74.27</v>
      </c>
      <c r="G235" s="2">
        <f>272705.22/74.27</f>
        <v>3671.8085364211656</v>
      </c>
      <c r="H235" t="s">
        <v>169</v>
      </c>
      <c r="I235" t="s">
        <v>10</v>
      </c>
      <c r="J235" t="s">
        <v>434</v>
      </c>
      <c r="K235" t="s">
        <v>297</v>
      </c>
    </row>
    <row r="236" spans="1:11" x14ac:dyDescent="0.35">
      <c r="A236">
        <v>376141</v>
      </c>
      <c r="B236" t="s">
        <v>204</v>
      </c>
      <c r="C236" s="1">
        <v>43864</v>
      </c>
      <c r="D236" t="s">
        <v>8</v>
      </c>
      <c r="E236" s="3">
        <v>1050.28</v>
      </c>
      <c r="F236" s="3">
        <v>74.27</v>
      </c>
      <c r="G236" s="2">
        <f>1050.28/74.27</f>
        <v>14.141376060320452</v>
      </c>
      <c r="H236" t="s">
        <v>169</v>
      </c>
      <c r="I236" t="s">
        <v>10</v>
      </c>
      <c r="J236" t="s">
        <v>406</v>
      </c>
      <c r="K236" t="s">
        <v>297</v>
      </c>
    </row>
    <row r="237" spans="1:11" x14ac:dyDescent="0.35">
      <c r="A237">
        <v>376129</v>
      </c>
      <c r="B237" t="s">
        <v>205</v>
      </c>
      <c r="C237" s="1">
        <v>43864</v>
      </c>
      <c r="D237" t="s">
        <v>8</v>
      </c>
      <c r="E237" s="3">
        <v>2965411.15</v>
      </c>
      <c r="F237" s="3">
        <v>74.27</v>
      </c>
      <c r="G237" s="2">
        <f>2965411.15/74.27</f>
        <v>39927.442439746868</v>
      </c>
      <c r="H237" t="s">
        <v>161</v>
      </c>
      <c r="I237" t="s">
        <v>10</v>
      </c>
      <c r="J237" t="s">
        <v>414</v>
      </c>
      <c r="K237" t="s">
        <v>297</v>
      </c>
    </row>
    <row r="238" spans="1:11" x14ac:dyDescent="0.35">
      <c r="A238">
        <v>376081</v>
      </c>
      <c r="B238" t="s">
        <v>206</v>
      </c>
      <c r="C238" s="1">
        <v>43863</v>
      </c>
      <c r="D238" t="s">
        <v>8</v>
      </c>
      <c r="E238" s="3">
        <v>12109.39</v>
      </c>
      <c r="F238" s="3">
        <v>74.27</v>
      </c>
      <c r="G238" s="2">
        <f>12109.39/74.27</f>
        <v>163.04550962703649</v>
      </c>
      <c r="H238" t="s">
        <v>17</v>
      </c>
      <c r="I238" t="s">
        <v>10</v>
      </c>
      <c r="J238" t="s">
        <v>327</v>
      </c>
      <c r="K238" t="s">
        <v>297</v>
      </c>
    </row>
    <row r="239" spans="1:11" x14ac:dyDescent="0.35">
      <c r="A239">
        <v>376008</v>
      </c>
      <c r="B239" t="s">
        <v>207</v>
      </c>
      <c r="C239" s="1">
        <v>43864</v>
      </c>
      <c r="D239" t="s">
        <v>8</v>
      </c>
      <c r="E239" s="3">
        <v>450442.2</v>
      </c>
      <c r="F239" s="3">
        <v>74.27</v>
      </c>
      <c r="G239" s="2">
        <f>450442.2/74.27</f>
        <v>6064.9279655311702</v>
      </c>
      <c r="H239" t="s">
        <v>208</v>
      </c>
      <c r="I239" t="s">
        <v>10</v>
      </c>
      <c r="J239" t="s">
        <v>435</v>
      </c>
      <c r="K239" t="s">
        <v>297</v>
      </c>
    </row>
    <row r="240" spans="1:11" x14ac:dyDescent="0.35">
      <c r="A240">
        <v>375758</v>
      </c>
      <c r="B240" t="s">
        <v>209</v>
      </c>
      <c r="C240" s="1">
        <v>43864</v>
      </c>
      <c r="D240" t="s">
        <v>8</v>
      </c>
      <c r="E240" s="3">
        <v>702689.83</v>
      </c>
      <c r="F240" s="3">
        <v>74.27</v>
      </c>
      <c r="G240" s="2">
        <f>702689.83/74.27</f>
        <v>9461.2875992998524</v>
      </c>
      <c r="H240" t="s">
        <v>167</v>
      </c>
      <c r="I240" t="s">
        <v>10</v>
      </c>
      <c r="J240" t="s">
        <v>436</v>
      </c>
      <c r="K240" t="s">
        <v>297</v>
      </c>
    </row>
    <row r="241" spans="1:11" x14ac:dyDescent="0.35">
      <c r="A241">
        <v>375713</v>
      </c>
      <c r="B241" t="s">
        <v>210</v>
      </c>
      <c r="C241" s="1">
        <v>43864</v>
      </c>
      <c r="D241" t="s">
        <v>8</v>
      </c>
      <c r="E241" s="3">
        <v>2252211</v>
      </c>
      <c r="F241" s="3">
        <v>74.27</v>
      </c>
      <c r="G241" s="2">
        <f>2252211/74.27</f>
        <v>30324.63982765585</v>
      </c>
      <c r="H241" t="s">
        <v>211</v>
      </c>
      <c r="I241" t="s">
        <v>10</v>
      </c>
      <c r="J241" t="s">
        <v>437</v>
      </c>
      <c r="K241" t="s">
        <v>297</v>
      </c>
    </row>
    <row r="242" spans="1:11" x14ac:dyDescent="0.35">
      <c r="A242">
        <v>375629</v>
      </c>
      <c r="B242" t="s">
        <v>212</v>
      </c>
      <c r="C242" s="1">
        <v>43864</v>
      </c>
      <c r="D242" t="s">
        <v>8</v>
      </c>
      <c r="E242" s="3">
        <v>7507370</v>
      </c>
      <c r="F242" s="3">
        <v>74.27</v>
      </c>
      <c r="G242" s="2">
        <f>7507370/74.27</f>
        <v>101082.13275885284</v>
      </c>
      <c r="H242" t="s">
        <v>122</v>
      </c>
      <c r="I242" t="s">
        <v>10</v>
      </c>
      <c r="J242" t="s">
        <v>371</v>
      </c>
      <c r="K242" t="s">
        <v>297</v>
      </c>
    </row>
    <row r="243" spans="1:11" x14ac:dyDescent="0.35">
      <c r="A243">
        <v>375606</v>
      </c>
      <c r="B243" t="s">
        <v>213</v>
      </c>
      <c r="C243" s="1">
        <v>43864</v>
      </c>
      <c r="D243" t="s">
        <v>8</v>
      </c>
      <c r="E243" s="3">
        <v>4133.67</v>
      </c>
      <c r="F243" s="3">
        <v>74.27</v>
      </c>
      <c r="G243" s="2">
        <f>4133.67/74.27</f>
        <v>55.657331358556618</v>
      </c>
      <c r="H243" t="s">
        <v>200</v>
      </c>
      <c r="I243" t="s">
        <v>10</v>
      </c>
      <c r="J243" t="s">
        <v>438</v>
      </c>
      <c r="K243" t="s">
        <v>439</v>
      </c>
    </row>
    <row r="244" spans="1:11" x14ac:dyDescent="0.35">
      <c r="A244">
        <v>375557</v>
      </c>
      <c r="B244" t="s">
        <v>94</v>
      </c>
      <c r="C244" s="1">
        <v>43864</v>
      </c>
      <c r="D244" t="s">
        <v>8</v>
      </c>
      <c r="E244" s="3">
        <v>11634.07</v>
      </c>
      <c r="F244" s="3">
        <v>74.27</v>
      </c>
      <c r="G244" s="2">
        <f>11634.07/74.27</f>
        <v>156.64561734213007</v>
      </c>
      <c r="H244" t="s">
        <v>214</v>
      </c>
      <c r="I244" t="s">
        <v>10</v>
      </c>
      <c r="J244" t="s">
        <v>440</v>
      </c>
      <c r="K244" t="s">
        <v>291</v>
      </c>
    </row>
    <row r="245" spans="1:11" x14ac:dyDescent="0.35">
      <c r="A245">
        <v>375542</v>
      </c>
      <c r="B245" t="s">
        <v>215</v>
      </c>
      <c r="C245" s="1">
        <v>43864</v>
      </c>
      <c r="D245" t="s">
        <v>8</v>
      </c>
      <c r="E245" s="3">
        <v>395339.05</v>
      </c>
      <c r="F245" s="3">
        <v>74.27</v>
      </c>
      <c r="G245" s="2">
        <f>395339.05/74.27</f>
        <v>5322.9978456981289</v>
      </c>
      <c r="H245" t="s">
        <v>216</v>
      </c>
      <c r="I245" t="s">
        <v>29</v>
      </c>
      <c r="J245" t="s">
        <v>441</v>
      </c>
      <c r="K245" t="s">
        <v>293</v>
      </c>
    </row>
    <row r="246" spans="1:11" x14ac:dyDescent="0.35">
      <c r="A246">
        <v>375470</v>
      </c>
      <c r="B246" t="s">
        <v>217</v>
      </c>
      <c r="C246" s="1">
        <v>43864</v>
      </c>
      <c r="D246" t="s">
        <v>8</v>
      </c>
      <c r="E246" s="3">
        <v>22371.96</v>
      </c>
      <c r="F246" s="3">
        <v>74.27</v>
      </c>
      <c r="G246" s="2">
        <f>22371.96/74.27</f>
        <v>301.22472061397605</v>
      </c>
      <c r="H246" t="s">
        <v>67</v>
      </c>
      <c r="I246" t="s">
        <v>10</v>
      </c>
      <c r="J246" t="s">
        <v>442</v>
      </c>
      <c r="K246" t="s">
        <v>297</v>
      </c>
    </row>
    <row r="247" spans="1:11" x14ac:dyDescent="0.35">
      <c r="A247">
        <v>375260</v>
      </c>
      <c r="B247" t="s">
        <v>218</v>
      </c>
      <c r="C247" s="1">
        <v>43864</v>
      </c>
      <c r="D247" t="s">
        <v>8</v>
      </c>
      <c r="E247" s="3">
        <v>9466.0400000000009</v>
      </c>
      <c r="F247" s="3">
        <v>74.27</v>
      </c>
      <c r="G247" s="2">
        <f>9466.04/74.27</f>
        <v>127.45442305103005</v>
      </c>
      <c r="H247" t="s">
        <v>219</v>
      </c>
      <c r="I247" t="s">
        <v>10</v>
      </c>
      <c r="J247" t="s">
        <v>327</v>
      </c>
      <c r="K247" t="s">
        <v>297</v>
      </c>
    </row>
    <row r="248" spans="1:11" x14ac:dyDescent="0.35">
      <c r="A248">
        <v>374847</v>
      </c>
      <c r="B248" t="s">
        <v>148</v>
      </c>
      <c r="C248" s="1">
        <v>43864</v>
      </c>
      <c r="D248" t="s">
        <v>8</v>
      </c>
      <c r="E248" s="3">
        <v>86096.02</v>
      </c>
      <c r="F248" s="3">
        <v>74.27</v>
      </c>
      <c r="G248" s="2">
        <f>86096.02/74.27</f>
        <v>1159.230106368655</v>
      </c>
      <c r="H248" t="s">
        <v>167</v>
      </c>
      <c r="I248" t="s">
        <v>10</v>
      </c>
      <c r="J248" t="s">
        <v>443</v>
      </c>
      <c r="K248" t="s">
        <v>297</v>
      </c>
    </row>
    <row r="249" spans="1:11" x14ac:dyDescent="0.35">
      <c r="A249">
        <v>374807</v>
      </c>
      <c r="B249" t="s">
        <v>220</v>
      </c>
      <c r="C249" s="1">
        <v>43863</v>
      </c>
      <c r="D249" t="s">
        <v>8</v>
      </c>
      <c r="E249" s="3">
        <v>5370.02</v>
      </c>
      <c r="F249" s="3">
        <v>74.27</v>
      </c>
      <c r="G249" s="2">
        <f>5370.02/74.27</f>
        <v>72.30402585162247</v>
      </c>
      <c r="H249" t="s">
        <v>17</v>
      </c>
      <c r="I249" t="s">
        <v>10</v>
      </c>
      <c r="J249" t="s">
        <v>327</v>
      </c>
      <c r="K249" t="s">
        <v>297</v>
      </c>
    </row>
    <row r="250" spans="1:11" x14ac:dyDescent="0.35">
      <c r="A250">
        <v>374658</v>
      </c>
      <c r="B250" t="s">
        <v>221</v>
      </c>
      <c r="C250" s="1">
        <v>43864</v>
      </c>
      <c r="D250" t="s">
        <v>8</v>
      </c>
      <c r="E250" s="3">
        <v>30283.23</v>
      </c>
      <c r="F250" s="3">
        <v>74.27</v>
      </c>
      <c r="G250" s="2">
        <f>30283.23/74.27</f>
        <v>407.74511915982231</v>
      </c>
      <c r="H250" t="s">
        <v>120</v>
      </c>
      <c r="I250" t="s">
        <v>10</v>
      </c>
      <c r="J250" t="s">
        <v>327</v>
      </c>
      <c r="K250" t="s">
        <v>297</v>
      </c>
    </row>
    <row r="251" spans="1:11" x14ac:dyDescent="0.35">
      <c r="A251">
        <v>374657</v>
      </c>
      <c r="B251" t="s">
        <v>222</v>
      </c>
      <c r="C251" s="1">
        <v>43864</v>
      </c>
      <c r="D251" t="s">
        <v>8</v>
      </c>
      <c r="E251" s="3">
        <v>244733.7</v>
      </c>
      <c r="F251" s="3">
        <v>74.27</v>
      </c>
      <c r="G251" s="2">
        <f>244733.7/74.27</f>
        <v>3295.1891746330957</v>
      </c>
      <c r="H251" t="s">
        <v>223</v>
      </c>
      <c r="I251" t="s">
        <v>10</v>
      </c>
      <c r="J251" t="s">
        <v>444</v>
      </c>
      <c r="K251" t="s">
        <v>293</v>
      </c>
    </row>
    <row r="252" spans="1:11" x14ac:dyDescent="0.35">
      <c r="A252">
        <v>374451</v>
      </c>
      <c r="B252" t="s">
        <v>224</v>
      </c>
      <c r="C252" s="1">
        <v>43864</v>
      </c>
      <c r="D252" t="s">
        <v>8</v>
      </c>
      <c r="E252" s="3">
        <v>1213190.99</v>
      </c>
      <c r="F252" s="3">
        <v>74.27</v>
      </c>
      <c r="G252" s="2">
        <f>1213190.99/74.27</f>
        <v>16334.872626901846</v>
      </c>
      <c r="H252" t="s">
        <v>41</v>
      </c>
      <c r="I252" t="s">
        <v>10</v>
      </c>
      <c r="J252" t="s">
        <v>445</v>
      </c>
      <c r="K252" t="s">
        <v>297</v>
      </c>
    </row>
    <row r="253" spans="1:11" x14ac:dyDescent="0.35">
      <c r="A253">
        <v>374450</v>
      </c>
      <c r="B253" t="s">
        <v>225</v>
      </c>
      <c r="C253" s="1">
        <v>43864</v>
      </c>
      <c r="D253" t="s">
        <v>8</v>
      </c>
      <c r="E253" s="3">
        <v>53294.07</v>
      </c>
      <c r="F253" s="3">
        <v>74.27</v>
      </c>
      <c r="G253" s="2">
        <f>53294.07/74.27</f>
        <v>717.57196714689644</v>
      </c>
      <c r="H253" t="s">
        <v>17</v>
      </c>
      <c r="I253" t="s">
        <v>10</v>
      </c>
      <c r="J253" t="s">
        <v>406</v>
      </c>
      <c r="K253" t="s">
        <v>297</v>
      </c>
    </row>
    <row r="254" spans="1:11" x14ac:dyDescent="0.35">
      <c r="A254">
        <v>374365</v>
      </c>
      <c r="B254" t="s">
        <v>226</v>
      </c>
      <c r="C254" s="1">
        <v>43864</v>
      </c>
      <c r="D254" t="s">
        <v>8</v>
      </c>
      <c r="E254" s="3">
        <v>300294.8</v>
      </c>
      <c r="F254" s="3">
        <v>74.27</v>
      </c>
      <c r="G254" s="2">
        <f>300294.8/74.27</f>
        <v>4043.2853103541133</v>
      </c>
      <c r="H254" t="s">
        <v>227</v>
      </c>
      <c r="I254" t="s">
        <v>10</v>
      </c>
      <c r="J254" t="s">
        <v>446</v>
      </c>
      <c r="K254" t="s">
        <v>297</v>
      </c>
    </row>
    <row r="255" spans="1:11" x14ac:dyDescent="0.35">
      <c r="A255">
        <v>374069</v>
      </c>
      <c r="B255" t="s">
        <v>228</v>
      </c>
      <c r="C255" s="1">
        <v>43864</v>
      </c>
      <c r="D255" t="s">
        <v>8</v>
      </c>
      <c r="E255" s="3">
        <v>4309.2299999999996</v>
      </c>
      <c r="F255" s="3">
        <v>74.27</v>
      </c>
      <c r="G255" s="2">
        <f>4309.23/74.27</f>
        <v>58.021139087114577</v>
      </c>
      <c r="H255" t="s">
        <v>17</v>
      </c>
      <c r="I255" t="s">
        <v>10</v>
      </c>
      <c r="J255" t="s">
        <v>327</v>
      </c>
      <c r="K255" t="s">
        <v>297</v>
      </c>
    </row>
    <row r="256" spans="1:11" x14ac:dyDescent="0.35">
      <c r="A256">
        <v>373854</v>
      </c>
      <c r="B256" t="s">
        <v>229</v>
      </c>
      <c r="C256" s="1">
        <v>43864</v>
      </c>
      <c r="D256" t="s">
        <v>8</v>
      </c>
      <c r="E256" s="3">
        <v>1126105.5</v>
      </c>
      <c r="F256" s="3">
        <v>74.27</v>
      </c>
      <c r="G256" s="2">
        <f>1126105.5/74.27</f>
        <v>15162.319913827925</v>
      </c>
      <c r="H256" t="s">
        <v>230</v>
      </c>
      <c r="I256" t="s">
        <v>10</v>
      </c>
      <c r="J256" t="s">
        <v>447</v>
      </c>
      <c r="K256" t="s">
        <v>297</v>
      </c>
    </row>
    <row r="257" spans="1:11" x14ac:dyDescent="0.35">
      <c r="A257">
        <v>373689</v>
      </c>
      <c r="B257" t="s">
        <v>33</v>
      </c>
      <c r="C257" s="1">
        <v>43864</v>
      </c>
      <c r="D257" t="s">
        <v>8</v>
      </c>
      <c r="E257" s="3">
        <v>515326.9</v>
      </c>
      <c r="F257" s="3">
        <v>74.27</v>
      </c>
      <c r="G257" s="2">
        <f>515326.9/74.27</f>
        <v>6938.5606570620712</v>
      </c>
      <c r="H257" t="s">
        <v>231</v>
      </c>
      <c r="I257" t="s">
        <v>10</v>
      </c>
      <c r="J257" t="s">
        <v>308</v>
      </c>
      <c r="K257" t="s">
        <v>297</v>
      </c>
    </row>
    <row r="258" spans="1:11" x14ac:dyDescent="0.35">
      <c r="A258">
        <v>373350</v>
      </c>
      <c r="B258" t="s">
        <v>232</v>
      </c>
      <c r="C258" s="1">
        <v>43864</v>
      </c>
      <c r="D258" t="s">
        <v>8</v>
      </c>
      <c r="E258" s="3">
        <v>20695116.440000001</v>
      </c>
      <c r="F258" s="3">
        <v>74.27</v>
      </c>
      <c r="G258" s="2">
        <f>20695116.44/74.27</f>
        <v>278647.05049145012</v>
      </c>
      <c r="H258" t="s">
        <v>99</v>
      </c>
      <c r="I258" t="s">
        <v>10</v>
      </c>
      <c r="J258" t="s">
        <v>448</v>
      </c>
      <c r="K258" t="s">
        <v>297</v>
      </c>
    </row>
    <row r="259" spans="1:11" x14ac:dyDescent="0.35">
      <c r="A259">
        <v>372957</v>
      </c>
      <c r="B259" t="s">
        <v>233</v>
      </c>
      <c r="C259" s="1">
        <v>43864</v>
      </c>
      <c r="D259" t="s">
        <v>8</v>
      </c>
      <c r="E259" s="3">
        <v>41030104.329999998</v>
      </c>
      <c r="F259" s="3">
        <v>74.27</v>
      </c>
      <c r="G259" s="2">
        <f>41030104.33/74.27</f>
        <v>552445.19092500338</v>
      </c>
      <c r="H259" t="s">
        <v>234</v>
      </c>
      <c r="I259" t="s">
        <v>10</v>
      </c>
      <c r="J259" t="s">
        <v>449</v>
      </c>
      <c r="K259" t="s">
        <v>297</v>
      </c>
    </row>
    <row r="260" spans="1:11" x14ac:dyDescent="0.35">
      <c r="A260">
        <v>372776</v>
      </c>
      <c r="B260" t="s">
        <v>235</v>
      </c>
      <c r="C260" s="1">
        <v>43864</v>
      </c>
      <c r="D260" t="s">
        <v>8</v>
      </c>
      <c r="E260" s="3">
        <v>16630326.02</v>
      </c>
      <c r="F260" s="3">
        <v>74.27</v>
      </c>
      <c r="G260" s="2">
        <f>16630326.02/74.27</f>
        <v>223917.14043355326</v>
      </c>
      <c r="H260" t="s">
        <v>26</v>
      </c>
      <c r="I260" t="s">
        <v>10</v>
      </c>
      <c r="J260" t="s">
        <v>450</v>
      </c>
      <c r="K260" t="s">
        <v>297</v>
      </c>
    </row>
    <row r="261" spans="1:11" x14ac:dyDescent="0.35">
      <c r="A261">
        <v>372636</v>
      </c>
      <c r="B261" t="s">
        <v>236</v>
      </c>
      <c r="C261" s="1">
        <v>43864</v>
      </c>
      <c r="D261" t="s">
        <v>8</v>
      </c>
      <c r="E261" s="3">
        <v>540530.64</v>
      </c>
      <c r="F261" s="3">
        <v>74.27</v>
      </c>
      <c r="G261" s="2">
        <f>540530.64/74.27</f>
        <v>7277.913558637405</v>
      </c>
      <c r="H261" t="s">
        <v>230</v>
      </c>
      <c r="I261" t="s">
        <v>10</v>
      </c>
      <c r="J261" t="s">
        <v>451</v>
      </c>
      <c r="K261" t="s">
        <v>297</v>
      </c>
    </row>
    <row r="262" spans="1:11" x14ac:dyDescent="0.35">
      <c r="A262">
        <v>372452</v>
      </c>
      <c r="B262" t="s">
        <v>237</v>
      </c>
      <c r="C262" s="1">
        <v>43864</v>
      </c>
      <c r="D262" t="s">
        <v>8</v>
      </c>
      <c r="E262" s="3">
        <v>5630.53</v>
      </c>
      <c r="F262" s="3">
        <v>74.27</v>
      </c>
      <c r="G262" s="2">
        <f>5630.53/74.27</f>
        <v>75.811633230106366</v>
      </c>
      <c r="H262" t="s">
        <v>230</v>
      </c>
      <c r="I262" t="s">
        <v>10</v>
      </c>
      <c r="J262" t="s">
        <v>416</v>
      </c>
      <c r="K262" t="s">
        <v>297</v>
      </c>
    </row>
    <row r="263" spans="1:11" x14ac:dyDescent="0.35">
      <c r="A263">
        <v>372447</v>
      </c>
      <c r="B263" t="s">
        <v>238</v>
      </c>
      <c r="C263" s="1">
        <v>43863</v>
      </c>
      <c r="D263" t="s">
        <v>8</v>
      </c>
      <c r="E263" s="3">
        <v>4885.05</v>
      </c>
      <c r="F263" s="3">
        <v>74.27</v>
      </c>
      <c r="G263" s="2">
        <f>4885.05/74.27</f>
        <v>65.774202235088197</v>
      </c>
      <c r="H263" t="s">
        <v>17</v>
      </c>
      <c r="I263" t="s">
        <v>10</v>
      </c>
      <c r="J263" t="s">
        <v>327</v>
      </c>
      <c r="K263" t="s">
        <v>297</v>
      </c>
    </row>
    <row r="264" spans="1:11" x14ac:dyDescent="0.35">
      <c r="A264">
        <v>372359</v>
      </c>
      <c r="B264" t="s">
        <v>239</v>
      </c>
      <c r="C264" s="1">
        <v>43864</v>
      </c>
      <c r="D264" t="s">
        <v>8</v>
      </c>
      <c r="E264" s="3">
        <v>20138.52</v>
      </c>
      <c r="F264" s="3">
        <v>74.27</v>
      </c>
      <c r="G264" s="2">
        <f>20138.52/74.27</f>
        <v>271.15282078901311</v>
      </c>
      <c r="H264" t="s">
        <v>23</v>
      </c>
      <c r="I264" t="s">
        <v>10</v>
      </c>
      <c r="J264" t="s">
        <v>452</v>
      </c>
      <c r="K264" t="s">
        <v>297</v>
      </c>
    </row>
    <row r="265" spans="1:11" x14ac:dyDescent="0.35">
      <c r="A265">
        <v>372084</v>
      </c>
      <c r="B265" t="s">
        <v>240</v>
      </c>
      <c r="C265" s="1">
        <v>43864</v>
      </c>
      <c r="D265" t="s">
        <v>8</v>
      </c>
      <c r="E265" s="3">
        <v>12762.53</v>
      </c>
      <c r="F265" s="3">
        <v>74.27</v>
      </c>
      <c r="G265" s="2">
        <f>12762.53/74.27</f>
        <v>171.83963915443653</v>
      </c>
      <c r="H265" t="s">
        <v>23</v>
      </c>
      <c r="I265" t="s">
        <v>10</v>
      </c>
      <c r="J265" t="s">
        <v>452</v>
      </c>
      <c r="K265" t="s">
        <v>297</v>
      </c>
    </row>
    <row r="266" spans="1:11" x14ac:dyDescent="0.35">
      <c r="A266">
        <v>371880</v>
      </c>
      <c r="B266" t="s">
        <v>241</v>
      </c>
      <c r="C266" s="1">
        <v>43864</v>
      </c>
      <c r="D266" t="s">
        <v>8</v>
      </c>
      <c r="E266" s="3">
        <v>22694.03</v>
      </c>
      <c r="F266" s="3">
        <v>74.27</v>
      </c>
      <c r="G266" s="2">
        <f>22694.03/74.27</f>
        <v>305.56119563753873</v>
      </c>
      <c r="H266" t="s">
        <v>17</v>
      </c>
      <c r="I266" t="s">
        <v>10</v>
      </c>
      <c r="J266" t="s">
        <v>327</v>
      </c>
      <c r="K266" t="s">
        <v>297</v>
      </c>
    </row>
    <row r="267" spans="1:11" x14ac:dyDescent="0.35">
      <c r="A267">
        <v>371813</v>
      </c>
      <c r="B267" t="s">
        <v>242</v>
      </c>
      <c r="C267" s="1">
        <v>43864</v>
      </c>
      <c r="D267" t="s">
        <v>8</v>
      </c>
      <c r="E267" s="3">
        <v>3549484.54</v>
      </c>
      <c r="F267" s="3">
        <v>74.27</v>
      </c>
      <c r="G267" s="2">
        <f>3549484.54/74.27</f>
        <v>47791.632422243172</v>
      </c>
      <c r="H267" t="s">
        <v>9</v>
      </c>
      <c r="I267" t="s">
        <v>10</v>
      </c>
      <c r="J267" t="s">
        <v>453</v>
      </c>
      <c r="K267" t="s">
        <v>297</v>
      </c>
    </row>
    <row r="268" spans="1:11" x14ac:dyDescent="0.35">
      <c r="A268">
        <v>371807</v>
      </c>
      <c r="B268" t="s">
        <v>173</v>
      </c>
      <c r="C268" s="1">
        <v>43864</v>
      </c>
      <c r="D268" t="s">
        <v>8</v>
      </c>
      <c r="E268" s="3">
        <v>6555735.7800000003</v>
      </c>
      <c r="F268" s="3">
        <v>74.27</v>
      </c>
      <c r="G268" s="2">
        <f>6555735.78/74.27</f>
        <v>88268.961626497927</v>
      </c>
      <c r="H268" t="s">
        <v>122</v>
      </c>
      <c r="I268" t="s">
        <v>10</v>
      </c>
      <c r="J268" t="s">
        <v>454</v>
      </c>
      <c r="K268" t="s">
        <v>297</v>
      </c>
    </row>
    <row r="269" spans="1:11" x14ac:dyDescent="0.35">
      <c r="A269">
        <v>371183</v>
      </c>
      <c r="B269" t="s">
        <v>243</v>
      </c>
      <c r="C269" s="1">
        <v>43864</v>
      </c>
      <c r="D269" t="s">
        <v>8</v>
      </c>
      <c r="E269" s="3">
        <v>69107.59</v>
      </c>
      <c r="F269" s="3">
        <v>74.27</v>
      </c>
      <c r="G269" s="2">
        <f>69107.59/74.27</f>
        <v>930.49131547058028</v>
      </c>
      <c r="H269" t="s">
        <v>62</v>
      </c>
      <c r="I269" t="s">
        <v>10</v>
      </c>
      <c r="J269" t="s">
        <v>327</v>
      </c>
      <c r="K269" t="s">
        <v>297</v>
      </c>
    </row>
    <row r="270" spans="1:11" x14ac:dyDescent="0.35">
      <c r="A270">
        <v>370942</v>
      </c>
      <c r="B270" t="s">
        <v>244</v>
      </c>
      <c r="C270" s="1">
        <v>43864</v>
      </c>
      <c r="D270" t="s">
        <v>8</v>
      </c>
      <c r="E270" s="3">
        <v>302584.8</v>
      </c>
      <c r="F270" s="3">
        <v>74.27</v>
      </c>
      <c r="G270" s="2">
        <f>302584.8/74.27</f>
        <v>4074.118755890669</v>
      </c>
      <c r="H270" t="s">
        <v>245</v>
      </c>
      <c r="I270" t="s">
        <v>10</v>
      </c>
      <c r="J270" t="s">
        <v>455</v>
      </c>
      <c r="K270" t="s">
        <v>317</v>
      </c>
    </row>
    <row r="271" spans="1:11" x14ac:dyDescent="0.35">
      <c r="A271">
        <v>370819</v>
      </c>
      <c r="B271" t="s">
        <v>246</v>
      </c>
      <c r="C271" s="1">
        <v>43864</v>
      </c>
      <c r="D271" t="s">
        <v>8</v>
      </c>
      <c r="E271" s="3">
        <v>2478.1799999999998</v>
      </c>
      <c r="F271" s="3">
        <v>74.27</v>
      </c>
      <c r="G271" s="2">
        <f>2478.18/74.27</f>
        <v>33.367173825232257</v>
      </c>
      <c r="H271" t="s">
        <v>17</v>
      </c>
      <c r="I271" t="s">
        <v>10</v>
      </c>
      <c r="J271" t="s">
        <v>327</v>
      </c>
      <c r="K271" t="s">
        <v>297</v>
      </c>
    </row>
    <row r="272" spans="1:11" x14ac:dyDescent="0.35">
      <c r="A272">
        <v>369995</v>
      </c>
      <c r="B272" t="s">
        <v>247</v>
      </c>
      <c r="C272" s="1">
        <v>43864</v>
      </c>
      <c r="D272" t="s">
        <v>8</v>
      </c>
      <c r="E272" s="3">
        <v>46873.77</v>
      </c>
      <c r="F272" s="3">
        <v>74.27</v>
      </c>
      <c r="G272" s="2">
        <f>46873.77/74.27</f>
        <v>631.12656523495355</v>
      </c>
      <c r="H272" t="s">
        <v>17</v>
      </c>
      <c r="I272" t="s">
        <v>10</v>
      </c>
      <c r="J272" t="s">
        <v>327</v>
      </c>
      <c r="K272" t="s">
        <v>297</v>
      </c>
    </row>
    <row r="273" spans="1:11" x14ac:dyDescent="0.35">
      <c r="A273">
        <v>369835</v>
      </c>
      <c r="B273" t="s">
        <v>248</v>
      </c>
      <c r="C273" s="1">
        <v>43863</v>
      </c>
      <c r="D273" t="s">
        <v>8</v>
      </c>
      <c r="E273" s="3">
        <v>1584.81</v>
      </c>
      <c r="F273" s="3">
        <v>74.27</v>
      </c>
      <c r="G273" s="2">
        <f>1584.81/74.27</f>
        <v>21.338494681567255</v>
      </c>
      <c r="H273" t="s">
        <v>169</v>
      </c>
      <c r="I273" t="s">
        <v>10</v>
      </c>
      <c r="J273" t="s">
        <v>406</v>
      </c>
      <c r="K273" t="s">
        <v>297</v>
      </c>
    </row>
    <row r="274" spans="1:11" x14ac:dyDescent="0.35">
      <c r="A274">
        <v>369820</v>
      </c>
      <c r="B274" t="s">
        <v>249</v>
      </c>
      <c r="C274" s="1">
        <v>43864</v>
      </c>
      <c r="D274" t="s">
        <v>8</v>
      </c>
      <c r="E274" s="3">
        <v>29543.75</v>
      </c>
      <c r="F274" s="3">
        <v>74.27</v>
      </c>
      <c r="G274" s="2">
        <f>29543.75/74.27</f>
        <v>397.7884744849872</v>
      </c>
      <c r="H274" t="s">
        <v>23</v>
      </c>
      <c r="I274" t="s">
        <v>10</v>
      </c>
      <c r="J274" t="s">
        <v>452</v>
      </c>
      <c r="K274" t="s">
        <v>297</v>
      </c>
    </row>
    <row r="275" spans="1:11" x14ac:dyDescent="0.35">
      <c r="A275">
        <v>369768</v>
      </c>
      <c r="B275" t="s">
        <v>250</v>
      </c>
      <c r="C275" s="1">
        <v>43863</v>
      </c>
      <c r="D275" t="s">
        <v>8</v>
      </c>
      <c r="E275" s="3">
        <v>4080.26</v>
      </c>
      <c r="F275" s="3">
        <v>74.27</v>
      </c>
      <c r="G275" s="2">
        <f>4080.26/74.27</f>
        <v>54.938198465059919</v>
      </c>
      <c r="H275" t="s">
        <v>23</v>
      </c>
      <c r="I275" t="s">
        <v>10</v>
      </c>
      <c r="J275" t="s">
        <v>452</v>
      </c>
      <c r="K275" t="s">
        <v>297</v>
      </c>
    </row>
    <row r="276" spans="1:11" x14ac:dyDescent="0.35">
      <c r="A276">
        <v>369565</v>
      </c>
      <c r="B276" t="s">
        <v>251</v>
      </c>
      <c r="C276" s="1">
        <v>43864</v>
      </c>
      <c r="D276" t="s">
        <v>8</v>
      </c>
      <c r="E276" s="3">
        <v>7092.96</v>
      </c>
      <c r="F276" s="3">
        <v>74.27</v>
      </c>
      <c r="G276" s="2">
        <f>7092.96/74.27</f>
        <v>95.502356267672013</v>
      </c>
      <c r="H276" t="s">
        <v>17</v>
      </c>
      <c r="I276" t="s">
        <v>10</v>
      </c>
      <c r="J276" t="s">
        <v>327</v>
      </c>
      <c r="K276" t="s">
        <v>297</v>
      </c>
    </row>
    <row r="277" spans="1:11" x14ac:dyDescent="0.35">
      <c r="A277">
        <v>369106</v>
      </c>
      <c r="B277" t="s">
        <v>252</v>
      </c>
      <c r="C277" s="1">
        <v>43864</v>
      </c>
      <c r="D277" t="s">
        <v>8</v>
      </c>
      <c r="E277" s="3">
        <v>80527.05</v>
      </c>
      <c r="F277" s="3">
        <v>74.27</v>
      </c>
      <c r="G277" s="2">
        <f>80527.05/74.27</f>
        <v>1084.2473407836274</v>
      </c>
      <c r="H277" t="s">
        <v>17</v>
      </c>
      <c r="I277" t="s">
        <v>10</v>
      </c>
      <c r="J277" t="s">
        <v>328</v>
      </c>
      <c r="K277" t="s">
        <v>297</v>
      </c>
    </row>
    <row r="278" spans="1:11" x14ac:dyDescent="0.35">
      <c r="A278">
        <v>368583</v>
      </c>
      <c r="B278" t="s">
        <v>158</v>
      </c>
      <c r="C278" s="1">
        <v>43863</v>
      </c>
      <c r="D278" t="s">
        <v>8</v>
      </c>
      <c r="E278" s="3">
        <v>416490.35</v>
      </c>
      <c r="F278" s="3">
        <v>74.27</v>
      </c>
      <c r="G278" s="2">
        <f>416490.35/74.27</f>
        <v>5607.7871280463178</v>
      </c>
      <c r="H278" t="s">
        <v>36</v>
      </c>
      <c r="I278" t="s">
        <v>10</v>
      </c>
      <c r="J278" t="s">
        <v>401</v>
      </c>
      <c r="K278" t="s">
        <v>381</v>
      </c>
    </row>
    <row r="279" spans="1:11" x14ac:dyDescent="0.35">
      <c r="A279">
        <v>365216</v>
      </c>
      <c r="B279" t="s">
        <v>75</v>
      </c>
      <c r="C279" s="1">
        <v>43864</v>
      </c>
      <c r="D279" t="s">
        <v>8</v>
      </c>
      <c r="E279" s="3">
        <v>32752.400000000001</v>
      </c>
      <c r="F279" s="3">
        <v>74.27</v>
      </c>
      <c r="G279" s="2">
        <f>32752.4/74.27</f>
        <v>440.99097886091295</v>
      </c>
      <c r="H279" t="s">
        <v>169</v>
      </c>
      <c r="I279" t="s">
        <v>10</v>
      </c>
      <c r="J279" t="s">
        <v>406</v>
      </c>
      <c r="K279" t="s">
        <v>297</v>
      </c>
    </row>
    <row r="280" spans="1:11" x14ac:dyDescent="0.35">
      <c r="A280">
        <v>365178</v>
      </c>
      <c r="B280" t="s">
        <v>253</v>
      </c>
      <c r="C280" s="1">
        <v>43864</v>
      </c>
      <c r="D280" t="s">
        <v>8</v>
      </c>
      <c r="E280" s="3">
        <v>2252211</v>
      </c>
      <c r="F280" s="3">
        <v>74.27</v>
      </c>
      <c r="G280" s="2">
        <f>2252211/74.27</f>
        <v>30324.63982765585</v>
      </c>
      <c r="H280" t="s">
        <v>208</v>
      </c>
      <c r="I280" t="s">
        <v>10</v>
      </c>
      <c r="J280" t="s">
        <v>456</v>
      </c>
      <c r="K280" t="s">
        <v>297</v>
      </c>
    </row>
    <row r="281" spans="1:11" x14ac:dyDescent="0.35">
      <c r="A281">
        <v>365111</v>
      </c>
      <c r="B281" t="s">
        <v>98</v>
      </c>
      <c r="C281" s="1">
        <v>43864</v>
      </c>
      <c r="D281" t="s">
        <v>8</v>
      </c>
      <c r="E281" s="3">
        <v>2740000</v>
      </c>
      <c r="F281" s="3">
        <v>74.27</v>
      </c>
      <c r="G281" s="2">
        <f>2740000/74.27</f>
        <v>36892.419550289487</v>
      </c>
      <c r="H281" t="s">
        <v>99</v>
      </c>
      <c r="I281" t="s">
        <v>10</v>
      </c>
      <c r="J281" t="s">
        <v>347</v>
      </c>
      <c r="K281" t="s">
        <v>295</v>
      </c>
    </row>
    <row r="282" spans="1:11" x14ac:dyDescent="0.35">
      <c r="A282">
        <v>364599</v>
      </c>
      <c r="B282" t="s">
        <v>254</v>
      </c>
      <c r="C282" s="1">
        <v>43863</v>
      </c>
      <c r="D282" t="s">
        <v>8</v>
      </c>
      <c r="E282" s="3">
        <v>3116.31</v>
      </c>
      <c r="F282" s="3">
        <v>74.27</v>
      </c>
      <c r="G282" s="2">
        <f>3116.31/74.27</f>
        <v>41.959202908307525</v>
      </c>
      <c r="H282" t="s">
        <v>169</v>
      </c>
      <c r="I282" t="s">
        <v>10</v>
      </c>
      <c r="J282" t="s">
        <v>327</v>
      </c>
      <c r="K282" t="s">
        <v>297</v>
      </c>
    </row>
    <row r="283" spans="1:11" x14ac:dyDescent="0.35">
      <c r="A283">
        <v>363748</v>
      </c>
      <c r="B283" t="s">
        <v>61</v>
      </c>
      <c r="C283" s="1">
        <v>43864</v>
      </c>
      <c r="D283" t="s">
        <v>8</v>
      </c>
      <c r="E283" s="3">
        <v>4368.54</v>
      </c>
      <c r="F283" s="3">
        <v>74.27</v>
      </c>
      <c r="G283" s="2">
        <f>4368.54/74.27</f>
        <v>58.819711862124684</v>
      </c>
      <c r="H283" t="s">
        <v>17</v>
      </c>
      <c r="I283" t="s">
        <v>10</v>
      </c>
      <c r="J283" t="s">
        <v>327</v>
      </c>
      <c r="K283" t="s">
        <v>297</v>
      </c>
    </row>
    <row r="284" spans="1:11" x14ac:dyDescent="0.35">
      <c r="A284">
        <v>363740</v>
      </c>
      <c r="B284" t="s">
        <v>255</v>
      </c>
      <c r="C284" s="1">
        <v>43864</v>
      </c>
      <c r="D284" t="s">
        <v>8</v>
      </c>
      <c r="E284" s="3">
        <v>13528.28</v>
      </c>
      <c r="F284" s="3">
        <v>74.27</v>
      </c>
      <c r="G284" s="2">
        <f>13528.28/74.27</f>
        <v>182.14999326780668</v>
      </c>
      <c r="H284" t="s">
        <v>256</v>
      </c>
      <c r="I284" t="s">
        <v>10</v>
      </c>
      <c r="J284" t="s">
        <v>327</v>
      </c>
      <c r="K284" t="s">
        <v>297</v>
      </c>
    </row>
    <row r="285" spans="1:11" x14ac:dyDescent="0.35">
      <c r="A285">
        <v>363694</v>
      </c>
      <c r="B285" t="s">
        <v>257</v>
      </c>
      <c r="C285" s="1">
        <v>43864</v>
      </c>
      <c r="D285" t="s">
        <v>8</v>
      </c>
      <c r="E285" s="3">
        <v>20549.919999999998</v>
      </c>
      <c r="F285" s="3">
        <v>74.27</v>
      </c>
      <c r="G285" s="2">
        <f>20549.92/74.27</f>
        <v>276.69206947623536</v>
      </c>
      <c r="H285" t="s">
        <v>17</v>
      </c>
      <c r="I285" t="s">
        <v>10</v>
      </c>
      <c r="J285" t="s">
        <v>327</v>
      </c>
      <c r="K285" t="s">
        <v>297</v>
      </c>
    </row>
    <row r="286" spans="1:11" x14ac:dyDescent="0.35">
      <c r="A286">
        <v>360406</v>
      </c>
      <c r="B286" t="s">
        <v>258</v>
      </c>
      <c r="C286" s="1">
        <v>43864</v>
      </c>
      <c r="D286" t="s">
        <v>8</v>
      </c>
      <c r="E286" s="3">
        <v>12602.62</v>
      </c>
      <c r="F286" s="3">
        <v>74.27</v>
      </c>
      <c r="G286" s="2">
        <f>12602.62/74.27</f>
        <v>169.68654907768953</v>
      </c>
      <c r="H286" t="s">
        <v>23</v>
      </c>
      <c r="I286" t="s">
        <v>10</v>
      </c>
      <c r="J286" t="s">
        <v>452</v>
      </c>
      <c r="K286" t="s">
        <v>297</v>
      </c>
    </row>
    <row r="287" spans="1:11" x14ac:dyDescent="0.35">
      <c r="A287">
        <v>360351</v>
      </c>
      <c r="B287" t="s">
        <v>259</v>
      </c>
      <c r="C287" s="1">
        <v>43864</v>
      </c>
      <c r="D287" t="s">
        <v>8</v>
      </c>
      <c r="E287" s="3">
        <v>2779.98</v>
      </c>
      <c r="F287" s="3">
        <v>74.27</v>
      </c>
      <c r="G287" s="2">
        <f>2779.98/74.27</f>
        <v>37.43072573044298</v>
      </c>
      <c r="H287" t="s">
        <v>17</v>
      </c>
      <c r="I287" t="s">
        <v>10</v>
      </c>
      <c r="J287" t="s">
        <v>327</v>
      </c>
      <c r="K287" t="s">
        <v>297</v>
      </c>
    </row>
    <row r="288" spans="1:11" x14ac:dyDescent="0.35">
      <c r="A288">
        <v>359965</v>
      </c>
      <c r="B288" t="s">
        <v>260</v>
      </c>
      <c r="C288" s="1">
        <v>43864</v>
      </c>
      <c r="D288" t="s">
        <v>8</v>
      </c>
      <c r="E288" s="3">
        <v>45962912.630000003</v>
      </c>
      <c r="F288" s="3">
        <v>74.27</v>
      </c>
      <c r="G288" s="2">
        <f>45962912.63/74.27</f>
        <v>618862.42937929183</v>
      </c>
      <c r="H288" t="s">
        <v>261</v>
      </c>
      <c r="I288" t="s">
        <v>10</v>
      </c>
      <c r="J288" t="s">
        <v>457</v>
      </c>
      <c r="K288" t="s">
        <v>297</v>
      </c>
    </row>
    <row r="289" spans="1:11" x14ac:dyDescent="0.35">
      <c r="A289">
        <v>359599</v>
      </c>
      <c r="B289" t="s">
        <v>262</v>
      </c>
      <c r="C289" s="1">
        <v>43863</v>
      </c>
      <c r="D289" t="s">
        <v>8</v>
      </c>
      <c r="E289" s="3">
        <v>127906.82</v>
      </c>
      <c r="F289" s="3">
        <v>74.27</v>
      </c>
      <c r="G289" s="2">
        <f>127906.82/74.27</f>
        <v>1722.1868856873571</v>
      </c>
      <c r="H289" t="s">
        <v>17</v>
      </c>
      <c r="I289" t="s">
        <v>10</v>
      </c>
      <c r="J289" t="s">
        <v>327</v>
      </c>
      <c r="K289" t="s">
        <v>297</v>
      </c>
    </row>
    <row r="290" spans="1:11" x14ac:dyDescent="0.35">
      <c r="A290">
        <v>357093</v>
      </c>
      <c r="B290" t="s">
        <v>263</v>
      </c>
      <c r="C290" s="1">
        <v>43864</v>
      </c>
      <c r="D290" t="s">
        <v>8</v>
      </c>
      <c r="E290" s="3">
        <v>14114.61</v>
      </c>
      <c r="F290" s="3">
        <v>74.27</v>
      </c>
      <c r="G290" s="2">
        <f>14114.61/74.27</f>
        <v>190.0445671199677</v>
      </c>
      <c r="H290" t="s">
        <v>23</v>
      </c>
      <c r="I290" t="s">
        <v>10</v>
      </c>
      <c r="J290" t="s">
        <v>452</v>
      </c>
      <c r="K290" t="s">
        <v>297</v>
      </c>
    </row>
    <row r="291" spans="1:11" x14ac:dyDescent="0.35">
      <c r="A291">
        <v>357072</v>
      </c>
      <c r="B291" t="s">
        <v>264</v>
      </c>
      <c r="C291" s="1">
        <v>43864</v>
      </c>
      <c r="D291" t="s">
        <v>8</v>
      </c>
      <c r="E291" s="3">
        <v>4503.67</v>
      </c>
      <c r="F291" s="3">
        <v>74.27</v>
      </c>
      <c r="G291" s="2">
        <f>4503.67/74.27</f>
        <v>60.639154436515419</v>
      </c>
      <c r="H291" t="s">
        <v>17</v>
      </c>
      <c r="I291" t="s">
        <v>10</v>
      </c>
      <c r="J291" t="s">
        <v>406</v>
      </c>
      <c r="K291" t="s">
        <v>297</v>
      </c>
    </row>
    <row r="292" spans="1:11" x14ac:dyDescent="0.35">
      <c r="A292">
        <v>356198</v>
      </c>
      <c r="B292" t="s">
        <v>265</v>
      </c>
      <c r="C292" s="1">
        <v>43864</v>
      </c>
      <c r="D292" t="s">
        <v>8</v>
      </c>
      <c r="E292" s="3">
        <v>33781.660000000003</v>
      </c>
      <c r="F292" s="3">
        <v>74.27</v>
      </c>
      <c r="G292" s="2">
        <f>33781.66/74.27</f>
        <v>454.84933351285855</v>
      </c>
      <c r="H292" t="s">
        <v>266</v>
      </c>
      <c r="I292" t="s">
        <v>10</v>
      </c>
      <c r="J292" t="s">
        <v>406</v>
      </c>
      <c r="K292" t="s">
        <v>297</v>
      </c>
    </row>
    <row r="293" spans="1:11" x14ac:dyDescent="0.35">
      <c r="A293">
        <v>353450</v>
      </c>
      <c r="B293" t="s">
        <v>267</v>
      </c>
      <c r="C293" s="1">
        <v>43864</v>
      </c>
      <c r="D293" t="s">
        <v>8</v>
      </c>
      <c r="E293" s="3">
        <v>1208.69</v>
      </c>
      <c r="F293" s="3">
        <v>74.27</v>
      </c>
      <c r="G293" s="2">
        <f>1208.69/74.27</f>
        <v>16.274269557021679</v>
      </c>
      <c r="H293" t="s">
        <v>169</v>
      </c>
      <c r="I293" t="s">
        <v>10</v>
      </c>
      <c r="J293" t="s">
        <v>406</v>
      </c>
      <c r="K293" t="s">
        <v>297</v>
      </c>
    </row>
    <row r="294" spans="1:11" x14ac:dyDescent="0.35">
      <c r="A294">
        <v>352606</v>
      </c>
      <c r="B294" t="s">
        <v>89</v>
      </c>
      <c r="C294" s="1">
        <v>43864</v>
      </c>
      <c r="D294" t="s">
        <v>8</v>
      </c>
      <c r="E294" s="3">
        <v>55824.5</v>
      </c>
      <c r="F294" s="3">
        <v>74.27</v>
      </c>
      <c r="G294" s="2">
        <f>55824.5/74.27</f>
        <v>751.64265517705678</v>
      </c>
      <c r="H294" t="s">
        <v>17</v>
      </c>
      <c r="I294" t="s">
        <v>10</v>
      </c>
      <c r="J294" t="s">
        <v>342</v>
      </c>
      <c r="K294" t="s">
        <v>312</v>
      </c>
    </row>
    <row r="295" spans="1:11" x14ac:dyDescent="0.35">
      <c r="A295">
        <v>352035</v>
      </c>
      <c r="B295" t="s">
        <v>268</v>
      </c>
      <c r="C295" s="1">
        <v>43864</v>
      </c>
      <c r="D295" t="s">
        <v>8</v>
      </c>
      <c r="E295" s="3">
        <v>17170.86</v>
      </c>
      <c r="F295" s="3">
        <v>74.27</v>
      </c>
      <c r="G295" s="2">
        <f>17170.86/74.27</f>
        <v>231.19509896324223</v>
      </c>
      <c r="H295" t="s">
        <v>17</v>
      </c>
      <c r="I295" t="s">
        <v>10</v>
      </c>
      <c r="J295" t="s">
        <v>327</v>
      </c>
      <c r="K295" t="s">
        <v>297</v>
      </c>
    </row>
    <row r="296" spans="1:11" x14ac:dyDescent="0.35">
      <c r="A296">
        <v>352009</v>
      </c>
      <c r="B296" t="s">
        <v>269</v>
      </c>
      <c r="C296" s="1">
        <v>43863</v>
      </c>
      <c r="D296" t="s">
        <v>8</v>
      </c>
      <c r="E296" s="3">
        <v>6426.31</v>
      </c>
      <c r="F296" s="3">
        <v>74.27</v>
      </c>
      <c r="G296" s="2">
        <f>6426.31/74.27</f>
        <v>86.526322875993003</v>
      </c>
      <c r="H296" t="s">
        <v>17</v>
      </c>
      <c r="I296" t="s">
        <v>10</v>
      </c>
      <c r="J296" t="s">
        <v>327</v>
      </c>
      <c r="K296" t="s">
        <v>297</v>
      </c>
    </row>
    <row r="297" spans="1:11" x14ac:dyDescent="0.35">
      <c r="A297">
        <v>350063</v>
      </c>
      <c r="B297" t="s">
        <v>85</v>
      </c>
      <c r="C297" s="1">
        <v>43864</v>
      </c>
      <c r="D297" t="s">
        <v>8</v>
      </c>
      <c r="E297" s="3">
        <v>24844.14</v>
      </c>
      <c r="F297" s="3">
        <v>74.27</v>
      </c>
      <c r="G297" s="2">
        <f>24844.14/74.27</f>
        <v>334.51110811902521</v>
      </c>
      <c r="H297" t="s">
        <v>270</v>
      </c>
      <c r="I297" t="s">
        <v>10</v>
      </c>
      <c r="J297" t="s">
        <v>327</v>
      </c>
      <c r="K297" t="s">
        <v>297</v>
      </c>
    </row>
    <row r="298" spans="1:11" x14ac:dyDescent="0.35">
      <c r="A298">
        <v>341399</v>
      </c>
      <c r="B298" t="s">
        <v>65</v>
      </c>
      <c r="C298" s="1">
        <v>43864</v>
      </c>
      <c r="D298" t="s">
        <v>8</v>
      </c>
      <c r="E298" s="3">
        <v>8403.75</v>
      </c>
      <c r="F298" s="3">
        <v>74.27</v>
      </c>
      <c r="G298" s="2">
        <f>8403.75/74.27</f>
        <v>113.15133970647638</v>
      </c>
      <c r="H298" t="s">
        <v>17</v>
      </c>
      <c r="I298" t="s">
        <v>10</v>
      </c>
      <c r="J298" t="s">
        <v>328</v>
      </c>
      <c r="K298" t="s">
        <v>297</v>
      </c>
    </row>
    <row r="299" spans="1:11" x14ac:dyDescent="0.35">
      <c r="A299">
        <v>337446</v>
      </c>
      <c r="B299" t="s">
        <v>271</v>
      </c>
      <c r="C299" s="1">
        <v>43864</v>
      </c>
      <c r="D299" t="s">
        <v>8</v>
      </c>
      <c r="E299" s="3">
        <v>38987.269999999997</v>
      </c>
      <c r="F299" s="3">
        <v>74.27</v>
      </c>
      <c r="G299" s="2">
        <f>38987.27/74.27</f>
        <v>524.9396795475966</v>
      </c>
      <c r="H299" t="s">
        <v>17</v>
      </c>
      <c r="I299" t="s">
        <v>29</v>
      </c>
      <c r="J299" t="s">
        <v>328</v>
      </c>
      <c r="K299" t="s">
        <v>297</v>
      </c>
    </row>
    <row r="300" spans="1:11" x14ac:dyDescent="0.35">
      <c r="A300">
        <v>335965</v>
      </c>
      <c r="B300" t="s">
        <v>272</v>
      </c>
      <c r="C300" s="1">
        <v>43863</v>
      </c>
      <c r="D300" t="s">
        <v>8</v>
      </c>
      <c r="E300" s="3">
        <v>16977.169999999998</v>
      </c>
      <c r="F300" s="3">
        <v>74.27</v>
      </c>
      <c r="G300" s="2">
        <f>16977.17/74.27</f>
        <v>228.58718190386426</v>
      </c>
      <c r="H300" t="s">
        <v>17</v>
      </c>
      <c r="I300" t="s">
        <v>10</v>
      </c>
      <c r="J300" t="s">
        <v>327</v>
      </c>
      <c r="K300" t="s">
        <v>297</v>
      </c>
    </row>
    <row r="301" spans="1:11" x14ac:dyDescent="0.35">
      <c r="A301">
        <v>333459</v>
      </c>
      <c r="B301" t="s">
        <v>273</v>
      </c>
      <c r="C301" s="1">
        <v>43864</v>
      </c>
      <c r="D301" t="s">
        <v>8</v>
      </c>
      <c r="E301" s="3">
        <v>8843.68</v>
      </c>
      <c r="F301" s="3">
        <v>74.27</v>
      </c>
      <c r="G301" s="2">
        <f>8843.68/74.27</f>
        <v>119.0747273461694</v>
      </c>
      <c r="H301" t="s">
        <v>23</v>
      </c>
      <c r="I301" t="s">
        <v>10</v>
      </c>
      <c r="J301" t="s">
        <v>452</v>
      </c>
      <c r="K301" t="s">
        <v>297</v>
      </c>
    </row>
    <row r="302" spans="1:11" x14ac:dyDescent="0.35">
      <c r="A302">
        <v>327608</v>
      </c>
      <c r="B302" t="s">
        <v>274</v>
      </c>
      <c r="C302" s="1">
        <v>43864</v>
      </c>
      <c r="D302" t="s">
        <v>8</v>
      </c>
      <c r="E302" s="3">
        <v>1095.33</v>
      </c>
      <c r="F302" s="3">
        <v>74.27</v>
      </c>
      <c r="G302" s="2">
        <f>1095.33/74.27</f>
        <v>14.747946681028679</v>
      </c>
      <c r="H302" t="s">
        <v>17</v>
      </c>
      <c r="I302" t="s">
        <v>10</v>
      </c>
      <c r="J302" t="s">
        <v>327</v>
      </c>
      <c r="K302" t="s">
        <v>297</v>
      </c>
    </row>
    <row r="303" spans="1:11" x14ac:dyDescent="0.35">
      <c r="A303">
        <v>326983</v>
      </c>
      <c r="B303" t="s">
        <v>275</v>
      </c>
      <c r="C303" s="1">
        <v>43864</v>
      </c>
      <c r="D303" t="s">
        <v>8</v>
      </c>
      <c r="E303" s="3">
        <v>5752.9</v>
      </c>
      <c r="F303" s="3">
        <v>74.27</v>
      </c>
      <c r="G303" s="2">
        <f>5752.9/74.27</f>
        <v>77.459270230241017</v>
      </c>
      <c r="H303" t="s">
        <v>17</v>
      </c>
      <c r="I303" t="s">
        <v>10</v>
      </c>
      <c r="J303" t="s">
        <v>327</v>
      </c>
      <c r="K303" t="s">
        <v>297</v>
      </c>
    </row>
    <row r="304" spans="1:11" x14ac:dyDescent="0.35">
      <c r="A304">
        <v>325448</v>
      </c>
      <c r="B304" t="s">
        <v>276</v>
      </c>
      <c r="C304" s="1">
        <v>43864</v>
      </c>
      <c r="D304" t="s">
        <v>8</v>
      </c>
      <c r="E304" s="3">
        <v>17751.18</v>
      </c>
      <c r="F304" s="3">
        <v>74.27</v>
      </c>
      <c r="G304" s="2">
        <f>17751.18/74.27</f>
        <v>239.0087518513532</v>
      </c>
      <c r="H304" t="s">
        <v>277</v>
      </c>
      <c r="I304" t="s">
        <v>10</v>
      </c>
      <c r="J304" t="s">
        <v>327</v>
      </c>
      <c r="K304" t="s">
        <v>297</v>
      </c>
    </row>
    <row r="305" spans="1:11" x14ac:dyDescent="0.35">
      <c r="A305">
        <v>323869</v>
      </c>
      <c r="B305" t="s">
        <v>278</v>
      </c>
      <c r="C305" s="1">
        <v>43864</v>
      </c>
      <c r="D305" t="s">
        <v>8</v>
      </c>
      <c r="E305" s="3">
        <v>92973.08</v>
      </c>
      <c r="F305" s="3">
        <v>74.27</v>
      </c>
      <c r="G305" s="2">
        <f>92973.08/74.27</f>
        <v>1251.8255015484046</v>
      </c>
      <c r="H305" t="s">
        <v>279</v>
      </c>
      <c r="I305" t="s">
        <v>10</v>
      </c>
      <c r="J305" t="s">
        <v>342</v>
      </c>
      <c r="K305" t="s">
        <v>312</v>
      </c>
    </row>
    <row r="306" spans="1:11" x14ac:dyDescent="0.35">
      <c r="A306">
        <v>268517</v>
      </c>
      <c r="B306" t="s">
        <v>280</v>
      </c>
      <c r="C306" s="1">
        <v>43864</v>
      </c>
      <c r="D306" t="s">
        <v>8</v>
      </c>
      <c r="E306" s="3">
        <v>22339.79</v>
      </c>
      <c r="F306" s="3">
        <v>74.27</v>
      </c>
      <c r="G306" s="2">
        <f>22339.79/74.27</f>
        <v>300.79157129392757</v>
      </c>
      <c r="H306" t="s">
        <v>182</v>
      </c>
      <c r="I306" t="s">
        <v>10</v>
      </c>
      <c r="J306" t="s">
        <v>458</v>
      </c>
      <c r="K306" t="s">
        <v>293</v>
      </c>
    </row>
    <row r="307" spans="1:11" x14ac:dyDescent="0.35">
      <c r="A307">
        <v>263455</v>
      </c>
      <c r="B307" t="s">
        <v>281</v>
      </c>
      <c r="C307" s="1">
        <v>43863</v>
      </c>
      <c r="D307" t="s">
        <v>8</v>
      </c>
      <c r="E307" s="3">
        <v>2789.74</v>
      </c>
      <c r="F307" s="3">
        <v>74.27</v>
      </c>
      <c r="G307" s="2">
        <f>2789.74/74.27</f>
        <v>37.562138144607509</v>
      </c>
      <c r="H307" t="s">
        <v>17</v>
      </c>
      <c r="I307" t="s">
        <v>10</v>
      </c>
      <c r="J307" t="s">
        <v>327</v>
      </c>
      <c r="K307" t="s">
        <v>297</v>
      </c>
    </row>
    <row r="308" spans="1:11" x14ac:dyDescent="0.35">
      <c r="A308">
        <v>245830</v>
      </c>
      <c r="B308" t="s">
        <v>282</v>
      </c>
      <c r="C308" s="1">
        <v>43863</v>
      </c>
      <c r="D308" t="s">
        <v>8</v>
      </c>
      <c r="E308" s="3">
        <v>46946.93</v>
      </c>
      <c r="F308" s="3">
        <v>74.27</v>
      </c>
      <c r="G308" s="2">
        <f>46946.93/74.27</f>
        <v>632.11161976571975</v>
      </c>
      <c r="H308" t="s">
        <v>283</v>
      </c>
      <c r="I308" t="s">
        <v>10</v>
      </c>
      <c r="J308" t="s">
        <v>459</v>
      </c>
      <c r="K308" t="s">
        <v>310</v>
      </c>
    </row>
    <row r="309" spans="1:11" x14ac:dyDescent="0.35">
      <c r="A309">
        <v>219170</v>
      </c>
      <c r="B309" t="s">
        <v>284</v>
      </c>
      <c r="C309" s="1">
        <v>43864</v>
      </c>
      <c r="D309" t="s">
        <v>8</v>
      </c>
      <c r="E309" s="3">
        <v>11276.07</v>
      </c>
      <c r="F309" s="3">
        <v>74.27</v>
      </c>
      <c r="G309" s="2">
        <f>11276.07/74.27</f>
        <v>151.8253669045375</v>
      </c>
      <c r="H309" t="s">
        <v>17</v>
      </c>
      <c r="I309" t="s">
        <v>10</v>
      </c>
      <c r="J309" t="s">
        <v>327</v>
      </c>
      <c r="K309" t="s">
        <v>297</v>
      </c>
    </row>
    <row r="310" spans="1:11" x14ac:dyDescent="0.35">
      <c r="A310">
        <v>157363</v>
      </c>
      <c r="B310" t="s">
        <v>285</v>
      </c>
      <c r="C310" s="1">
        <v>43864</v>
      </c>
      <c r="D310" t="s">
        <v>8</v>
      </c>
      <c r="E310" s="3">
        <v>8403.75</v>
      </c>
      <c r="F310" s="3">
        <v>74.27</v>
      </c>
      <c r="G310" s="2">
        <f>8403.75/74.27</f>
        <v>113.15133970647638</v>
      </c>
      <c r="H310" t="s">
        <v>17</v>
      </c>
      <c r="I310" t="s">
        <v>10</v>
      </c>
      <c r="J310" t="s">
        <v>328</v>
      </c>
      <c r="K310" t="s">
        <v>297</v>
      </c>
    </row>
  </sheetData>
  <autoFilter ref="A1:K310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XFD104827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289</v>
      </c>
      <c r="G1" t="s">
        <v>288</v>
      </c>
      <c r="H1" t="s">
        <v>5</v>
      </c>
      <c r="I1" t="s">
        <v>6</v>
      </c>
      <c r="J1" t="s">
        <v>286</v>
      </c>
      <c r="K1" t="s">
        <v>287</v>
      </c>
    </row>
    <row r="2" spans="1:11" x14ac:dyDescent="0.35">
      <c r="A2">
        <v>377198</v>
      </c>
      <c r="B2" t="s">
        <v>45</v>
      </c>
      <c r="C2">
        <v>43864</v>
      </c>
      <c r="D2" t="s">
        <v>8</v>
      </c>
      <c r="E2">
        <v>26275795</v>
      </c>
      <c r="F2">
        <v>74.27</v>
      </c>
      <c r="G2">
        <v>353787.46465598495</v>
      </c>
      <c r="H2" t="s">
        <v>46</v>
      </c>
      <c r="I2" t="s">
        <v>10</v>
      </c>
      <c r="J2" t="s">
        <v>318</v>
      </c>
      <c r="K2" t="s">
        <v>297</v>
      </c>
    </row>
    <row r="3" spans="1:11" x14ac:dyDescent="0.35">
      <c r="A3">
        <v>376496</v>
      </c>
      <c r="B3" t="s">
        <v>196</v>
      </c>
      <c r="C3">
        <v>43864</v>
      </c>
      <c r="D3" t="s">
        <v>8</v>
      </c>
      <c r="E3">
        <v>23570138.850000001</v>
      </c>
      <c r="F3">
        <v>74.27</v>
      </c>
      <c r="G3">
        <v>317357.46398276562</v>
      </c>
      <c r="H3" t="s">
        <v>78</v>
      </c>
      <c r="I3" t="s">
        <v>10</v>
      </c>
      <c r="J3" t="s">
        <v>429</v>
      </c>
      <c r="K3" t="s">
        <v>297</v>
      </c>
    </row>
    <row r="4" spans="1:11" x14ac:dyDescent="0.35">
      <c r="A4">
        <v>373350</v>
      </c>
      <c r="B4" t="s">
        <v>232</v>
      </c>
      <c r="C4">
        <v>43864</v>
      </c>
      <c r="D4" t="s">
        <v>8</v>
      </c>
      <c r="E4">
        <v>20695116.440000001</v>
      </c>
      <c r="F4">
        <v>74.27</v>
      </c>
      <c r="G4">
        <v>278647.05049145012</v>
      </c>
      <c r="H4" t="s">
        <v>99</v>
      </c>
      <c r="I4" t="s">
        <v>10</v>
      </c>
      <c r="J4" t="s">
        <v>448</v>
      </c>
      <c r="K4" t="s">
        <v>297</v>
      </c>
    </row>
    <row r="5" spans="1:11" x14ac:dyDescent="0.35">
      <c r="A5">
        <v>372957</v>
      </c>
      <c r="B5" t="s">
        <v>233</v>
      </c>
      <c r="C5">
        <v>43864</v>
      </c>
      <c r="D5" t="s">
        <v>8</v>
      </c>
      <c r="E5">
        <v>41030104.329999998</v>
      </c>
      <c r="F5">
        <v>74.27</v>
      </c>
      <c r="G5">
        <v>552445.19092500338</v>
      </c>
      <c r="H5" t="s">
        <v>234</v>
      </c>
      <c r="I5" t="s">
        <v>10</v>
      </c>
      <c r="J5" t="s">
        <v>449</v>
      </c>
      <c r="K5" t="s">
        <v>297</v>
      </c>
    </row>
    <row r="6" spans="1:11" x14ac:dyDescent="0.35">
      <c r="A6">
        <v>359965</v>
      </c>
      <c r="B6" t="s">
        <v>260</v>
      </c>
      <c r="C6">
        <v>43864</v>
      </c>
      <c r="D6" t="s">
        <v>8</v>
      </c>
      <c r="E6">
        <v>45962912.630000003</v>
      </c>
      <c r="F6">
        <v>74.27</v>
      </c>
      <c r="G6">
        <v>618862.42937929183</v>
      </c>
      <c r="H6" t="s">
        <v>261</v>
      </c>
      <c r="I6" t="s">
        <v>10</v>
      </c>
      <c r="J6" t="s">
        <v>457</v>
      </c>
      <c r="K6" t="s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04826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289</v>
      </c>
      <c r="G1" t="s">
        <v>288</v>
      </c>
      <c r="H1" t="s">
        <v>5</v>
      </c>
      <c r="I1" t="s">
        <v>6</v>
      </c>
      <c r="J1" t="s">
        <v>286</v>
      </c>
      <c r="K1" t="s">
        <v>287</v>
      </c>
    </row>
    <row r="2" spans="1:11" x14ac:dyDescent="0.35">
      <c r="A2">
        <v>372957</v>
      </c>
      <c r="B2" t="s">
        <v>233</v>
      </c>
      <c r="C2">
        <v>43864</v>
      </c>
      <c r="D2" t="s">
        <v>8</v>
      </c>
      <c r="E2">
        <v>41030104.329999998</v>
      </c>
      <c r="F2">
        <v>74.27</v>
      </c>
      <c r="G2">
        <v>552445.19092500338</v>
      </c>
      <c r="H2" t="s">
        <v>234</v>
      </c>
      <c r="I2" t="s">
        <v>10</v>
      </c>
      <c r="J2" t="s">
        <v>449</v>
      </c>
      <c r="K2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04828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289</v>
      </c>
      <c r="G1" t="s">
        <v>288</v>
      </c>
      <c r="H1" t="s">
        <v>5</v>
      </c>
      <c r="I1" t="s">
        <v>6</v>
      </c>
      <c r="J1" t="s">
        <v>286</v>
      </c>
      <c r="K1" t="s">
        <v>287</v>
      </c>
    </row>
    <row r="2" spans="1:11" x14ac:dyDescent="0.35">
      <c r="A2">
        <v>377225</v>
      </c>
      <c r="B2" t="s">
        <v>31</v>
      </c>
      <c r="C2">
        <v>43864</v>
      </c>
      <c r="D2" t="s">
        <v>8</v>
      </c>
      <c r="E2">
        <v>11939721.25</v>
      </c>
      <c r="F2">
        <v>74.27</v>
      </c>
      <c r="G2">
        <v>160761.02396660834</v>
      </c>
      <c r="H2" t="s">
        <v>32</v>
      </c>
      <c r="I2" t="s">
        <v>10</v>
      </c>
      <c r="J2" t="s">
        <v>307</v>
      </c>
      <c r="K2" t="s">
        <v>297</v>
      </c>
    </row>
    <row r="3" spans="1:11" x14ac:dyDescent="0.35">
      <c r="A3">
        <v>377220</v>
      </c>
      <c r="B3" t="s">
        <v>33</v>
      </c>
      <c r="C3">
        <v>43864</v>
      </c>
      <c r="D3" t="s">
        <v>8</v>
      </c>
      <c r="E3">
        <v>9634448.1600000001</v>
      </c>
      <c r="F3">
        <v>74.27</v>
      </c>
      <c r="G3">
        <v>129721.93564023159</v>
      </c>
      <c r="H3" t="s">
        <v>34</v>
      </c>
      <c r="I3" t="s">
        <v>10</v>
      </c>
      <c r="J3" t="s">
        <v>308</v>
      </c>
      <c r="K3" t="s">
        <v>297</v>
      </c>
    </row>
    <row r="4" spans="1:11" x14ac:dyDescent="0.35">
      <c r="A4">
        <v>377198</v>
      </c>
      <c r="B4" t="s">
        <v>45</v>
      </c>
      <c r="C4">
        <v>43864</v>
      </c>
      <c r="D4" t="s">
        <v>8</v>
      </c>
      <c r="E4">
        <v>26275795</v>
      </c>
      <c r="F4">
        <v>74.27</v>
      </c>
      <c r="G4">
        <v>353787.46465598495</v>
      </c>
      <c r="H4" t="s">
        <v>46</v>
      </c>
      <c r="I4" t="s">
        <v>10</v>
      </c>
      <c r="J4" t="s">
        <v>318</v>
      </c>
      <c r="K4" t="s">
        <v>297</v>
      </c>
    </row>
    <row r="5" spans="1:11" x14ac:dyDescent="0.35">
      <c r="A5">
        <v>377170</v>
      </c>
      <c r="B5" t="s">
        <v>55</v>
      </c>
      <c r="C5">
        <v>43864</v>
      </c>
      <c r="D5" t="s">
        <v>8</v>
      </c>
      <c r="E5">
        <v>8258107</v>
      </c>
      <c r="F5">
        <v>74.27</v>
      </c>
      <c r="G5">
        <v>111190.34603473812</v>
      </c>
      <c r="H5" t="s">
        <v>32</v>
      </c>
      <c r="I5" t="s">
        <v>10</v>
      </c>
      <c r="J5" t="s">
        <v>324</v>
      </c>
      <c r="K5" t="s">
        <v>297</v>
      </c>
    </row>
    <row r="6" spans="1:11" x14ac:dyDescent="0.35">
      <c r="A6">
        <v>377162</v>
      </c>
      <c r="B6" t="s">
        <v>56</v>
      </c>
      <c r="C6">
        <v>43864</v>
      </c>
      <c r="D6" t="s">
        <v>8</v>
      </c>
      <c r="E6">
        <v>10496429.369999999</v>
      </c>
      <c r="F6">
        <v>74.27</v>
      </c>
      <c r="G6">
        <v>141327.98397737983</v>
      </c>
      <c r="H6" t="s">
        <v>14</v>
      </c>
      <c r="I6" t="s">
        <v>10</v>
      </c>
      <c r="J6" t="s">
        <v>325</v>
      </c>
      <c r="K6" t="s">
        <v>297</v>
      </c>
    </row>
    <row r="7" spans="1:11" x14ac:dyDescent="0.35">
      <c r="A7">
        <v>377100</v>
      </c>
      <c r="B7" t="s">
        <v>70</v>
      </c>
      <c r="C7">
        <v>43864</v>
      </c>
      <c r="D7" t="s">
        <v>8</v>
      </c>
      <c r="E7">
        <v>14791320.67</v>
      </c>
      <c r="F7">
        <v>74.27</v>
      </c>
      <c r="G7">
        <v>199156.06126295947</v>
      </c>
      <c r="H7" t="s">
        <v>14</v>
      </c>
      <c r="I7" t="s">
        <v>10</v>
      </c>
      <c r="J7" t="s">
        <v>325</v>
      </c>
      <c r="K7" t="s">
        <v>297</v>
      </c>
    </row>
    <row r="8" spans="1:11" x14ac:dyDescent="0.35">
      <c r="A8">
        <v>377067</v>
      </c>
      <c r="B8" t="s">
        <v>77</v>
      </c>
      <c r="C8">
        <v>43864</v>
      </c>
      <c r="D8" t="s">
        <v>8</v>
      </c>
      <c r="E8">
        <v>9032867.5800000001</v>
      </c>
      <c r="F8">
        <v>74.27</v>
      </c>
      <c r="G8">
        <v>121622.02208159419</v>
      </c>
      <c r="H8" t="s">
        <v>78</v>
      </c>
      <c r="I8" t="s">
        <v>10</v>
      </c>
      <c r="J8" t="s">
        <v>337</v>
      </c>
      <c r="K8" t="s">
        <v>297</v>
      </c>
    </row>
    <row r="9" spans="1:11" x14ac:dyDescent="0.35">
      <c r="A9">
        <v>376993</v>
      </c>
      <c r="B9" t="s">
        <v>80</v>
      </c>
      <c r="C9">
        <v>43864</v>
      </c>
      <c r="D9" t="s">
        <v>8</v>
      </c>
      <c r="E9">
        <v>10134949.5</v>
      </c>
      <c r="F9">
        <v>74.27</v>
      </c>
      <c r="G9">
        <v>136460.87922445135</v>
      </c>
      <c r="H9" t="s">
        <v>78</v>
      </c>
      <c r="I9" t="s">
        <v>10</v>
      </c>
      <c r="J9" t="s">
        <v>339</v>
      </c>
      <c r="K9" t="s">
        <v>297</v>
      </c>
    </row>
    <row r="10" spans="1:11" x14ac:dyDescent="0.35">
      <c r="A10">
        <v>376973</v>
      </c>
      <c r="B10" t="s">
        <v>121</v>
      </c>
      <c r="C10">
        <v>43864</v>
      </c>
      <c r="D10" t="s">
        <v>8</v>
      </c>
      <c r="E10">
        <v>7507370</v>
      </c>
      <c r="F10">
        <v>74.27</v>
      </c>
      <c r="G10">
        <v>101082.13275885284</v>
      </c>
      <c r="H10" t="s">
        <v>122</v>
      </c>
      <c r="I10" t="s">
        <v>10</v>
      </c>
      <c r="J10" t="s">
        <v>371</v>
      </c>
      <c r="K10" t="s">
        <v>297</v>
      </c>
    </row>
    <row r="11" spans="1:11" x14ac:dyDescent="0.35">
      <c r="A11">
        <v>376972</v>
      </c>
      <c r="B11" t="s">
        <v>123</v>
      </c>
      <c r="C11">
        <v>43864</v>
      </c>
      <c r="D11" t="s">
        <v>8</v>
      </c>
      <c r="E11">
        <v>7430593.5999999996</v>
      </c>
      <c r="F11">
        <v>74.27</v>
      </c>
      <c r="G11">
        <v>100048.38562003501</v>
      </c>
      <c r="H11" t="s">
        <v>78</v>
      </c>
      <c r="I11" t="s">
        <v>10</v>
      </c>
      <c r="J11" t="s">
        <v>372</v>
      </c>
      <c r="K11" t="s">
        <v>373</v>
      </c>
    </row>
    <row r="12" spans="1:11" x14ac:dyDescent="0.35">
      <c r="A12">
        <v>376949</v>
      </c>
      <c r="B12" t="s">
        <v>132</v>
      </c>
      <c r="C12">
        <v>43864</v>
      </c>
      <c r="D12" t="s">
        <v>8</v>
      </c>
      <c r="E12">
        <v>7530267.5999999996</v>
      </c>
      <c r="F12">
        <v>74.27</v>
      </c>
      <c r="G12">
        <v>101390.43489969031</v>
      </c>
      <c r="H12" t="s">
        <v>78</v>
      </c>
      <c r="I12" t="s">
        <v>10</v>
      </c>
      <c r="J12" t="s">
        <v>374</v>
      </c>
      <c r="K12" t="s">
        <v>293</v>
      </c>
    </row>
    <row r="13" spans="1:11" x14ac:dyDescent="0.35">
      <c r="A13">
        <v>376938</v>
      </c>
      <c r="B13" t="s">
        <v>132</v>
      </c>
      <c r="C13">
        <v>43864</v>
      </c>
      <c r="D13" t="s">
        <v>8</v>
      </c>
      <c r="E13">
        <v>7680872.9500000002</v>
      </c>
      <c r="F13">
        <v>74.27</v>
      </c>
      <c r="G13">
        <v>103418.24357075537</v>
      </c>
      <c r="H13" t="s">
        <v>78</v>
      </c>
      <c r="I13" t="s">
        <v>10</v>
      </c>
      <c r="J13" t="s">
        <v>374</v>
      </c>
      <c r="K13" t="s">
        <v>293</v>
      </c>
    </row>
    <row r="14" spans="1:11" x14ac:dyDescent="0.35">
      <c r="A14">
        <v>376896</v>
      </c>
      <c r="B14" t="s">
        <v>151</v>
      </c>
      <c r="C14">
        <v>43863</v>
      </c>
      <c r="D14" t="s">
        <v>8</v>
      </c>
      <c r="E14">
        <v>12073003.380000001</v>
      </c>
      <c r="F14">
        <v>74.27</v>
      </c>
      <c r="G14">
        <v>162555.58610475296</v>
      </c>
      <c r="H14" t="s">
        <v>78</v>
      </c>
      <c r="I14" t="s">
        <v>10</v>
      </c>
      <c r="J14" t="s">
        <v>396</v>
      </c>
      <c r="K14" t="s">
        <v>317</v>
      </c>
    </row>
    <row r="15" spans="1:11" x14ac:dyDescent="0.35">
      <c r="A15">
        <v>376676</v>
      </c>
      <c r="B15" t="s">
        <v>184</v>
      </c>
      <c r="C15">
        <v>43864</v>
      </c>
      <c r="D15" t="s">
        <v>8</v>
      </c>
      <c r="E15">
        <v>10618694.390000001</v>
      </c>
      <c r="F15">
        <v>74.27</v>
      </c>
      <c r="G15">
        <v>142974.20748619901</v>
      </c>
      <c r="H15" t="s">
        <v>78</v>
      </c>
      <c r="I15" t="s">
        <v>10</v>
      </c>
      <c r="J15" t="s">
        <v>418</v>
      </c>
      <c r="K15" t="s">
        <v>297</v>
      </c>
    </row>
    <row r="16" spans="1:11" x14ac:dyDescent="0.35">
      <c r="A16">
        <v>376496</v>
      </c>
      <c r="B16" t="s">
        <v>196</v>
      </c>
      <c r="C16">
        <v>43864</v>
      </c>
      <c r="D16" t="s">
        <v>8</v>
      </c>
      <c r="E16">
        <v>23570138.850000001</v>
      </c>
      <c r="F16">
        <v>74.27</v>
      </c>
      <c r="G16">
        <v>317357.46398276562</v>
      </c>
      <c r="H16" t="s">
        <v>78</v>
      </c>
      <c r="I16" t="s">
        <v>10</v>
      </c>
      <c r="J16" t="s">
        <v>429</v>
      </c>
      <c r="K16" t="s">
        <v>297</v>
      </c>
    </row>
    <row r="17" spans="1:11" x14ac:dyDescent="0.35">
      <c r="A17">
        <v>375629</v>
      </c>
      <c r="B17" t="s">
        <v>212</v>
      </c>
      <c r="C17">
        <v>43864</v>
      </c>
      <c r="D17" t="s">
        <v>8</v>
      </c>
      <c r="E17">
        <v>7507370</v>
      </c>
      <c r="F17">
        <v>74.27</v>
      </c>
      <c r="G17">
        <v>101082.13275885284</v>
      </c>
      <c r="H17" t="s">
        <v>122</v>
      </c>
      <c r="I17" t="s">
        <v>10</v>
      </c>
      <c r="J17" t="s">
        <v>371</v>
      </c>
      <c r="K17" t="s">
        <v>297</v>
      </c>
    </row>
    <row r="18" spans="1:11" x14ac:dyDescent="0.35">
      <c r="A18">
        <v>373350</v>
      </c>
      <c r="B18" t="s">
        <v>232</v>
      </c>
      <c r="C18">
        <v>43864</v>
      </c>
      <c r="D18" t="s">
        <v>8</v>
      </c>
      <c r="E18">
        <v>20695116.440000001</v>
      </c>
      <c r="F18">
        <v>74.27</v>
      </c>
      <c r="G18">
        <v>278647.05049145012</v>
      </c>
      <c r="H18" t="s">
        <v>99</v>
      </c>
      <c r="I18" t="s">
        <v>10</v>
      </c>
      <c r="J18" t="s">
        <v>448</v>
      </c>
      <c r="K18" t="s">
        <v>297</v>
      </c>
    </row>
    <row r="19" spans="1:11" x14ac:dyDescent="0.35">
      <c r="A19">
        <v>372957</v>
      </c>
      <c r="B19" t="s">
        <v>233</v>
      </c>
      <c r="C19">
        <v>43864</v>
      </c>
      <c r="D19" t="s">
        <v>8</v>
      </c>
      <c r="E19">
        <v>41030104.329999998</v>
      </c>
      <c r="F19">
        <v>74.27</v>
      </c>
      <c r="G19">
        <v>552445.19092500338</v>
      </c>
      <c r="H19" t="s">
        <v>234</v>
      </c>
      <c r="I19" t="s">
        <v>10</v>
      </c>
      <c r="J19" t="s">
        <v>449</v>
      </c>
      <c r="K19" t="s">
        <v>297</v>
      </c>
    </row>
    <row r="20" spans="1:11" x14ac:dyDescent="0.35">
      <c r="A20">
        <v>372776</v>
      </c>
      <c r="B20" t="s">
        <v>235</v>
      </c>
      <c r="C20">
        <v>43864</v>
      </c>
      <c r="D20" t="s">
        <v>8</v>
      </c>
      <c r="E20">
        <v>16630326.02</v>
      </c>
      <c r="F20">
        <v>74.27</v>
      </c>
      <c r="G20">
        <v>223917.14043355326</v>
      </c>
      <c r="H20" t="s">
        <v>26</v>
      </c>
      <c r="I20" t="s">
        <v>10</v>
      </c>
      <c r="J20" t="s">
        <v>450</v>
      </c>
      <c r="K20" t="s">
        <v>297</v>
      </c>
    </row>
    <row r="21" spans="1:11" x14ac:dyDescent="0.35">
      <c r="A21">
        <v>359965</v>
      </c>
      <c r="B21" t="s">
        <v>260</v>
      </c>
      <c r="C21">
        <v>43864</v>
      </c>
      <c r="D21" t="s">
        <v>8</v>
      </c>
      <c r="E21">
        <v>45962912.630000003</v>
      </c>
      <c r="F21">
        <v>74.27</v>
      </c>
      <c r="G21">
        <v>618862.42937929183</v>
      </c>
      <c r="H21" t="s">
        <v>261</v>
      </c>
      <c r="I21" t="s">
        <v>10</v>
      </c>
      <c r="J21" t="s">
        <v>457</v>
      </c>
      <c r="K21" t="s">
        <v>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04826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289</v>
      </c>
      <c r="G1" t="s">
        <v>288</v>
      </c>
      <c r="H1" t="s">
        <v>5</v>
      </c>
      <c r="I1" t="s">
        <v>6</v>
      </c>
      <c r="J1" t="s">
        <v>286</v>
      </c>
      <c r="K1" t="s">
        <v>287</v>
      </c>
    </row>
    <row r="2" spans="1:11" x14ac:dyDescent="0.35">
      <c r="A2">
        <v>377198</v>
      </c>
      <c r="B2" t="s">
        <v>45</v>
      </c>
      <c r="C2">
        <v>43864</v>
      </c>
      <c r="D2" t="s">
        <v>8</v>
      </c>
      <c r="E2">
        <v>26275795</v>
      </c>
      <c r="F2">
        <v>74.27</v>
      </c>
      <c r="G2">
        <v>353787.46465598495</v>
      </c>
      <c r="H2" t="s">
        <v>46</v>
      </c>
      <c r="I2" t="s">
        <v>10</v>
      </c>
      <c r="J2" t="s">
        <v>318</v>
      </c>
      <c r="K2" t="s">
        <v>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XFD104827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289</v>
      </c>
      <c r="G1" t="s">
        <v>288</v>
      </c>
      <c r="H1" t="s">
        <v>5</v>
      </c>
      <c r="I1" t="s">
        <v>6</v>
      </c>
      <c r="J1" t="s">
        <v>286</v>
      </c>
      <c r="K1" t="s">
        <v>287</v>
      </c>
    </row>
    <row r="2" spans="1:11" x14ac:dyDescent="0.35">
      <c r="A2">
        <v>377230</v>
      </c>
      <c r="B2" t="s">
        <v>27</v>
      </c>
      <c r="C2">
        <v>43864</v>
      </c>
      <c r="D2" t="s">
        <v>8</v>
      </c>
      <c r="E2">
        <v>4532359.16</v>
      </c>
      <c r="F2">
        <v>74.27</v>
      </c>
      <c r="G2">
        <v>61025.436380772859</v>
      </c>
      <c r="H2" t="s">
        <v>28</v>
      </c>
      <c r="I2" t="s">
        <v>29</v>
      </c>
      <c r="J2" t="s">
        <v>303</v>
      </c>
      <c r="K2" t="s">
        <v>304</v>
      </c>
    </row>
    <row r="3" spans="1:11" x14ac:dyDescent="0.35">
      <c r="A3">
        <v>377228</v>
      </c>
      <c r="B3" t="s">
        <v>27</v>
      </c>
      <c r="C3">
        <v>43864</v>
      </c>
      <c r="D3" t="s">
        <v>8</v>
      </c>
      <c r="E3">
        <v>1800888.18</v>
      </c>
      <c r="F3">
        <v>74.27</v>
      </c>
      <c r="G3">
        <v>24247.854853911405</v>
      </c>
      <c r="H3" t="s">
        <v>28</v>
      </c>
      <c r="I3" t="s">
        <v>29</v>
      </c>
      <c r="J3" t="s">
        <v>305</v>
      </c>
      <c r="K3" t="s">
        <v>306</v>
      </c>
    </row>
    <row r="4" spans="1:11" x14ac:dyDescent="0.35">
      <c r="A4">
        <v>376958</v>
      </c>
      <c r="B4" t="s">
        <v>129</v>
      </c>
      <c r="C4">
        <v>43864</v>
      </c>
      <c r="D4" t="s">
        <v>8</v>
      </c>
      <c r="E4">
        <v>144687.29</v>
      </c>
      <c r="F4">
        <v>74.27</v>
      </c>
      <c r="G4">
        <v>1948.125622727885</v>
      </c>
      <c r="H4" t="s">
        <v>130</v>
      </c>
      <c r="I4" t="s">
        <v>29</v>
      </c>
      <c r="J4" t="s">
        <v>375</v>
      </c>
      <c r="K4" t="s">
        <v>297</v>
      </c>
    </row>
    <row r="5" spans="1:11" x14ac:dyDescent="0.35">
      <c r="A5">
        <v>376932</v>
      </c>
      <c r="B5" t="s">
        <v>129</v>
      </c>
      <c r="C5">
        <v>43864</v>
      </c>
      <c r="D5" t="s">
        <v>8</v>
      </c>
      <c r="E5">
        <v>1523996.11</v>
      </c>
      <c r="F5">
        <v>74.27</v>
      </c>
      <c r="G5">
        <v>20519.672950047127</v>
      </c>
      <c r="H5" t="s">
        <v>130</v>
      </c>
      <c r="I5" t="s">
        <v>29</v>
      </c>
      <c r="J5" t="s">
        <v>387</v>
      </c>
      <c r="K5" t="s">
        <v>297</v>
      </c>
    </row>
    <row r="6" spans="1:11" x14ac:dyDescent="0.35">
      <c r="A6">
        <v>376522</v>
      </c>
      <c r="B6" t="s">
        <v>27</v>
      </c>
      <c r="C6">
        <v>43864</v>
      </c>
      <c r="D6" t="s">
        <v>8</v>
      </c>
      <c r="E6">
        <v>6586158.7800000003</v>
      </c>
      <c r="F6">
        <v>74.27</v>
      </c>
      <c r="G6">
        <v>88678.588662986411</v>
      </c>
      <c r="H6" t="s">
        <v>28</v>
      </c>
      <c r="I6" t="s">
        <v>29</v>
      </c>
      <c r="J6" t="s">
        <v>428</v>
      </c>
      <c r="K6" t="s">
        <v>304</v>
      </c>
    </row>
    <row r="7" spans="1:11" x14ac:dyDescent="0.35">
      <c r="A7">
        <v>376250</v>
      </c>
      <c r="B7" t="s">
        <v>201</v>
      </c>
      <c r="C7">
        <v>43864</v>
      </c>
      <c r="D7" t="s">
        <v>8</v>
      </c>
      <c r="E7">
        <v>136333.84</v>
      </c>
      <c r="F7">
        <v>74.27</v>
      </c>
      <c r="G7">
        <v>1835.6515416722768</v>
      </c>
      <c r="H7" t="s">
        <v>19</v>
      </c>
      <c r="I7" t="s">
        <v>29</v>
      </c>
      <c r="J7" t="s">
        <v>432</v>
      </c>
      <c r="K7" t="s">
        <v>297</v>
      </c>
    </row>
    <row r="8" spans="1:11" x14ac:dyDescent="0.35">
      <c r="A8">
        <v>375542</v>
      </c>
      <c r="B8" t="s">
        <v>215</v>
      </c>
      <c r="C8">
        <v>43864</v>
      </c>
      <c r="D8" t="s">
        <v>8</v>
      </c>
      <c r="E8">
        <v>395339.05</v>
      </c>
      <c r="F8">
        <v>74.27</v>
      </c>
      <c r="G8">
        <v>5322.9978456981289</v>
      </c>
      <c r="H8" t="s">
        <v>216</v>
      </c>
      <c r="I8" t="s">
        <v>29</v>
      </c>
      <c r="J8" t="s">
        <v>441</v>
      </c>
      <c r="K8" t="s">
        <v>293</v>
      </c>
    </row>
    <row r="9" spans="1:11" x14ac:dyDescent="0.35">
      <c r="A9">
        <v>337446</v>
      </c>
      <c r="B9" t="s">
        <v>271</v>
      </c>
      <c r="C9">
        <v>43864</v>
      </c>
      <c r="D9" t="s">
        <v>8</v>
      </c>
      <c r="E9">
        <v>38987.269999999997</v>
      </c>
      <c r="F9">
        <v>74.27</v>
      </c>
      <c r="G9">
        <v>524.9396795475966</v>
      </c>
      <c r="H9" t="s">
        <v>17</v>
      </c>
      <c r="I9" t="s">
        <v>29</v>
      </c>
      <c r="J9" t="s">
        <v>328</v>
      </c>
      <c r="K9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requisition_header_list</vt:lpstr>
      <vt:lpstr>$250K</vt:lpstr>
      <vt:lpstr>$100k Consulting</vt:lpstr>
      <vt:lpstr>Foreign Currency</vt:lpstr>
      <vt:lpstr>Projects</vt:lpstr>
      <vt:lpstr>PII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Chethan H R (c)</cp:lastModifiedBy>
  <dcterms:created xsi:type="dcterms:W3CDTF">2022-04-28T05:24:05Z</dcterms:created>
  <dcterms:modified xsi:type="dcterms:W3CDTF">2022-04-28T05:24:05Z</dcterms:modified>
</cp:coreProperties>
</file>