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s" sheetId="1" r:id="rId4"/>
    <sheet state="visible" name="googleguice" sheetId="2" r:id="rId5"/>
    <sheet state="visible" name="googleguava" sheetId="3" r:id="rId6"/>
    <sheet state="visible" name="googlegoogle-java-format" sheetId="4" r:id="rId7"/>
    <sheet state="visible" name="cqfnrio" sheetId="5" r:id="rId8"/>
    <sheet state="visible" name="googlegson" sheetId="6" r:id="rId9"/>
    <sheet state="visible" name="cqfnbroken-xml" sheetId="7" r:id="rId10"/>
    <sheet state="visible" name="jenkins" sheetId="8" r:id="rId11"/>
    <sheet state="visible" name="yegor256cactoos" sheetId="9" r:id="rId12"/>
    <sheet state="visible" name="yegor256xembly" sheetId="10" r:id="rId13"/>
  </sheets>
  <definedNames/>
  <calcPr/>
</workbook>
</file>

<file path=xl/sharedStrings.xml><?xml version="1.0" encoding="utf-8"?>
<sst xmlns="http://schemas.openxmlformats.org/spreadsheetml/2006/main" count="1913" uniqueCount="35">
  <si>
    <t>repository name</t>
  </si>
  <si>
    <t>metric CQFN</t>
  </si>
  <si>
    <t>Average CQFN</t>
  </si>
  <si>
    <t>metric HSE</t>
  </si>
  <si>
    <t>Average HSE</t>
  </si>
  <si>
    <t>HSE / CQFN</t>
  </si>
  <si>
    <t>Average HSE / CQFN</t>
  </si>
  <si>
    <t>experiment #</t>
  </si>
  <si>
    <t>execution time CQFN</t>
  </si>
  <si>
    <t>execution time HSE</t>
  </si>
  <si>
    <t>guice</t>
  </si>
  <si>
    <t>LCOM</t>
  </si>
  <si>
    <t>EO_LCOM1</t>
  </si>
  <si>
    <t>AVG (HSE/CQFN)</t>
  </si>
  <si>
    <t>slower</t>
  </si>
  <si>
    <t>LCOM2</t>
  </si>
  <si>
    <t>EO_LCOM2</t>
  </si>
  <si>
    <t>LCOM3</t>
  </si>
  <si>
    <t>EO_LCOM3</t>
  </si>
  <si>
    <t>TCC</t>
  </si>
  <si>
    <t>EO_TCC</t>
  </si>
  <si>
    <t>LCC</t>
  </si>
  <si>
    <t>EO_LCC</t>
  </si>
  <si>
    <t>CAMC</t>
  </si>
  <si>
    <t>EO_CAMC</t>
  </si>
  <si>
    <t>NHD</t>
  </si>
  <si>
    <t>EO_NHD</t>
  </si>
  <si>
    <t>guava</t>
  </si>
  <si>
    <t>google-java-format</t>
  </si>
  <si>
    <t>rio</t>
  </si>
  <si>
    <t>gson</t>
  </si>
  <si>
    <t>broken-xml</t>
  </si>
  <si>
    <t>jenkins</t>
  </si>
  <si>
    <t>cactoos</t>
  </si>
  <si>
    <t>xembly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</si>
</sst>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u/>
      <color theme="1"/>
      <name val="Arial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2" numFmtId="0" xfId="0" applyAlignment="1" applyFont="1">
      <alignment readingOrder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3" numFmtId="0" xfId="0" applyAlignment="1" applyBorder="1" applyFont="1">
      <alignment readingOrder="0"/>
    </xf>
    <xf borderId="7" fillId="0" fontId="2" numFmtId="0" xfId="0" applyBorder="1" applyFont="1"/>
    <xf borderId="0" fillId="0" fontId="2" numFmtId="10" xfId="0" applyFont="1" applyNumberFormat="1"/>
    <xf borderId="0" fillId="0" fontId="2" numFmtId="0" xfId="0" applyFont="1"/>
    <xf borderId="8" fillId="0" fontId="2" numFmtId="0" xfId="0" applyBorder="1" applyFont="1"/>
  </cellXfs>
  <cellStyles count="1">
    <cellStyle xfId="0" name="Normal" builtinId="0"/>
  </cellStyles>
  <dxfs count="3">
    <dxf>
      <font/>
      <fill>
        <patternFill patternType="solid">
          <fgColor theme="5"/>
          <bgColor theme="5"/>
        </patternFill>
      </fill>
      <border/>
    </dxf>
    <dxf>
      <font>
        <color rgb="FF000000"/>
      </font>
      <fill>
        <patternFill patternType="solid">
          <fgColor rgb="FFEA4335"/>
          <bgColor rgb="FFEA4335"/>
        </patternFill>
      </fill>
      <border/>
    </dxf>
    <dxf>
      <font>
        <color theme="1"/>
      </font>
      <fill>
        <patternFill patternType="solid">
          <fgColor theme="5"/>
          <bgColor theme="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0"/>
    <col customWidth="1" min="2" max="2" width="12.71"/>
    <col customWidth="1" min="3" max="3" width="14.57"/>
    <col customWidth="1" min="4" max="4" width="11.57"/>
    <col customWidth="1" min="5" max="5" width="13.0"/>
    <col customWidth="1" min="6" max="6" width="12.29"/>
    <col customWidth="1" min="12" max="12" width="20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3" t="str">
        <f>cqfnrio!$A$2</f>
        <v>rio</v>
      </c>
      <c r="B2" s="3" t="str">
        <f>cqfnrio!H3</f>
        <v>LCOM</v>
      </c>
      <c r="C2" s="3">
        <f>cqfnrio!I3</f>
        <v>2.933101416</v>
      </c>
      <c r="D2" s="3" t="str">
        <f>cqfnrio!J3</f>
        <v>EO_LCOM1</v>
      </c>
      <c r="E2" s="3">
        <f>cqfnrio!K3</f>
        <v>3.245975018</v>
      </c>
      <c r="F2" s="3">
        <f>cqfnrio!L3</f>
        <v>1.106669889</v>
      </c>
      <c r="H2" s="2" t="s">
        <v>1</v>
      </c>
      <c r="I2" s="2" t="s">
        <v>2</v>
      </c>
      <c r="J2" s="2" t="s">
        <v>3</v>
      </c>
      <c r="K2" s="2" t="s">
        <v>4</v>
      </c>
      <c r="L2" s="2" t="s">
        <v>6</v>
      </c>
    </row>
    <row r="3">
      <c r="A3" s="3" t="str">
        <f>cqfnrio!$A$2</f>
        <v>rio</v>
      </c>
      <c r="B3" s="3" t="str">
        <f>cqfnrio!H4</f>
        <v>LCOM2</v>
      </c>
      <c r="C3" s="3">
        <f>cqfnrio!I4</f>
        <v>2.930070376</v>
      </c>
      <c r="D3" s="3" t="str">
        <f>cqfnrio!J4</f>
        <v>EO_LCOM2</v>
      </c>
      <c r="E3" s="3">
        <f>cqfnrio!K4</f>
        <v>3.269466186</v>
      </c>
      <c r="F3" s="3">
        <f>cqfnrio!L4</f>
        <v>1.115831965</v>
      </c>
      <c r="H3" s="3" t="str">
        <f>IFERROR(__xludf.DUMMYFUNCTION("unique(B2:B1000)"),"LCOM")</f>
        <v>LCOM</v>
      </c>
      <c r="I3" s="3">
        <f>IFERROR(__xludf.DUMMYFUNCTION("sum(query(B:C, ""select avg(C) where B='""&amp;$H3&amp;""'""))"),9.82955921755895)</f>
        <v>9.829559218</v>
      </c>
      <c r="J3" s="3" t="str">
        <f>IFERROR(__xludf.DUMMYFUNCTION("unique(D2:D1000)"),"EO_LCOM1")</f>
        <v>EO_LCOM1</v>
      </c>
      <c r="K3" s="3">
        <f>IFERROR(__xludf.DUMMYFUNCTION("sum(query(D:E, ""select avg(E) where D='""&amp;$J3&amp;""' and E != -1""))"),13.363834127783749)</f>
        <v>13.36383413</v>
      </c>
      <c r="L3" s="3">
        <f>IFERROR(__xludf.DUMMYFUNCTION("sum(query(D:F, ""select avg(F) where D='""&amp;$J3&amp;""' and F != -1""))"),1.4586688501065472)</f>
        <v>1.45866885</v>
      </c>
    </row>
    <row r="4">
      <c r="A4" s="3" t="str">
        <f>cqfnrio!$A$2</f>
        <v>rio</v>
      </c>
      <c r="B4" s="3" t="str">
        <f>cqfnrio!H5</f>
        <v>LCOM3</v>
      </c>
      <c r="C4" s="3">
        <f>cqfnrio!I5</f>
        <v>2.958978605</v>
      </c>
      <c r="D4" s="3" t="str">
        <f>cqfnrio!J5</f>
        <v>EO_LCOM3</v>
      </c>
      <c r="E4" s="3">
        <f>cqfnrio!K5</f>
        <v>3.281973624</v>
      </c>
      <c r="F4" s="3">
        <f>cqfnrio!L5</f>
        <v>1.109157605</v>
      </c>
      <c r="H4" s="3" t="str">
        <f>IFERROR(__xludf.DUMMYFUNCTION("""COMPUTED_VALUE"""),"LCOM2")</f>
        <v>LCOM2</v>
      </c>
      <c r="I4" s="3">
        <f>IFERROR(__xludf.DUMMYFUNCTION("sum(query(B:C, ""select avg(C) where B='""&amp;$H4&amp;""'""))"),9.54272484514447)</f>
        <v>9.542724845</v>
      </c>
      <c r="J4" s="3" t="str">
        <f>IFERROR(__xludf.DUMMYFUNCTION("""COMPUTED_VALUE"""),"EO_LCOM2")</f>
        <v>EO_LCOM2</v>
      </c>
      <c r="K4" s="3">
        <f>IFERROR(__xludf.DUMMYFUNCTION("sum(query(D:E, ""select avg(E) where D='""&amp;$J4&amp;""' and E != -1""))"),18.25637431939441)</f>
        <v>18.25637432</v>
      </c>
      <c r="L4" s="3">
        <f>IFERROR(__xludf.DUMMYFUNCTION("sum(query(D:F, ""select avg(F) where D='""&amp;$J4&amp;""' and F != -1""))"),1.5350589502166834)</f>
        <v>1.53505895</v>
      </c>
    </row>
    <row r="5">
      <c r="A5" s="3" t="str">
        <f>cqfnrio!$A$2</f>
        <v>rio</v>
      </c>
      <c r="B5" s="3" t="str">
        <f>cqfnrio!H6</f>
        <v>TCC</v>
      </c>
      <c r="C5" s="3">
        <f>cqfnrio!I6</f>
        <v>2.986430311</v>
      </c>
      <c r="D5" s="3" t="str">
        <f>cqfnrio!J6</f>
        <v>EO_TCC</v>
      </c>
      <c r="E5" s="3">
        <f>cqfnrio!K6</f>
        <v>3.301571417</v>
      </c>
      <c r="F5" s="3">
        <f>cqfnrio!L6</f>
        <v>1.105524346</v>
      </c>
      <c r="H5" s="3" t="str">
        <f>IFERROR(__xludf.DUMMYFUNCTION("""COMPUTED_VALUE"""),"LCOM3")</f>
        <v>LCOM3</v>
      </c>
      <c r="I5" s="3">
        <f>IFERROR(__xludf.DUMMYFUNCTION("sum(query(B:C, ""select avg(C) where B='""&amp;$H5&amp;""'""))"),9.562764109505533)</f>
        <v>9.56276411</v>
      </c>
      <c r="J5" s="3" t="str">
        <f>IFERROR(__xludf.DUMMYFUNCTION("""COMPUTED_VALUE"""),"EO_LCOM3")</f>
        <v>EO_LCOM3</v>
      </c>
      <c r="K5" s="3">
        <f>IFERROR(__xludf.DUMMYFUNCTION("sum(query(D:E, ""select avg(E) where D='""&amp;$J5&amp;""' and E != -1""))"),18.65881964895459)</f>
        <v>18.65881965</v>
      </c>
      <c r="L5" s="3">
        <f>IFERROR(__xludf.DUMMYFUNCTION("sum(query(D:F, ""select avg(F) where D='""&amp;$J5&amp;""' and F != -1""))"),1.54541559038123)</f>
        <v>1.54541559</v>
      </c>
    </row>
    <row r="6">
      <c r="A6" s="3" t="str">
        <f>cqfnrio!$A$2</f>
        <v>rio</v>
      </c>
      <c r="B6" s="3" t="str">
        <f>cqfnrio!H7</f>
        <v>LCC</v>
      </c>
      <c r="C6" s="3">
        <f>cqfnrio!I7</f>
        <v>3.00814209</v>
      </c>
      <c r="D6" s="3" t="str">
        <f>cqfnrio!J7</f>
        <v>EO_LCC</v>
      </c>
      <c r="E6" s="3">
        <f>cqfnrio!K7</f>
        <v>3.636467814</v>
      </c>
      <c r="F6" s="3">
        <f>cqfnrio!L7</f>
        <v>1.208875015</v>
      </c>
      <c r="H6" s="3" t="str">
        <f>IFERROR(__xludf.DUMMYFUNCTION("""COMPUTED_VALUE"""),"TCC")</f>
        <v>TCC</v>
      </c>
      <c r="I6" s="3">
        <f>IFERROR(__xludf.DUMMYFUNCTION("sum(query(B:C, ""select avg(C) where B='""&amp;$H6&amp;""'""))"),9.936601506339166)</f>
        <v>9.936601506</v>
      </c>
      <c r="J6" s="3" t="str">
        <f>IFERROR(__xludf.DUMMYFUNCTION("""COMPUTED_VALUE"""),"EO_TCC")</f>
        <v>EO_TCC</v>
      </c>
      <c r="K6" s="3">
        <f>IFERROR(__xludf.DUMMYFUNCTION("sum(query(D:E, ""select avg(E) where D='""&amp;$J6&amp;""' and E != -1""))"),12.05576443374154)</f>
        <v>12.05576443</v>
      </c>
      <c r="L6" s="3">
        <f>IFERROR(__xludf.DUMMYFUNCTION("sum(query(D:F, ""select avg(F) where D='""&amp;$J6&amp;""' and F != -1""))"),1.3331253978302637)</f>
        <v>1.333125398</v>
      </c>
    </row>
    <row r="7">
      <c r="A7" s="3" t="str">
        <f>cqfnrio!$A$2</f>
        <v>rio</v>
      </c>
      <c r="B7" s="3" t="str">
        <f>cqfnrio!H8</f>
        <v>CAMC</v>
      </c>
      <c r="C7" s="3">
        <f>cqfnrio!I8</f>
        <v>2.892634487</v>
      </c>
      <c r="D7" s="3" t="str">
        <f>cqfnrio!J8</f>
        <v>EO_CAMC</v>
      </c>
      <c r="E7" s="3">
        <f>cqfnrio!K8</f>
        <v>3.212618709</v>
      </c>
      <c r="F7" s="3">
        <f>cqfnrio!L8</f>
        <v>1.110620344</v>
      </c>
      <c r="H7" s="3" t="str">
        <f>IFERROR(__xludf.DUMMYFUNCTION("""COMPUTED_VALUE"""),"LCC")</f>
        <v>LCC</v>
      </c>
      <c r="I7" s="3">
        <f>IFERROR(__xludf.DUMMYFUNCTION("sum(query(B:C, ""select avg(C) where B='""&amp;$H7&amp;""'""))"),9.954998673333051)</f>
        <v>9.954998673</v>
      </c>
      <c r="J7" s="3" t="str">
        <f>IFERROR(__xludf.DUMMYFUNCTION("""COMPUTED_VALUE"""),"EO_LCC")</f>
        <v>EO_LCC</v>
      </c>
      <c r="K7" s="3">
        <f>IFERROR(__xludf.DUMMYFUNCTION("sum(query(D:E, ""select avg(E) where D='""&amp;$J7&amp;""' and E != -1""))"),61.451288652419905)</f>
        <v>61.45128865</v>
      </c>
      <c r="L7" s="3">
        <f>IFERROR(__xludf.DUMMYFUNCTION("sum(query(D:F, ""select avg(F) where D='""&amp;$J7&amp;""' and F != -1""))"),12.263403879034799)</f>
        <v>12.26340388</v>
      </c>
    </row>
    <row r="8">
      <c r="A8" s="3" t="str">
        <f>cqfnrio!$A$2</f>
        <v>rio</v>
      </c>
      <c r="B8" s="3" t="str">
        <f>cqfnrio!H9</f>
        <v>NHD</v>
      </c>
      <c r="C8" s="3">
        <f>cqfnrio!I9</f>
        <v>3.042537141</v>
      </c>
      <c r="D8" s="3" t="str">
        <f>cqfnrio!J9</f>
        <v>EO_NHD</v>
      </c>
      <c r="E8" s="3">
        <f>cqfnrio!K9</f>
        <v>3.290088701</v>
      </c>
      <c r="F8" s="3">
        <f>cqfnrio!L9</f>
        <v>1.081363529</v>
      </c>
      <c r="H8" s="3" t="str">
        <f>IFERROR(__xludf.DUMMYFUNCTION("""COMPUTED_VALUE"""),"CAMC")</f>
        <v>CAMC</v>
      </c>
      <c r="I8" s="3">
        <f>IFERROR(__xludf.DUMMYFUNCTION("sum(query(B:C, ""select avg(C) where B='""&amp;$H8&amp;""'""))"),9.484654471609312)</f>
        <v>9.484654472</v>
      </c>
      <c r="J8" s="3" t="str">
        <f>IFERROR(__xludf.DUMMYFUNCTION("""COMPUTED_VALUE"""),"EO_CAMC")</f>
        <v>EO_CAMC</v>
      </c>
      <c r="K8" s="3">
        <f>IFERROR(__xludf.DUMMYFUNCTION("sum(query(D:E, ""select avg(E) where D='""&amp;$J8&amp;""' and E != -1""))"),11.595553623305406)</f>
        <v>11.59555362</v>
      </c>
      <c r="L8" s="3">
        <f>IFERROR(__xludf.DUMMYFUNCTION("sum(query(D:F, ""select avg(F) where D='""&amp;$J8&amp;""' and F != -1""))"),1.1915160121978117)</f>
        <v>1.191516012</v>
      </c>
    </row>
    <row r="9">
      <c r="A9" s="3" t="str">
        <f>googlegson!$A$2</f>
        <v>gson</v>
      </c>
      <c r="B9" s="3" t="str">
        <f>googlegson!H3</f>
        <v>LCOM</v>
      </c>
      <c r="C9" s="3">
        <f>googlegson!I3</f>
        <v>9.588523412</v>
      </c>
      <c r="D9" s="3" t="str">
        <f>googlegson!J3</f>
        <v>EO_LCOM1</v>
      </c>
      <c r="E9" s="3">
        <f>googlegson!K3</f>
        <v>20.0149703</v>
      </c>
      <c r="F9" s="3">
        <f>googlegson!L3</f>
        <v>2.087388166</v>
      </c>
      <c r="H9" s="3" t="str">
        <f>IFERROR(__xludf.DUMMYFUNCTION("""COMPUTED_VALUE"""),"NHD")</f>
        <v>NHD</v>
      </c>
      <c r="I9" s="3">
        <f>IFERROR(__xludf.DUMMYFUNCTION("sum(query(B:C, ""select avg(C) where B='""&amp;$H9&amp;""'""))"),9.469443437788206)</f>
        <v>9.469443438</v>
      </c>
      <c r="J9" s="3" t="str">
        <f>IFERROR(__xludf.DUMMYFUNCTION("""COMPUTED_VALUE"""),"EO_NHD")</f>
        <v>EO_NHD</v>
      </c>
      <c r="K9" s="3">
        <f>IFERROR(__xludf.DUMMYFUNCTION("sum(query(D:E, ""select avg(E) where D='""&amp;$J9&amp;""' and E != -1""))"),11.71865169737072)</f>
        <v>11.7186517</v>
      </c>
      <c r="L9" s="3">
        <f>IFERROR(__xludf.DUMMYFUNCTION("sum(query(D:F, ""select avg(F) where D='""&amp;$J9&amp;""' and F != -1""))"),1.1959376340812031)</f>
        <v>1.195937634</v>
      </c>
    </row>
    <row r="10">
      <c r="A10" s="3" t="str">
        <f>googlegson!$A$2</f>
        <v>gson</v>
      </c>
      <c r="B10" s="3" t="str">
        <f>googlegson!H4</f>
        <v>LCOM2</v>
      </c>
      <c r="C10" s="3">
        <f>googlegson!I4</f>
        <v>9.018808293</v>
      </c>
      <c r="D10" s="3" t="str">
        <f>googlegson!J4</f>
        <v>EO_LCOM2</v>
      </c>
      <c r="E10" s="3">
        <f>googlegson!K4</f>
        <v>12.15699949</v>
      </c>
      <c r="F10" s="3">
        <f>googlegson!L4</f>
        <v>1.347960739</v>
      </c>
      <c r="H10" s="3"/>
      <c r="J10" s="3"/>
    </row>
    <row r="11">
      <c r="A11" s="3" t="str">
        <f>googlegson!$A$2</f>
        <v>gson</v>
      </c>
      <c r="B11" s="3" t="str">
        <f>googlegson!H5</f>
        <v>LCOM3</v>
      </c>
      <c r="C11" s="3">
        <f>googlegson!I5</f>
        <v>9.294581914</v>
      </c>
      <c r="D11" s="3" t="str">
        <f>googlegson!J5</f>
        <v>EO_LCOM3</v>
      </c>
      <c r="E11" s="3">
        <f>googlegson!K5</f>
        <v>12.19988844</v>
      </c>
      <c r="F11" s="3">
        <f>googlegson!L5</f>
        <v>1.312580658</v>
      </c>
    </row>
    <row r="12">
      <c r="A12" s="3" t="str">
        <f>googlegson!$A$2</f>
        <v>gson</v>
      </c>
      <c r="B12" s="3" t="str">
        <f>googlegson!H6</f>
        <v>TCC</v>
      </c>
      <c r="C12" s="3">
        <f>googlegson!I6</f>
        <v>9.577659488</v>
      </c>
      <c r="D12" s="3" t="str">
        <f>googlegson!J6</f>
        <v>EO_TCC</v>
      </c>
      <c r="E12" s="3">
        <f>googlegson!K6</f>
        <v>16.01909444</v>
      </c>
      <c r="F12" s="3">
        <f>googlegson!L6</f>
        <v>1.672547919</v>
      </c>
    </row>
    <row r="13">
      <c r="A13" s="3" t="str">
        <f>googlegson!$A$2</f>
        <v>gson</v>
      </c>
      <c r="B13" s="3" t="str">
        <f>googlegson!H7</f>
        <v>LCC</v>
      </c>
      <c r="C13" s="3">
        <f>googlegson!I7</f>
        <v>9.305973649</v>
      </c>
      <c r="D13" s="3" t="str">
        <f>googlegson!J7</f>
        <v>EO_LCC</v>
      </c>
      <c r="E13" s="3">
        <f>googlegson!K7</f>
        <v>-1</v>
      </c>
      <c r="F13" s="3">
        <f>googlegson!L7</f>
        <v>-1</v>
      </c>
    </row>
    <row r="14">
      <c r="A14" s="3" t="str">
        <f>googlegson!$A$2</f>
        <v>gson</v>
      </c>
      <c r="B14" s="3" t="str">
        <f>googlegson!H8</f>
        <v>CAMC</v>
      </c>
      <c r="C14" s="3">
        <f>googlegson!I8</f>
        <v>9.279319882</v>
      </c>
      <c r="D14" s="3" t="str">
        <f>googlegson!J8</f>
        <v>EO_CAMC</v>
      </c>
      <c r="E14" s="3">
        <f>googlegson!K8</f>
        <v>11.15777552</v>
      </c>
      <c r="F14" s="3">
        <f>googlegson!L8</f>
        <v>1.202434625</v>
      </c>
    </row>
    <row r="15">
      <c r="A15" s="3" t="str">
        <f>googlegson!$A$2</f>
        <v>gson</v>
      </c>
      <c r="B15" s="3" t="str">
        <f>googlegson!H9</f>
        <v>NHD</v>
      </c>
      <c r="C15" s="3">
        <f>googlegson!I9</f>
        <v>9.071305108</v>
      </c>
      <c r="D15" s="3" t="str">
        <f>googlegson!J9</f>
        <v>EO_NHD</v>
      </c>
      <c r="E15" s="3">
        <f>googlegson!K9</f>
        <v>10.90333118</v>
      </c>
      <c r="F15" s="3">
        <f>googlegson!L9</f>
        <v>1.201958379</v>
      </c>
    </row>
    <row r="16">
      <c r="A16" s="3" t="str">
        <f>'cqfnbroken-xml'!$A$2</f>
        <v>broken-xml</v>
      </c>
      <c r="B16" s="3" t="str">
        <f>'cqfnbroken-xml'!H3</f>
        <v>LCOM</v>
      </c>
      <c r="C16" s="3">
        <f>'cqfnbroken-xml'!I3</f>
        <v>2.680709291</v>
      </c>
      <c r="D16" s="3" t="str">
        <f>'cqfnbroken-xml'!J3</f>
        <v>EO_LCOM1</v>
      </c>
      <c r="E16" s="3">
        <f>'cqfnbroken-xml'!K3</f>
        <v>2.995375752</v>
      </c>
      <c r="F16" s="3">
        <f>'cqfnbroken-xml'!L3</f>
        <v>1.117381793</v>
      </c>
    </row>
    <row r="17">
      <c r="A17" s="3" t="str">
        <f>'cqfnbroken-xml'!$A$2</f>
        <v>broken-xml</v>
      </c>
      <c r="B17" s="3" t="str">
        <f>'cqfnbroken-xml'!H4</f>
        <v>LCOM2</v>
      </c>
      <c r="C17" s="3">
        <f>'cqfnbroken-xml'!I4</f>
        <v>2.580501652</v>
      </c>
      <c r="D17" s="3" t="str">
        <f>'cqfnbroken-xml'!J4</f>
        <v>EO_LCOM2</v>
      </c>
      <c r="E17" s="3">
        <f>'cqfnbroken-xml'!K4</f>
        <v>2.938000941</v>
      </c>
      <c r="F17" s="3">
        <f>'cqfnbroken-xml'!L4</f>
        <v>1.138538679</v>
      </c>
    </row>
    <row r="18">
      <c r="A18" s="3" t="str">
        <f>'cqfnbroken-xml'!$A$2</f>
        <v>broken-xml</v>
      </c>
      <c r="B18" s="3" t="str">
        <f>'cqfnbroken-xml'!H5</f>
        <v>LCOM3</v>
      </c>
      <c r="C18" s="3">
        <f>'cqfnbroken-xml'!I5</f>
        <v>2.649645495</v>
      </c>
      <c r="D18" s="3" t="str">
        <f>'cqfnbroken-xml'!J5</f>
        <v>EO_LCOM3</v>
      </c>
      <c r="E18" s="3">
        <f>'cqfnbroken-xml'!K5</f>
        <v>2.942917132</v>
      </c>
      <c r="F18" s="3">
        <f>'cqfnbroken-xml'!L5</f>
        <v>1.110683349</v>
      </c>
    </row>
    <row r="19">
      <c r="A19" s="3" t="str">
        <f>'cqfnbroken-xml'!$A$2</f>
        <v>broken-xml</v>
      </c>
      <c r="B19" s="3" t="str">
        <f>'cqfnbroken-xml'!H6</f>
        <v>TCC</v>
      </c>
      <c r="C19" s="3">
        <f>'cqfnbroken-xml'!I6</f>
        <v>2.686013508</v>
      </c>
      <c r="D19" s="3" t="str">
        <f>'cqfnbroken-xml'!J6</f>
        <v>EO_TCC</v>
      </c>
      <c r="E19" s="3">
        <f>'cqfnbroken-xml'!K6</f>
        <v>2.941151905</v>
      </c>
      <c r="F19" s="3">
        <f>'cqfnbroken-xml'!L6</f>
        <v>1.094987757</v>
      </c>
    </row>
    <row r="20">
      <c r="A20" s="3" t="str">
        <f>'cqfnbroken-xml'!$A$2</f>
        <v>broken-xml</v>
      </c>
      <c r="B20" s="3" t="str">
        <f>'cqfnbroken-xml'!H7</f>
        <v>LCC</v>
      </c>
      <c r="C20" s="3">
        <f>'cqfnbroken-xml'!I7</f>
        <v>2.643671775</v>
      </c>
      <c r="D20" s="3" t="str">
        <f>'cqfnbroken-xml'!J7</f>
        <v>EO_LCC</v>
      </c>
      <c r="E20" s="3">
        <f>'cqfnbroken-xml'!K7</f>
        <v>3.576726079</v>
      </c>
      <c r="F20" s="3">
        <f>'cqfnbroken-xml'!L7</f>
        <v>1.352938785</v>
      </c>
    </row>
    <row r="21">
      <c r="A21" s="3" t="str">
        <f>'cqfnbroken-xml'!$A$2</f>
        <v>broken-xml</v>
      </c>
      <c r="B21" s="3" t="str">
        <f>'cqfnbroken-xml'!H8</f>
        <v>CAMC</v>
      </c>
      <c r="C21" s="3">
        <f>'cqfnbroken-xml'!I8</f>
        <v>2.619603992</v>
      </c>
      <c r="D21" s="3" t="str">
        <f>'cqfnbroken-xml'!J8</f>
        <v>EO_CAMC</v>
      </c>
      <c r="E21" s="3">
        <f>'cqfnbroken-xml'!K8</f>
        <v>2.860248709</v>
      </c>
      <c r="F21" s="3">
        <f>'cqfnbroken-xml'!L8</f>
        <v>1.091863014</v>
      </c>
    </row>
    <row r="22">
      <c r="A22" s="3" t="str">
        <f>'cqfnbroken-xml'!$A$2</f>
        <v>broken-xml</v>
      </c>
      <c r="B22" s="3" t="str">
        <f>'cqfnbroken-xml'!H9</f>
        <v>NHD</v>
      </c>
      <c r="C22" s="3">
        <f>'cqfnbroken-xml'!I9</f>
        <v>2.671625233</v>
      </c>
      <c r="D22" s="3" t="str">
        <f>'cqfnbroken-xml'!J9</f>
        <v>EO_NHD</v>
      </c>
      <c r="E22" s="3">
        <f>'cqfnbroken-xml'!K9</f>
        <v>2.85835402</v>
      </c>
      <c r="F22" s="3">
        <f>'cqfnbroken-xml'!L9</f>
        <v>1.069893331</v>
      </c>
    </row>
    <row r="23">
      <c r="A23" s="3" t="str">
        <f>yegor256cactoos!$A$2</f>
        <v>cactoos</v>
      </c>
      <c r="B23" s="3" t="str">
        <f>yegor256cactoos!H3</f>
        <v>LCOM</v>
      </c>
      <c r="C23" s="3">
        <f>yegor256cactoos!I3</f>
        <v>5.536442637</v>
      </c>
      <c r="D23" s="3" t="str">
        <f>yegor256cactoos!J3</f>
        <v>EO_LCOM1</v>
      </c>
      <c r="E23" s="3">
        <f>yegor256cactoos!K3</f>
        <v>6.262463045</v>
      </c>
      <c r="F23" s="3">
        <f>yegor256cactoos!L3</f>
        <v>1.13113482</v>
      </c>
    </row>
    <row r="24">
      <c r="A24" s="3" t="str">
        <f>yegor256cactoos!$A$2</f>
        <v>cactoos</v>
      </c>
      <c r="B24" s="3" t="str">
        <f>yegor256cactoos!H4</f>
        <v>LCOM2</v>
      </c>
      <c r="C24" s="3">
        <f>yegor256cactoos!I4</f>
        <v>5.382644296</v>
      </c>
      <c r="D24" s="3" t="str">
        <f>yegor256cactoos!J4</f>
        <v>EO_LCOM2</v>
      </c>
      <c r="E24" s="3">
        <f>yegor256cactoos!K4</f>
        <v>6.069638467</v>
      </c>
      <c r="F24" s="3">
        <f>yegor256cactoos!L4</f>
        <v>1.127631352</v>
      </c>
    </row>
    <row r="25">
      <c r="A25" s="3" t="str">
        <f>yegor256cactoos!$A$2</f>
        <v>cactoos</v>
      </c>
      <c r="B25" s="3" t="str">
        <f>yegor256cactoos!H5</f>
        <v>LCOM3</v>
      </c>
      <c r="C25" s="3">
        <f>yegor256cactoos!I5</f>
        <v>5.418313169</v>
      </c>
      <c r="D25" s="3" t="str">
        <f>yegor256cactoos!J5</f>
        <v>EO_LCOM3</v>
      </c>
      <c r="E25" s="3">
        <f>yegor256cactoos!K5</f>
        <v>5.93018899</v>
      </c>
      <c r="F25" s="3">
        <f>yegor256cactoos!L5</f>
        <v>1.094471435</v>
      </c>
    </row>
    <row r="26">
      <c r="A26" s="3" t="str">
        <f>yegor256cactoos!$A$2</f>
        <v>cactoos</v>
      </c>
      <c r="B26" s="3" t="str">
        <f>yegor256cactoos!H6</f>
        <v>TCC</v>
      </c>
      <c r="C26" s="3">
        <f>yegor256cactoos!I6</f>
        <v>5.605653644</v>
      </c>
      <c r="D26" s="3" t="str">
        <f>yegor256cactoos!J6</f>
        <v>EO_TCC</v>
      </c>
      <c r="E26" s="3">
        <f>yegor256cactoos!K6</f>
        <v>6.45705471</v>
      </c>
      <c r="F26" s="3">
        <f>yegor256cactoos!L6</f>
        <v>1.151882567</v>
      </c>
    </row>
    <row r="27">
      <c r="A27" s="3" t="str">
        <f>yegor256cactoos!$A$2</f>
        <v>cactoos</v>
      </c>
      <c r="B27" s="3" t="str">
        <f>yegor256cactoos!H7</f>
        <v>LCC</v>
      </c>
      <c r="C27" s="3">
        <f>yegor256cactoos!I7</f>
        <v>5.75841372</v>
      </c>
      <c r="D27" s="3" t="str">
        <f>yegor256cactoos!J7</f>
        <v>EO_LCC</v>
      </c>
      <c r="E27" s="3">
        <f>yegor256cactoos!K7</f>
        <v>188.6890678</v>
      </c>
      <c r="F27" s="3">
        <f>yegor256cactoos!L7</f>
        <v>32.76754275</v>
      </c>
    </row>
    <row r="28">
      <c r="A28" s="3" t="str">
        <f>yegor256cactoos!$A$2</f>
        <v>cactoos</v>
      </c>
      <c r="B28" s="3" t="str">
        <f>yegor256cactoos!H8</f>
        <v>CAMC</v>
      </c>
      <c r="C28" s="3">
        <f>yegor256cactoos!I8</f>
        <v>5.316642976</v>
      </c>
      <c r="D28" s="3" t="str">
        <f>yegor256cactoos!J8</f>
        <v>EO_CAMC</v>
      </c>
      <c r="E28" s="3">
        <f>yegor256cactoos!K8</f>
        <v>6.071357298</v>
      </c>
      <c r="F28" s="3">
        <f>yegor256cactoos!L8</f>
        <v>1.14195317</v>
      </c>
    </row>
    <row r="29">
      <c r="A29" s="3" t="str">
        <f>yegor256cactoos!$A$2</f>
        <v>cactoos</v>
      </c>
      <c r="B29" s="3" t="str">
        <f>yegor256cactoos!H9</f>
        <v>NHD</v>
      </c>
      <c r="C29" s="3">
        <f>yegor256cactoos!I9</f>
        <v>5.392885756</v>
      </c>
      <c r="D29" s="3" t="str">
        <f>yegor256cactoos!J9</f>
        <v>EO_NHD</v>
      </c>
      <c r="E29" s="3">
        <f>yegor256cactoos!K9</f>
        <v>6.014827847</v>
      </c>
      <c r="F29" s="3">
        <f>yegor256cactoos!L9</f>
        <v>1.115326398</v>
      </c>
    </row>
    <row r="30">
      <c r="A30" s="3" t="str">
        <f>yegor256xembly!$A$2</f>
        <v>xembly</v>
      </c>
      <c r="B30" s="3" t="str">
        <f>yegor256xembly!H3</f>
        <v>LCOM</v>
      </c>
      <c r="C30" s="3">
        <f>yegor256xembly!I3</f>
        <v>3.457352757</v>
      </c>
      <c r="D30" s="3" t="str">
        <f>yegor256xembly!J3</f>
        <v>EO_LCOM1</v>
      </c>
      <c r="E30" s="3">
        <f>yegor256xembly!K3</f>
        <v>4.101216125</v>
      </c>
      <c r="F30" s="3">
        <f>yegor256xembly!L3</f>
        <v>1.186230163</v>
      </c>
    </row>
    <row r="31">
      <c r="A31" s="3" t="str">
        <f>yegor256xembly!$A$2</f>
        <v>xembly</v>
      </c>
      <c r="B31" s="3" t="str">
        <f>yegor256xembly!H4</f>
        <v>LCOM2</v>
      </c>
      <c r="C31" s="3">
        <f>yegor256xembly!I4</f>
        <v>3.412874556</v>
      </c>
      <c r="D31" s="3" t="str">
        <f>yegor256xembly!J4</f>
        <v>EO_LCOM2</v>
      </c>
      <c r="E31" s="3">
        <f>yegor256xembly!K4</f>
        <v>4.28406148</v>
      </c>
      <c r="F31" s="3">
        <f>yegor256xembly!L4</f>
        <v>1.255264854</v>
      </c>
    </row>
    <row r="32">
      <c r="A32" s="3" t="str">
        <f>yegor256xembly!$A$2</f>
        <v>xembly</v>
      </c>
      <c r="B32" s="3" t="str">
        <f>yegor256xembly!H5</f>
        <v>LCOM3</v>
      </c>
      <c r="C32" s="3">
        <f>yegor256xembly!I5</f>
        <v>3.46770339</v>
      </c>
      <c r="D32" s="3" t="str">
        <f>yegor256xembly!J5</f>
        <v>EO_LCOM3</v>
      </c>
      <c r="E32" s="3">
        <f>yegor256xembly!K5</f>
        <v>4.258595896</v>
      </c>
      <c r="F32" s="3">
        <f>yegor256xembly!L5</f>
        <v>1.228073862</v>
      </c>
    </row>
    <row r="33">
      <c r="A33" s="3" t="str">
        <f>yegor256xembly!$A$2</f>
        <v>xembly</v>
      </c>
      <c r="B33" s="3" t="str">
        <f>yegor256xembly!H6</f>
        <v>TCC</v>
      </c>
      <c r="C33" s="3">
        <f>yegor256xembly!I6</f>
        <v>3.544755149</v>
      </c>
      <c r="D33" s="3" t="str">
        <f>yegor256xembly!J6</f>
        <v>EO_TCC</v>
      </c>
      <c r="E33" s="3">
        <f>yegor256xembly!K6</f>
        <v>4.182288003</v>
      </c>
      <c r="F33" s="3">
        <f>yegor256xembly!L6</f>
        <v>1.179852438</v>
      </c>
    </row>
    <row r="34">
      <c r="A34" s="3" t="str">
        <f>yegor256xembly!$A$2</f>
        <v>xembly</v>
      </c>
      <c r="B34" s="3" t="str">
        <f>yegor256xembly!H7</f>
        <v>LCC</v>
      </c>
      <c r="C34" s="3">
        <f>yegor256xembly!I7</f>
        <v>3.636108375</v>
      </c>
      <c r="D34" s="3" t="str">
        <f>yegor256xembly!J7</f>
        <v>EO_LCC</v>
      </c>
      <c r="E34" s="3">
        <f>yegor256xembly!K7</f>
        <v>49.90289295</v>
      </c>
      <c r="F34" s="3">
        <f>yegor256xembly!L7</f>
        <v>13.72425896</v>
      </c>
    </row>
    <row r="35">
      <c r="A35" s="3" t="str">
        <f>yegor256xembly!$A$2</f>
        <v>xembly</v>
      </c>
      <c r="B35" s="3" t="str">
        <f>yegor256xembly!H8</f>
        <v>CAMC</v>
      </c>
      <c r="C35" s="3">
        <f>yegor256xembly!I8</f>
        <v>3.459295249</v>
      </c>
      <c r="D35" s="3" t="str">
        <f>yegor256xembly!J8</f>
        <v>EO_CAMC</v>
      </c>
      <c r="E35" s="3">
        <f>yegor256xembly!K8</f>
        <v>3.868792653</v>
      </c>
      <c r="F35" s="3">
        <f>yegor256xembly!L8</f>
        <v>1.118375962</v>
      </c>
    </row>
    <row r="36">
      <c r="A36" s="3" t="str">
        <f>yegor256xembly!$A$2</f>
        <v>xembly</v>
      </c>
      <c r="B36" s="3" t="str">
        <f>yegor256xembly!H9</f>
        <v>NHD</v>
      </c>
      <c r="C36" s="3">
        <f>yegor256xembly!I9</f>
        <v>3.516944623</v>
      </c>
      <c r="D36" s="3" t="str">
        <f>yegor256xembly!J9</f>
        <v>EO_NHD</v>
      </c>
      <c r="E36" s="3">
        <f>yegor256xembly!K9</f>
        <v>4.144295406</v>
      </c>
      <c r="F36" s="3">
        <f>yegor256xembly!L9</f>
        <v>1.178379489</v>
      </c>
    </row>
    <row r="37">
      <c r="A37" s="3" t="str">
        <f>'googlegoogle-java-format'!$A$2</f>
        <v>google-java-format</v>
      </c>
      <c r="B37" s="3" t="str">
        <f>'googlegoogle-java-format'!H3</f>
        <v>LCOM</v>
      </c>
      <c r="C37" s="3">
        <f>'googlegoogle-java-format'!I3</f>
        <v>6.8989501</v>
      </c>
      <c r="D37" s="3" t="str">
        <f>'googlegoogle-java-format'!J3</f>
        <v>EO_LCOM1</v>
      </c>
      <c r="E37" s="3">
        <f>'googlegoogle-java-format'!K3</f>
        <v>12.26070285</v>
      </c>
      <c r="F37" s="3">
        <f>'googlegoogle-java-format'!L3</f>
        <v>1.777183872</v>
      </c>
    </row>
    <row r="38">
      <c r="A38" s="3" t="str">
        <f>'googlegoogle-java-format'!$A$2</f>
        <v>google-java-format</v>
      </c>
      <c r="B38" s="3" t="str">
        <f>'googlegoogle-java-format'!H4</f>
        <v>LCOM2</v>
      </c>
      <c r="C38" s="3">
        <f>'googlegoogle-java-format'!I4</f>
        <v>6.548145032</v>
      </c>
      <c r="D38" s="3" t="str">
        <f>'googlegoogle-java-format'!J4</f>
        <v>EO_LCOM2</v>
      </c>
      <c r="E38" s="3">
        <f>'googlegoogle-java-format'!K4</f>
        <v>9.12882328</v>
      </c>
      <c r="F38" s="3">
        <f>'googlegoogle-java-format'!L4</f>
        <v>1.394108291</v>
      </c>
    </row>
    <row r="39">
      <c r="A39" s="3" t="str">
        <f>'googlegoogle-java-format'!$A$2</f>
        <v>google-java-format</v>
      </c>
      <c r="B39" s="3" t="str">
        <f>'googlegoogle-java-format'!H5</f>
        <v>LCOM3</v>
      </c>
      <c r="C39" s="3">
        <f>'googlegoogle-java-format'!I5</f>
        <v>6.588100481</v>
      </c>
      <c r="D39" s="3" t="str">
        <f>'googlegoogle-java-format'!J5</f>
        <v>EO_LCOM3</v>
      </c>
      <c r="E39" s="3">
        <f>'googlegoogle-java-format'!K5</f>
        <v>9.186386037</v>
      </c>
      <c r="F39" s="3">
        <f>'googlegoogle-java-format'!L5</f>
        <v>1.394390699</v>
      </c>
    </row>
    <row r="40">
      <c r="A40" s="3" t="str">
        <f>'googlegoogle-java-format'!$A$2</f>
        <v>google-java-format</v>
      </c>
      <c r="B40" s="3" t="str">
        <f>'googlegoogle-java-format'!H6</f>
        <v>TCC</v>
      </c>
      <c r="C40" s="3">
        <f>'googlegoogle-java-format'!I6</f>
        <v>6.91207695</v>
      </c>
      <c r="D40" s="3" t="str">
        <f>'googlegoogle-java-format'!J6</f>
        <v>EO_TCC</v>
      </c>
      <c r="E40" s="3">
        <f>'googlegoogle-java-format'!K6</f>
        <v>10.53059473</v>
      </c>
      <c r="F40" s="3">
        <f>'googlegoogle-java-format'!L6</f>
        <v>1.523506582</v>
      </c>
    </row>
    <row r="41">
      <c r="A41" s="3" t="str">
        <f>'googlegoogle-java-format'!$A$2</f>
        <v>google-java-format</v>
      </c>
      <c r="B41" s="3" t="str">
        <f>'googlegoogle-java-format'!H7</f>
        <v>LCC</v>
      </c>
      <c r="C41" s="3">
        <f>'googlegoogle-java-format'!I7</f>
        <v>6.942795968</v>
      </c>
      <c r="D41" s="3" t="str">
        <f>'googlegoogle-java-format'!J7</f>
        <v>EO_LCC</v>
      </c>
      <c r="E41" s="3">
        <f>'googlegoogle-java-format'!K7</f>
        <v>-1</v>
      </c>
      <c r="F41" s="3">
        <f>'googlegoogle-java-format'!L7</f>
        <v>-1</v>
      </c>
    </row>
    <row r="42">
      <c r="A42" s="3" t="str">
        <f>'googlegoogle-java-format'!$A$2</f>
        <v>google-java-format</v>
      </c>
      <c r="B42" s="3" t="str">
        <f>'googlegoogle-java-format'!H8</f>
        <v>CAMC</v>
      </c>
      <c r="C42" s="3">
        <f>'googlegoogle-java-format'!I8</f>
        <v>6.4429775</v>
      </c>
      <c r="D42" s="3" t="str">
        <f>'googlegoogle-java-format'!J8</f>
        <v>EO_CAMC</v>
      </c>
      <c r="E42" s="3">
        <f>'googlegoogle-java-format'!K8</f>
        <v>8.751528692</v>
      </c>
      <c r="F42" s="3">
        <f>'googlegoogle-java-format'!L8</f>
        <v>1.358305022</v>
      </c>
    </row>
    <row r="43">
      <c r="A43" s="3" t="str">
        <f>'googlegoogle-java-format'!$A$2</f>
        <v>google-java-format</v>
      </c>
      <c r="B43" s="3" t="str">
        <f>'googlegoogle-java-format'!H9</f>
        <v>NHD</v>
      </c>
      <c r="C43" s="3">
        <f>'googlegoogle-java-format'!I9</f>
        <v>6.487771201</v>
      </c>
      <c r="D43" s="3" t="str">
        <f>'googlegoogle-java-format'!J9</f>
        <v>EO_NHD</v>
      </c>
      <c r="E43" s="3">
        <f>'googlegoogle-java-format'!K9</f>
        <v>8.648385978</v>
      </c>
      <c r="F43" s="3">
        <f>'googlegoogle-java-format'!L9</f>
        <v>1.333028818</v>
      </c>
    </row>
    <row r="44">
      <c r="A44" s="3" t="str">
        <f>googleguava!$A$2</f>
        <v>guava</v>
      </c>
      <c r="B44" s="3" t="str">
        <f>googleguava!H3</f>
        <v>LCOM</v>
      </c>
      <c r="C44" s="3">
        <f>googleguava!I3</f>
        <v>19.72788124</v>
      </c>
      <c r="D44" s="3" t="str">
        <f>googleguava!J3</f>
        <v>EO_LCOM1</v>
      </c>
      <c r="E44" s="3">
        <f>googleguava!K3</f>
        <v>33.64671805</v>
      </c>
      <c r="F44" s="3">
        <f>googleguava!L3</f>
        <v>1.705541393</v>
      </c>
    </row>
    <row r="45">
      <c r="A45" s="3" t="str">
        <f>googleguava!$A$2</f>
        <v>guava</v>
      </c>
      <c r="B45" s="3" t="str">
        <f>googleguava!H4</f>
        <v>LCOM2</v>
      </c>
      <c r="C45" s="3">
        <f>googleguava!I4</f>
        <v>19.41652284</v>
      </c>
      <c r="D45" s="3" t="str">
        <f>googleguava!J4</f>
        <v>EO_LCOM2</v>
      </c>
      <c r="E45" s="3">
        <f>googleguava!K4</f>
        <v>26.34026833</v>
      </c>
      <c r="F45" s="3">
        <f>googleguava!L4</f>
        <v>1.356590392</v>
      </c>
    </row>
    <row r="46">
      <c r="A46" s="3" t="str">
        <f>googleguava!$A$2</f>
        <v>guava</v>
      </c>
      <c r="B46" s="3" t="str">
        <f>googleguava!H5</f>
        <v>LCOM3</v>
      </c>
      <c r="C46" s="3">
        <f>googleguava!I5</f>
        <v>19.43815939</v>
      </c>
      <c r="D46" s="3" t="str">
        <f>googleguava!J5</f>
        <v>EO_LCOM3</v>
      </c>
      <c r="E46" s="3">
        <f>googleguava!K5</f>
        <v>26.46744926</v>
      </c>
      <c r="F46" s="3">
        <f>googleguava!L5</f>
        <v>1.361623224</v>
      </c>
    </row>
    <row r="47">
      <c r="A47" s="3" t="str">
        <f>googleguava!$A$2</f>
        <v>guava</v>
      </c>
      <c r="B47" s="3" t="str">
        <f>googleguava!H6</f>
        <v>TCC</v>
      </c>
      <c r="C47" s="3">
        <f>googleguava!I6</f>
        <v>20.12063608</v>
      </c>
      <c r="D47" s="3" t="str">
        <f>googleguava!J6</f>
        <v>EO_TCC</v>
      </c>
      <c r="E47" s="3">
        <f>googleguava!K6</f>
        <v>30.70516448</v>
      </c>
      <c r="F47" s="3">
        <f>googleguava!L6</f>
        <v>1.526053369</v>
      </c>
    </row>
    <row r="48">
      <c r="A48" s="3" t="str">
        <f>googleguava!$A$2</f>
        <v>guava</v>
      </c>
      <c r="B48" s="3" t="str">
        <f>googleguava!H7</f>
        <v>LCC</v>
      </c>
      <c r="C48" s="3">
        <f>googleguava!I7</f>
        <v>19.78492129</v>
      </c>
      <c r="D48" s="3" t="str">
        <f>googleguava!J7</f>
        <v>EO_LCC</v>
      </c>
      <c r="E48" s="3">
        <f>googleguava!K7</f>
        <v>-1</v>
      </c>
      <c r="F48" s="3">
        <f>googleguava!L7</f>
        <v>-1</v>
      </c>
    </row>
    <row r="49">
      <c r="A49" s="3" t="str">
        <f>googleguava!$A$2</f>
        <v>guava</v>
      </c>
      <c r="B49" s="3" t="str">
        <f>googleguava!H8</f>
        <v>CAMC</v>
      </c>
      <c r="C49" s="3">
        <f>googleguava!I8</f>
        <v>19.22448852</v>
      </c>
      <c r="D49" s="3" t="str">
        <f>googleguava!J8</f>
        <v>EO_CAMC</v>
      </c>
      <c r="E49" s="3">
        <f>googleguava!K8</f>
        <v>23.29836535</v>
      </c>
      <c r="F49" s="3">
        <f>googleguava!L8</f>
        <v>1.211910805</v>
      </c>
    </row>
    <row r="50">
      <c r="A50" s="3" t="str">
        <f>googleguava!$A$2</f>
        <v>guava</v>
      </c>
      <c r="B50" s="3" t="str">
        <f>googleguava!H9</f>
        <v>NHD</v>
      </c>
      <c r="C50" s="3">
        <f>googleguava!I9</f>
        <v>19.13157122</v>
      </c>
      <c r="D50" s="3" t="str">
        <f>googleguava!J9</f>
        <v>EO_NHD</v>
      </c>
      <c r="E50" s="3">
        <f>googleguava!K9</f>
        <v>23.56187158</v>
      </c>
      <c r="F50" s="3">
        <f>googleguava!L9</f>
        <v>1.231570126</v>
      </c>
    </row>
    <row r="51">
      <c r="A51" s="3" t="str">
        <f>googleguice!$A$2</f>
        <v>guice</v>
      </c>
      <c r="B51" s="3" t="str">
        <f>googleguice!H3</f>
        <v>LCOM</v>
      </c>
      <c r="C51" s="3">
        <f>googleguice!I3</f>
        <v>15.65215547</v>
      </c>
      <c r="D51" s="3" t="str">
        <f>googleguice!J3</f>
        <v>EO_LCOM1</v>
      </c>
      <c r="E51" s="3">
        <f>googleguice!K3</f>
        <v>24.38325188</v>
      </c>
      <c r="F51" s="3">
        <f>googleguice!L3</f>
        <v>1.557820706</v>
      </c>
    </row>
    <row r="52">
      <c r="A52" s="3" t="str">
        <f>googleguice!$A$2</f>
        <v>guice</v>
      </c>
      <c r="B52" s="3" t="str">
        <f>googleguice!H4</f>
        <v>LCOM2</v>
      </c>
      <c r="C52" s="3">
        <f>googleguice!I4</f>
        <v>15.44143045</v>
      </c>
      <c r="D52" s="3" t="str">
        <f>googleguice!J4</f>
        <v>EO_LCOM2</v>
      </c>
      <c r="E52" s="3">
        <f>googleguice!K4</f>
        <v>19.81895785</v>
      </c>
      <c r="F52" s="3">
        <f>googleguice!L4</f>
        <v>1.28349235</v>
      </c>
    </row>
    <row r="53">
      <c r="A53" s="3" t="str">
        <f>googleguice!$A$2</f>
        <v>guice</v>
      </c>
      <c r="B53" s="3" t="str">
        <f>googleguice!H5</f>
        <v>LCOM3</v>
      </c>
      <c r="C53" s="3">
        <f>googleguice!I5</f>
        <v>15.32358763</v>
      </c>
      <c r="D53" s="3" t="str">
        <f>googleguice!J5</f>
        <v>EO_LCOM3</v>
      </c>
      <c r="E53" s="3">
        <f>googleguice!K5</f>
        <v>19.68824632</v>
      </c>
      <c r="F53" s="3">
        <f>googleguice!L5</f>
        <v>1.28483269</v>
      </c>
    </row>
    <row r="54">
      <c r="A54" s="3" t="str">
        <f>googleguice!$A$2</f>
        <v>guice</v>
      </c>
      <c r="B54" s="3" t="str">
        <f>googleguice!H6</f>
        <v>TCC</v>
      </c>
      <c r="C54" s="3">
        <f>googleguice!I6</f>
        <v>15.81485426</v>
      </c>
      <c r="D54" s="3" t="str">
        <f>googleguice!J6</f>
        <v>EO_TCC</v>
      </c>
      <c r="E54" s="3">
        <f>googleguice!K6</f>
        <v>22.30919578</v>
      </c>
      <c r="F54" s="3">
        <f>googleguice!L6</f>
        <v>1.410648205</v>
      </c>
    </row>
    <row r="55">
      <c r="A55" s="3" t="str">
        <f>googleguice!$A$2</f>
        <v>guice</v>
      </c>
      <c r="B55" s="3" t="str">
        <f>googleguice!H7</f>
        <v>LCC</v>
      </c>
      <c r="C55" s="3">
        <f>googleguice!I7</f>
        <v>16.17761297</v>
      </c>
      <c r="D55" s="3" t="str">
        <f>googleguice!J7</f>
        <v>EO_LCC</v>
      </c>
      <c r="E55" s="3">
        <f>googleguice!K7</f>
        <v>-1</v>
      </c>
      <c r="F55" s="3">
        <f>googleguice!L7</f>
        <v>-1</v>
      </c>
    </row>
    <row r="56">
      <c r="A56" s="3" t="str">
        <f>googleguice!$A$2</f>
        <v>guice</v>
      </c>
      <c r="B56" s="3" t="str">
        <f>googleguice!H8</f>
        <v>CAMC</v>
      </c>
      <c r="C56" s="3">
        <f>googleguice!I8</f>
        <v>15.14845912</v>
      </c>
      <c r="D56" s="3" t="str">
        <f>googleguice!J8</f>
        <v>EO_CAMC</v>
      </c>
      <c r="E56" s="3">
        <f>googleguice!K8</f>
        <v>18.34164848</v>
      </c>
      <c r="F56" s="3">
        <f>googleguice!L8</f>
        <v>1.210793014</v>
      </c>
    </row>
    <row r="57">
      <c r="A57" s="3" t="str">
        <f>googleguice!$A$2</f>
        <v>guice</v>
      </c>
      <c r="B57" s="3" t="str">
        <f>googleguice!H9</f>
        <v>NHD</v>
      </c>
      <c r="C57" s="3">
        <f>googleguice!I9</f>
        <v>15.00212016</v>
      </c>
      <c r="D57" s="3" t="str">
        <f>googleguice!J9</f>
        <v>EO_NHD</v>
      </c>
      <c r="E57" s="3">
        <f>googleguice!K9</f>
        <v>18.56659935</v>
      </c>
      <c r="F57" s="3">
        <f>googleguice!L9</f>
        <v>1.237598362</v>
      </c>
    </row>
    <row r="58">
      <c r="A58" s="3" t="str">
        <f>jenkins!$A$2</f>
        <v>jenkins</v>
      </c>
      <c r="B58" s="3" t="str">
        <f>jenkins!H3</f>
        <v>LCOM</v>
      </c>
      <c r="C58" s="3">
        <f>jenkins!I3</f>
        <v>21.99091663</v>
      </c>
      <c r="D58" s="3" t="str">
        <f>jenkins!J3</f>
        <v>EO_LCOM1</v>
      </c>
      <c r="E58" s="3">
        <f>jenkins!K3</f>
        <v>-1</v>
      </c>
      <c r="F58" s="3">
        <f>jenkins!L3</f>
        <v>-1</v>
      </c>
    </row>
    <row r="59">
      <c r="A59" s="3" t="str">
        <f>jenkins!$A$2</f>
        <v>jenkins</v>
      </c>
      <c r="B59" s="3" t="str">
        <f>jenkins!H4</f>
        <v>LCOM2</v>
      </c>
      <c r="C59" s="3">
        <f>jenkins!I4</f>
        <v>21.15352612</v>
      </c>
      <c r="D59" s="3" t="str">
        <f>jenkins!J4</f>
        <v>EO_LCOM2</v>
      </c>
      <c r="E59" s="3">
        <f>jenkins!K4</f>
        <v>80.30115285</v>
      </c>
      <c r="F59" s="3">
        <f>jenkins!L4</f>
        <v>3.79611193</v>
      </c>
    </row>
    <row r="60">
      <c r="A60" s="3" t="str">
        <f>jenkins!$A$2</f>
        <v>jenkins</v>
      </c>
      <c r="B60" s="3" t="str">
        <f>jenkins!H5</f>
        <v>LCOM3</v>
      </c>
      <c r="C60" s="3">
        <f>jenkins!I5</f>
        <v>20.9258069</v>
      </c>
      <c r="D60" s="3" t="str">
        <f>jenkins!J5</f>
        <v>EO_LCOM3</v>
      </c>
      <c r="E60" s="3">
        <f>jenkins!K5</f>
        <v>83.97373114</v>
      </c>
      <c r="F60" s="3">
        <f>jenkins!L5</f>
        <v>4.01292679</v>
      </c>
    </row>
    <row r="61">
      <c r="A61" s="3" t="str">
        <f>jenkins!$A$2</f>
        <v>jenkins</v>
      </c>
      <c r="B61" s="3" t="str">
        <f>jenkins!H6</f>
        <v>TCC</v>
      </c>
      <c r="C61" s="3">
        <f>jenkins!I6</f>
        <v>22.18133416</v>
      </c>
      <c r="D61" s="3" t="str">
        <f>jenkins!J6</f>
        <v>EO_TCC</v>
      </c>
      <c r="E61" s="3">
        <f>jenkins!K6</f>
        <v>-1</v>
      </c>
      <c r="F61" s="3">
        <f>jenkins!L6</f>
        <v>-1</v>
      </c>
    </row>
    <row r="62">
      <c r="A62" s="3" t="str">
        <f>jenkins!$A$2</f>
        <v>jenkins</v>
      </c>
      <c r="B62" s="3" t="str">
        <f>jenkins!H7</f>
        <v>LCC</v>
      </c>
      <c r="C62" s="3">
        <f>jenkins!I7</f>
        <v>22.33734822</v>
      </c>
      <c r="D62" s="3" t="str">
        <f>jenkins!J7</f>
        <v>EO_LCC</v>
      </c>
      <c r="E62" s="3">
        <f>jenkins!K7</f>
        <v>-1</v>
      </c>
      <c r="F62" s="3">
        <f>jenkins!L7</f>
        <v>-1</v>
      </c>
    </row>
    <row r="63">
      <c r="A63" s="3" t="str">
        <f>jenkins!$A$2</f>
        <v>jenkins</v>
      </c>
      <c r="B63" s="3" t="str">
        <f>jenkins!H8</f>
        <v>CAMC</v>
      </c>
      <c r="C63" s="3">
        <f>jenkins!I8</f>
        <v>20.97846851</v>
      </c>
      <c r="D63" s="3" t="str">
        <f>jenkins!J8</f>
        <v>EO_CAMC</v>
      </c>
      <c r="E63" s="3">
        <f>jenkins!K8</f>
        <v>26.79764719</v>
      </c>
      <c r="F63" s="3">
        <f>jenkins!L8</f>
        <v>1.277388155</v>
      </c>
    </row>
    <row r="64">
      <c r="A64" s="3" t="str">
        <f>jenkins!$A$2</f>
        <v>jenkins</v>
      </c>
      <c r="B64" s="3" t="str">
        <f>jenkins!H9</f>
        <v>NHD</v>
      </c>
      <c r="C64" s="3">
        <f>jenkins!I9</f>
        <v>20.9082305</v>
      </c>
      <c r="D64" s="3" t="str">
        <f>jenkins!J9</f>
        <v>EO_NHD</v>
      </c>
      <c r="E64" s="3">
        <f>jenkins!K9</f>
        <v>27.48011122</v>
      </c>
      <c r="F64" s="3">
        <f>jenkins!L9</f>
        <v>1.314320273</v>
      </c>
    </row>
  </sheetData>
  <conditionalFormatting sqref="A1:F998">
    <cfRule type="cellIs" dxfId="0" priority="1" operator="equal">
      <formula>-1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0"/>
    <col customWidth="1" min="2" max="2" width="12.86"/>
    <col customWidth="1" min="3" max="3" width="12.71"/>
    <col customWidth="1" min="4" max="4" width="20.43"/>
    <col customWidth="1" min="5" max="5" width="11.57"/>
    <col customWidth="1" min="6" max="6" width="18.86"/>
    <col customWidth="1" min="8" max="8" width="12.71"/>
    <col customWidth="1" min="9" max="9" width="14.57"/>
    <col customWidth="1" min="10" max="10" width="11.57"/>
    <col customWidth="1" min="11" max="11" width="16.71"/>
    <col customWidth="1" min="12" max="12" width="12.29"/>
  </cols>
  <sheetData>
    <row r="1">
      <c r="A1" s="1" t="s">
        <v>0</v>
      </c>
      <c r="B1" s="1" t="s">
        <v>7</v>
      </c>
      <c r="C1" s="1" t="s">
        <v>1</v>
      </c>
      <c r="D1" s="1" t="s">
        <v>8</v>
      </c>
      <c r="E1" s="1" t="s">
        <v>3</v>
      </c>
      <c r="F1" s="1" t="s">
        <v>9</v>
      </c>
    </row>
    <row r="2">
      <c r="A2" s="4" t="s">
        <v>34</v>
      </c>
      <c r="B2" s="4">
        <v>0.0</v>
      </c>
      <c r="C2" s="4" t="s">
        <v>11</v>
      </c>
      <c r="D2" s="4">
        <v>3.56435203552246</v>
      </c>
      <c r="E2" s="4" t="s">
        <v>12</v>
      </c>
      <c r="F2" s="4">
        <v>4.29065084457397</v>
      </c>
      <c r="H2" s="5" t="s">
        <v>1</v>
      </c>
      <c r="I2" s="5" t="s">
        <v>2</v>
      </c>
      <c r="J2" s="5" t="s">
        <v>3</v>
      </c>
      <c r="K2" s="5" t="s">
        <v>4</v>
      </c>
      <c r="L2" s="5" t="s">
        <v>5</v>
      </c>
    </row>
    <row r="3">
      <c r="A3" s="4" t="s">
        <v>34</v>
      </c>
      <c r="B3" s="4">
        <v>1.0</v>
      </c>
      <c r="C3" s="4" t="s">
        <v>11</v>
      </c>
      <c r="D3" s="4">
        <v>3.55647897720336</v>
      </c>
      <c r="E3" s="4" t="s">
        <v>12</v>
      </c>
      <c r="F3" s="4">
        <v>4.1509301662445</v>
      </c>
      <c r="H3" s="6" t="str">
        <f>IFERROR(__xludf.DUMMYFUNCTION("unique(C2:C1000)"),"LCOM")</f>
        <v>LCOM</v>
      </c>
      <c r="I3" s="3">
        <f>IFERROR(__xludf.DUMMYFUNCTION("sum(query(C:D, ""select avg(D) where C='""&amp;$H3&amp;""'""))"),3.4573527574539136)</f>
        <v>3.457352757</v>
      </c>
      <c r="J3" s="3" t="str">
        <f>IFERROR(__xludf.DUMMYFUNCTION("unique(E2:E1000)"),"EO_LCOM1")</f>
        <v>EO_LCOM1</v>
      </c>
      <c r="K3" s="3">
        <f>IFERROR(__xludf.DUMMYFUNCTION("sum(query(E:F, ""select avg(F) where E='""&amp;$J3&amp;""'""))"),4.101216125488277)</f>
        <v>4.101216125</v>
      </c>
      <c r="L3" s="7">
        <f t="shared" ref="L3:L9" si="1">K3/I3</f>
        <v>1.186230163</v>
      </c>
    </row>
    <row r="4">
      <c r="A4" s="4" t="s">
        <v>34</v>
      </c>
      <c r="B4" s="4">
        <v>2.0</v>
      </c>
      <c r="C4" s="4" t="s">
        <v>11</v>
      </c>
      <c r="D4" s="4">
        <v>3.44687342643737</v>
      </c>
      <c r="E4" s="4" t="s">
        <v>12</v>
      </c>
      <c r="F4" s="4">
        <v>4.11184430122375</v>
      </c>
      <c r="H4" s="6" t="str">
        <f>IFERROR(__xludf.DUMMYFUNCTION("""COMPUTED_VALUE"""),"LCOM2")</f>
        <v>LCOM2</v>
      </c>
      <c r="I4" s="3">
        <f>IFERROR(__xludf.DUMMYFUNCTION("sum(query(C:D, ""select avg(D) where C='""&amp;$H4&amp;""'""))"),3.412874555587764)</f>
        <v>3.412874556</v>
      </c>
      <c r="J4" s="3" t="str">
        <f>IFERROR(__xludf.DUMMYFUNCTION("""COMPUTED_VALUE"""),"EO_LCOM2")</f>
        <v>EO_LCOM2</v>
      </c>
      <c r="K4" s="3">
        <f>IFERROR(__xludf.DUMMYFUNCTION("sum(query(E:F, ""select avg(F) where E='""&amp;$J4&amp;""'""))"),4.284061479568477)</f>
        <v>4.28406148</v>
      </c>
      <c r="L4" s="7">
        <f t="shared" si="1"/>
        <v>1.255264854</v>
      </c>
    </row>
    <row r="5">
      <c r="A5" s="4" t="s">
        <v>34</v>
      </c>
      <c r="B5" s="4">
        <v>3.0</v>
      </c>
      <c r="C5" s="4" t="s">
        <v>11</v>
      </c>
      <c r="D5" s="4">
        <v>3.41142129898071</v>
      </c>
      <c r="E5" s="4" t="s">
        <v>12</v>
      </c>
      <c r="F5" s="4">
        <v>4.14716172218322</v>
      </c>
      <c r="H5" s="6" t="str">
        <f>IFERROR(__xludf.DUMMYFUNCTION("""COMPUTED_VALUE"""),"LCOM3")</f>
        <v>LCOM3</v>
      </c>
      <c r="I5" s="3">
        <f>IFERROR(__xludf.DUMMYFUNCTION("sum(query(C:D, ""select avg(D) where C='""&amp;$H5&amp;""'""))"),3.4677033901214562)</f>
        <v>3.46770339</v>
      </c>
      <c r="J5" s="3" t="str">
        <f>IFERROR(__xludf.DUMMYFUNCTION("""COMPUTED_VALUE"""),"EO_LCOM3")</f>
        <v>EO_LCOM3</v>
      </c>
      <c r="K5" s="3">
        <f>IFERROR(__xludf.DUMMYFUNCTION("sum(query(E:F, ""select avg(F) where E='""&amp;$J5&amp;""'""))"),4.258595895767207)</f>
        <v>4.258595896</v>
      </c>
      <c r="L5" s="7">
        <f t="shared" si="1"/>
        <v>1.228073862</v>
      </c>
    </row>
    <row r="6">
      <c r="A6" s="4" t="s">
        <v>34</v>
      </c>
      <c r="B6" s="4">
        <v>4.0</v>
      </c>
      <c r="C6" s="4" t="s">
        <v>11</v>
      </c>
      <c r="D6" s="4">
        <v>3.39161491394042</v>
      </c>
      <c r="E6" s="4" t="s">
        <v>12</v>
      </c>
      <c r="F6" s="4">
        <v>4.34883332252502</v>
      </c>
      <c r="H6" s="6" t="str">
        <f>IFERROR(__xludf.DUMMYFUNCTION("""COMPUTED_VALUE"""),"TCC")</f>
        <v>TCC</v>
      </c>
      <c r="I6" s="3">
        <f>IFERROR(__xludf.DUMMYFUNCTION("sum(query(C:D, ""select avg(D) where C='""&amp;$H6&amp;""'""))"),3.5447551488876323)</f>
        <v>3.544755149</v>
      </c>
      <c r="J6" s="3" t="str">
        <f>IFERROR(__xludf.DUMMYFUNCTION("""COMPUTED_VALUE"""),"EO_TCC")</f>
        <v>EO_TCC</v>
      </c>
      <c r="K6" s="3">
        <f>IFERROR(__xludf.DUMMYFUNCTION("sum(query(E:F, ""select avg(F) where E='""&amp;$J6&amp;""'""))"),4.182288002967828)</f>
        <v>4.182288003</v>
      </c>
      <c r="L6" s="7">
        <f t="shared" si="1"/>
        <v>1.179852438</v>
      </c>
    </row>
    <row r="7">
      <c r="A7" s="4" t="s">
        <v>34</v>
      </c>
      <c r="B7" s="4">
        <v>5.0</v>
      </c>
      <c r="C7" s="4" t="s">
        <v>11</v>
      </c>
      <c r="D7" s="4">
        <v>3.39073061943054</v>
      </c>
      <c r="E7" s="4" t="s">
        <v>12</v>
      </c>
      <c r="F7" s="4">
        <v>4.21618294715881</v>
      </c>
      <c r="H7" s="6" t="str">
        <f>IFERROR(__xludf.DUMMYFUNCTION("""COMPUTED_VALUE"""),"LCC")</f>
        <v>LCC</v>
      </c>
      <c r="I7" s="3">
        <f>IFERROR(__xludf.DUMMYFUNCTION("sum(query(C:D, ""select avg(D) where C='""&amp;$H7&amp;""'""))"),3.6361083745956364)</f>
        <v>3.636108375</v>
      </c>
      <c r="J7" s="3" t="str">
        <f>IFERROR(__xludf.DUMMYFUNCTION("""COMPUTED_VALUE"""),"EO_LCC")</f>
        <v>EO_LCC</v>
      </c>
      <c r="K7" s="3">
        <f>IFERROR(__xludf.DUMMYFUNCTION("sum(query(E:F, ""select avg(F) where E='""&amp;$J7&amp;""'""))"),49.902892947196904)</f>
        <v>49.90289295</v>
      </c>
      <c r="L7" s="7">
        <f t="shared" si="1"/>
        <v>13.72425896</v>
      </c>
    </row>
    <row r="8">
      <c r="A8" s="4" t="s">
        <v>34</v>
      </c>
      <c r="B8" s="4">
        <v>6.0</v>
      </c>
      <c r="C8" s="4" t="s">
        <v>11</v>
      </c>
      <c r="D8" s="4">
        <v>3.37996864318847</v>
      </c>
      <c r="E8" s="4" t="s">
        <v>12</v>
      </c>
      <c r="F8" s="4">
        <v>3.97663331031799</v>
      </c>
      <c r="H8" s="6" t="str">
        <f>IFERROR(__xludf.DUMMYFUNCTION("""COMPUTED_VALUE"""),"CAMC")</f>
        <v>CAMC</v>
      </c>
      <c r="I8" s="3">
        <f>IFERROR(__xludf.DUMMYFUNCTION("sum(query(C:D, ""select avg(D) where C='""&amp;$H8&amp;""'""))"),3.459295248985286)</f>
        <v>3.459295249</v>
      </c>
      <c r="J8" s="3" t="str">
        <f>IFERROR(__xludf.DUMMYFUNCTION("""COMPUTED_VALUE"""),"EO_CAMC")</f>
        <v>EO_CAMC</v>
      </c>
      <c r="K8" s="3">
        <f>IFERROR(__xludf.DUMMYFUNCTION("sum(query(E:F, ""select avg(F) where E='""&amp;$J8&amp;""'""))"),3.868792653083794)</f>
        <v>3.868792653</v>
      </c>
      <c r="L8" s="7">
        <f t="shared" si="1"/>
        <v>1.118375962</v>
      </c>
    </row>
    <row r="9">
      <c r="A9" s="4" t="s">
        <v>34</v>
      </c>
      <c r="B9" s="4">
        <v>7.0</v>
      </c>
      <c r="C9" s="4" t="s">
        <v>11</v>
      </c>
      <c r="D9" s="4">
        <v>3.5234797000885</v>
      </c>
      <c r="E9" s="4" t="s">
        <v>12</v>
      </c>
      <c r="F9" s="4">
        <v>3.93717384338378</v>
      </c>
      <c r="H9" s="8" t="str">
        <f>IFERROR(__xludf.DUMMYFUNCTION("""COMPUTED_VALUE"""),"NHD")</f>
        <v>NHD</v>
      </c>
      <c r="I9" s="9">
        <f>IFERROR(__xludf.DUMMYFUNCTION("sum(query(C:D, ""select avg(D) where C='""&amp;$H9&amp;""'""))"),3.516944622993465)</f>
        <v>3.516944623</v>
      </c>
      <c r="J9" s="9" t="str">
        <f>IFERROR(__xludf.DUMMYFUNCTION("""COMPUTED_VALUE"""),"EO_NHD")</f>
        <v>EO_NHD</v>
      </c>
      <c r="K9" s="9">
        <f>IFERROR(__xludf.DUMMYFUNCTION("sum(query(E:F, ""select avg(F) where E='""&amp;$J9&amp;""'""))"),4.1442954063415485)</f>
        <v>4.144295406</v>
      </c>
      <c r="L9" s="14">
        <f t="shared" si="1"/>
        <v>1.178379489</v>
      </c>
    </row>
    <row r="10">
      <c r="A10" s="4" t="s">
        <v>34</v>
      </c>
      <c r="B10" s="4">
        <v>8.0</v>
      </c>
      <c r="C10" s="4" t="s">
        <v>11</v>
      </c>
      <c r="D10" s="4">
        <v>3.37351322174072</v>
      </c>
      <c r="E10" s="4" t="s">
        <v>12</v>
      </c>
      <c r="F10" s="4">
        <v>3.91615557670593</v>
      </c>
      <c r="H10" s="3"/>
      <c r="J10" s="3"/>
      <c r="K10" s="10" t="s">
        <v>13</v>
      </c>
      <c r="L10" s="11">
        <f>AVERAGE(L3:L9)</f>
        <v>2.981490819</v>
      </c>
    </row>
    <row r="11">
      <c r="A11" s="4" t="s">
        <v>34</v>
      </c>
      <c r="B11" s="4">
        <v>9.0</v>
      </c>
      <c r="C11" s="4" t="s">
        <v>11</v>
      </c>
      <c r="D11" s="4">
        <v>3.53509473800659</v>
      </c>
      <c r="E11" s="4" t="s">
        <v>12</v>
      </c>
      <c r="F11" s="4">
        <v>3.91659522056579</v>
      </c>
      <c r="L11" s="12">
        <f>L10-1</f>
        <v>1.981490819</v>
      </c>
      <c r="M11" s="4" t="s">
        <v>14</v>
      </c>
    </row>
    <row r="12">
      <c r="A12" s="4" t="s">
        <v>34</v>
      </c>
      <c r="B12" s="4">
        <v>0.0</v>
      </c>
      <c r="C12" s="4" t="s">
        <v>15</v>
      </c>
      <c r="D12" s="4">
        <v>3.38544130325317</v>
      </c>
      <c r="E12" s="4" t="s">
        <v>16</v>
      </c>
      <c r="F12" s="4">
        <v>4.22865080833435</v>
      </c>
    </row>
    <row r="13">
      <c r="A13" s="4" t="s">
        <v>34</v>
      </c>
      <c r="B13" s="4">
        <v>1.0</v>
      </c>
      <c r="C13" s="4" t="s">
        <v>15</v>
      </c>
      <c r="D13" s="4">
        <v>3.31334853172302</v>
      </c>
      <c r="E13" s="4" t="s">
        <v>16</v>
      </c>
      <c r="F13" s="4">
        <v>4.31099820137023</v>
      </c>
    </row>
    <row r="14">
      <c r="A14" s="4" t="s">
        <v>34</v>
      </c>
      <c r="B14" s="4">
        <v>2.0</v>
      </c>
      <c r="C14" s="4" t="s">
        <v>15</v>
      </c>
      <c r="D14" s="4">
        <v>3.40331363677978</v>
      </c>
      <c r="E14" s="4" t="s">
        <v>16</v>
      </c>
      <c r="F14" s="4">
        <v>4.12782478332519</v>
      </c>
    </row>
    <row r="15">
      <c r="A15" s="4" t="s">
        <v>34</v>
      </c>
      <c r="B15" s="4">
        <v>3.0</v>
      </c>
      <c r="C15" s="4" t="s">
        <v>15</v>
      </c>
      <c r="D15" s="4">
        <v>3.45225286483764</v>
      </c>
      <c r="E15" s="4" t="s">
        <v>16</v>
      </c>
      <c r="F15" s="4">
        <v>4.33813381195068</v>
      </c>
    </row>
    <row r="16">
      <c r="A16" s="4" t="s">
        <v>34</v>
      </c>
      <c r="B16" s="4">
        <v>4.0</v>
      </c>
      <c r="C16" s="4" t="s">
        <v>15</v>
      </c>
      <c r="D16" s="4">
        <v>3.42980122566223</v>
      </c>
      <c r="E16" s="4" t="s">
        <v>16</v>
      </c>
      <c r="F16" s="4">
        <v>4.44737291336059</v>
      </c>
    </row>
    <row r="17">
      <c r="A17" s="4" t="s">
        <v>34</v>
      </c>
      <c r="B17" s="4">
        <v>5.0</v>
      </c>
      <c r="C17" s="4" t="s">
        <v>15</v>
      </c>
      <c r="D17" s="4">
        <v>3.20893454551696</v>
      </c>
      <c r="E17" s="4" t="s">
        <v>16</v>
      </c>
      <c r="F17" s="4">
        <v>4.18794155120849</v>
      </c>
    </row>
    <row r="18">
      <c r="A18" s="4" t="s">
        <v>34</v>
      </c>
      <c r="B18" s="4">
        <v>6.0</v>
      </c>
      <c r="C18" s="4" t="s">
        <v>15</v>
      </c>
      <c r="D18" s="4">
        <v>3.5249056816101</v>
      </c>
      <c r="E18" s="4" t="s">
        <v>16</v>
      </c>
      <c r="F18" s="4">
        <v>4.13659715652465</v>
      </c>
    </row>
    <row r="19">
      <c r="A19" s="4" t="s">
        <v>34</v>
      </c>
      <c r="B19" s="4">
        <v>7.0</v>
      </c>
      <c r="C19" s="4" t="s">
        <v>15</v>
      </c>
      <c r="D19" s="4">
        <v>3.48368716239929</v>
      </c>
      <c r="E19" s="4" t="s">
        <v>16</v>
      </c>
      <c r="F19" s="4">
        <v>4.15398812294006</v>
      </c>
    </row>
    <row r="20">
      <c r="A20" s="4" t="s">
        <v>34</v>
      </c>
      <c r="B20" s="4">
        <v>8.0</v>
      </c>
      <c r="C20" s="4" t="s">
        <v>15</v>
      </c>
      <c r="D20" s="4">
        <v>3.4746446609497</v>
      </c>
      <c r="E20" s="4" t="s">
        <v>16</v>
      </c>
      <c r="F20" s="4">
        <v>4.5119833946228</v>
      </c>
    </row>
    <row r="21">
      <c r="A21" s="4" t="s">
        <v>34</v>
      </c>
      <c r="B21" s="4">
        <v>9.0</v>
      </c>
      <c r="C21" s="4" t="s">
        <v>15</v>
      </c>
      <c r="D21" s="4">
        <v>3.45241594314575</v>
      </c>
      <c r="E21" s="4" t="s">
        <v>16</v>
      </c>
      <c r="F21" s="4">
        <v>4.39712405204772</v>
      </c>
    </row>
    <row r="22">
      <c r="A22" s="4" t="s">
        <v>34</v>
      </c>
      <c r="B22" s="4">
        <v>0.0</v>
      </c>
      <c r="C22" s="4" t="s">
        <v>17</v>
      </c>
      <c r="D22" s="4">
        <v>3.47117853164672</v>
      </c>
      <c r="E22" s="4" t="s">
        <v>18</v>
      </c>
      <c r="F22" s="4">
        <v>4.44237327575683</v>
      </c>
    </row>
    <row r="23">
      <c r="A23" s="4" t="s">
        <v>34</v>
      </c>
      <c r="B23" s="4">
        <v>1.0</v>
      </c>
      <c r="C23" s="4" t="s">
        <v>17</v>
      </c>
      <c r="D23" s="4">
        <v>3.45731234550476</v>
      </c>
      <c r="E23" s="4" t="s">
        <v>18</v>
      </c>
      <c r="F23" s="4">
        <v>4.36186552047729</v>
      </c>
    </row>
    <row r="24">
      <c r="A24" s="4" t="s">
        <v>34</v>
      </c>
      <c r="B24" s="4">
        <v>2.0</v>
      </c>
      <c r="C24" s="4" t="s">
        <v>17</v>
      </c>
      <c r="D24" s="4">
        <v>3.43910813331604</v>
      </c>
      <c r="E24" s="4" t="s">
        <v>18</v>
      </c>
      <c r="F24" s="4">
        <v>4.31455421447753</v>
      </c>
    </row>
    <row r="25">
      <c r="A25" s="4" t="s">
        <v>34</v>
      </c>
      <c r="B25" s="4">
        <v>3.0</v>
      </c>
      <c r="C25" s="4" t="s">
        <v>17</v>
      </c>
      <c r="D25" s="4">
        <v>3.40119647979736</v>
      </c>
      <c r="E25" s="4" t="s">
        <v>18</v>
      </c>
      <c r="F25" s="4">
        <v>4.25472855567932</v>
      </c>
    </row>
    <row r="26">
      <c r="A26" s="4" t="s">
        <v>34</v>
      </c>
      <c r="B26" s="4">
        <v>4.0</v>
      </c>
      <c r="C26" s="4" t="s">
        <v>17</v>
      </c>
      <c r="D26" s="4">
        <v>3.50930047035217</v>
      </c>
      <c r="E26" s="4" t="s">
        <v>18</v>
      </c>
      <c r="F26" s="4">
        <v>4.16633152961731</v>
      </c>
    </row>
    <row r="27">
      <c r="A27" s="4" t="s">
        <v>34</v>
      </c>
      <c r="B27" s="4">
        <v>5.0</v>
      </c>
      <c r="C27" s="4" t="s">
        <v>17</v>
      </c>
      <c r="D27" s="4">
        <v>3.50875544548034</v>
      </c>
      <c r="E27" s="4" t="s">
        <v>18</v>
      </c>
      <c r="F27" s="4">
        <v>4.19887447357177</v>
      </c>
    </row>
    <row r="28">
      <c r="A28" s="4" t="s">
        <v>34</v>
      </c>
      <c r="B28" s="4">
        <v>6.0</v>
      </c>
      <c r="C28" s="4" t="s">
        <v>17</v>
      </c>
      <c r="D28" s="4">
        <v>3.50713729858398</v>
      </c>
      <c r="E28" s="4" t="s">
        <v>18</v>
      </c>
      <c r="F28" s="4">
        <v>4.21320414543151</v>
      </c>
    </row>
    <row r="29">
      <c r="A29" s="4" t="s">
        <v>34</v>
      </c>
      <c r="B29" s="4">
        <v>7.0</v>
      </c>
      <c r="C29" s="4" t="s">
        <v>17</v>
      </c>
      <c r="D29" s="4">
        <v>3.55711698532104</v>
      </c>
      <c r="E29" s="4" t="s">
        <v>18</v>
      </c>
      <c r="F29" s="4">
        <v>4.29949045181274</v>
      </c>
    </row>
    <row r="30">
      <c r="A30" s="4" t="s">
        <v>34</v>
      </c>
      <c r="B30" s="4">
        <v>8.0</v>
      </c>
      <c r="C30" s="4" t="s">
        <v>17</v>
      </c>
      <c r="D30" s="4">
        <v>3.35077381134033</v>
      </c>
      <c r="E30" s="4" t="s">
        <v>18</v>
      </c>
      <c r="F30" s="4">
        <v>4.21529388427734</v>
      </c>
    </row>
    <row r="31">
      <c r="A31" s="4" t="s">
        <v>34</v>
      </c>
      <c r="B31" s="4">
        <v>9.0</v>
      </c>
      <c r="C31" s="4" t="s">
        <v>17</v>
      </c>
      <c r="D31" s="4">
        <v>3.47515439987182</v>
      </c>
      <c r="E31" s="4" t="s">
        <v>18</v>
      </c>
      <c r="F31" s="4">
        <v>4.11924290657043</v>
      </c>
    </row>
    <row r="32">
      <c r="A32" s="4" t="s">
        <v>34</v>
      </c>
      <c r="B32" s="4">
        <v>0.0</v>
      </c>
      <c r="C32" s="4" t="s">
        <v>19</v>
      </c>
      <c r="D32" s="4">
        <v>3.38218879699707</v>
      </c>
      <c r="E32" s="4" t="s">
        <v>20</v>
      </c>
      <c r="F32" s="4">
        <v>4.10377073287963</v>
      </c>
    </row>
    <row r="33">
      <c r="A33" s="4" t="s">
        <v>34</v>
      </c>
      <c r="B33" s="4">
        <v>1.0</v>
      </c>
      <c r="C33" s="4" t="s">
        <v>19</v>
      </c>
      <c r="D33" s="4">
        <v>3.55212640762329</v>
      </c>
      <c r="E33" s="4" t="s">
        <v>20</v>
      </c>
      <c r="F33" s="4">
        <v>3.92119073867797</v>
      </c>
    </row>
    <row r="34">
      <c r="A34" s="4" t="s">
        <v>34</v>
      </c>
      <c r="B34" s="4">
        <v>2.0</v>
      </c>
      <c r="C34" s="4" t="s">
        <v>19</v>
      </c>
      <c r="D34" s="4">
        <v>3.39663004875183</v>
      </c>
      <c r="E34" s="4" t="s">
        <v>20</v>
      </c>
      <c r="F34" s="4">
        <v>4.10368156433105</v>
      </c>
    </row>
    <row r="35">
      <c r="A35" s="4" t="s">
        <v>34</v>
      </c>
      <c r="B35" s="4">
        <v>3.0</v>
      </c>
      <c r="C35" s="4" t="s">
        <v>19</v>
      </c>
      <c r="D35" s="4">
        <v>3.62091255187988</v>
      </c>
      <c r="E35" s="4" t="s">
        <v>20</v>
      </c>
      <c r="F35" s="4">
        <v>5.41589212417602</v>
      </c>
    </row>
    <row r="36">
      <c r="A36" s="4" t="s">
        <v>34</v>
      </c>
      <c r="B36" s="4">
        <v>4.0</v>
      </c>
      <c r="C36" s="4" t="s">
        <v>19</v>
      </c>
      <c r="D36" s="4">
        <v>3.70384383201599</v>
      </c>
      <c r="E36" s="4" t="s">
        <v>20</v>
      </c>
      <c r="F36" s="4">
        <v>4.13372278213501</v>
      </c>
    </row>
    <row r="37">
      <c r="A37" s="4" t="s">
        <v>34</v>
      </c>
      <c r="B37" s="4">
        <v>5.0</v>
      </c>
      <c r="C37" s="4" t="s">
        <v>19</v>
      </c>
      <c r="D37" s="4">
        <v>3.61783504486084</v>
      </c>
      <c r="E37" s="4" t="s">
        <v>20</v>
      </c>
      <c r="F37" s="4">
        <v>4.19317364692688</v>
      </c>
    </row>
    <row r="38">
      <c r="A38" s="4" t="s">
        <v>34</v>
      </c>
      <c r="B38" s="4">
        <v>6.0</v>
      </c>
      <c r="C38" s="4" t="s">
        <v>19</v>
      </c>
      <c r="D38" s="4">
        <v>3.48858976364135</v>
      </c>
      <c r="E38" s="4" t="s">
        <v>20</v>
      </c>
      <c r="F38" s="4">
        <v>4.04675412178039</v>
      </c>
    </row>
    <row r="39">
      <c r="A39" s="4" t="s">
        <v>34</v>
      </c>
      <c r="B39" s="4">
        <v>7.0</v>
      </c>
      <c r="C39" s="4" t="s">
        <v>19</v>
      </c>
      <c r="D39" s="4">
        <v>3.45195651054382</v>
      </c>
      <c r="E39" s="4" t="s">
        <v>20</v>
      </c>
      <c r="F39" s="4">
        <v>4.06716156005859</v>
      </c>
    </row>
    <row r="40">
      <c r="A40" s="4" t="s">
        <v>34</v>
      </c>
      <c r="B40" s="4">
        <v>8.0</v>
      </c>
      <c r="C40" s="4" t="s">
        <v>19</v>
      </c>
      <c r="D40" s="4">
        <v>3.68222951889038</v>
      </c>
      <c r="E40" s="4" t="s">
        <v>20</v>
      </c>
      <c r="F40" s="4">
        <v>3.90751338005065</v>
      </c>
    </row>
    <row r="41">
      <c r="A41" s="4" t="s">
        <v>34</v>
      </c>
      <c r="B41" s="4">
        <v>9.0</v>
      </c>
      <c r="C41" s="4" t="s">
        <v>19</v>
      </c>
      <c r="D41" s="4">
        <v>3.55123901367187</v>
      </c>
      <c r="E41" s="4" t="s">
        <v>20</v>
      </c>
      <c r="F41" s="4">
        <v>3.9300193786621</v>
      </c>
    </row>
    <row r="42">
      <c r="A42" s="4" t="s">
        <v>34</v>
      </c>
      <c r="B42" s="4">
        <v>0.0</v>
      </c>
      <c r="C42" s="4" t="s">
        <v>21</v>
      </c>
      <c r="D42" s="4">
        <v>3.77480792999267</v>
      </c>
      <c r="E42" s="4" t="s">
        <v>22</v>
      </c>
      <c r="F42" s="4">
        <v>50.3544306755065</v>
      </c>
    </row>
    <row r="43">
      <c r="A43" s="4" t="s">
        <v>34</v>
      </c>
      <c r="B43" s="4">
        <v>1.0</v>
      </c>
      <c r="C43" s="4" t="s">
        <v>21</v>
      </c>
      <c r="D43" s="4">
        <v>3.81595635414123</v>
      </c>
      <c r="E43" s="4" t="s">
        <v>22</v>
      </c>
      <c r="F43" s="4">
        <v>52.2643382549285</v>
      </c>
    </row>
    <row r="44">
      <c r="A44" s="4" t="s">
        <v>34</v>
      </c>
      <c r="B44" s="4">
        <v>2.0</v>
      </c>
      <c r="C44" s="4" t="s">
        <v>21</v>
      </c>
      <c r="D44" s="4">
        <v>3.58648538589477</v>
      </c>
      <c r="E44" s="4" t="s">
        <v>22</v>
      </c>
      <c r="F44" s="4">
        <v>49.682537317276</v>
      </c>
    </row>
    <row r="45">
      <c r="A45" s="4" t="s">
        <v>34</v>
      </c>
      <c r="B45" s="4">
        <v>3.0</v>
      </c>
      <c r="C45" s="4" t="s">
        <v>21</v>
      </c>
      <c r="D45" s="4">
        <v>3.54486012458801</v>
      </c>
      <c r="E45" s="4" t="s">
        <v>22</v>
      </c>
      <c r="F45" s="4">
        <v>49.6676626205444</v>
      </c>
    </row>
    <row r="46">
      <c r="A46" s="4" t="s">
        <v>34</v>
      </c>
      <c r="B46" s="4">
        <v>4.0</v>
      </c>
      <c r="C46" s="4" t="s">
        <v>21</v>
      </c>
      <c r="D46" s="4">
        <v>3.75081014633178</v>
      </c>
      <c r="E46" s="4" t="s">
        <v>22</v>
      </c>
      <c r="F46" s="4">
        <v>49.3338725566864</v>
      </c>
    </row>
    <row r="47">
      <c r="A47" s="4" t="s">
        <v>34</v>
      </c>
      <c r="B47" s="4">
        <v>5.0</v>
      </c>
      <c r="C47" s="4" t="s">
        <v>21</v>
      </c>
      <c r="D47" s="4">
        <v>3.78836560249328</v>
      </c>
      <c r="E47" s="4" t="s">
        <v>22</v>
      </c>
      <c r="F47" s="4">
        <v>49.1259007453918</v>
      </c>
    </row>
    <row r="48">
      <c r="A48" s="4" t="s">
        <v>34</v>
      </c>
      <c r="B48" s="4">
        <v>6.0</v>
      </c>
      <c r="C48" s="4" t="s">
        <v>21</v>
      </c>
      <c r="D48" s="4">
        <v>3.79069328308105</v>
      </c>
      <c r="E48" s="4" t="s">
        <v>22</v>
      </c>
      <c r="F48" s="4">
        <v>49.047667980194</v>
      </c>
    </row>
    <row r="49">
      <c r="A49" s="4" t="s">
        <v>34</v>
      </c>
      <c r="B49" s="4">
        <v>7.0</v>
      </c>
      <c r="C49" s="4" t="s">
        <v>21</v>
      </c>
      <c r="D49" s="4">
        <v>3.38259840011596</v>
      </c>
      <c r="E49" s="4" t="s">
        <v>22</v>
      </c>
      <c r="F49" s="4">
        <v>50.5541937351226</v>
      </c>
    </row>
    <row r="50">
      <c r="A50" s="4" t="s">
        <v>34</v>
      </c>
      <c r="B50" s="4">
        <v>8.0</v>
      </c>
      <c r="C50" s="4" t="s">
        <v>21</v>
      </c>
      <c r="D50" s="4">
        <v>3.52975130081176</v>
      </c>
      <c r="E50" s="4" t="s">
        <v>22</v>
      </c>
      <c r="F50" s="4">
        <v>49.2542669773101</v>
      </c>
    </row>
    <row r="51">
      <c r="A51" s="4" t="s">
        <v>34</v>
      </c>
      <c r="B51" s="4">
        <v>9.0</v>
      </c>
      <c r="C51" s="4" t="s">
        <v>21</v>
      </c>
      <c r="D51" s="4">
        <v>3.39675521850585</v>
      </c>
      <c r="E51" s="4" t="s">
        <v>22</v>
      </c>
      <c r="F51" s="4">
        <v>49.7440586090087</v>
      </c>
    </row>
    <row r="52">
      <c r="A52" s="4" t="s">
        <v>34</v>
      </c>
      <c r="B52" s="4">
        <v>0.0</v>
      </c>
      <c r="C52" s="4" t="s">
        <v>23</v>
      </c>
      <c r="D52" s="4">
        <v>3.40631818771362</v>
      </c>
      <c r="E52" s="4" t="s">
        <v>24</v>
      </c>
      <c r="F52" s="4">
        <v>4.15908670425415</v>
      </c>
    </row>
    <row r="53">
      <c r="A53" s="4" t="s">
        <v>34</v>
      </c>
      <c r="B53" s="4">
        <v>1.0</v>
      </c>
      <c r="C53" s="4" t="s">
        <v>23</v>
      </c>
      <c r="D53" s="4">
        <v>3.55670523643493</v>
      </c>
      <c r="E53" s="4" t="s">
        <v>24</v>
      </c>
      <c r="F53" s="4">
        <v>3.84925508499145</v>
      </c>
    </row>
    <row r="54">
      <c r="A54" s="4" t="s">
        <v>34</v>
      </c>
      <c r="B54" s="4">
        <v>2.0</v>
      </c>
      <c r="C54" s="4" t="s">
        <v>23</v>
      </c>
      <c r="D54" s="4">
        <v>3.52278184890747</v>
      </c>
      <c r="E54" s="4" t="s">
        <v>24</v>
      </c>
      <c r="F54" s="4">
        <v>4.09010791778564</v>
      </c>
    </row>
    <row r="55">
      <c r="A55" s="4" t="s">
        <v>34</v>
      </c>
      <c r="B55" s="4">
        <v>3.0</v>
      </c>
      <c r="C55" s="4" t="s">
        <v>23</v>
      </c>
      <c r="D55" s="4">
        <v>3.48178076744079</v>
      </c>
      <c r="E55" s="4" t="s">
        <v>24</v>
      </c>
      <c r="F55" s="4">
        <v>3.7880356311798</v>
      </c>
    </row>
    <row r="56">
      <c r="A56" s="4" t="s">
        <v>34</v>
      </c>
      <c r="B56" s="4">
        <v>4.0</v>
      </c>
      <c r="C56" s="4" t="s">
        <v>23</v>
      </c>
      <c r="D56" s="4">
        <v>3.40642762184143</v>
      </c>
      <c r="E56" s="4" t="s">
        <v>24</v>
      </c>
      <c r="F56" s="4">
        <v>3.83484506607055</v>
      </c>
    </row>
    <row r="57">
      <c r="A57" s="4" t="s">
        <v>34</v>
      </c>
      <c r="B57" s="4">
        <v>5.0</v>
      </c>
      <c r="C57" s="4" t="s">
        <v>23</v>
      </c>
      <c r="D57" s="4">
        <v>3.34167265892028</v>
      </c>
      <c r="E57" s="4" t="s">
        <v>24</v>
      </c>
      <c r="F57" s="4">
        <v>3.87235713005065</v>
      </c>
    </row>
    <row r="58">
      <c r="A58" s="4" t="s">
        <v>34</v>
      </c>
      <c r="B58" s="4">
        <v>6.0</v>
      </c>
      <c r="C58" s="4" t="s">
        <v>23</v>
      </c>
      <c r="D58" s="4">
        <v>3.39516544342041</v>
      </c>
      <c r="E58" s="4" t="s">
        <v>24</v>
      </c>
      <c r="F58" s="4">
        <v>3.72000265121459</v>
      </c>
    </row>
    <row r="59">
      <c r="A59" s="4" t="s">
        <v>34</v>
      </c>
      <c r="B59" s="4">
        <v>7.0</v>
      </c>
      <c r="C59" s="4" t="s">
        <v>23</v>
      </c>
      <c r="D59" s="4">
        <v>3.5083622932434</v>
      </c>
      <c r="E59" s="4" t="s">
        <v>24</v>
      </c>
      <c r="F59" s="4">
        <v>3.69790530204772</v>
      </c>
    </row>
    <row r="60">
      <c r="A60" s="4" t="s">
        <v>34</v>
      </c>
      <c r="B60" s="4">
        <v>8.0</v>
      </c>
      <c r="C60" s="4" t="s">
        <v>23</v>
      </c>
      <c r="D60" s="4">
        <v>3.59089803695678</v>
      </c>
      <c r="E60" s="4" t="s">
        <v>24</v>
      </c>
      <c r="F60" s="4">
        <v>3.82338690757751</v>
      </c>
    </row>
    <row r="61">
      <c r="A61" s="4" t="s">
        <v>34</v>
      </c>
      <c r="B61" s="4">
        <v>9.0</v>
      </c>
      <c r="C61" s="4" t="s">
        <v>23</v>
      </c>
      <c r="D61" s="4">
        <v>3.38284039497375</v>
      </c>
      <c r="E61" s="4" t="s">
        <v>24</v>
      </c>
      <c r="F61" s="4">
        <v>3.85294413566589</v>
      </c>
    </row>
    <row r="62">
      <c r="A62" s="4" t="s">
        <v>34</v>
      </c>
      <c r="B62" s="4">
        <v>0.0</v>
      </c>
      <c r="C62" s="4" t="s">
        <v>25</v>
      </c>
      <c r="D62" s="4">
        <v>3.46662783622741</v>
      </c>
      <c r="E62" s="4" t="s">
        <v>26</v>
      </c>
      <c r="F62" s="4">
        <v>4.04709553718566</v>
      </c>
    </row>
    <row r="63">
      <c r="A63" s="4" t="s">
        <v>34</v>
      </c>
      <c r="B63" s="4">
        <v>1.0</v>
      </c>
      <c r="C63" s="4" t="s">
        <v>25</v>
      </c>
      <c r="D63" s="4">
        <v>3.45618176460266</v>
      </c>
      <c r="E63" s="4" t="s">
        <v>26</v>
      </c>
      <c r="F63" s="4">
        <v>3.88510990142822</v>
      </c>
    </row>
    <row r="64">
      <c r="A64" s="4" t="s">
        <v>34</v>
      </c>
      <c r="B64" s="4">
        <v>2.0</v>
      </c>
      <c r="C64" s="4" t="s">
        <v>25</v>
      </c>
      <c r="D64" s="4">
        <v>3.49643564224243</v>
      </c>
      <c r="E64" s="4" t="s">
        <v>26</v>
      </c>
      <c r="F64" s="4">
        <v>3.79391574859619</v>
      </c>
    </row>
    <row r="65">
      <c r="A65" s="4" t="s">
        <v>34</v>
      </c>
      <c r="B65" s="4">
        <v>3.0</v>
      </c>
      <c r="C65" s="4" t="s">
        <v>25</v>
      </c>
      <c r="D65" s="4">
        <v>3.61215472221374</v>
      </c>
      <c r="E65" s="4" t="s">
        <v>26</v>
      </c>
      <c r="F65" s="4">
        <v>3.89486169815063</v>
      </c>
    </row>
    <row r="66">
      <c r="A66" s="4" t="s">
        <v>34</v>
      </c>
      <c r="B66" s="4">
        <v>4.0</v>
      </c>
      <c r="C66" s="4" t="s">
        <v>25</v>
      </c>
      <c r="D66" s="4">
        <v>3.46093988418579</v>
      </c>
      <c r="E66" s="4" t="s">
        <v>26</v>
      </c>
      <c r="F66" s="4">
        <v>3.83941555023193</v>
      </c>
    </row>
    <row r="67">
      <c r="A67" s="4" t="s">
        <v>34</v>
      </c>
      <c r="B67" s="4">
        <v>5.0</v>
      </c>
      <c r="C67" s="4" t="s">
        <v>25</v>
      </c>
      <c r="D67" s="4">
        <v>3.45062661170959</v>
      </c>
      <c r="E67" s="4" t="s">
        <v>26</v>
      </c>
      <c r="F67" s="4">
        <v>3.96875739097595</v>
      </c>
    </row>
    <row r="68">
      <c r="A68" s="4" t="s">
        <v>34</v>
      </c>
      <c r="B68" s="4">
        <v>6.0</v>
      </c>
      <c r="C68" s="4" t="s">
        <v>25</v>
      </c>
      <c r="D68" s="4">
        <v>3.44317722320556</v>
      </c>
      <c r="E68" s="4" t="s">
        <v>26</v>
      </c>
      <c r="F68" s="4">
        <v>4.12288308143615</v>
      </c>
    </row>
    <row r="69">
      <c r="A69" s="4" t="s">
        <v>34</v>
      </c>
      <c r="B69" s="4">
        <v>7.0</v>
      </c>
      <c r="C69" s="4" t="s">
        <v>25</v>
      </c>
      <c r="D69" s="4">
        <v>3.49019980430603</v>
      </c>
      <c r="E69" s="4" t="s">
        <v>26</v>
      </c>
      <c r="F69" s="4">
        <v>4.94730925559997</v>
      </c>
    </row>
    <row r="70">
      <c r="A70" s="4" t="s">
        <v>34</v>
      </c>
      <c r="B70" s="4">
        <v>8.0</v>
      </c>
      <c r="C70" s="4" t="s">
        <v>25</v>
      </c>
      <c r="D70" s="4">
        <v>3.57271742820739</v>
      </c>
      <c r="E70" s="4" t="s">
        <v>26</v>
      </c>
      <c r="F70" s="4">
        <v>3.84834432601928</v>
      </c>
    </row>
    <row r="71">
      <c r="A71" s="4" t="s">
        <v>34</v>
      </c>
      <c r="B71" s="4">
        <v>9.0</v>
      </c>
      <c r="C71" s="4" t="s">
        <v>25</v>
      </c>
      <c r="D71" s="4">
        <v>3.72038531303405</v>
      </c>
      <c r="E71" s="4" t="s">
        <v>26</v>
      </c>
      <c r="F71" s="4">
        <v>5.0952615737915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0"/>
    <col customWidth="1" min="2" max="2" width="12.86"/>
    <col customWidth="1" min="3" max="3" width="12.71"/>
    <col customWidth="1" min="4" max="4" width="20.43"/>
    <col customWidth="1" min="5" max="5" width="11.57"/>
    <col customWidth="1" min="6" max="6" width="18.86"/>
    <col customWidth="1" min="8" max="8" width="12.71"/>
    <col customWidth="1" min="9" max="9" width="14.57"/>
    <col customWidth="1" min="10" max="10" width="11.57"/>
    <col customWidth="1" min="11" max="11" width="16.71"/>
    <col customWidth="1" min="12" max="12" width="12.29"/>
    <col customWidth="1" min="13" max="13" width="6.71"/>
  </cols>
  <sheetData>
    <row r="1">
      <c r="A1" s="1" t="s">
        <v>0</v>
      </c>
      <c r="B1" s="1" t="s">
        <v>7</v>
      </c>
      <c r="C1" s="1" t="s">
        <v>1</v>
      </c>
      <c r="D1" s="1" t="s">
        <v>8</v>
      </c>
      <c r="E1" s="1" t="s">
        <v>3</v>
      </c>
      <c r="F1" s="1" t="s">
        <v>9</v>
      </c>
    </row>
    <row r="2">
      <c r="A2" s="4" t="s">
        <v>10</v>
      </c>
      <c r="B2" s="4">
        <v>0.0</v>
      </c>
      <c r="C2" s="4" t="s">
        <v>11</v>
      </c>
      <c r="D2" s="4">
        <v>15.287266254425</v>
      </c>
      <c r="E2" s="4" t="s">
        <v>12</v>
      </c>
      <c r="F2" s="4">
        <v>24.3448693752288</v>
      </c>
      <c r="H2" s="5" t="s">
        <v>1</v>
      </c>
      <c r="I2" s="5" t="s">
        <v>2</v>
      </c>
      <c r="J2" s="5" t="s">
        <v>3</v>
      </c>
      <c r="K2" s="5" t="s">
        <v>4</v>
      </c>
      <c r="L2" s="5" t="s">
        <v>5</v>
      </c>
    </row>
    <row r="3">
      <c r="A3" s="4" t="s">
        <v>10</v>
      </c>
      <c r="B3" s="4">
        <v>1.0</v>
      </c>
      <c r="C3" s="4" t="s">
        <v>11</v>
      </c>
      <c r="D3" s="4">
        <v>15.8992040157318</v>
      </c>
      <c r="E3" s="4" t="s">
        <v>12</v>
      </c>
      <c r="F3" s="4">
        <v>24.3834109306335</v>
      </c>
      <c r="H3" s="6" t="str">
        <f>IFERROR(__xludf.DUMMYFUNCTION("unique(C2:C1000)"),"LCOM")</f>
        <v>LCOM</v>
      </c>
      <c r="I3" s="3">
        <f>IFERROR(__xludf.DUMMYFUNCTION("sum(query(C:D, ""select avg(D) where C='""&amp;$H3&amp;""'""))"),15.65215547084803)</f>
        <v>15.65215547</v>
      </c>
      <c r="J3" s="3" t="str">
        <f>IFERROR(__xludf.DUMMYFUNCTION("unique(E2:E1000)"),"EO_LCOM1")</f>
        <v>EO_LCOM1</v>
      </c>
      <c r="K3" s="3">
        <f>IFERROR(__xludf.DUMMYFUNCTION("sum(query(E:F, ""select avg(F) where E='""&amp;$J3&amp;""'""))"),24.38325188159938)</f>
        <v>24.38325188</v>
      </c>
      <c r="L3" s="7">
        <f t="shared" ref="L3:L9" si="1">if(K3=-1, -1, K3/I3)</f>
        <v>1.557820706</v>
      </c>
    </row>
    <row r="4">
      <c r="A4" s="4" t="s">
        <v>10</v>
      </c>
      <c r="B4" s="4">
        <v>2.0</v>
      </c>
      <c r="C4" s="4" t="s">
        <v>11</v>
      </c>
      <c r="D4" s="4">
        <v>16.0603084564209</v>
      </c>
      <c r="E4" s="4" t="s">
        <v>12</v>
      </c>
      <c r="F4" s="4">
        <v>24.4829313755035</v>
      </c>
      <c r="H4" s="6" t="str">
        <f>IFERROR(__xludf.DUMMYFUNCTION("""COMPUTED_VALUE"""),"LCOM2")</f>
        <v>LCOM2</v>
      </c>
      <c r="I4" s="3">
        <f>IFERROR(__xludf.DUMMYFUNCTION("sum(query(C:D, ""select avg(D) where C='""&amp;$H4&amp;""'""))"),15.441430449485727)</f>
        <v>15.44143045</v>
      </c>
      <c r="J4" s="3" t="str">
        <f>IFERROR(__xludf.DUMMYFUNCTION("""COMPUTED_VALUE"""),"EO_LCOM2")</f>
        <v>EO_LCOM2</v>
      </c>
      <c r="K4" s="3">
        <f>IFERROR(__xludf.DUMMYFUNCTION("sum(query(E:F, ""select avg(F) where E='""&amp;$J4&amp;""'""))"),19.818957853317222)</f>
        <v>19.81895785</v>
      </c>
      <c r="L4" s="7">
        <f t="shared" si="1"/>
        <v>1.28349235</v>
      </c>
    </row>
    <row r="5">
      <c r="A5" s="4" t="s">
        <v>10</v>
      </c>
      <c r="B5" s="4">
        <v>3.0</v>
      </c>
      <c r="C5" s="4" t="s">
        <v>11</v>
      </c>
      <c r="D5" s="4">
        <v>15.8641130924224</v>
      </c>
      <c r="E5" s="4" t="s">
        <v>12</v>
      </c>
      <c r="F5" s="4">
        <v>23.6113164424896</v>
      </c>
      <c r="H5" s="6" t="str">
        <f>IFERROR(__xludf.DUMMYFUNCTION("""COMPUTED_VALUE"""),"LCOM3")</f>
        <v>LCOM3</v>
      </c>
      <c r="I5" s="3">
        <f>IFERROR(__xludf.DUMMYFUNCTION("sum(query(C:D, ""select avg(D) where C='""&amp;$H5&amp;""'""))"),15.323587632179208)</f>
        <v>15.32358763</v>
      </c>
      <c r="J5" s="3" t="str">
        <f>IFERROR(__xludf.DUMMYFUNCTION("""COMPUTED_VALUE"""),"EO_LCOM3")</f>
        <v>EO_LCOM3</v>
      </c>
      <c r="K5" s="3">
        <f>IFERROR(__xludf.DUMMYFUNCTION("sum(query(E:F, ""select avg(F) where E='""&amp;$J5&amp;""'""))"),19.688246321678122)</f>
        <v>19.68824632</v>
      </c>
      <c r="L5" s="7">
        <f t="shared" si="1"/>
        <v>1.28483269</v>
      </c>
    </row>
    <row r="6">
      <c r="A6" s="4" t="s">
        <v>10</v>
      </c>
      <c r="B6" s="4">
        <v>4.0</v>
      </c>
      <c r="C6" s="4" t="s">
        <v>11</v>
      </c>
      <c r="D6" s="4">
        <v>15.7635741233825</v>
      </c>
      <c r="E6" s="4" t="s">
        <v>12</v>
      </c>
      <c r="F6" s="4">
        <v>24.7886593341827</v>
      </c>
      <c r="H6" s="6" t="str">
        <f>IFERROR(__xludf.DUMMYFUNCTION("""COMPUTED_VALUE"""),"TCC")</f>
        <v>TCC</v>
      </c>
      <c r="I6" s="3">
        <f>IFERROR(__xludf.DUMMYFUNCTION("sum(query(C:D, ""select avg(D) where C='""&amp;$H6&amp;""'""))"),15.81485426425929)</f>
        <v>15.81485426</v>
      </c>
      <c r="J6" s="3" t="str">
        <f>IFERROR(__xludf.DUMMYFUNCTION("""COMPUTED_VALUE"""),"EO_TCC")</f>
        <v>EO_TCC</v>
      </c>
      <c r="K6" s="3">
        <f>IFERROR(__xludf.DUMMYFUNCTION("sum(query(E:F, ""select avg(F) where E='""&amp;$J6&amp;""'""))"),22.30919578075403)</f>
        <v>22.30919578</v>
      </c>
      <c r="L6" s="7">
        <f t="shared" si="1"/>
        <v>1.410648205</v>
      </c>
    </row>
    <row r="7">
      <c r="A7" s="4" t="s">
        <v>10</v>
      </c>
      <c r="B7" s="4">
        <v>5.0</v>
      </c>
      <c r="C7" s="4" t="s">
        <v>11</v>
      </c>
      <c r="D7" s="4">
        <v>15.5505933761596</v>
      </c>
      <c r="E7" s="4" t="s">
        <v>12</v>
      </c>
      <c r="F7" s="4">
        <v>24.7612709999084</v>
      </c>
      <c r="H7" s="6" t="str">
        <f>IFERROR(__xludf.DUMMYFUNCTION("""COMPUTED_VALUE"""),"LCC")</f>
        <v>LCC</v>
      </c>
      <c r="I7" s="3">
        <f>IFERROR(__xludf.DUMMYFUNCTION("sum(query(C:D, ""select avg(D) where C='""&amp;$H7&amp;""'""))"),16.1776129722595)</f>
        <v>16.17761297</v>
      </c>
      <c r="J7" s="3" t="str">
        <f>IFERROR(__xludf.DUMMYFUNCTION("""COMPUTED_VALUE"""),"EO_LCC")</f>
        <v>EO_LCC</v>
      </c>
      <c r="K7" s="3">
        <f>IFERROR(__xludf.DUMMYFUNCTION("sum(query(E:F, ""select avg(F) where E='""&amp;$J7&amp;""'""))"),-1.0)</f>
        <v>-1</v>
      </c>
      <c r="L7" s="7">
        <f t="shared" si="1"/>
        <v>-1</v>
      </c>
    </row>
    <row r="8">
      <c r="A8" s="4" t="s">
        <v>10</v>
      </c>
      <c r="B8" s="4">
        <v>6.0</v>
      </c>
      <c r="C8" s="4" t="s">
        <v>11</v>
      </c>
      <c r="D8" s="4">
        <v>15.8467643260955</v>
      </c>
      <c r="E8" s="4" t="s">
        <v>12</v>
      </c>
      <c r="F8" s="4">
        <v>23.7017276287078</v>
      </c>
      <c r="H8" s="6" t="str">
        <f>IFERROR(__xludf.DUMMYFUNCTION("""COMPUTED_VALUE"""),"CAMC")</f>
        <v>CAMC</v>
      </c>
      <c r="I8" s="3">
        <f>IFERROR(__xludf.DUMMYFUNCTION("sum(query(C:D, ""select avg(D) where C='""&amp;$H8&amp;""'""))"),15.148459124565079)</f>
        <v>15.14845912</v>
      </c>
      <c r="J8" s="3" t="str">
        <f>IFERROR(__xludf.DUMMYFUNCTION("""COMPUTED_VALUE"""),"EO_CAMC")</f>
        <v>EO_CAMC</v>
      </c>
      <c r="K8" s="3">
        <f>IFERROR(__xludf.DUMMYFUNCTION("sum(query(E:F, ""select avg(F) where E='""&amp;$J8&amp;""'""))"),18.341648483276312)</f>
        <v>18.34164848</v>
      </c>
      <c r="L8" s="7">
        <f t="shared" si="1"/>
        <v>1.210793014</v>
      </c>
    </row>
    <row r="9">
      <c r="A9" s="4" t="s">
        <v>10</v>
      </c>
      <c r="B9" s="4">
        <v>7.0</v>
      </c>
      <c r="C9" s="4" t="s">
        <v>11</v>
      </c>
      <c r="D9" s="4">
        <v>15.6301305294036</v>
      </c>
      <c r="E9" s="4" t="s">
        <v>12</v>
      </c>
      <c r="F9" s="4">
        <v>24.6561813354492</v>
      </c>
      <c r="H9" s="8" t="str">
        <f>IFERROR(__xludf.DUMMYFUNCTION("""COMPUTED_VALUE"""),"NHD")</f>
        <v>NHD</v>
      </c>
      <c r="I9" s="9">
        <f>IFERROR(__xludf.DUMMYFUNCTION("sum(query(C:D, ""select avg(D) where C='""&amp;$H9&amp;""'""))"),15.002120161056471)</f>
        <v>15.00212016</v>
      </c>
      <c r="J9" s="9" t="str">
        <f>IFERROR(__xludf.DUMMYFUNCTION("""COMPUTED_VALUE"""),"EO_NHD")</f>
        <v>EO_NHD</v>
      </c>
      <c r="K9" s="9">
        <f>IFERROR(__xludf.DUMMYFUNCTION("sum(query(E:F, ""select avg(F) where E='""&amp;$J9&amp;""'""))"),18.56659934520716)</f>
        <v>18.56659935</v>
      </c>
      <c r="L9" s="7">
        <f t="shared" si="1"/>
        <v>1.237598362</v>
      </c>
    </row>
    <row r="10">
      <c r="A10" s="4" t="s">
        <v>10</v>
      </c>
      <c r="B10" s="4">
        <v>8.0</v>
      </c>
      <c r="C10" s="4" t="s">
        <v>11</v>
      </c>
      <c r="D10" s="4">
        <v>15.6134674549102</v>
      </c>
      <c r="E10" s="4" t="s">
        <v>12</v>
      </c>
      <c r="F10" s="4">
        <v>24.523332118988</v>
      </c>
      <c r="H10" s="3"/>
      <c r="J10" s="3"/>
      <c r="K10" s="10" t="s">
        <v>13</v>
      </c>
      <c r="L10" s="11">
        <f>AVERAGEIF(K3:K9, "&gt;1", L3:L9)</f>
        <v>1.330864221</v>
      </c>
    </row>
    <row r="11">
      <c r="A11" s="4" t="s">
        <v>10</v>
      </c>
      <c r="B11" s="4">
        <v>9.0</v>
      </c>
      <c r="C11" s="4" t="s">
        <v>11</v>
      </c>
      <c r="D11" s="4">
        <v>15.0061330795288</v>
      </c>
      <c r="E11" s="4" t="s">
        <v>12</v>
      </c>
      <c r="F11" s="4">
        <v>24.5788192749023</v>
      </c>
      <c r="L11" s="12">
        <f>L10-1</f>
        <v>0.3308642213</v>
      </c>
      <c r="M11" s="4" t="s">
        <v>14</v>
      </c>
    </row>
    <row r="12">
      <c r="A12" s="4" t="s">
        <v>10</v>
      </c>
      <c r="B12" s="4">
        <v>0.0</v>
      </c>
      <c r="C12" s="4" t="s">
        <v>15</v>
      </c>
      <c r="D12" s="4">
        <v>15.0008058547973</v>
      </c>
      <c r="E12" s="4" t="s">
        <v>16</v>
      </c>
      <c r="F12" s="4">
        <v>20.2384092807769</v>
      </c>
    </row>
    <row r="13">
      <c r="A13" s="4" t="s">
        <v>10</v>
      </c>
      <c r="B13" s="4">
        <v>1.0</v>
      </c>
      <c r="C13" s="4" t="s">
        <v>15</v>
      </c>
      <c r="D13" s="4">
        <v>15.6688582897186</v>
      </c>
      <c r="E13" s="4" t="s">
        <v>16</v>
      </c>
      <c r="F13" s="4">
        <v>19.7119834423065</v>
      </c>
    </row>
    <row r="14">
      <c r="A14" s="4" t="s">
        <v>10</v>
      </c>
      <c r="B14" s="4">
        <v>2.0</v>
      </c>
      <c r="C14" s="4" t="s">
        <v>15</v>
      </c>
      <c r="D14" s="4">
        <v>15.9842324256896</v>
      </c>
      <c r="E14" s="4" t="s">
        <v>16</v>
      </c>
      <c r="F14" s="4">
        <v>19.6198875904083</v>
      </c>
    </row>
    <row r="15">
      <c r="A15" s="4" t="s">
        <v>10</v>
      </c>
      <c r="B15" s="4">
        <v>3.0</v>
      </c>
      <c r="C15" s="4" t="s">
        <v>15</v>
      </c>
      <c r="D15" s="4">
        <v>15.4338455200195</v>
      </c>
      <c r="E15" s="4" t="s">
        <v>16</v>
      </c>
      <c r="F15" s="4">
        <v>20.2602472305297</v>
      </c>
    </row>
    <row r="16">
      <c r="A16" s="4" t="s">
        <v>10</v>
      </c>
      <c r="B16" s="4">
        <v>4.0</v>
      </c>
      <c r="C16" s="4" t="s">
        <v>15</v>
      </c>
      <c r="D16" s="4">
        <v>15.0168967247009</v>
      </c>
      <c r="E16" s="4" t="s">
        <v>16</v>
      </c>
      <c r="F16" s="4">
        <v>19.6880886554718</v>
      </c>
    </row>
    <row r="17">
      <c r="A17" s="4" t="s">
        <v>10</v>
      </c>
      <c r="B17" s="4">
        <v>5.0</v>
      </c>
      <c r="C17" s="4" t="s">
        <v>15</v>
      </c>
      <c r="D17" s="4">
        <v>15.5743627548217</v>
      </c>
      <c r="E17" s="4" t="s">
        <v>16</v>
      </c>
      <c r="F17" s="4">
        <v>20.1831865310668</v>
      </c>
    </row>
    <row r="18">
      <c r="A18" s="4" t="s">
        <v>10</v>
      </c>
      <c r="B18" s="4">
        <v>6.0</v>
      </c>
      <c r="C18" s="4" t="s">
        <v>15</v>
      </c>
      <c r="D18" s="4">
        <v>15.1631081104278</v>
      </c>
      <c r="E18" s="4" t="s">
        <v>16</v>
      </c>
      <c r="F18" s="4">
        <v>19.6947922706604</v>
      </c>
    </row>
    <row r="19">
      <c r="A19" s="4" t="s">
        <v>10</v>
      </c>
      <c r="B19" s="4">
        <v>7.0</v>
      </c>
      <c r="C19" s="4" t="s">
        <v>15</v>
      </c>
      <c r="D19" s="4">
        <v>15.844945192337</v>
      </c>
      <c r="E19" s="4" t="s">
        <v>16</v>
      </c>
      <c r="F19" s="4">
        <v>20.135822057724</v>
      </c>
    </row>
    <row r="20">
      <c r="A20" s="4" t="s">
        <v>10</v>
      </c>
      <c r="B20" s="4">
        <v>8.0</v>
      </c>
      <c r="C20" s="4" t="s">
        <v>15</v>
      </c>
      <c r="D20" s="4">
        <v>15.8722202777862</v>
      </c>
      <c r="E20" s="4" t="s">
        <v>16</v>
      </c>
      <c r="F20" s="4">
        <v>19.6740410327911</v>
      </c>
    </row>
    <row r="21">
      <c r="A21" s="4" t="s">
        <v>10</v>
      </c>
      <c r="B21" s="4">
        <v>9.0</v>
      </c>
      <c r="C21" s="4" t="s">
        <v>15</v>
      </c>
      <c r="D21" s="4">
        <v>14.8550293445587</v>
      </c>
      <c r="E21" s="4" t="s">
        <v>16</v>
      </c>
      <c r="F21" s="4">
        <v>18.9831204414367</v>
      </c>
    </row>
    <row r="22">
      <c r="A22" s="4" t="s">
        <v>10</v>
      </c>
      <c r="B22" s="4">
        <v>0.0</v>
      </c>
      <c r="C22" s="4" t="s">
        <v>17</v>
      </c>
      <c r="D22" s="4">
        <v>14.9726963043212</v>
      </c>
      <c r="E22" s="4" t="s">
        <v>18</v>
      </c>
      <c r="F22" s="4">
        <v>19.4493820667266</v>
      </c>
    </row>
    <row r="23">
      <c r="A23" s="4" t="s">
        <v>10</v>
      </c>
      <c r="B23" s="4">
        <v>1.0</v>
      </c>
      <c r="C23" s="4" t="s">
        <v>17</v>
      </c>
      <c r="D23" s="4">
        <v>14.8860828876495</v>
      </c>
      <c r="E23" s="4" t="s">
        <v>18</v>
      </c>
      <c r="F23" s="4">
        <v>20.538423538208</v>
      </c>
    </row>
    <row r="24">
      <c r="A24" s="4" t="s">
        <v>10</v>
      </c>
      <c r="B24" s="4">
        <v>2.0</v>
      </c>
      <c r="C24" s="4" t="s">
        <v>17</v>
      </c>
      <c r="D24" s="4">
        <v>15.8782110214233</v>
      </c>
      <c r="E24" s="4" t="s">
        <v>18</v>
      </c>
      <c r="F24" s="4">
        <v>19.2682065963745</v>
      </c>
    </row>
    <row r="25">
      <c r="A25" s="4" t="s">
        <v>10</v>
      </c>
      <c r="B25" s="4">
        <v>3.0</v>
      </c>
      <c r="C25" s="4" t="s">
        <v>17</v>
      </c>
      <c r="D25" s="4">
        <v>15.0084991455078</v>
      </c>
      <c r="E25" s="4" t="s">
        <v>18</v>
      </c>
      <c r="F25" s="4">
        <v>20.4050562381744</v>
      </c>
    </row>
    <row r="26">
      <c r="A26" s="4" t="s">
        <v>10</v>
      </c>
      <c r="B26" s="4">
        <v>4.0</v>
      </c>
      <c r="C26" s="4" t="s">
        <v>17</v>
      </c>
      <c r="D26" s="4">
        <v>15.1225769519805</v>
      </c>
      <c r="E26" s="4" t="s">
        <v>18</v>
      </c>
      <c r="F26" s="4">
        <v>19.0579602718353</v>
      </c>
    </row>
    <row r="27">
      <c r="A27" s="4" t="s">
        <v>10</v>
      </c>
      <c r="B27" s="4">
        <v>5.0</v>
      </c>
      <c r="C27" s="4" t="s">
        <v>17</v>
      </c>
      <c r="D27" s="4">
        <v>15.0370523929595</v>
      </c>
      <c r="E27" s="4" t="s">
        <v>18</v>
      </c>
      <c r="F27" s="4">
        <v>20.2976534366607</v>
      </c>
    </row>
    <row r="28">
      <c r="A28" s="4" t="s">
        <v>10</v>
      </c>
      <c r="B28" s="4">
        <v>6.0</v>
      </c>
      <c r="C28" s="4" t="s">
        <v>17</v>
      </c>
      <c r="D28" s="4">
        <v>14.8530991077423</v>
      </c>
      <c r="E28" s="4" t="s">
        <v>18</v>
      </c>
      <c r="F28" s="4">
        <v>19.4308252334594</v>
      </c>
    </row>
    <row r="29">
      <c r="A29" s="4" t="s">
        <v>10</v>
      </c>
      <c r="B29" s="4">
        <v>7.0</v>
      </c>
      <c r="C29" s="4" t="s">
        <v>17</v>
      </c>
      <c r="D29" s="4">
        <v>16.4157044887542</v>
      </c>
      <c r="E29" s="4" t="s">
        <v>18</v>
      </c>
      <c r="F29" s="4">
        <v>19.214772939682</v>
      </c>
    </row>
    <row r="30">
      <c r="A30" s="4" t="s">
        <v>10</v>
      </c>
      <c r="B30" s="4">
        <v>8.0</v>
      </c>
      <c r="C30" s="4" t="s">
        <v>17</v>
      </c>
      <c r="D30" s="4">
        <v>15.4281392097473</v>
      </c>
      <c r="E30" s="4" t="s">
        <v>18</v>
      </c>
      <c r="F30" s="4">
        <v>19.3702008724212</v>
      </c>
    </row>
    <row r="31">
      <c r="A31" s="4" t="s">
        <v>10</v>
      </c>
      <c r="B31" s="4">
        <v>9.0</v>
      </c>
      <c r="C31" s="4" t="s">
        <v>17</v>
      </c>
      <c r="D31" s="4">
        <v>15.6338148117065</v>
      </c>
      <c r="E31" s="4" t="s">
        <v>18</v>
      </c>
      <c r="F31" s="4">
        <v>19.8499820232391</v>
      </c>
    </row>
    <row r="32">
      <c r="A32" s="4" t="s">
        <v>10</v>
      </c>
      <c r="B32" s="4">
        <v>0.0</v>
      </c>
      <c r="C32" s="4" t="s">
        <v>19</v>
      </c>
      <c r="D32" s="4">
        <v>14.8241300582885</v>
      </c>
      <c r="E32" s="4" t="s">
        <v>20</v>
      </c>
      <c r="F32" s="4">
        <v>22.0434925556182</v>
      </c>
    </row>
    <row r="33">
      <c r="A33" s="4" t="s">
        <v>10</v>
      </c>
      <c r="B33" s="4">
        <v>1.0</v>
      </c>
      <c r="C33" s="4" t="s">
        <v>19</v>
      </c>
      <c r="D33" s="4">
        <v>16.3302886486053</v>
      </c>
      <c r="E33" s="4" t="s">
        <v>20</v>
      </c>
      <c r="F33" s="4">
        <v>21.7156171798706</v>
      </c>
    </row>
    <row r="34">
      <c r="A34" s="4" t="s">
        <v>10</v>
      </c>
      <c r="B34" s="4">
        <v>2.0</v>
      </c>
      <c r="C34" s="4" t="s">
        <v>19</v>
      </c>
      <c r="D34" s="4">
        <v>16.1652424335479</v>
      </c>
      <c r="E34" s="4" t="s">
        <v>20</v>
      </c>
      <c r="F34" s="4">
        <v>21.4315452575683</v>
      </c>
    </row>
    <row r="35">
      <c r="A35" s="4" t="s">
        <v>10</v>
      </c>
      <c r="B35" s="4">
        <v>3.0</v>
      </c>
      <c r="C35" s="4" t="s">
        <v>19</v>
      </c>
      <c r="D35" s="4">
        <v>15.886382818222</v>
      </c>
      <c r="E35" s="4" t="s">
        <v>20</v>
      </c>
      <c r="F35" s="4">
        <v>22.6297883987426</v>
      </c>
    </row>
    <row r="36">
      <c r="A36" s="4" t="s">
        <v>10</v>
      </c>
      <c r="B36" s="4">
        <v>4.0</v>
      </c>
      <c r="C36" s="4" t="s">
        <v>19</v>
      </c>
      <c r="D36" s="4">
        <v>15.3195433616638</v>
      </c>
      <c r="E36" s="4" t="s">
        <v>20</v>
      </c>
      <c r="F36" s="4">
        <v>22.0681865215301</v>
      </c>
    </row>
    <row r="37">
      <c r="A37" s="4" t="s">
        <v>10</v>
      </c>
      <c r="B37" s="4">
        <v>5.0</v>
      </c>
      <c r="C37" s="4" t="s">
        <v>19</v>
      </c>
      <c r="D37" s="4">
        <v>16.1918771266937</v>
      </c>
      <c r="E37" s="4" t="s">
        <v>20</v>
      </c>
      <c r="F37" s="4">
        <v>22.2042164802551</v>
      </c>
    </row>
    <row r="38">
      <c r="A38" s="4" t="s">
        <v>10</v>
      </c>
      <c r="B38" s="4">
        <v>6.0</v>
      </c>
      <c r="C38" s="4" t="s">
        <v>19</v>
      </c>
      <c r="D38" s="4">
        <v>15.652527809143</v>
      </c>
      <c r="E38" s="4" t="s">
        <v>20</v>
      </c>
      <c r="F38" s="4">
        <v>24.0250957012176</v>
      </c>
    </row>
    <row r="39">
      <c r="A39" s="4" t="s">
        <v>10</v>
      </c>
      <c r="B39" s="4">
        <v>7.0</v>
      </c>
      <c r="C39" s="4" t="s">
        <v>19</v>
      </c>
      <c r="D39" s="4">
        <v>15.7491536140441</v>
      </c>
      <c r="E39" s="4" t="s">
        <v>20</v>
      </c>
      <c r="F39" s="4">
        <v>21.5702753067016</v>
      </c>
    </row>
    <row r="40">
      <c r="A40" s="4" t="s">
        <v>10</v>
      </c>
      <c r="B40" s="4">
        <v>8.0</v>
      </c>
      <c r="C40" s="4" t="s">
        <v>19</v>
      </c>
      <c r="D40" s="4">
        <v>15.2510917186737</v>
      </c>
      <c r="E40" s="4" t="s">
        <v>20</v>
      </c>
      <c r="F40" s="4">
        <v>21.953030347824</v>
      </c>
    </row>
    <row r="41">
      <c r="A41" s="4" t="s">
        <v>10</v>
      </c>
      <c r="B41" s="4">
        <v>9.0</v>
      </c>
      <c r="C41" s="4" t="s">
        <v>19</v>
      </c>
      <c r="D41" s="4">
        <v>16.7783050537109</v>
      </c>
      <c r="E41" s="4" t="s">
        <v>20</v>
      </c>
      <c r="F41" s="4">
        <v>23.4507100582122</v>
      </c>
    </row>
    <row r="42">
      <c r="A42" s="4" t="s">
        <v>10</v>
      </c>
      <c r="B42" s="4">
        <v>0.0</v>
      </c>
      <c r="C42" s="4" t="s">
        <v>21</v>
      </c>
      <c r="D42" s="4">
        <v>16.5149312019348</v>
      </c>
      <c r="E42" s="4" t="s">
        <v>22</v>
      </c>
      <c r="F42" s="4">
        <v>-1.0</v>
      </c>
    </row>
    <row r="43">
      <c r="A43" s="4" t="s">
        <v>10</v>
      </c>
      <c r="B43" s="4">
        <v>1.0</v>
      </c>
      <c r="C43" s="4" t="s">
        <v>21</v>
      </c>
      <c r="D43" s="4">
        <v>15.9444975852966</v>
      </c>
      <c r="E43" s="4" t="s">
        <v>22</v>
      </c>
      <c r="F43" s="4">
        <v>-1.0</v>
      </c>
    </row>
    <row r="44">
      <c r="A44" s="4" t="s">
        <v>10</v>
      </c>
      <c r="B44" s="4">
        <v>2.0</v>
      </c>
      <c r="C44" s="4" t="s">
        <v>21</v>
      </c>
      <c r="D44" s="4">
        <v>16.2850410938262</v>
      </c>
      <c r="E44" s="4" t="s">
        <v>22</v>
      </c>
      <c r="F44" s="4">
        <v>-1.0</v>
      </c>
    </row>
    <row r="45">
      <c r="A45" s="4" t="s">
        <v>10</v>
      </c>
      <c r="B45" s="4">
        <v>3.0</v>
      </c>
      <c r="C45" s="4" t="s">
        <v>21</v>
      </c>
      <c r="D45" s="4">
        <v>16.2908980846405</v>
      </c>
      <c r="E45" s="4" t="s">
        <v>22</v>
      </c>
      <c r="F45" s="4">
        <v>-1.0</v>
      </c>
    </row>
    <row r="46">
      <c r="A46" s="4" t="s">
        <v>10</v>
      </c>
      <c r="B46" s="4">
        <v>4.0</v>
      </c>
      <c r="C46" s="4" t="s">
        <v>21</v>
      </c>
      <c r="D46" s="4">
        <v>17.7401967048645</v>
      </c>
      <c r="E46" s="4" t="s">
        <v>22</v>
      </c>
      <c r="F46" s="4">
        <v>-1.0</v>
      </c>
    </row>
    <row r="47">
      <c r="A47" s="4" t="s">
        <v>10</v>
      </c>
      <c r="B47" s="4">
        <v>5.0</v>
      </c>
      <c r="C47" s="4" t="s">
        <v>21</v>
      </c>
      <c r="D47" s="4">
        <v>15.7544286251068</v>
      </c>
      <c r="E47" s="4" t="s">
        <v>22</v>
      </c>
      <c r="F47" s="4">
        <v>-1.0</v>
      </c>
    </row>
    <row r="48">
      <c r="A48" s="4" t="s">
        <v>10</v>
      </c>
      <c r="B48" s="4">
        <v>6.0</v>
      </c>
      <c r="C48" s="4" t="s">
        <v>21</v>
      </c>
      <c r="D48" s="4">
        <v>15.9023733139038</v>
      </c>
      <c r="E48" s="4" t="s">
        <v>22</v>
      </c>
      <c r="F48" s="4">
        <v>-1.0</v>
      </c>
    </row>
    <row r="49">
      <c r="A49" s="4" t="s">
        <v>10</v>
      </c>
      <c r="B49" s="4">
        <v>7.0</v>
      </c>
      <c r="C49" s="4" t="s">
        <v>21</v>
      </c>
      <c r="D49" s="4">
        <v>15.8599257469177</v>
      </c>
      <c r="E49" s="4" t="s">
        <v>22</v>
      </c>
      <c r="F49" s="4">
        <v>-1.0</v>
      </c>
    </row>
    <row r="50">
      <c r="A50" s="4" t="s">
        <v>10</v>
      </c>
      <c r="B50" s="4">
        <v>8.0</v>
      </c>
      <c r="C50" s="4" t="s">
        <v>21</v>
      </c>
      <c r="D50" s="4">
        <v>15.2777063846588</v>
      </c>
      <c r="E50" s="4" t="s">
        <v>22</v>
      </c>
      <c r="F50" s="4">
        <v>-1.0</v>
      </c>
    </row>
    <row r="51">
      <c r="A51" s="4" t="s">
        <v>10</v>
      </c>
      <c r="B51" s="4">
        <v>9.0</v>
      </c>
      <c r="C51" s="4" t="s">
        <v>21</v>
      </c>
      <c r="D51" s="4">
        <v>16.2061309814453</v>
      </c>
      <c r="E51" s="4" t="s">
        <v>22</v>
      </c>
      <c r="F51" s="4">
        <v>-1.0</v>
      </c>
    </row>
    <row r="52">
      <c r="A52" s="4" t="s">
        <v>10</v>
      </c>
      <c r="B52" s="4">
        <v>0.0</v>
      </c>
      <c r="C52" s="4" t="s">
        <v>23</v>
      </c>
      <c r="D52" s="4">
        <v>15.3328740596771</v>
      </c>
      <c r="E52" s="4" t="s">
        <v>24</v>
      </c>
      <c r="F52" s="4">
        <v>18.1585736274719</v>
      </c>
    </row>
    <row r="53">
      <c r="A53" s="4" t="s">
        <v>10</v>
      </c>
      <c r="B53" s="4">
        <v>1.0</v>
      </c>
      <c r="C53" s="4" t="s">
        <v>23</v>
      </c>
      <c r="D53" s="4">
        <v>15.7053456306457</v>
      </c>
      <c r="E53" s="4" t="s">
        <v>24</v>
      </c>
      <c r="F53" s="4">
        <v>17.6367259025573</v>
      </c>
    </row>
    <row r="54">
      <c r="A54" s="4" t="s">
        <v>10</v>
      </c>
      <c r="B54" s="4">
        <v>2.0</v>
      </c>
      <c r="C54" s="4" t="s">
        <v>23</v>
      </c>
      <c r="D54" s="4">
        <v>14.9740371704101</v>
      </c>
      <c r="E54" s="4" t="s">
        <v>24</v>
      </c>
      <c r="F54" s="4">
        <v>17.9879887104034</v>
      </c>
    </row>
    <row r="55">
      <c r="A55" s="4" t="s">
        <v>10</v>
      </c>
      <c r="B55" s="4">
        <v>3.0</v>
      </c>
      <c r="C55" s="4" t="s">
        <v>23</v>
      </c>
      <c r="D55" s="4">
        <v>15.0034713745117</v>
      </c>
      <c r="E55" s="4" t="s">
        <v>24</v>
      </c>
      <c r="F55" s="4">
        <v>18.6324543952941</v>
      </c>
    </row>
    <row r="56">
      <c r="A56" s="4" t="s">
        <v>10</v>
      </c>
      <c r="B56" s="4">
        <v>4.0</v>
      </c>
      <c r="C56" s="4" t="s">
        <v>23</v>
      </c>
      <c r="D56" s="4">
        <v>14.6725466251373</v>
      </c>
      <c r="E56" s="4" t="s">
        <v>24</v>
      </c>
      <c r="F56" s="4">
        <v>18.5513973236084</v>
      </c>
    </row>
    <row r="57">
      <c r="A57" s="4" t="s">
        <v>10</v>
      </c>
      <c r="B57" s="4">
        <v>5.0</v>
      </c>
      <c r="C57" s="4" t="s">
        <v>23</v>
      </c>
      <c r="D57" s="4">
        <v>15.4972217082977</v>
      </c>
      <c r="E57" s="4" t="s">
        <v>24</v>
      </c>
      <c r="F57" s="4">
        <v>18.8360419273376</v>
      </c>
    </row>
    <row r="58">
      <c r="A58" s="4" t="s">
        <v>10</v>
      </c>
      <c r="B58" s="4">
        <v>6.0</v>
      </c>
      <c r="C58" s="4" t="s">
        <v>23</v>
      </c>
      <c r="D58" s="4">
        <v>14.780094385147</v>
      </c>
      <c r="E58" s="4" t="s">
        <v>24</v>
      </c>
      <c r="F58" s="4">
        <v>18.8671123981475</v>
      </c>
    </row>
    <row r="59">
      <c r="A59" s="4" t="s">
        <v>10</v>
      </c>
      <c r="B59" s="4">
        <v>7.0</v>
      </c>
      <c r="C59" s="4" t="s">
        <v>23</v>
      </c>
      <c r="D59" s="4">
        <v>15.1771185398101</v>
      </c>
      <c r="E59" s="4" t="s">
        <v>24</v>
      </c>
      <c r="F59" s="4">
        <v>18.3508810997009</v>
      </c>
    </row>
    <row r="60">
      <c r="A60" s="4" t="s">
        <v>10</v>
      </c>
      <c r="B60" s="4">
        <v>8.0</v>
      </c>
      <c r="C60" s="4" t="s">
        <v>23</v>
      </c>
      <c r="D60" s="4">
        <v>15.2384736537933</v>
      </c>
      <c r="E60" s="4" t="s">
        <v>24</v>
      </c>
      <c r="F60" s="4">
        <v>18.0954601764678</v>
      </c>
    </row>
    <row r="61">
      <c r="A61" s="4" t="s">
        <v>10</v>
      </c>
      <c r="B61" s="4">
        <v>9.0</v>
      </c>
      <c r="C61" s="4" t="s">
        <v>23</v>
      </c>
      <c r="D61" s="4">
        <v>15.1034080982208</v>
      </c>
      <c r="E61" s="4" t="s">
        <v>24</v>
      </c>
      <c r="F61" s="4">
        <v>18.2998492717742</v>
      </c>
    </row>
    <row r="62">
      <c r="A62" s="4" t="s">
        <v>10</v>
      </c>
      <c r="B62" s="4">
        <v>0.0</v>
      </c>
      <c r="C62" s="4" t="s">
        <v>25</v>
      </c>
      <c r="D62" s="4">
        <v>14.9426114559173</v>
      </c>
      <c r="E62" s="4" t="s">
        <v>26</v>
      </c>
      <c r="F62" s="4">
        <v>18.7829933166503</v>
      </c>
    </row>
    <row r="63">
      <c r="A63" s="4" t="s">
        <v>10</v>
      </c>
      <c r="B63" s="4">
        <v>1.0</v>
      </c>
      <c r="C63" s="4" t="s">
        <v>25</v>
      </c>
      <c r="D63" s="4">
        <v>14.677176952362</v>
      </c>
      <c r="E63" s="4" t="s">
        <v>26</v>
      </c>
      <c r="F63" s="4">
        <v>18.5770516395568</v>
      </c>
    </row>
    <row r="64">
      <c r="A64" s="4" t="s">
        <v>10</v>
      </c>
      <c r="B64" s="4">
        <v>2.0</v>
      </c>
      <c r="C64" s="4" t="s">
        <v>25</v>
      </c>
      <c r="D64" s="4">
        <v>15.0450980663299</v>
      </c>
      <c r="E64" s="4" t="s">
        <v>26</v>
      </c>
      <c r="F64" s="4">
        <v>18.1350607872009</v>
      </c>
    </row>
    <row r="65">
      <c r="A65" s="4" t="s">
        <v>10</v>
      </c>
      <c r="B65" s="4">
        <v>3.0</v>
      </c>
      <c r="C65" s="4" t="s">
        <v>25</v>
      </c>
      <c r="D65" s="4">
        <v>14.9370741844177</v>
      </c>
      <c r="E65" s="4" t="s">
        <v>26</v>
      </c>
      <c r="F65" s="4">
        <v>18.1476848125457</v>
      </c>
    </row>
    <row r="66">
      <c r="A66" s="4" t="s">
        <v>10</v>
      </c>
      <c r="B66" s="4">
        <v>4.0</v>
      </c>
      <c r="C66" s="4" t="s">
        <v>25</v>
      </c>
      <c r="D66" s="4">
        <v>15.1180076599121</v>
      </c>
      <c r="E66" s="4" t="s">
        <v>26</v>
      </c>
      <c r="F66" s="4">
        <v>18.2402338981628</v>
      </c>
    </row>
    <row r="67">
      <c r="A67" s="4" t="s">
        <v>10</v>
      </c>
      <c r="B67" s="4">
        <v>5.0</v>
      </c>
      <c r="C67" s="4" t="s">
        <v>25</v>
      </c>
      <c r="D67" s="4">
        <v>14.790488243103</v>
      </c>
      <c r="E67" s="4" t="s">
        <v>26</v>
      </c>
      <c r="F67" s="4">
        <v>19.0959148406982</v>
      </c>
    </row>
    <row r="68">
      <c r="A68" s="4" t="s">
        <v>10</v>
      </c>
      <c r="B68" s="4">
        <v>6.0</v>
      </c>
      <c r="C68" s="4" t="s">
        <v>25</v>
      </c>
      <c r="D68" s="4">
        <v>14.6395614147186</v>
      </c>
      <c r="E68" s="4" t="s">
        <v>26</v>
      </c>
      <c r="F68" s="4">
        <v>17.9717593193054</v>
      </c>
    </row>
    <row r="69">
      <c r="A69" s="4" t="s">
        <v>10</v>
      </c>
      <c r="B69" s="4">
        <v>7.0</v>
      </c>
      <c r="C69" s="4" t="s">
        <v>25</v>
      </c>
      <c r="D69" s="4">
        <v>15.3904840946197</v>
      </c>
      <c r="E69" s="4" t="s">
        <v>26</v>
      </c>
      <c r="F69" s="4">
        <v>19.2993507385253</v>
      </c>
    </row>
    <row r="70">
      <c r="A70" s="4" t="s">
        <v>10</v>
      </c>
      <c r="B70" s="4">
        <v>8.0</v>
      </c>
      <c r="C70" s="4" t="s">
        <v>25</v>
      </c>
      <c r="D70" s="4">
        <v>15.8742735385894</v>
      </c>
      <c r="E70" s="4" t="s">
        <v>26</v>
      </c>
      <c r="F70" s="4">
        <v>17.8298075199127</v>
      </c>
    </row>
    <row r="71">
      <c r="A71" s="4" t="s">
        <v>10</v>
      </c>
      <c r="B71" s="4">
        <v>9.0</v>
      </c>
      <c r="C71" s="4" t="s">
        <v>25</v>
      </c>
      <c r="D71" s="4">
        <v>14.606426000595</v>
      </c>
      <c r="E71" s="4" t="s">
        <v>26</v>
      </c>
      <c r="F71" s="4">
        <v>19.5861365795135</v>
      </c>
    </row>
  </sheetData>
  <conditionalFormatting sqref="K3:L9">
    <cfRule type="cellIs" dxfId="0" priority="1" operator="equal">
      <formula>-1</formula>
    </cfRule>
  </conditionalFormatting>
  <conditionalFormatting sqref="A1:F1000">
    <cfRule type="cellIs" dxfId="1" priority="2" operator="equal">
      <formula>-1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6.0"/>
    <col customWidth="1" min="2" max="2" width="12.86"/>
    <col customWidth="1" min="3" max="3" width="12.71"/>
    <col customWidth="1" min="4" max="4" width="20.43"/>
    <col customWidth="1" min="5" max="5" width="11.57"/>
    <col customWidth="1" min="6" max="6" width="18.86"/>
    <col customWidth="1" min="8" max="8" width="12.71"/>
    <col customWidth="1" min="9" max="9" width="14.57"/>
    <col customWidth="1" min="10" max="10" width="11.57"/>
    <col customWidth="1" min="11" max="11" width="16.71"/>
    <col customWidth="1" min="12" max="12" width="12.29"/>
    <col customWidth="1" min="13" max="13" width="6.71"/>
  </cols>
  <sheetData>
    <row r="1">
      <c r="A1" s="1" t="s">
        <v>0</v>
      </c>
      <c r="B1" s="1" t="s">
        <v>7</v>
      </c>
      <c r="C1" s="1" t="s">
        <v>1</v>
      </c>
      <c r="D1" s="1" t="s">
        <v>8</v>
      </c>
      <c r="E1" s="1" t="s">
        <v>3</v>
      </c>
      <c r="F1" s="1" t="s">
        <v>9</v>
      </c>
    </row>
    <row r="2">
      <c r="A2" s="4" t="s">
        <v>27</v>
      </c>
      <c r="B2" s="4">
        <v>0.0</v>
      </c>
      <c r="C2" s="4" t="s">
        <v>11</v>
      </c>
      <c r="D2" s="4">
        <v>19.3400690555572</v>
      </c>
      <c r="E2" s="4" t="s">
        <v>12</v>
      </c>
      <c r="F2" s="4">
        <v>33.929817199707</v>
      </c>
      <c r="H2" s="5" t="s">
        <v>1</v>
      </c>
      <c r="I2" s="5" t="s">
        <v>2</v>
      </c>
      <c r="J2" s="5" t="s">
        <v>3</v>
      </c>
      <c r="K2" s="5" t="s">
        <v>4</v>
      </c>
      <c r="L2" s="5" t="s">
        <v>5</v>
      </c>
    </row>
    <row r="3">
      <c r="A3" s="4" t="s">
        <v>27</v>
      </c>
      <c r="B3" s="4">
        <v>1.0</v>
      </c>
      <c r="C3" s="4" t="s">
        <v>11</v>
      </c>
      <c r="D3" s="4">
        <v>20.1018660068511</v>
      </c>
      <c r="E3" s="4" t="s">
        <v>12</v>
      </c>
      <c r="F3" s="4">
        <v>33.2679228782653</v>
      </c>
      <c r="H3" s="6" t="str">
        <f>IFERROR(__xludf.DUMMYFUNCTION("unique(C2:C1000)"),"LCOM")</f>
        <v>LCOM</v>
      </c>
      <c r="I3" s="3">
        <f>IFERROR(__xludf.DUMMYFUNCTION("sum(query(C:D, ""select avg(D) where C='""&amp;$H3&amp;""'""))"),19.727881240844674)</f>
        <v>19.72788124</v>
      </c>
      <c r="J3" s="3" t="str">
        <f>IFERROR(__xludf.DUMMYFUNCTION("unique(E2:E1000)"),"EO_LCOM1")</f>
        <v>EO_LCOM1</v>
      </c>
      <c r="K3" s="3">
        <f>IFERROR(__xludf.DUMMYFUNCTION("sum(query(E:F, ""select avg(F) where E='""&amp;$J3&amp;""'""))"),33.64671804904933)</f>
        <v>33.64671805</v>
      </c>
      <c r="L3" s="7">
        <f t="shared" ref="L3:L9" si="1">if(K3=-1, -1, K3/I3)</f>
        <v>1.705541393</v>
      </c>
    </row>
    <row r="4">
      <c r="A4" s="4" t="s">
        <v>27</v>
      </c>
      <c r="B4" s="4">
        <v>2.0</v>
      </c>
      <c r="C4" s="4" t="s">
        <v>11</v>
      </c>
      <c r="D4" s="4">
        <v>19.9036452770233</v>
      </c>
      <c r="E4" s="4" t="s">
        <v>12</v>
      </c>
      <c r="F4" s="4">
        <v>33.4907994270324</v>
      </c>
      <c r="H4" s="6" t="str">
        <f>IFERROR(__xludf.DUMMYFUNCTION("""COMPUTED_VALUE"""),"LCOM2")</f>
        <v>LCOM2</v>
      </c>
      <c r="I4" s="3">
        <f>IFERROR(__xludf.DUMMYFUNCTION("sum(query(C:D, ""select avg(D) where C='""&amp;$H4&amp;""'""))"),19.41652283668512)</f>
        <v>19.41652284</v>
      </c>
      <c r="J4" s="3" t="str">
        <f>IFERROR(__xludf.DUMMYFUNCTION("""COMPUTED_VALUE"""),"EO_LCOM2")</f>
        <v>EO_LCOM2</v>
      </c>
      <c r="K4" s="3">
        <f>IFERROR(__xludf.DUMMYFUNCTION("sum(query(E:F, ""select avg(F) where E='""&amp;$J4&amp;""'""))"),26.340268325805617)</f>
        <v>26.34026833</v>
      </c>
      <c r="L4" s="7">
        <f t="shared" si="1"/>
        <v>1.356590392</v>
      </c>
    </row>
    <row r="5">
      <c r="A5" s="4" t="s">
        <v>27</v>
      </c>
      <c r="B5" s="4">
        <v>3.0</v>
      </c>
      <c r="C5" s="4" t="s">
        <v>11</v>
      </c>
      <c r="D5" s="4">
        <v>20.2400519847869</v>
      </c>
      <c r="E5" s="4" t="s">
        <v>12</v>
      </c>
      <c r="F5" s="4">
        <v>32.8366069793701</v>
      </c>
      <c r="H5" s="6" t="str">
        <f>IFERROR(__xludf.DUMMYFUNCTION("""COMPUTED_VALUE"""),"LCOM3")</f>
        <v>LCOM3</v>
      </c>
      <c r="I5" s="3">
        <f>IFERROR(__xludf.DUMMYFUNCTION("sum(query(C:D, ""select avg(D) where C='""&amp;$H5&amp;""'""))"),19.43815939426417)</f>
        <v>19.43815939</v>
      </c>
      <c r="J5" s="3" t="str">
        <f>IFERROR(__xludf.DUMMYFUNCTION("""COMPUTED_VALUE"""),"EO_LCOM3")</f>
        <v>EO_LCOM3</v>
      </c>
      <c r="K5" s="3">
        <f>IFERROR(__xludf.DUMMYFUNCTION("sum(query(E:F, ""select avg(F) where E='""&amp;$J5&amp;""'""))"),26.46744925975795)</f>
        <v>26.46744926</v>
      </c>
      <c r="L5" s="7">
        <f t="shared" si="1"/>
        <v>1.361623224</v>
      </c>
    </row>
    <row r="6">
      <c r="A6" s="4" t="s">
        <v>27</v>
      </c>
      <c r="B6" s="4">
        <v>4.0</v>
      </c>
      <c r="C6" s="4" t="s">
        <v>11</v>
      </c>
      <c r="D6" s="4">
        <v>19.4439160823822</v>
      </c>
      <c r="E6" s="4" t="s">
        <v>12</v>
      </c>
      <c r="F6" s="4">
        <v>33.3884797096252</v>
      </c>
      <c r="H6" s="6" t="str">
        <f>IFERROR(__xludf.DUMMYFUNCTION("""COMPUTED_VALUE"""),"TCC")</f>
        <v>TCC</v>
      </c>
      <c r="I6" s="3">
        <f>IFERROR(__xludf.DUMMYFUNCTION("sum(query(C:D, ""select avg(D) where C='""&amp;$H6&amp;""'""))"),20.120636081695498)</f>
        <v>20.12063608</v>
      </c>
      <c r="J6" s="3" t="str">
        <f>IFERROR(__xludf.DUMMYFUNCTION("""COMPUTED_VALUE"""),"EO_TCC")</f>
        <v>EO_TCC</v>
      </c>
      <c r="K6" s="3">
        <f>IFERROR(__xludf.DUMMYFUNCTION("sum(query(E:F, ""select avg(F) where E='""&amp;$J6&amp;""'""))"),30.705164480209305)</f>
        <v>30.70516448</v>
      </c>
      <c r="L6" s="7">
        <f t="shared" si="1"/>
        <v>1.526053369</v>
      </c>
    </row>
    <row r="7">
      <c r="A7" s="4" t="s">
        <v>27</v>
      </c>
      <c r="B7" s="4">
        <v>5.0</v>
      </c>
      <c r="C7" s="4" t="s">
        <v>11</v>
      </c>
      <c r="D7" s="4">
        <v>19.5176630020141</v>
      </c>
      <c r="E7" s="4" t="s">
        <v>12</v>
      </c>
      <c r="F7" s="4">
        <v>33.1164965629577</v>
      </c>
      <c r="H7" s="6" t="str">
        <f>IFERROR(__xludf.DUMMYFUNCTION("""COMPUTED_VALUE"""),"LCC")</f>
        <v>LCC</v>
      </c>
      <c r="I7" s="3">
        <f>IFERROR(__xludf.DUMMYFUNCTION("sum(query(C:D, ""select avg(D) where C='""&amp;$H7&amp;""'""))"),19.78492128849025)</f>
        <v>19.78492129</v>
      </c>
      <c r="J7" s="3" t="str">
        <f>IFERROR(__xludf.DUMMYFUNCTION("""COMPUTED_VALUE"""),"EO_LCC")</f>
        <v>EO_LCC</v>
      </c>
      <c r="K7" s="3">
        <f>IFERROR(__xludf.DUMMYFUNCTION("sum(query(E:F, ""select avg(F) where E='""&amp;$J7&amp;""'""))"),-1.0)</f>
        <v>-1</v>
      </c>
      <c r="L7" s="7">
        <f t="shared" si="1"/>
        <v>-1</v>
      </c>
    </row>
    <row r="8">
      <c r="A8" s="4" t="s">
        <v>27</v>
      </c>
      <c r="B8" s="4">
        <v>6.0</v>
      </c>
      <c r="C8" s="4" t="s">
        <v>11</v>
      </c>
      <c r="D8" s="4">
        <v>20.2114522457122</v>
      </c>
      <c r="E8" s="4" t="s">
        <v>12</v>
      </c>
      <c r="F8" s="4">
        <v>33.6260621547699</v>
      </c>
      <c r="H8" s="6" t="str">
        <f>IFERROR(__xludf.DUMMYFUNCTION("""COMPUTED_VALUE"""),"CAMC")</f>
        <v>CAMC</v>
      </c>
      <c r="I8" s="3">
        <f>IFERROR(__xludf.DUMMYFUNCTION("sum(query(C:D, ""select avg(D) where C='""&amp;$H8&amp;""'""))"),19.22448852062222)</f>
        <v>19.22448852</v>
      </c>
      <c r="J8" s="3" t="str">
        <f>IFERROR(__xludf.DUMMYFUNCTION("""COMPUTED_VALUE"""),"EO_CAMC")</f>
        <v>EO_CAMC</v>
      </c>
      <c r="K8" s="3">
        <f>IFERROR(__xludf.DUMMYFUNCTION("sum(query(E:F, ""select avg(F) where E='""&amp;$J8&amp;""'""))"),23.29836535453791)</f>
        <v>23.29836535</v>
      </c>
      <c r="L8" s="7">
        <f t="shared" si="1"/>
        <v>1.211910805</v>
      </c>
    </row>
    <row r="9">
      <c r="A9" s="4" t="s">
        <v>27</v>
      </c>
      <c r="B9" s="4">
        <v>7.0</v>
      </c>
      <c r="C9" s="4" t="s">
        <v>11</v>
      </c>
      <c r="D9" s="4">
        <v>20.03307056427</v>
      </c>
      <c r="E9" s="4" t="s">
        <v>12</v>
      </c>
      <c r="F9" s="4">
        <v>34.4783916473388</v>
      </c>
      <c r="H9" s="8" t="str">
        <f>IFERROR(__xludf.DUMMYFUNCTION("""COMPUTED_VALUE"""),"NHD")</f>
        <v>NHD</v>
      </c>
      <c r="I9" s="9">
        <f>IFERROR(__xludf.DUMMYFUNCTION("sum(query(C:D, ""select avg(D) where C='""&amp;$H9&amp;""'""))"),19.131571221351578)</f>
        <v>19.13157122</v>
      </c>
      <c r="J9" s="9" t="str">
        <f>IFERROR(__xludf.DUMMYFUNCTION("""COMPUTED_VALUE"""),"EO_NHD")</f>
        <v>EO_NHD</v>
      </c>
      <c r="K9" s="9">
        <f>IFERROR(__xludf.DUMMYFUNCTION("sum(query(E:F, ""select avg(F) where E='""&amp;$J9&amp;""'""))"),23.56187157630917)</f>
        <v>23.56187158</v>
      </c>
      <c r="L9" s="7">
        <f t="shared" si="1"/>
        <v>1.231570126</v>
      </c>
    </row>
    <row r="10">
      <c r="A10" s="4" t="s">
        <v>27</v>
      </c>
      <c r="B10" s="4">
        <v>8.0</v>
      </c>
      <c r="C10" s="4" t="s">
        <v>11</v>
      </c>
      <c r="D10" s="4">
        <v>18.8042483329772</v>
      </c>
      <c r="E10" s="4" t="s">
        <v>12</v>
      </c>
      <c r="F10" s="4">
        <v>34.4810969829559</v>
      </c>
      <c r="H10" s="3"/>
      <c r="J10" s="3"/>
      <c r="K10" s="10" t="s">
        <v>13</v>
      </c>
      <c r="L10" s="11">
        <f>AVERAGEIF(K3:K9, "&gt;1", L3:L9)</f>
        <v>1.398881551</v>
      </c>
    </row>
    <row r="11">
      <c r="A11" s="4" t="s">
        <v>27</v>
      </c>
      <c r="B11" s="4">
        <v>9.0</v>
      </c>
      <c r="C11" s="4" t="s">
        <v>11</v>
      </c>
      <c r="D11" s="4">
        <v>19.6828298568725</v>
      </c>
      <c r="E11" s="4" t="s">
        <v>12</v>
      </c>
      <c r="F11" s="4">
        <v>33.851506948471</v>
      </c>
      <c r="L11" s="12">
        <f>L10-1</f>
        <v>0.3988815514</v>
      </c>
      <c r="M11" s="4" t="s">
        <v>14</v>
      </c>
    </row>
    <row r="12">
      <c r="A12" s="4" t="s">
        <v>27</v>
      </c>
      <c r="B12" s="4">
        <v>0.0</v>
      </c>
      <c r="C12" s="4" t="s">
        <v>15</v>
      </c>
      <c r="D12" s="4">
        <v>18.6972305774688</v>
      </c>
      <c r="E12" s="4" t="s">
        <v>16</v>
      </c>
      <c r="F12" s="4">
        <v>26.3303160667419</v>
      </c>
    </row>
    <row r="13">
      <c r="A13" s="4" t="s">
        <v>27</v>
      </c>
      <c r="B13" s="4">
        <v>1.0</v>
      </c>
      <c r="C13" s="4" t="s">
        <v>15</v>
      </c>
      <c r="D13" s="4">
        <v>17.7724463939666</v>
      </c>
      <c r="E13" s="4" t="s">
        <v>16</v>
      </c>
      <c r="F13" s="4">
        <v>26.7098774909973</v>
      </c>
    </row>
    <row r="14">
      <c r="A14" s="4" t="s">
        <v>27</v>
      </c>
      <c r="B14" s="4">
        <v>2.0</v>
      </c>
      <c r="C14" s="4" t="s">
        <v>15</v>
      </c>
      <c r="D14" s="4">
        <v>20.3536493778228</v>
      </c>
      <c r="E14" s="4" t="s">
        <v>16</v>
      </c>
      <c r="F14" s="4">
        <v>25.3383092880249</v>
      </c>
    </row>
    <row r="15">
      <c r="A15" s="4" t="s">
        <v>27</v>
      </c>
      <c r="B15" s="4">
        <v>3.0</v>
      </c>
      <c r="C15" s="4" t="s">
        <v>15</v>
      </c>
      <c r="D15" s="4">
        <v>19.8166399002075</v>
      </c>
      <c r="E15" s="4" t="s">
        <v>16</v>
      </c>
      <c r="F15" s="4">
        <v>26.4042246341705</v>
      </c>
    </row>
    <row r="16">
      <c r="A16" s="4" t="s">
        <v>27</v>
      </c>
      <c r="B16" s="4">
        <v>4.0</v>
      </c>
      <c r="C16" s="4" t="s">
        <v>15</v>
      </c>
      <c r="D16" s="4">
        <v>19.1528179645538</v>
      </c>
      <c r="E16" s="4" t="s">
        <v>16</v>
      </c>
      <c r="F16" s="4">
        <v>26.795607805252</v>
      </c>
    </row>
    <row r="17">
      <c r="A17" s="4" t="s">
        <v>27</v>
      </c>
      <c r="B17" s="4">
        <v>5.0</v>
      </c>
      <c r="C17" s="4" t="s">
        <v>15</v>
      </c>
      <c r="D17" s="4">
        <v>19.5749201774597</v>
      </c>
      <c r="E17" s="4" t="s">
        <v>16</v>
      </c>
      <c r="F17" s="4">
        <v>26.3847453594207</v>
      </c>
    </row>
    <row r="18">
      <c r="A18" s="4" t="s">
        <v>27</v>
      </c>
      <c r="B18" s="4">
        <v>6.0</v>
      </c>
      <c r="C18" s="4" t="s">
        <v>15</v>
      </c>
      <c r="D18" s="4">
        <v>19.996624469757</v>
      </c>
      <c r="E18" s="4" t="s">
        <v>16</v>
      </c>
      <c r="F18" s="4">
        <v>25.8518366813659</v>
      </c>
    </row>
    <row r="19">
      <c r="A19" s="4" t="s">
        <v>27</v>
      </c>
      <c r="B19" s="4">
        <v>7.0</v>
      </c>
      <c r="C19" s="4" t="s">
        <v>15</v>
      </c>
      <c r="D19" s="4">
        <v>20.0835659503936</v>
      </c>
      <c r="E19" s="4" t="s">
        <v>16</v>
      </c>
      <c r="F19" s="4">
        <v>27.0984637737274</v>
      </c>
    </row>
    <row r="20">
      <c r="A20" s="4" t="s">
        <v>27</v>
      </c>
      <c r="B20" s="4">
        <v>8.0</v>
      </c>
      <c r="C20" s="4" t="s">
        <v>15</v>
      </c>
      <c r="D20" s="4">
        <v>18.9540493488311</v>
      </c>
      <c r="E20" s="4" t="s">
        <v>16</v>
      </c>
      <c r="F20" s="4">
        <v>26.1529850959777</v>
      </c>
    </row>
    <row r="21">
      <c r="A21" s="4" t="s">
        <v>27</v>
      </c>
      <c r="B21" s="4">
        <v>9.0</v>
      </c>
      <c r="C21" s="4" t="s">
        <v>15</v>
      </c>
      <c r="D21" s="4">
        <v>19.7632842063903</v>
      </c>
      <c r="E21" s="4" t="s">
        <v>16</v>
      </c>
      <c r="F21" s="4">
        <v>26.3363170623779</v>
      </c>
    </row>
    <row r="22">
      <c r="A22" s="4" t="s">
        <v>27</v>
      </c>
      <c r="B22" s="4">
        <v>0.0</v>
      </c>
      <c r="C22" s="4" t="s">
        <v>17</v>
      </c>
      <c r="D22" s="4">
        <v>18.8639664649963</v>
      </c>
      <c r="E22" s="4" t="s">
        <v>18</v>
      </c>
      <c r="F22" s="4">
        <v>26.3864614963531</v>
      </c>
    </row>
    <row r="23">
      <c r="A23" s="4" t="s">
        <v>27</v>
      </c>
      <c r="B23" s="4">
        <v>1.0</v>
      </c>
      <c r="C23" s="4" t="s">
        <v>17</v>
      </c>
      <c r="D23" s="4">
        <v>20.3513796329498</v>
      </c>
      <c r="E23" s="4" t="s">
        <v>18</v>
      </c>
      <c r="F23" s="4">
        <v>26.8137435913085</v>
      </c>
    </row>
    <row r="24">
      <c r="A24" s="4" t="s">
        <v>27</v>
      </c>
      <c r="B24" s="4">
        <v>2.0</v>
      </c>
      <c r="C24" s="4" t="s">
        <v>17</v>
      </c>
      <c r="D24" s="4">
        <v>18.5907478332519</v>
      </c>
      <c r="E24" s="4" t="s">
        <v>18</v>
      </c>
      <c r="F24" s="4">
        <v>25.6929025650024</v>
      </c>
    </row>
    <row r="25">
      <c r="A25" s="4" t="s">
        <v>27</v>
      </c>
      <c r="B25" s="4">
        <v>3.0</v>
      </c>
      <c r="C25" s="4" t="s">
        <v>17</v>
      </c>
      <c r="D25" s="4">
        <v>19.1133847236633</v>
      </c>
      <c r="E25" s="4" t="s">
        <v>18</v>
      </c>
      <c r="F25" s="4">
        <v>26.4552602767944</v>
      </c>
    </row>
    <row r="26">
      <c r="A26" s="4" t="s">
        <v>27</v>
      </c>
      <c r="B26" s="4">
        <v>4.0</v>
      </c>
      <c r="C26" s="4" t="s">
        <v>17</v>
      </c>
      <c r="D26" s="4">
        <v>19.5681002140045</v>
      </c>
      <c r="E26" s="4" t="s">
        <v>18</v>
      </c>
      <c r="F26" s="4">
        <v>27.7625987529754</v>
      </c>
    </row>
    <row r="27">
      <c r="A27" s="4" t="s">
        <v>27</v>
      </c>
      <c r="B27" s="4">
        <v>5.0</v>
      </c>
      <c r="C27" s="4" t="s">
        <v>17</v>
      </c>
      <c r="D27" s="4">
        <v>19.6463441848754</v>
      </c>
      <c r="E27" s="4" t="s">
        <v>18</v>
      </c>
      <c r="F27" s="4">
        <v>26.3319723606109</v>
      </c>
    </row>
    <row r="28">
      <c r="A28" s="4" t="s">
        <v>27</v>
      </c>
      <c r="B28" s="4">
        <v>6.0</v>
      </c>
      <c r="C28" s="4" t="s">
        <v>17</v>
      </c>
      <c r="D28" s="4">
        <v>19.0258300304412</v>
      </c>
      <c r="E28" s="4" t="s">
        <v>18</v>
      </c>
      <c r="F28" s="4">
        <v>27.1141810417175</v>
      </c>
    </row>
    <row r="29">
      <c r="A29" s="4" t="s">
        <v>27</v>
      </c>
      <c r="B29" s="4">
        <v>7.0</v>
      </c>
      <c r="C29" s="4" t="s">
        <v>17</v>
      </c>
      <c r="D29" s="4">
        <v>18.9968183040618</v>
      </c>
      <c r="E29" s="4" t="s">
        <v>18</v>
      </c>
      <c r="F29" s="4">
        <v>25.7122328281402</v>
      </c>
    </row>
    <row r="30">
      <c r="A30" s="4" t="s">
        <v>27</v>
      </c>
      <c r="B30" s="4">
        <v>8.0</v>
      </c>
      <c r="C30" s="4" t="s">
        <v>17</v>
      </c>
      <c r="D30" s="4">
        <v>21.1032752990722</v>
      </c>
      <c r="E30" s="4" t="s">
        <v>18</v>
      </c>
      <c r="F30" s="4">
        <v>26.1279547214508</v>
      </c>
    </row>
    <row r="31">
      <c r="A31" s="4" t="s">
        <v>27</v>
      </c>
      <c r="B31" s="4">
        <v>9.0</v>
      </c>
      <c r="C31" s="4" t="s">
        <v>17</v>
      </c>
      <c r="D31" s="4">
        <v>19.1217472553253</v>
      </c>
      <c r="E31" s="4" t="s">
        <v>18</v>
      </c>
      <c r="F31" s="4">
        <v>26.2771849632263</v>
      </c>
    </row>
    <row r="32">
      <c r="A32" s="4" t="s">
        <v>27</v>
      </c>
      <c r="B32" s="4">
        <v>0.0</v>
      </c>
      <c r="C32" s="4" t="s">
        <v>19</v>
      </c>
      <c r="D32" s="4">
        <v>21.3341386318206</v>
      </c>
      <c r="E32" s="4" t="s">
        <v>20</v>
      </c>
      <c r="F32" s="4">
        <v>32.2025561332702</v>
      </c>
    </row>
    <row r="33">
      <c r="A33" s="4" t="s">
        <v>27</v>
      </c>
      <c r="B33" s="4">
        <v>1.0</v>
      </c>
      <c r="C33" s="4" t="s">
        <v>19</v>
      </c>
      <c r="D33" s="4">
        <v>20.0022225379943</v>
      </c>
      <c r="E33" s="4" t="s">
        <v>20</v>
      </c>
      <c r="F33" s="4">
        <v>30.0531358718872</v>
      </c>
    </row>
    <row r="34">
      <c r="A34" s="4" t="s">
        <v>27</v>
      </c>
      <c r="B34" s="4">
        <v>2.0</v>
      </c>
      <c r="C34" s="4" t="s">
        <v>19</v>
      </c>
      <c r="D34" s="4">
        <v>19.4227786064147</v>
      </c>
      <c r="E34" s="4" t="s">
        <v>20</v>
      </c>
      <c r="F34" s="4">
        <v>29.2405822277069</v>
      </c>
    </row>
    <row r="35">
      <c r="A35" s="4" t="s">
        <v>27</v>
      </c>
      <c r="B35" s="4">
        <v>3.0</v>
      </c>
      <c r="C35" s="4" t="s">
        <v>19</v>
      </c>
      <c r="D35" s="4">
        <v>19.9525573253631</v>
      </c>
      <c r="E35" s="4" t="s">
        <v>20</v>
      </c>
      <c r="F35" s="4">
        <v>31.7207283973693</v>
      </c>
    </row>
    <row r="36">
      <c r="A36" s="4" t="s">
        <v>27</v>
      </c>
      <c r="B36" s="4">
        <v>4.0</v>
      </c>
      <c r="C36" s="4" t="s">
        <v>19</v>
      </c>
      <c r="D36" s="4">
        <v>18.9657380580902</v>
      </c>
      <c r="E36" s="4" t="s">
        <v>20</v>
      </c>
      <c r="F36" s="4">
        <v>30.2396512031555</v>
      </c>
    </row>
    <row r="37">
      <c r="A37" s="4" t="s">
        <v>27</v>
      </c>
      <c r="B37" s="4">
        <v>5.0</v>
      </c>
      <c r="C37" s="4" t="s">
        <v>19</v>
      </c>
      <c r="D37" s="4">
        <v>19.0079307556152</v>
      </c>
      <c r="E37" s="4" t="s">
        <v>20</v>
      </c>
      <c r="F37" s="4">
        <v>29.9375829696655</v>
      </c>
    </row>
    <row r="38">
      <c r="A38" s="4" t="s">
        <v>27</v>
      </c>
      <c r="B38" s="4">
        <v>6.0</v>
      </c>
      <c r="C38" s="4" t="s">
        <v>19</v>
      </c>
      <c r="D38" s="4">
        <v>19.9972918033599</v>
      </c>
      <c r="E38" s="4" t="s">
        <v>20</v>
      </c>
      <c r="F38" s="4">
        <v>32.2800271511077</v>
      </c>
    </row>
    <row r="39">
      <c r="A39" s="4" t="s">
        <v>27</v>
      </c>
      <c r="B39" s="4">
        <v>7.0</v>
      </c>
      <c r="C39" s="4" t="s">
        <v>19</v>
      </c>
      <c r="D39" s="4">
        <v>20.2820024490356</v>
      </c>
      <c r="E39" s="4" t="s">
        <v>20</v>
      </c>
      <c r="F39" s="4">
        <v>29.6631450653076</v>
      </c>
    </row>
    <row r="40">
      <c r="A40" s="4" t="s">
        <v>27</v>
      </c>
      <c r="B40" s="4">
        <v>8.0</v>
      </c>
      <c r="C40" s="4" t="s">
        <v>19</v>
      </c>
      <c r="D40" s="4">
        <v>22.8702552318573</v>
      </c>
      <c r="E40" s="4" t="s">
        <v>20</v>
      </c>
      <c r="F40" s="4">
        <v>31.4227311611175</v>
      </c>
    </row>
    <row r="41">
      <c r="A41" s="4" t="s">
        <v>27</v>
      </c>
      <c r="B41" s="4">
        <v>9.0</v>
      </c>
      <c r="C41" s="4" t="s">
        <v>19</v>
      </c>
      <c r="D41" s="4">
        <v>19.3714454174041</v>
      </c>
      <c r="E41" s="4" t="s">
        <v>20</v>
      </c>
      <c r="F41" s="4">
        <v>30.2915046215057</v>
      </c>
    </row>
    <row r="42">
      <c r="A42" s="4" t="s">
        <v>27</v>
      </c>
      <c r="B42" s="4">
        <v>0.0</v>
      </c>
      <c r="C42" s="4" t="s">
        <v>21</v>
      </c>
      <c r="D42" s="4">
        <v>20.2992606163024</v>
      </c>
      <c r="E42" s="4" t="s">
        <v>22</v>
      </c>
      <c r="F42" s="4">
        <v>-1.0</v>
      </c>
    </row>
    <row r="43">
      <c r="A43" s="4" t="s">
        <v>27</v>
      </c>
      <c r="B43" s="4">
        <v>1.0</v>
      </c>
      <c r="C43" s="4" t="s">
        <v>21</v>
      </c>
      <c r="D43" s="4">
        <v>19.6348235607147</v>
      </c>
      <c r="E43" s="4" t="s">
        <v>22</v>
      </c>
      <c r="F43" s="4">
        <v>-1.0</v>
      </c>
    </row>
    <row r="44">
      <c r="A44" s="4" t="s">
        <v>27</v>
      </c>
      <c r="B44" s="4">
        <v>2.0</v>
      </c>
      <c r="C44" s="4" t="s">
        <v>21</v>
      </c>
      <c r="D44" s="4">
        <v>21.3213562965393</v>
      </c>
      <c r="E44" s="4" t="s">
        <v>22</v>
      </c>
      <c r="F44" s="4">
        <v>-1.0</v>
      </c>
    </row>
    <row r="45">
      <c r="A45" s="4" t="s">
        <v>27</v>
      </c>
      <c r="B45" s="4">
        <v>3.0</v>
      </c>
      <c r="C45" s="4" t="s">
        <v>21</v>
      </c>
      <c r="D45" s="4">
        <v>19.3247971534729</v>
      </c>
      <c r="E45" s="4" t="s">
        <v>22</v>
      </c>
      <c r="F45" s="4">
        <v>-1.0</v>
      </c>
    </row>
    <row r="46">
      <c r="A46" s="4" t="s">
        <v>27</v>
      </c>
      <c r="B46" s="4">
        <v>4.0</v>
      </c>
      <c r="C46" s="4" t="s">
        <v>21</v>
      </c>
      <c r="D46" s="4">
        <v>20.3432185649871</v>
      </c>
      <c r="E46" s="4" t="s">
        <v>22</v>
      </c>
      <c r="F46" s="4">
        <v>-1.0</v>
      </c>
    </row>
    <row r="47">
      <c r="A47" s="4" t="s">
        <v>27</v>
      </c>
      <c r="B47" s="4">
        <v>5.0</v>
      </c>
      <c r="C47" s="4" t="s">
        <v>21</v>
      </c>
      <c r="D47" s="4">
        <v>19.6392848491668</v>
      </c>
      <c r="E47" s="4" t="s">
        <v>22</v>
      </c>
      <c r="F47" s="4">
        <v>-1.0</v>
      </c>
    </row>
    <row r="48">
      <c r="A48" s="4" t="s">
        <v>27</v>
      </c>
      <c r="B48" s="4">
        <v>6.0</v>
      </c>
      <c r="C48" s="4" t="s">
        <v>21</v>
      </c>
      <c r="D48" s="4">
        <v>19.2492625713348</v>
      </c>
      <c r="E48" s="4" t="s">
        <v>22</v>
      </c>
      <c r="F48" s="4">
        <v>-1.0</v>
      </c>
    </row>
    <row r="49">
      <c r="A49" s="4" t="s">
        <v>27</v>
      </c>
      <c r="B49" s="4">
        <v>7.0</v>
      </c>
      <c r="C49" s="4" t="s">
        <v>21</v>
      </c>
      <c r="D49" s="4">
        <v>19.3351140022277</v>
      </c>
      <c r="E49" s="4" t="s">
        <v>22</v>
      </c>
      <c r="F49" s="4">
        <v>-1.0</v>
      </c>
    </row>
    <row r="50">
      <c r="A50" s="4" t="s">
        <v>27</v>
      </c>
      <c r="B50" s="4">
        <v>8.0</v>
      </c>
      <c r="C50" s="4" t="s">
        <v>21</v>
      </c>
      <c r="D50" s="4">
        <v>19.6442022323608</v>
      </c>
      <c r="E50" s="4" t="s">
        <v>22</v>
      </c>
      <c r="F50" s="4">
        <v>-1.0</v>
      </c>
    </row>
    <row r="51">
      <c r="A51" s="4" t="s">
        <v>27</v>
      </c>
      <c r="B51" s="4">
        <v>9.0</v>
      </c>
      <c r="C51" s="4" t="s">
        <v>21</v>
      </c>
      <c r="D51" s="4">
        <v>19.057893037796</v>
      </c>
      <c r="E51" s="4" t="s">
        <v>22</v>
      </c>
      <c r="F51" s="4">
        <v>-1.0</v>
      </c>
    </row>
    <row r="52">
      <c r="A52" s="4" t="s">
        <v>27</v>
      </c>
      <c r="B52" s="4">
        <v>0.0</v>
      </c>
      <c r="C52" s="4" t="s">
        <v>23</v>
      </c>
      <c r="D52" s="4">
        <v>18.6422891616821</v>
      </c>
      <c r="E52" s="4" t="s">
        <v>24</v>
      </c>
      <c r="F52" s="4">
        <v>23.5210466384887</v>
      </c>
    </row>
    <row r="53">
      <c r="A53" s="4" t="s">
        <v>27</v>
      </c>
      <c r="B53" s="4">
        <v>1.0</v>
      </c>
      <c r="C53" s="4" t="s">
        <v>23</v>
      </c>
      <c r="D53" s="4">
        <v>18.6344673633575</v>
      </c>
      <c r="E53" s="4" t="s">
        <v>24</v>
      </c>
      <c r="F53" s="4">
        <v>22.9196529388427</v>
      </c>
    </row>
    <row r="54">
      <c r="A54" s="4" t="s">
        <v>27</v>
      </c>
      <c r="B54" s="4">
        <v>2.0</v>
      </c>
      <c r="C54" s="4" t="s">
        <v>23</v>
      </c>
      <c r="D54" s="4">
        <v>19.3354661464691</v>
      </c>
      <c r="E54" s="4" t="s">
        <v>24</v>
      </c>
      <c r="F54" s="4">
        <v>22.8395926952362</v>
      </c>
    </row>
    <row r="55">
      <c r="A55" s="4" t="s">
        <v>27</v>
      </c>
      <c r="B55" s="4">
        <v>3.0</v>
      </c>
      <c r="C55" s="4" t="s">
        <v>23</v>
      </c>
      <c r="D55" s="4">
        <v>19.5848429203033</v>
      </c>
      <c r="E55" s="4" t="s">
        <v>24</v>
      </c>
      <c r="F55" s="4">
        <v>23.4535825252532</v>
      </c>
    </row>
    <row r="56">
      <c r="A56" s="4" t="s">
        <v>27</v>
      </c>
      <c r="B56" s="4">
        <v>4.0</v>
      </c>
      <c r="C56" s="4" t="s">
        <v>23</v>
      </c>
      <c r="D56" s="4">
        <v>20.2344121932983</v>
      </c>
      <c r="E56" s="4" t="s">
        <v>24</v>
      </c>
      <c r="F56" s="4">
        <v>23.1007883548736</v>
      </c>
    </row>
    <row r="57">
      <c r="A57" s="4" t="s">
        <v>27</v>
      </c>
      <c r="B57" s="4">
        <v>5.0</v>
      </c>
      <c r="C57" s="4" t="s">
        <v>23</v>
      </c>
      <c r="D57" s="4">
        <v>19.5846877098083</v>
      </c>
      <c r="E57" s="4" t="s">
        <v>24</v>
      </c>
      <c r="F57" s="4">
        <v>23.5369937419891</v>
      </c>
    </row>
    <row r="58">
      <c r="A58" s="4" t="s">
        <v>27</v>
      </c>
      <c r="B58" s="4">
        <v>6.0</v>
      </c>
      <c r="C58" s="4" t="s">
        <v>23</v>
      </c>
      <c r="D58" s="4">
        <v>18.7472856044769</v>
      </c>
      <c r="E58" s="4" t="s">
        <v>24</v>
      </c>
      <c r="F58" s="4">
        <v>22.3848750591278</v>
      </c>
    </row>
    <row r="59">
      <c r="A59" s="4" t="s">
        <v>27</v>
      </c>
      <c r="B59" s="4">
        <v>7.0</v>
      </c>
      <c r="C59" s="4" t="s">
        <v>23</v>
      </c>
      <c r="D59" s="4">
        <v>18.6193253993988</v>
      </c>
      <c r="E59" s="4" t="s">
        <v>24</v>
      </c>
      <c r="F59" s="4">
        <v>24.5484874248504</v>
      </c>
    </row>
    <row r="60">
      <c r="A60" s="4" t="s">
        <v>27</v>
      </c>
      <c r="B60" s="4">
        <v>8.0</v>
      </c>
      <c r="C60" s="4" t="s">
        <v>23</v>
      </c>
      <c r="D60" s="4">
        <v>19.3381686210632</v>
      </c>
      <c r="E60" s="4" t="s">
        <v>24</v>
      </c>
      <c r="F60" s="4">
        <v>23.7159368991851</v>
      </c>
    </row>
    <row r="61">
      <c r="A61" s="4" t="s">
        <v>27</v>
      </c>
      <c r="B61" s="4">
        <v>9.0</v>
      </c>
      <c r="C61" s="4" t="s">
        <v>23</v>
      </c>
      <c r="D61" s="4">
        <v>19.5239400863647</v>
      </c>
      <c r="E61" s="4" t="s">
        <v>24</v>
      </c>
      <c r="F61" s="4">
        <v>22.9626972675323</v>
      </c>
    </row>
    <row r="62">
      <c r="A62" s="4" t="s">
        <v>27</v>
      </c>
      <c r="B62" s="4">
        <v>0.0</v>
      </c>
      <c r="C62" s="4" t="s">
        <v>25</v>
      </c>
      <c r="D62" s="4">
        <v>18.8362529277801</v>
      </c>
      <c r="E62" s="4" t="s">
        <v>26</v>
      </c>
      <c r="F62" s="4">
        <v>23.4568474292755</v>
      </c>
    </row>
    <row r="63">
      <c r="A63" s="4" t="s">
        <v>27</v>
      </c>
      <c r="B63" s="4">
        <v>1.0</v>
      </c>
      <c r="C63" s="4" t="s">
        <v>25</v>
      </c>
      <c r="D63" s="4">
        <v>19.1085600852966</v>
      </c>
      <c r="E63" s="4" t="s">
        <v>26</v>
      </c>
      <c r="F63" s="4">
        <v>24.1414229869842</v>
      </c>
    </row>
    <row r="64">
      <c r="A64" s="4" t="s">
        <v>27</v>
      </c>
      <c r="B64" s="4">
        <v>2.0</v>
      </c>
      <c r="C64" s="4" t="s">
        <v>25</v>
      </c>
      <c r="D64" s="4">
        <v>19.8458135128021</v>
      </c>
      <c r="E64" s="4" t="s">
        <v>26</v>
      </c>
      <c r="F64" s="4">
        <v>24.2303209304809</v>
      </c>
    </row>
    <row r="65">
      <c r="A65" s="4" t="s">
        <v>27</v>
      </c>
      <c r="B65" s="4">
        <v>3.0</v>
      </c>
      <c r="C65" s="4" t="s">
        <v>25</v>
      </c>
      <c r="D65" s="4">
        <v>18.1849360466003</v>
      </c>
      <c r="E65" s="4" t="s">
        <v>26</v>
      </c>
      <c r="F65" s="4">
        <v>23.0214591026306</v>
      </c>
    </row>
    <row r="66">
      <c r="A66" s="4" t="s">
        <v>27</v>
      </c>
      <c r="B66" s="4">
        <v>4.0</v>
      </c>
      <c r="C66" s="4" t="s">
        <v>25</v>
      </c>
      <c r="D66" s="4">
        <v>18.4459812641143</v>
      </c>
      <c r="E66" s="4" t="s">
        <v>26</v>
      </c>
      <c r="F66" s="4">
        <v>23.1605892181396</v>
      </c>
    </row>
    <row r="67">
      <c r="A67" s="4" t="s">
        <v>27</v>
      </c>
      <c r="B67" s="4">
        <v>5.0</v>
      </c>
      <c r="C67" s="4" t="s">
        <v>25</v>
      </c>
      <c r="D67" s="4">
        <v>20.2300546169281</v>
      </c>
      <c r="E67" s="4" t="s">
        <v>26</v>
      </c>
      <c r="F67" s="4">
        <v>23.8574783802032</v>
      </c>
    </row>
    <row r="68">
      <c r="A68" s="4" t="s">
        <v>27</v>
      </c>
      <c r="B68" s="4">
        <v>6.0</v>
      </c>
      <c r="C68" s="4" t="s">
        <v>25</v>
      </c>
      <c r="D68" s="4">
        <v>18.9400436878204</v>
      </c>
      <c r="E68" s="4" t="s">
        <v>26</v>
      </c>
      <c r="F68" s="4">
        <v>23.0470917224884</v>
      </c>
    </row>
    <row r="69">
      <c r="A69" s="4" t="s">
        <v>27</v>
      </c>
      <c r="B69" s="4">
        <v>7.0</v>
      </c>
      <c r="C69" s="4" t="s">
        <v>25</v>
      </c>
      <c r="D69" s="4">
        <v>18.9056730270385</v>
      </c>
      <c r="E69" s="4" t="s">
        <v>26</v>
      </c>
      <c r="F69" s="4">
        <v>23.8048448562622</v>
      </c>
    </row>
    <row r="70">
      <c r="A70" s="4" t="s">
        <v>27</v>
      </c>
      <c r="B70" s="4">
        <v>8.0</v>
      </c>
      <c r="C70" s="4" t="s">
        <v>25</v>
      </c>
      <c r="D70" s="4">
        <v>19.6306283473968</v>
      </c>
      <c r="E70" s="4" t="s">
        <v>26</v>
      </c>
      <c r="F70" s="4">
        <v>23.9346175193786</v>
      </c>
    </row>
    <row r="71">
      <c r="A71" s="4" t="s">
        <v>27</v>
      </c>
      <c r="B71" s="4">
        <v>9.0</v>
      </c>
      <c r="C71" s="4" t="s">
        <v>25</v>
      </c>
      <c r="D71" s="4">
        <v>19.1877686977386</v>
      </c>
      <c r="E71" s="4" t="s">
        <v>26</v>
      </c>
      <c r="F71" s="4">
        <v>22.9640436172485</v>
      </c>
    </row>
  </sheetData>
  <conditionalFormatting sqref="K3:L9">
    <cfRule type="cellIs" dxfId="0" priority="1" operator="equal">
      <formula>-1</formula>
    </cfRule>
  </conditionalFormatting>
  <conditionalFormatting sqref="A1:F1000">
    <cfRule type="cellIs" dxfId="1" priority="2" operator="equal">
      <formula>-1</formula>
    </cfRule>
  </conditionalFormatting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0"/>
    <col customWidth="1" min="2" max="2" width="12.86"/>
    <col customWidth="1" min="3" max="3" width="12.71"/>
    <col customWidth="1" min="4" max="4" width="20.43"/>
    <col customWidth="1" min="5" max="5" width="11.57"/>
    <col customWidth="1" min="6" max="6" width="18.86"/>
    <col customWidth="1" min="8" max="8" width="12.71"/>
    <col customWidth="1" min="9" max="9" width="14.57"/>
    <col customWidth="1" min="10" max="10" width="11.57"/>
    <col customWidth="1" min="11" max="11" width="16.71"/>
    <col customWidth="1" min="12" max="12" width="12.29"/>
    <col customWidth="1" min="13" max="13" width="6.71"/>
  </cols>
  <sheetData>
    <row r="1">
      <c r="A1" s="1" t="s">
        <v>0</v>
      </c>
      <c r="B1" s="1" t="s">
        <v>7</v>
      </c>
      <c r="C1" s="1" t="s">
        <v>1</v>
      </c>
      <c r="D1" s="1" t="s">
        <v>8</v>
      </c>
      <c r="E1" s="1" t="s">
        <v>3</v>
      </c>
      <c r="F1" s="1" t="s">
        <v>9</v>
      </c>
    </row>
    <row r="2">
      <c r="A2" s="4" t="s">
        <v>28</v>
      </c>
      <c r="B2" s="4">
        <v>0.0</v>
      </c>
      <c r="C2" s="4" t="s">
        <v>11</v>
      </c>
      <c r="D2" s="4">
        <v>6.8653130531311</v>
      </c>
      <c r="E2" s="4" t="s">
        <v>12</v>
      </c>
      <c r="F2" s="4">
        <v>12.2013928890228</v>
      </c>
      <c r="H2" s="5" t="s">
        <v>1</v>
      </c>
      <c r="I2" s="5" t="s">
        <v>2</v>
      </c>
      <c r="J2" s="5" t="s">
        <v>3</v>
      </c>
      <c r="K2" s="5" t="s">
        <v>4</v>
      </c>
      <c r="L2" s="5" t="s">
        <v>5</v>
      </c>
    </row>
    <row r="3">
      <c r="A3" s="4" t="s">
        <v>28</v>
      </c>
      <c r="B3" s="4">
        <v>1.0</v>
      </c>
      <c r="C3" s="4" t="s">
        <v>11</v>
      </c>
      <c r="D3" s="4">
        <v>7.14776706695556</v>
      </c>
      <c r="E3" s="4" t="s">
        <v>12</v>
      </c>
      <c r="F3" s="4">
        <v>11.7671201229095</v>
      </c>
      <c r="H3" s="6" t="str">
        <f>IFERROR(__xludf.DUMMYFUNCTION("unique(C2:C1000)"),"LCOM")</f>
        <v>LCOM</v>
      </c>
      <c r="I3" s="3">
        <f>IFERROR(__xludf.DUMMYFUNCTION("sum(query(C:D, ""select avg(D) where C='""&amp;$H3&amp;""'""))"),6.898950099945063)</f>
        <v>6.8989501</v>
      </c>
      <c r="J3" s="3" t="str">
        <f>IFERROR(__xludf.DUMMYFUNCTION("unique(E2:E1000)"),"EO_LCOM1")</f>
        <v>EO_LCOM1</v>
      </c>
      <c r="K3" s="3">
        <f>IFERROR(__xludf.DUMMYFUNCTION("sum(query(E:F, ""select avg(F) where E='""&amp;$J3&amp;""'""))"),12.26070284843439)</f>
        <v>12.26070285</v>
      </c>
      <c r="L3" s="7">
        <f t="shared" ref="L3:L9" si="1">if(K3=-1, -1, K3/I3)</f>
        <v>1.777183872</v>
      </c>
    </row>
    <row r="4">
      <c r="A4" s="4" t="s">
        <v>28</v>
      </c>
      <c r="B4" s="4">
        <v>2.0</v>
      </c>
      <c r="C4" s="4" t="s">
        <v>11</v>
      </c>
      <c r="D4" s="4">
        <v>7.03638815879821</v>
      </c>
      <c r="E4" s="4" t="s">
        <v>12</v>
      </c>
      <c r="F4" s="4">
        <v>12.5885076522827</v>
      </c>
      <c r="H4" s="6" t="str">
        <f>IFERROR(__xludf.DUMMYFUNCTION("""COMPUTED_VALUE"""),"LCOM2")</f>
        <v>LCOM2</v>
      </c>
      <c r="I4" s="3">
        <f>IFERROR(__xludf.DUMMYFUNCTION("sum(query(C:D, ""select avg(D) where C='""&amp;$H4&amp;""'""))"),6.54814503192901)</f>
        <v>6.548145032</v>
      </c>
      <c r="J4" s="3" t="str">
        <f>IFERROR(__xludf.DUMMYFUNCTION("""COMPUTED_VALUE"""),"EO_LCOM2")</f>
        <v>EO_LCOM2</v>
      </c>
      <c r="K4" s="3">
        <f>IFERROR(__xludf.DUMMYFUNCTION("sum(query(E:F, ""select avg(F) where E='""&amp;$J4&amp;""'""))"),9.128823280334469)</f>
        <v>9.12882328</v>
      </c>
      <c r="L4" s="7">
        <f t="shared" si="1"/>
        <v>1.394108291</v>
      </c>
    </row>
    <row r="5">
      <c r="A5" s="4" t="s">
        <v>28</v>
      </c>
      <c r="B5" s="4">
        <v>3.0</v>
      </c>
      <c r="C5" s="4" t="s">
        <v>11</v>
      </c>
      <c r="D5" s="4">
        <v>6.97505807876586</v>
      </c>
      <c r="E5" s="4" t="s">
        <v>12</v>
      </c>
      <c r="F5" s="4">
        <v>12.250587940216</v>
      </c>
      <c r="H5" s="6" t="str">
        <f>IFERROR(__xludf.DUMMYFUNCTION("""COMPUTED_VALUE"""),"LCOM3")</f>
        <v>LCOM3</v>
      </c>
      <c r="I5" s="3">
        <f>IFERROR(__xludf.DUMMYFUNCTION("sum(query(C:D, ""select avg(D) where C='""&amp;$H5&amp;""'""))"),6.588100481033322)</f>
        <v>6.588100481</v>
      </c>
      <c r="J5" s="3" t="str">
        <f>IFERROR(__xludf.DUMMYFUNCTION("""COMPUTED_VALUE"""),"EO_LCOM3")</f>
        <v>EO_LCOM3</v>
      </c>
      <c r="K5" s="3">
        <f>IFERROR(__xludf.DUMMYFUNCTION("sum(query(E:F, ""select avg(F) where E='""&amp;$J5&amp;""'""))"),9.186386036872861)</f>
        <v>9.186386037</v>
      </c>
      <c r="L5" s="7">
        <f t="shared" si="1"/>
        <v>1.394390699</v>
      </c>
    </row>
    <row r="6">
      <c r="A6" s="4" t="s">
        <v>28</v>
      </c>
      <c r="B6" s="4">
        <v>4.0</v>
      </c>
      <c r="C6" s="4" t="s">
        <v>11</v>
      </c>
      <c r="D6" s="4">
        <v>6.59205055236816</v>
      </c>
      <c r="E6" s="4" t="s">
        <v>12</v>
      </c>
      <c r="F6" s="4">
        <v>12.2207887172698</v>
      </c>
      <c r="H6" s="6" t="str">
        <f>IFERROR(__xludf.DUMMYFUNCTION("""COMPUTED_VALUE"""),"TCC")</f>
        <v>TCC</v>
      </c>
      <c r="I6" s="3">
        <f>IFERROR(__xludf.DUMMYFUNCTION("sum(query(C:D, ""select avg(D) where C='""&amp;$H6&amp;""'""))"),6.912076950073238)</f>
        <v>6.91207695</v>
      </c>
      <c r="J6" s="3" t="str">
        <f>IFERROR(__xludf.DUMMYFUNCTION("""COMPUTED_VALUE"""),"EO_TCC")</f>
        <v>EO_TCC</v>
      </c>
      <c r="K6" s="3">
        <f>IFERROR(__xludf.DUMMYFUNCTION("sum(query(E:F, ""select avg(F) where E='""&amp;$J6&amp;""'""))"),10.53059473037714)</f>
        <v>10.53059473</v>
      </c>
      <c r="L6" s="7">
        <f t="shared" si="1"/>
        <v>1.523506582</v>
      </c>
    </row>
    <row r="7">
      <c r="A7" s="4" t="s">
        <v>28</v>
      </c>
      <c r="B7" s="4">
        <v>5.0</v>
      </c>
      <c r="C7" s="4" t="s">
        <v>11</v>
      </c>
      <c r="D7" s="4">
        <v>7.0363974571228</v>
      </c>
      <c r="E7" s="4" t="s">
        <v>12</v>
      </c>
      <c r="F7" s="4">
        <v>12.3978786468505</v>
      </c>
      <c r="H7" s="6" t="str">
        <f>IFERROR(__xludf.DUMMYFUNCTION("""COMPUTED_VALUE"""),"LCC")</f>
        <v>LCC</v>
      </c>
      <c r="I7" s="3">
        <f>IFERROR(__xludf.DUMMYFUNCTION("sum(query(C:D, ""select avg(D) where C='""&amp;$H7&amp;""'""))"),6.942795968055719)</f>
        <v>6.942795968</v>
      </c>
      <c r="J7" s="3" t="str">
        <f>IFERROR(__xludf.DUMMYFUNCTION("""COMPUTED_VALUE"""),"EO_LCC")</f>
        <v>EO_LCC</v>
      </c>
      <c r="K7" s="3">
        <f>IFERROR(__xludf.DUMMYFUNCTION("sum(query(E:F, ""select avg(F) where E='""&amp;$J7&amp;""'""))"),-1.0)</f>
        <v>-1</v>
      </c>
      <c r="L7" s="7">
        <f t="shared" si="1"/>
        <v>-1</v>
      </c>
    </row>
    <row r="8">
      <c r="A8" s="4" t="s">
        <v>28</v>
      </c>
      <c r="B8" s="4">
        <v>6.0</v>
      </c>
      <c r="C8" s="4" t="s">
        <v>11</v>
      </c>
      <c r="D8" s="4">
        <v>6.7581443786621</v>
      </c>
      <c r="E8" s="4" t="s">
        <v>12</v>
      </c>
      <c r="F8" s="4">
        <v>11.8023512363433</v>
      </c>
      <c r="H8" s="6" t="str">
        <f>IFERROR(__xludf.DUMMYFUNCTION("""COMPUTED_VALUE"""),"CAMC")</f>
        <v>CAMC</v>
      </c>
      <c r="I8" s="3">
        <f>IFERROR(__xludf.DUMMYFUNCTION("sum(query(C:D, ""select avg(D) where C='""&amp;$H8&amp;""'""))"),6.442977499961847)</f>
        <v>6.4429775</v>
      </c>
      <c r="J8" s="3" t="str">
        <f>IFERROR(__xludf.DUMMYFUNCTION("""COMPUTED_VALUE"""),"EO_CAMC")</f>
        <v>EO_CAMC</v>
      </c>
      <c r="K8" s="3">
        <f>IFERROR(__xludf.DUMMYFUNCTION("sum(query(E:F, ""select avg(F) where E='""&amp;$J8&amp;""'""))"),8.751528692245481)</f>
        <v>8.751528692</v>
      </c>
      <c r="L8" s="7">
        <f t="shared" si="1"/>
        <v>1.358305022</v>
      </c>
    </row>
    <row r="9">
      <c r="A9" s="4" t="s">
        <v>28</v>
      </c>
      <c r="B9" s="4">
        <v>7.0</v>
      </c>
      <c r="C9" s="4" t="s">
        <v>11</v>
      </c>
      <c r="D9" s="4">
        <v>7.02728819847106</v>
      </c>
      <c r="E9" s="4" t="s">
        <v>12</v>
      </c>
      <c r="F9" s="4">
        <v>12.4861676692962</v>
      </c>
      <c r="H9" s="8" t="str">
        <f>IFERROR(__xludf.DUMMYFUNCTION("""COMPUTED_VALUE"""),"NHD")</f>
        <v>NHD</v>
      </c>
      <c r="I9" s="9">
        <f>IFERROR(__xludf.DUMMYFUNCTION("sum(query(C:D, ""select avg(D) where C='""&amp;$H9&amp;""'""))"),6.4877712011337225)</f>
        <v>6.487771201</v>
      </c>
      <c r="J9" s="9" t="str">
        <f>IFERROR(__xludf.DUMMYFUNCTION("""COMPUTED_VALUE"""),"EO_NHD")</f>
        <v>EO_NHD</v>
      </c>
      <c r="K9" s="9">
        <f>IFERROR(__xludf.DUMMYFUNCTION("sum(query(E:F, ""select avg(F) where E='""&amp;$J9&amp;""'""))"),8.648385977745052)</f>
        <v>8.648385978</v>
      </c>
      <c r="L9" s="7">
        <f t="shared" si="1"/>
        <v>1.333028818</v>
      </c>
    </row>
    <row r="10">
      <c r="A10" s="4" t="s">
        <v>28</v>
      </c>
      <c r="B10" s="4">
        <v>8.0</v>
      </c>
      <c r="C10" s="4" t="s">
        <v>11</v>
      </c>
      <c r="D10" s="4">
        <v>6.65257215499877</v>
      </c>
      <c r="E10" s="4" t="s">
        <v>12</v>
      </c>
      <c r="F10" s="4">
        <v>12.5940060615539</v>
      </c>
      <c r="H10" s="3"/>
      <c r="J10" s="3"/>
      <c r="K10" s="10" t="s">
        <v>13</v>
      </c>
      <c r="L10" s="11">
        <f>AVERAGEIF(K3:K9, "&gt;1", L3:L9)</f>
        <v>1.463420547</v>
      </c>
    </row>
    <row r="11">
      <c r="A11" s="4" t="s">
        <v>28</v>
      </c>
      <c r="B11" s="4">
        <v>9.0</v>
      </c>
      <c r="C11" s="4" t="s">
        <v>11</v>
      </c>
      <c r="D11" s="4">
        <v>6.898521900177</v>
      </c>
      <c r="E11" s="4" t="s">
        <v>12</v>
      </c>
      <c r="F11" s="4">
        <v>12.2982275485992</v>
      </c>
      <c r="L11" s="12">
        <f>L10-1</f>
        <v>0.4634205474</v>
      </c>
      <c r="M11" s="4" t="s">
        <v>14</v>
      </c>
    </row>
    <row r="12">
      <c r="A12" s="4" t="s">
        <v>28</v>
      </c>
      <c r="B12" s="4">
        <v>0.0</v>
      </c>
      <c r="C12" s="4" t="s">
        <v>15</v>
      </c>
      <c r="D12" s="4">
        <v>6.32290339469909</v>
      </c>
      <c r="E12" s="4" t="s">
        <v>16</v>
      </c>
      <c r="F12" s="4">
        <v>9.04026079177856</v>
      </c>
    </row>
    <row r="13">
      <c r="A13" s="4" t="s">
        <v>28</v>
      </c>
      <c r="B13" s="4">
        <v>1.0</v>
      </c>
      <c r="C13" s="4" t="s">
        <v>15</v>
      </c>
      <c r="D13" s="4">
        <v>6.58028674125671</v>
      </c>
      <c r="E13" s="4" t="s">
        <v>16</v>
      </c>
      <c r="F13" s="4">
        <v>9.15776348114013</v>
      </c>
    </row>
    <row r="14">
      <c r="A14" s="4" t="s">
        <v>28</v>
      </c>
      <c r="B14" s="4">
        <v>2.0</v>
      </c>
      <c r="C14" s="4" t="s">
        <v>15</v>
      </c>
      <c r="D14" s="4">
        <v>6.48779106140136</v>
      </c>
      <c r="E14" s="4" t="s">
        <v>16</v>
      </c>
      <c r="F14" s="4">
        <v>8.84149360656738</v>
      </c>
    </row>
    <row r="15">
      <c r="A15" s="4" t="s">
        <v>28</v>
      </c>
      <c r="B15" s="4">
        <v>3.0</v>
      </c>
      <c r="C15" s="4" t="s">
        <v>15</v>
      </c>
      <c r="D15" s="4">
        <v>6.99828147888183</v>
      </c>
      <c r="E15" s="4" t="s">
        <v>16</v>
      </c>
      <c r="F15" s="4">
        <v>9.17374062538147</v>
      </c>
    </row>
    <row r="16">
      <c r="A16" s="4" t="s">
        <v>28</v>
      </c>
      <c r="B16" s="4">
        <v>4.0</v>
      </c>
      <c r="C16" s="4" t="s">
        <v>15</v>
      </c>
      <c r="D16" s="4">
        <v>6.83194637298584</v>
      </c>
      <c r="E16" s="4" t="s">
        <v>16</v>
      </c>
      <c r="F16" s="4">
        <v>8.65585017204284</v>
      </c>
    </row>
    <row r="17">
      <c r="A17" s="4" t="s">
        <v>28</v>
      </c>
      <c r="B17" s="4">
        <v>5.0</v>
      </c>
      <c r="C17" s="4" t="s">
        <v>15</v>
      </c>
      <c r="D17" s="4">
        <v>6.64615297317504</v>
      </c>
      <c r="E17" s="4" t="s">
        <v>16</v>
      </c>
      <c r="F17" s="4">
        <v>9.26266479492187</v>
      </c>
    </row>
    <row r="18">
      <c r="A18" s="4" t="s">
        <v>28</v>
      </c>
      <c r="B18" s="4">
        <v>6.0</v>
      </c>
      <c r="C18" s="4" t="s">
        <v>15</v>
      </c>
      <c r="D18" s="4">
        <v>6.65550684928894</v>
      </c>
      <c r="E18" s="4" t="s">
        <v>16</v>
      </c>
      <c r="F18" s="4">
        <v>8.90150737762451</v>
      </c>
    </row>
    <row r="19">
      <c r="A19" s="4" t="s">
        <v>28</v>
      </c>
      <c r="B19" s="4">
        <v>7.0</v>
      </c>
      <c r="C19" s="4" t="s">
        <v>15</v>
      </c>
      <c r="D19" s="4">
        <v>6.21336436271667</v>
      </c>
      <c r="E19" s="4" t="s">
        <v>16</v>
      </c>
      <c r="F19" s="4">
        <v>9.67692971229553</v>
      </c>
    </row>
    <row r="20">
      <c r="A20" s="4" t="s">
        <v>28</v>
      </c>
      <c r="B20" s="4">
        <v>8.0</v>
      </c>
      <c r="C20" s="4" t="s">
        <v>15</v>
      </c>
      <c r="D20" s="4">
        <v>6.52235531806945</v>
      </c>
      <c r="E20" s="4" t="s">
        <v>16</v>
      </c>
      <c r="F20" s="4">
        <v>9.30867981910705</v>
      </c>
    </row>
    <row r="21">
      <c r="A21" s="4" t="s">
        <v>28</v>
      </c>
      <c r="B21" s="4">
        <v>9.0</v>
      </c>
      <c r="C21" s="4" t="s">
        <v>15</v>
      </c>
      <c r="D21" s="4">
        <v>6.22286176681518</v>
      </c>
      <c r="E21" s="4" t="s">
        <v>16</v>
      </c>
      <c r="F21" s="4">
        <v>9.26934242248535</v>
      </c>
    </row>
    <row r="22">
      <c r="A22" s="4" t="s">
        <v>28</v>
      </c>
      <c r="B22" s="4">
        <v>0.0</v>
      </c>
      <c r="C22" s="4" t="s">
        <v>17</v>
      </c>
      <c r="D22" s="4">
        <v>6.58973860740661</v>
      </c>
      <c r="E22" s="4" t="s">
        <v>18</v>
      </c>
      <c r="F22" s="4">
        <v>9.21095895767212</v>
      </c>
    </row>
    <row r="23">
      <c r="A23" s="4" t="s">
        <v>28</v>
      </c>
      <c r="B23" s="4">
        <v>1.0</v>
      </c>
      <c r="C23" s="4" t="s">
        <v>17</v>
      </c>
      <c r="D23" s="4">
        <v>6.51429414749145</v>
      </c>
      <c r="E23" s="4" t="s">
        <v>18</v>
      </c>
      <c r="F23" s="4">
        <v>9.36267471313476</v>
      </c>
    </row>
    <row r="24">
      <c r="A24" s="4" t="s">
        <v>28</v>
      </c>
      <c r="B24" s="4">
        <v>2.0</v>
      </c>
      <c r="C24" s="4" t="s">
        <v>17</v>
      </c>
      <c r="D24" s="4">
        <v>6.96247386932373</v>
      </c>
      <c r="E24" s="4" t="s">
        <v>18</v>
      </c>
      <c r="F24" s="4">
        <v>8.9828712940216</v>
      </c>
    </row>
    <row r="25">
      <c r="A25" s="4" t="s">
        <v>28</v>
      </c>
      <c r="B25" s="4">
        <v>3.0</v>
      </c>
      <c r="C25" s="4" t="s">
        <v>17</v>
      </c>
      <c r="D25" s="4">
        <v>6.60345959663391</v>
      </c>
      <c r="E25" s="4" t="s">
        <v>18</v>
      </c>
      <c r="F25" s="4">
        <v>9.19003248214721</v>
      </c>
    </row>
    <row r="26">
      <c r="A26" s="4" t="s">
        <v>28</v>
      </c>
      <c r="B26" s="4">
        <v>4.0</v>
      </c>
      <c r="C26" s="4" t="s">
        <v>17</v>
      </c>
      <c r="D26" s="4">
        <v>6.9898087978363</v>
      </c>
      <c r="E26" s="4" t="s">
        <v>18</v>
      </c>
      <c r="F26" s="4">
        <v>9.18717169761657</v>
      </c>
    </row>
    <row r="27">
      <c r="A27" s="4" t="s">
        <v>28</v>
      </c>
      <c r="B27" s="4">
        <v>5.0</v>
      </c>
      <c r="C27" s="4" t="s">
        <v>17</v>
      </c>
      <c r="D27" s="4">
        <v>6.11081337928772</v>
      </c>
      <c r="E27" s="4" t="s">
        <v>18</v>
      </c>
      <c r="F27" s="4">
        <v>9.82430553436279</v>
      </c>
    </row>
    <row r="28">
      <c r="A28" s="4" t="s">
        <v>28</v>
      </c>
      <c r="B28" s="4">
        <v>6.0</v>
      </c>
      <c r="C28" s="4" t="s">
        <v>17</v>
      </c>
      <c r="D28" s="4">
        <v>6.77306389808654</v>
      </c>
      <c r="E28" s="4" t="s">
        <v>18</v>
      </c>
      <c r="F28" s="4">
        <v>8.90594959259033</v>
      </c>
    </row>
    <row r="29">
      <c r="A29" s="4" t="s">
        <v>28</v>
      </c>
      <c r="B29" s="4">
        <v>7.0</v>
      </c>
      <c r="C29" s="4" t="s">
        <v>17</v>
      </c>
      <c r="D29" s="4">
        <v>6.31869912147522</v>
      </c>
      <c r="E29" s="4" t="s">
        <v>18</v>
      </c>
      <c r="F29" s="4">
        <v>8.95882368087768</v>
      </c>
    </row>
    <row r="30">
      <c r="A30" s="4" t="s">
        <v>28</v>
      </c>
      <c r="B30" s="4">
        <v>8.0</v>
      </c>
      <c r="C30" s="4" t="s">
        <v>17</v>
      </c>
      <c r="D30" s="4">
        <v>6.4795081615448</v>
      </c>
      <c r="E30" s="4" t="s">
        <v>18</v>
      </c>
      <c r="F30" s="4">
        <v>9.30431795120239</v>
      </c>
    </row>
    <row r="31">
      <c r="A31" s="4" t="s">
        <v>28</v>
      </c>
      <c r="B31" s="4">
        <v>9.0</v>
      </c>
      <c r="C31" s="4" t="s">
        <v>17</v>
      </c>
      <c r="D31" s="4">
        <v>6.53914523124694</v>
      </c>
      <c r="E31" s="4" t="s">
        <v>18</v>
      </c>
      <c r="F31" s="4">
        <v>8.93675446510315</v>
      </c>
    </row>
    <row r="32">
      <c r="A32" s="4" t="s">
        <v>28</v>
      </c>
      <c r="B32" s="4">
        <v>0.0</v>
      </c>
      <c r="C32" s="4" t="s">
        <v>19</v>
      </c>
      <c r="D32" s="4">
        <v>6.72421240806579</v>
      </c>
      <c r="E32" s="4" t="s">
        <v>20</v>
      </c>
      <c r="F32" s="4">
        <v>10.999976158142</v>
      </c>
    </row>
    <row r="33">
      <c r="A33" s="4" t="s">
        <v>28</v>
      </c>
      <c r="B33" s="4">
        <v>1.0</v>
      </c>
      <c r="C33" s="4" t="s">
        <v>19</v>
      </c>
      <c r="D33" s="4">
        <v>7.38209152221679</v>
      </c>
      <c r="E33" s="4" t="s">
        <v>20</v>
      </c>
      <c r="F33" s="4">
        <v>10.0935623645782</v>
      </c>
    </row>
    <row r="34">
      <c r="A34" s="4" t="s">
        <v>28</v>
      </c>
      <c r="B34" s="4">
        <v>2.0</v>
      </c>
      <c r="C34" s="4" t="s">
        <v>19</v>
      </c>
      <c r="D34" s="4">
        <v>6.88290524482727</v>
      </c>
      <c r="E34" s="4" t="s">
        <v>20</v>
      </c>
      <c r="F34" s="4">
        <v>10.4745969772338</v>
      </c>
    </row>
    <row r="35">
      <c r="A35" s="4" t="s">
        <v>28</v>
      </c>
      <c r="B35" s="4">
        <v>3.0</v>
      </c>
      <c r="C35" s="4" t="s">
        <v>19</v>
      </c>
      <c r="D35" s="4">
        <v>6.75331401824951</v>
      </c>
      <c r="E35" s="4" t="s">
        <v>20</v>
      </c>
      <c r="F35" s="4">
        <v>10.3554081916809</v>
      </c>
    </row>
    <row r="36">
      <c r="A36" s="4" t="s">
        <v>28</v>
      </c>
      <c r="B36" s="4">
        <v>4.0</v>
      </c>
      <c r="C36" s="4" t="s">
        <v>19</v>
      </c>
      <c r="D36" s="4">
        <v>6.80511355400085</v>
      </c>
      <c r="E36" s="4" t="s">
        <v>20</v>
      </c>
      <c r="F36" s="4">
        <v>10.5104935169219</v>
      </c>
    </row>
    <row r="37">
      <c r="A37" s="4" t="s">
        <v>28</v>
      </c>
      <c r="B37" s="4">
        <v>5.0</v>
      </c>
      <c r="C37" s="4" t="s">
        <v>19</v>
      </c>
      <c r="D37" s="4">
        <v>7.2846884727478</v>
      </c>
      <c r="E37" s="4" t="s">
        <v>20</v>
      </c>
      <c r="F37" s="4">
        <v>10.1751992702484</v>
      </c>
    </row>
    <row r="38">
      <c r="A38" s="4" t="s">
        <v>28</v>
      </c>
      <c r="B38" s="4">
        <v>6.0</v>
      </c>
      <c r="C38" s="4" t="s">
        <v>19</v>
      </c>
      <c r="D38" s="4">
        <v>7.13493204116821</v>
      </c>
      <c r="E38" s="4" t="s">
        <v>20</v>
      </c>
      <c r="F38" s="4">
        <v>10.8394577503204</v>
      </c>
    </row>
    <row r="39">
      <c r="A39" s="4" t="s">
        <v>28</v>
      </c>
      <c r="B39" s="4">
        <v>7.0</v>
      </c>
      <c r="C39" s="4" t="s">
        <v>19</v>
      </c>
      <c r="D39" s="4">
        <v>6.60577535629272</v>
      </c>
      <c r="E39" s="4" t="s">
        <v>20</v>
      </c>
      <c r="F39" s="4">
        <v>10.37841963768</v>
      </c>
    </row>
    <row r="40">
      <c r="A40" s="4" t="s">
        <v>28</v>
      </c>
      <c r="B40" s="4">
        <v>8.0</v>
      </c>
      <c r="C40" s="4" t="s">
        <v>19</v>
      </c>
      <c r="D40" s="4">
        <v>6.49919438362121</v>
      </c>
      <c r="E40" s="4" t="s">
        <v>20</v>
      </c>
      <c r="F40" s="4">
        <v>10.9323449134826</v>
      </c>
    </row>
    <row r="41">
      <c r="A41" s="4" t="s">
        <v>28</v>
      </c>
      <c r="B41" s="4">
        <v>9.0</v>
      </c>
      <c r="C41" s="4" t="s">
        <v>19</v>
      </c>
      <c r="D41" s="4">
        <v>7.04854249954223</v>
      </c>
      <c r="E41" s="4" t="s">
        <v>20</v>
      </c>
      <c r="F41" s="4">
        <v>10.5464885234832</v>
      </c>
    </row>
    <row r="42">
      <c r="A42" s="4" t="s">
        <v>28</v>
      </c>
      <c r="B42" s="4">
        <v>0.0</v>
      </c>
      <c r="C42" s="4" t="s">
        <v>21</v>
      </c>
      <c r="D42" s="4">
        <v>7.42467331886291</v>
      </c>
      <c r="E42" s="4" t="s">
        <v>22</v>
      </c>
      <c r="F42" s="4">
        <v>-1.0</v>
      </c>
    </row>
    <row r="43">
      <c r="A43" s="4" t="s">
        <v>28</v>
      </c>
      <c r="B43" s="4">
        <v>1.0</v>
      </c>
      <c r="C43" s="4" t="s">
        <v>21</v>
      </c>
      <c r="D43" s="4">
        <v>6.9298300743103</v>
      </c>
      <c r="E43" s="4" t="s">
        <v>22</v>
      </c>
      <c r="F43" s="4">
        <v>-1.0</v>
      </c>
    </row>
    <row r="44">
      <c r="A44" s="4" t="s">
        <v>28</v>
      </c>
      <c r="B44" s="4">
        <v>2.0</v>
      </c>
      <c r="C44" s="4" t="s">
        <v>21</v>
      </c>
      <c r="D44" s="4">
        <v>7.13324046134948</v>
      </c>
      <c r="E44" s="4" t="s">
        <v>22</v>
      </c>
      <c r="F44" s="4">
        <v>-1.0</v>
      </c>
    </row>
    <row r="45">
      <c r="A45" s="4" t="s">
        <v>28</v>
      </c>
      <c r="B45" s="4">
        <v>3.0</v>
      </c>
      <c r="C45" s="4" t="s">
        <v>21</v>
      </c>
      <c r="D45" s="4">
        <v>7.21064352989196</v>
      </c>
      <c r="E45" s="4" t="s">
        <v>22</v>
      </c>
      <c r="F45" s="4">
        <v>-1.0</v>
      </c>
    </row>
    <row r="46">
      <c r="A46" s="4" t="s">
        <v>28</v>
      </c>
      <c r="B46" s="4">
        <v>4.0</v>
      </c>
      <c r="C46" s="4" t="s">
        <v>21</v>
      </c>
      <c r="D46" s="4">
        <v>6.80347204208374</v>
      </c>
      <c r="E46" s="4" t="s">
        <v>22</v>
      </c>
      <c r="F46" s="4">
        <v>-1.0</v>
      </c>
    </row>
    <row r="47">
      <c r="A47" s="4" t="s">
        <v>28</v>
      </c>
      <c r="B47" s="4">
        <v>5.0</v>
      </c>
      <c r="C47" s="4" t="s">
        <v>21</v>
      </c>
      <c r="D47" s="4">
        <v>6.70496177673339</v>
      </c>
      <c r="E47" s="4" t="s">
        <v>22</v>
      </c>
      <c r="F47" s="4">
        <v>-1.0</v>
      </c>
    </row>
    <row r="48">
      <c r="A48" s="4" t="s">
        <v>28</v>
      </c>
      <c r="B48" s="4">
        <v>6.0</v>
      </c>
      <c r="C48" s="4" t="s">
        <v>21</v>
      </c>
      <c r="D48" s="4">
        <v>6.57672929763793</v>
      </c>
      <c r="E48" s="4" t="s">
        <v>22</v>
      </c>
      <c r="F48" s="4">
        <v>-1.0</v>
      </c>
    </row>
    <row r="49">
      <c r="A49" s="4" t="s">
        <v>28</v>
      </c>
      <c r="B49" s="4">
        <v>7.0</v>
      </c>
      <c r="C49" s="4" t="s">
        <v>21</v>
      </c>
      <c r="D49" s="4">
        <v>6.83954000473022</v>
      </c>
      <c r="E49" s="4" t="s">
        <v>22</v>
      </c>
      <c r="F49" s="4">
        <v>-1.0</v>
      </c>
    </row>
    <row r="50">
      <c r="A50" s="4" t="s">
        <v>28</v>
      </c>
      <c r="B50" s="4">
        <v>8.0</v>
      </c>
      <c r="C50" s="4" t="s">
        <v>21</v>
      </c>
      <c r="D50" s="4">
        <v>7.03222227096557</v>
      </c>
      <c r="E50" s="4" t="s">
        <v>22</v>
      </c>
      <c r="F50" s="4">
        <v>-1.0</v>
      </c>
    </row>
    <row r="51">
      <c r="A51" s="4" t="s">
        <v>28</v>
      </c>
      <c r="B51" s="4">
        <v>9.0</v>
      </c>
      <c r="C51" s="4" t="s">
        <v>21</v>
      </c>
      <c r="D51" s="4">
        <v>6.77264690399169</v>
      </c>
      <c r="E51" s="4" t="s">
        <v>22</v>
      </c>
      <c r="F51" s="4">
        <v>-1.0</v>
      </c>
    </row>
    <row r="52">
      <c r="A52" s="4" t="s">
        <v>28</v>
      </c>
      <c r="B52" s="4">
        <v>0.0</v>
      </c>
      <c r="C52" s="4" t="s">
        <v>23</v>
      </c>
      <c r="D52" s="4">
        <v>6.33172273635864</v>
      </c>
      <c r="E52" s="4" t="s">
        <v>24</v>
      </c>
      <c r="F52" s="4">
        <v>9.25994253158569</v>
      </c>
    </row>
    <row r="53">
      <c r="A53" s="4" t="s">
        <v>28</v>
      </c>
      <c r="B53" s="4">
        <v>1.0</v>
      </c>
      <c r="C53" s="4" t="s">
        <v>23</v>
      </c>
      <c r="D53" s="4">
        <v>6.47708702087402</v>
      </c>
      <c r="E53" s="4" t="s">
        <v>24</v>
      </c>
      <c r="F53" s="4">
        <v>8.89961814880371</v>
      </c>
    </row>
    <row r="54">
      <c r="A54" s="4" t="s">
        <v>28</v>
      </c>
      <c r="B54" s="4">
        <v>2.0</v>
      </c>
      <c r="C54" s="4" t="s">
        <v>23</v>
      </c>
      <c r="D54" s="4">
        <v>6.51808166503906</v>
      </c>
      <c r="E54" s="4" t="s">
        <v>24</v>
      </c>
      <c r="F54" s="4">
        <v>8.56939268112182</v>
      </c>
    </row>
    <row r="55">
      <c r="A55" s="4" t="s">
        <v>28</v>
      </c>
      <c r="B55" s="4">
        <v>3.0</v>
      </c>
      <c r="C55" s="4" t="s">
        <v>23</v>
      </c>
      <c r="D55" s="4">
        <v>6.33076691627502</v>
      </c>
      <c r="E55" s="4" t="s">
        <v>24</v>
      </c>
      <c r="F55" s="4">
        <v>8.61208438873291</v>
      </c>
    </row>
    <row r="56">
      <c r="A56" s="4" t="s">
        <v>28</v>
      </c>
      <c r="B56" s="4">
        <v>4.0</v>
      </c>
      <c r="C56" s="4" t="s">
        <v>23</v>
      </c>
      <c r="D56" s="4">
        <v>6.63169598579406</v>
      </c>
      <c r="E56" s="4" t="s">
        <v>24</v>
      </c>
      <c r="F56" s="4">
        <v>8.14947891235351</v>
      </c>
    </row>
    <row r="57">
      <c r="A57" s="4" t="s">
        <v>28</v>
      </c>
      <c r="B57" s="4">
        <v>5.0</v>
      </c>
      <c r="C57" s="4" t="s">
        <v>23</v>
      </c>
      <c r="D57" s="4">
        <v>6.71208834648132</v>
      </c>
      <c r="E57" s="4" t="s">
        <v>24</v>
      </c>
      <c r="F57" s="4">
        <v>9.16907238960266</v>
      </c>
    </row>
    <row r="58">
      <c r="A58" s="4" t="s">
        <v>28</v>
      </c>
      <c r="B58" s="4">
        <v>6.0</v>
      </c>
      <c r="C58" s="4" t="s">
        <v>23</v>
      </c>
      <c r="D58" s="4">
        <v>6.30019617080688</v>
      </c>
      <c r="E58" s="4" t="s">
        <v>24</v>
      </c>
      <c r="F58" s="4">
        <v>8.8274028301239</v>
      </c>
    </row>
    <row r="59">
      <c r="A59" s="4" t="s">
        <v>28</v>
      </c>
      <c r="B59" s="4">
        <v>7.0</v>
      </c>
      <c r="C59" s="4" t="s">
        <v>23</v>
      </c>
      <c r="D59" s="4">
        <v>6.4313039779663</v>
      </c>
      <c r="E59" s="4" t="s">
        <v>24</v>
      </c>
      <c r="F59" s="4">
        <v>8.47821259498596</v>
      </c>
    </row>
    <row r="60">
      <c r="A60" s="4" t="s">
        <v>28</v>
      </c>
      <c r="B60" s="4">
        <v>8.0</v>
      </c>
      <c r="C60" s="4" t="s">
        <v>23</v>
      </c>
      <c r="D60" s="4">
        <v>6.30068922042846</v>
      </c>
      <c r="E60" s="4" t="s">
        <v>24</v>
      </c>
      <c r="F60" s="4">
        <v>8.66103935241699</v>
      </c>
    </row>
    <row r="61">
      <c r="A61" s="4" t="s">
        <v>28</v>
      </c>
      <c r="B61" s="4">
        <v>9.0</v>
      </c>
      <c r="C61" s="4" t="s">
        <v>23</v>
      </c>
      <c r="D61" s="4">
        <v>6.39614295959472</v>
      </c>
      <c r="E61" s="4" t="s">
        <v>24</v>
      </c>
      <c r="F61" s="4">
        <v>8.88904309272766</v>
      </c>
    </row>
    <row r="62">
      <c r="A62" s="4" t="s">
        <v>28</v>
      </c>
      <c r="B62" s="4">
        <v>0.0</v>
      </c>
      <c r="C62" s="4" t="s">
        <v>25</v>
      </c>
      <c r="D62" s="4">
        <v>6.63131999969482</v>
      </c>
      <c r="E62" s="4" t="s">
        <v>26</v>
      </c>
      <c r="F62" s="4">
        <v>8.70053601264953</v>
      </c>
    </row>
    <row r="63">
      <c r="A63" s="4" t="s">
        <v>28</v>
      </c>
      <c r="B63" s="4">
        <v>1.0</v>
      </c>
      <c r="C63" s="4" t="s">
        <v>25</v>
      </c>
      <c r="D63" s="4">
        <v>6.73735904693603</v>
      </c>
      <c r="E63" s="4" t="s">
        <v>26</v>
      </c>
      <c r="F63" s="4">
        <v>8.65795111656189</v>
      </c>
    </row>
    <row r="64">
      <c r="A64" s="4" t="s">
        <v>28</v>
      </c>
      <c r="B64" s="4">
        <v>2.0</v>
      </c>
      <c r="C64" s="4" t="s">
        <v>25</v>
      </c>
      <c r="D64" s="4">
        <v>6.3241057395935</v>
      </c>
      <c r="E64" s="4" t="s">
        <v>26</v>
      </c>
      <c r="F64" s="4">
        <v>8.39649868011474</v>
      </c>
    </row>
    <row r="65">
      <c r="A65" s="4" t="s">
        <v>28</v>
      </c>
      <c r="B65" s="4">
        <v>3.0</v>
      </c>
      <c r="C65" s="4" t="s">
        <v>25</v>
      </c>
      <c r="D65" s="4">
        <v>6.52248907089233</v>
      </c>
      <c r="E65" s="4" t="s">
        <v>26</v>
      </c>
      <c r="F65" s="4">
        <v>8.76654243469238</v>
      </c>
    </row>
    <row r="66">
      <c r="A66" s="4" t="s">
        <v>28</v>
      </c>
      <c r="B66" s="4">
        <v>4.0</v>
      </c>
      <c r="C66" s="4" t="s">
        <v>25</v>
      </c>
      <c r="D66" s="4">
        <v>6.67703509330749</v>
      </c>
      <c r="E66" s="4" t="s">
        <v>26</v>
      </c>
      <c r="F66" s="4">
        <v>8.58245801925659</v>
      </c>
    </row>
    <row r="67">
      <c r="A67" s="4" t="s">
        <v>28</v>
      </c>
      <c r="B67" s="4">
        <v>5.0</v>
      </c>
      <c r="C67" s="4" t="s">
        <v>25</v>
      </c>
      <c r="D67" s="4">
        <v>6.29618906974792</v>
      </c>
      <c r="E67" s="4" t="s">
        <v>26</v>
      </c>
      <c r="F67" s="4">
        <v>8.70944643020629</v>
      </c>
    </row>
    <row r="68">
      <c r="A68" s="4" t="s">
        <v>28</v>
      </c>
      <c r="B68" s="4">
        <v>6.0</v>
      </c>
      <c r="C68" s="4" t="s">
        <v>25</v>
      </c>
      <c r="D68" s="4">
        <v>6.38779377937316</v>
      </c>
      <c r="E68" s="4" t="s">
        <v>26</v>
      </c>
      <c r="F68" s="4">
        <v>9.00011563301086</v>
      </c>
    </row>
    <row r="69">
      <c r="A69" s="4" t="s">
        <v>28</v>
      </c>
      <c r="B69" s="4">
        <v>7.0</v>
      </c>
      <c r="C69" s="4" t="s">
        <v>25</v>
      </c>
      <c r="D69" s="4">
        <v>6.14047217369079</v>
      </c>
      <c r="E69" s="4" t="s">
        <v>26</v>
      </c>
      <c r="F69" s="4">
        <v>8.39966177940368</v>
      </c>
    </row>
    <row r="70">
      <c r="A70" s="4" t="s">
        <v>28</v>
      </c>
      <c r="B70" s="4">
        <v>8.0</v>
      </c>
      <c r="C70" s="4" t="s">
        <v>25</v>
      </c>
      <c r="D70" s="4">
        <v>6.62680172920227</v>
      </c>
      <c r="E70" s="4" t="s">
        <v>26</v>
      </c>
      <c r="F70" s="4">
        <v>8.52615046501159</v>
      </c>
    </row>
    <row r="71">
      <c r="A71" s="4" t="s">
        <v>28</v>
      </c>
      <c r="B71" s="4">
        <v>9.0</v>
      </c>
      <c r="C71" s="4" t="s">
        <v>25</v>
      </c>
      <c r="D71" s="4">
        <v>6.53414630889892</v>
      </c>
      <c r="E71" s="4" t="s">
        <v>26</v>
      </c>
      <c r="F71" s="4">
        <v>8.74449920654296</v>
      </c>
    </row>
  </sheetData>
  <conditionalFormatting sqref="K3:L9">
    <cfRule type="cellIs" dxfId="0" priority="1" operator="equal">
      <formula>-1</formula>
    </cfRule>
  </conditionalFormatting>
  <conditionalFormatting sqref="F1:F1000">
    <cfRule type="cellIs" dxfId="2" priority="2" operator="equal">
      <formula>-1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0"/>
    <col customWidth="1" min="2" max="2" width="12.86"/>
    <col customWidth="1" min="3" max="3" width="12.71"/>
    <col customWidth="1" min="4" max="4" width="20.43"/>
    <col customWidth="1" min="5" max="5" width="11.57"/>
    <col customWidth="1" min="6" max="6" width="18.86"/>
    <col customWidth="1" min="8" max="8" width="12.71"/>
    <col customWidth="1" min="9" max="9" width="14.57"/>
    <col customWidth="1" min="10" max="10" width="11.57"/>
    <col customWidth="1" min="11" max="11" width="16.71"/>
    <col customWidth="1" min="12" max="12" width="12.29"/>
    <col customWidth="1" min="13" max="13" width="16.71"/>
    <col customWidth="1" min="14" max="14" width="12.29"/>
  </cols>
  <sheetData>
    <row r="1">
      <c r="A1" s="1" t="s">
        <v>0</v>
      </c>
      <c r="B1" s="1" t="s">
        <v>7</v>
      </c>
      <c r="C1" s="1" t="s">
        <v>1</v>
      </c>
      <c r="D1" s="1" t="s">
        <v>8</v>
      </c>
      <c r="E1" s="1" t="s">
        <v>3</v>
      </c>
      <c r="F1" s="1" t="s">
        <v>9</v>
      </c>
    </row>
    <row r="2">
      <c r="A2" s="13" t="s">
        <v>29</v>
      </c>
      <c r="B2" s="13">
        <v>0.0</v>
      </c>
      <c r="C2" s="13" t="s">
        <v>11</v>
      </c>
      <c r="D2" s="13">
        <v>3.18895292282104</v>
      </c>
      <c r="E2" s="13" t="s">
        <v>12</v>
      </c>
      <c r="F2" s="13">
        <v>3.53512954711914</v>
      </c>
      <c r="H2" s="5" t="s">
        <v>1</v>
      </c>
      <c r="I2" s="5" t="s">
        <v>2</v>
      </c>
      <c r="J2" s="5" t="s">
        <v>3</v>
      </c>
      <c r="K2" s="5" t="s">
        <v>4</v>
      </c>
      <c r="L2" s="5" t="s">
        <v>5</v>
      </c>
    </row>
    <row r="3">
      <c r="A3" s="13" t="s">
        <v>29</v>
      </c>
      <c r="B3" s="13">
        <v>1.0</v>
      </c>
      <c r="C3" s="13" t="s">
        <v>11</v>
      </c>
      <c r="D3" s="13">
        <v>2.8913300037384</v>
      </c>
      <c r="E3" s="13" t="s">
        <v>12</v>
      </c>
      <c r="F3" s="13">
        <v>3.18759727478027</v>
      </c>
      <c r="H3" s="6" t="str">
        <f>IFERROR(__xludf.DUMMYFUNCTION("unique(C2:C1000)"),"LCOM")</f>
        <v>LCOM</v>
      </c>
      <c r="I3" s="3">
        <f>IFERROR(__xludf.DUMMYFUNCTION("sum(query(C:D, ""select avg(D) where C='""&amp;$H3&amp;""'""))"),2.9331014156341513)</f>
        <v>2.933101416</v>
      </c>
      <c r="J3" s="3" t="str">
        <f>IFERROR(__xludf.DUMMYFUNCTION("unique(E2:E1000)"),"EO_LCOM1")</f>
        <v>EO_LCOM1</v>
      </c>
      <c r="K3" s="3">
        <f>IFERROR(__xludf.DUMMYFUNCTION("sum(query(E:F, ""select avg(F) where E='""&amp;$J3&amp;""'""))"),3.245975017547603)</f>
        <v>3.245975018</v>
      </c>
      <c r="L3" s="7">
        <f t="shared" ref="L3:L9" si="1">K3/I3</f>
        <v>1.106669889</v>
      </c>
    </row>
    <row r="4">
      <c r="A4" s="13" t="s">
        <v>29</v>
      </c>
      <c r="B4" s="13">
        <v>2.0</v>
      </c>
      <c r="C4" s="13" t="s">
        <v>11</v>
      </c>
      <c r="D4" s="13">
        <v>2.92987465858459</v>
      </c>
      <c r="E4" s="13" t="s">
        <v>12</v>
      </c>
      <c r="F4" s="13">
        <v>3.17223381996154</v>
      </c>
      <c r="H4" s="6" t="str">
        <f>IFERROR(__xludf.DUMMYFUNCTION("""COMPUTED_VALUE"""),"LCOM2")</f>
        <v>LCOM2</v>
      </c>
      <c r="I4" s="3">
        <f>IFERROR(__xludf.DUMMYFUNCTION("sum(query(C:D, ""select avg(D) where C='""&amp;$H4&amp;""'""))"),2.930070376396174)</f>
        <v>2.930070376</v>
      </c>
      <c r="J4" s="3" t="str">
        <f>IFERROR(__xludf.DUMMYFUNCTION("""COMPUTED_VALUE"""),"EO_LCOM2")</f>
        <v>EO_LCOM2</v>
      </c>
      <c r="K4" s="3">
        <f>IFERROR(__xludf.DUMMYFUNCTION("sum(query(E:F, ""select avg(F) where E='""&amp;$J4&amp;""'""))"),3.269466185569759)</f>
        <v>3.269466186</v>
      </c>
      <c r="L4" s="7">
        <f t="shared" si="1"/>
        <v>1.115831965</v>
      </c>
    </row>
    <row r="5">
      <c r="A5" s="13" t="s">
        <v>29</v>
      </c>
      <c r="B5" s="13">
        <v>3.0</v>
      </c>
      <c r="C5" s="13" t="s">
        <v>11</v>
      </c>
      <c r="D5" s="13">
        <v>2.91399312019348</v>
      </c>
      <c r="E5" s="13" t="s">
        <v>12</v>
      </c>
      <c r="F5" s="13">
        <v>3.23495864868164</v>
      </c>
      <c r="H5" s="6" t="str">
        <f>IFERROR(__xludf.DUMMYFUNCTION("""COMPUTED_VALUE"""),"LCOM3")</f>
        <v>LCOM3</v>
      </c>
      <c r="I5" s="3">
        <f>IFERROR(__xludf.DUMMYFUNCTION("sum(query(C:D, ""select avg(D) where C='""&amp;$H5&amp;""'""))"),2.9589786052703824)</f>
        <v>2.958978605</v>
      </c>
      <c r="J5" s="3" t="str">
        <f>IFERROR(__xludf.DUMMYFUNCTION("""COMPUTED_VALUE"""),"EO_LCOM3")</f>
        <v>EO_LCOM3</v>
      </c>
      <c r="K5" s="3">
        <f>IFERROR(__xludf.DUMMYFUNCTION("sum(query(E:F, ""select avg(F) where E='""&amp;$J5&amp;""'""))"),3.281973624229426)</f>
        <v>3.281973624</v>
      </c>
      <c r="L5" s="7">
        <f t="shared" si="1"/>
        <v>1.109157605</v>
      </c>
    </row>
    <row r="6">
      <c r="A6" s="13" t="s">
        <v>29</v>
      </c>
      <c r="B6" s="13">
        <v>4.0</v>
      </c>
      <c r="C6" s="13" t="s">
        <v>11</v>
      </c>
      <c r="D6" s="13">
        <v>2.95115685462951</v>
      </c>
      <c r="E6" s="13" t="s">
        <v>12</v>
      </c>
      <c r="F6" s="13">
        <v>3.14205121994018</v>
      </c>
      <c r="H6" s="6" t="str">
        <f>IFERROR(__xludf.DUMMYFUNCTION("""COMPUTED_VALUE"""),"TCC")</f>
        <v>TCC</v>
      </c>
      <c r="I6" s="3">
        <f>IFERROR(__xludf.DUMMYFUNCTION("sum(query(C:D, ""select avg(D) where C='""&amp;$H6&amp;""'""))"),2.986430311202997)</f>
        <v>2.986430311</v>
      </c>
      <c r="J6" s="3" t="str">
        <f>IFERROR(__xludf.DUMMYFUNCTION("""COMPUTED_VALUE"""),"EO_TCC")</f>
        <v>EO_TCC</v>
      </c>
      <c r="K6" s="3">
        <f>IFERROR(__xludf.DUMMYFUNCTION("sum(query(E:F, ""select avg(F) where E='""&amp;$J6&amp;""'""))"),3.3015714168548556)</f>
        <v>3.301571417</v>
      </c>
      <c r="L6" s="7">
        <f t="shared" si="1"/>
        <v>1.105524346</v>
      </c>
    </row>
    <row r="7">
      <c r="A7" s="13" t="s">
        <v>29</v>
      </c>
      <c r="B7" s="13">
        <v>5.0</v>
      </c>
      <c r="C7" s="13" t="s">
        <v>11</v>
      </c>
      <c r="D7" s="13">
        <v>3.17786335945129</v>
      </c>
      <c r="E7" s="13" t="s">
        <v>12</v>
      </c>
      <c r="F7" s="13">
        <v>3.21017909049987</v>
      </c>
      <c r="H7" s="6" t="str">
        <f>IFERROR(__xludf.DUMMYFUNCTION("""COMPUTED_VALUE"""),"LCC")</f>
        <v>LCC</v>
      </c>
      <c r="I7" s="3">
        <f>IFERROR(__xludf.DUMMYFUNCTION("sum(query(C:D, ""select avg(D) where C='""&amp;$H7&amp;""'""))"),3.008142089843745)</f>
        <v>3.00814209</v>
      </c>
      <c r="J7" s="3" t="str">
        <f>IFERROR(__xludf.DUMMYFUNCTION("""COMPUTED_VALUE"""),"EO_LCC")</f>
        <v>EO_LCC</v>
      </c>
      <c r="K7" s="3">
        <f>IFERROR(__xludf.DUMMYFUNCTION("sum(query(E:F, ""select avg(F) where E='""&amp;$J7&amp;""'""))"),3.63646781444549)</f>
        <v>3.636467814</v>
      </c>
      <c r="L7" s="7">
        <f t="shared" si="1"/>
        <v>1.208875015</v>
      </c>
    </row>
    <row r="8">
      <c r="A8" s="13" t="s">
        <v>29</v>
      </c>
      <c r="B8" s="13">
        <v>6.0</v>
      </c>
      <c r="C8" s="13" t="s">
        <v>11</v>
      </c>
      <c r="D8" s="13">
        <v>2.80178952217102</v>
      </c>
      <c r="E8" s="13" t="s">
        <v>12</v>
      </c>
      <c r="F8" s="13">
        <v>3.12511301040649</v>
      </c>
      <c r="H8" s="6" t="str">
        <f>IFERROR(__xludf.DUMMYFUNCTION("""COMPUTED_VALUE"""),"CAMC")</f>
        <v>CAMC</v>
      </c>
      <c r="I8" s="3">
        <f>IFERROR(__xludf.DUMMYFUNCTION("sum(query(C:D, ""select avg(D) where C='""&amp;$H8&amp;""'""))"),2.8926344871520944)</f>
        <v>2.892634487</v>
      </c>
      <c r="J8" s="3" t="str">
        <f>IFERROR(__xludf.DUMMYFUNCTION("""COMPUTED_VALUE"""),"EO_CAMC")</f>
        <v>EO_CAMC</v>
      </c>
      <c r="K8" s="3">
        <f>IFERROR(__xludf.DUMMYFUNCTION("sum(query(E:F, ""select avg(F) where E='""&amp;$J8&amp;""'""))"),3.212618708610529)</f>
        <v>3.212618709</v>
      </c>
      <c r="L8" s="7">
        <f t="shared" si="1"/>
        <v>1.110620344</v>
      </c>
    </row>
    <row r="9">
      <c r="A9" s="13" t="s">
        <v>29</v>
      </c>
      <c r="B9" s="13">
        <v>7.0</v>
      </c>
      <c r="C9" s="13" t="s">
        <v>11</v>
      </c>
      <c r="D9" s="13">
        <v>2.85154700279235</v>
      </c>
      <c r="E9" s="13" t="s">
        <v>12</v>
      </c>
      <c r="F9" s="13">
        <v>3.17558073997497</v>
      </c>
      <c r="H9" s="8" t="str">
        <f>IFERROR(__xludf.DUMMYFUNCTION("""COMPUTED_VALUE"""),"NHD")</f>
        <v>NHD</v>
      </c>
      <c r="I9" s="9">
        <f>IFERROR(__xludf.DUMMYFUNCTION("sum(query(C:D, ""select avg(D) where C='""&amp;$H9&amp;""'""))"),3.042537140846247)</f>
        <v>3.042537141</v>
      </c>
      <c r="J9" s="9" t="str">
        <f>IFERROR(__xludf.DUMMYFUNCTION("""COMPUTED_VALUE"""),"EO_NHD")</f>
        <v>EO_NHD</v>
      </c>
      <c r="K9" s="9">
        <f>IFERROR(__xludf.DUMMYFUNCTION("sum(query(E:F, ""select avg(F) where E='""&amp;$J9&amp;""'""))"),3.290088701248165)</f>
        <v>3.290088701</v>
      </c>
      <c r="L9" s="14">
        <f t="shared" si="1"/>
        <v>1.081363529</v>
      </c>
    </row>
    <row r="10">
      <c r="A10" s="13" t="s">
        <v>29</v>
      </c>
      <c r="B10" s="13">
        <v>8.0</v>
      </c>
      <c r="C10" s="13" t="s">
        <v>11</v>
      </c>
      <c r="D10" s="13">
        <v>2.93377995491027</v>
      </c>
      <c r="E10" s="13" t="s">
        <v>12</v>
      </c>
      <c r="F10" s="13">
        <v>3.45455837249755</v>
      </c>
      <c r="H10" s="3"/>
      <c r="J10" s="3"/>
      <c r="K10" s="10" t="s">
        <v>13</v>
      </c>
      <c r="L10" s="11">
        <f>AVERAGE(L3:L9)</f>
        <v>1.119720385</v>
      </c>
    </row>
    <row r="11">
      <c r="A11" s="13" t="s">
        <v>29</v>
      </c>
      <c r="B11" s="13">
        <v>9.0</v>
      </c>
      <c r="C11" s="13" t="s">
        <v>11</v>
      </c>
      <c r="D11" s="13">
        <v>2.69072675704956</v>
      </c>
      <c r="E11" s="13" t="s">
        <v>12</v>
      </c>
      <c r="F11" s="13">
        <v>3.22234845161438</v>
      </c>
      <c r="L11" s="12">
        <f>L10-1</f>
        <v>0.1197203848</v>
      </c>
      <c r="M11" s="4" t="s">
        <v>14</v>
      </c>
    </row>
    <row r="12">
      <c r="A12" s="13" t="s">
        <v>29</v>
      </c>
      <c r="B12" s="13">
        <v>0.0</v>
      </c>
      <c r="C12" s="13" t="s">
        <v>15</v>
      </c>
      <c r="D12" s="13">
        <v>3.00586771965026</v>
      </c>
      <c r="E12" s="13" t="s">
        <v>16</v>
      </c>
      <c r="F12" s="13">
        <v>3.23381972312927</v>
      </c>
    </row>
    <row r="13">
      <c r="A13" s="13" t="s">
        <v>29</v>
      </c>
      <c r="B13" s="13">
        <v>1.0</v>
      </c>
      <c r="C13" s="13" t="s">
        <v>15</v>
      </c>
      <c r="D13" s="13">
        <v>2.88876700401306</v>
      </c>
      <c r="E13" s="13" t="s">
        <v>16</v>
      </c>
      <c r="F13" s="13">
        <v>3.17471265792846</v>
      </c>
    </row>
    <row r="14">
      <c r="A14" s="13" t="s">
        <v>29</v>
      </c>
      <c r="B14" s="13">
        <v>2.0</v>
      </c>
      <c r="C14" s="13" t="s">
        <v>15</v>
      </c>
      <c r="D14" s="13">
        <v>2.84561252593994</v>
      </c>
      <c r="E14" s="13" t="s">
        <v>16</v>
      </c>
      <c r="F14" s="13">
        <v>3.24139142036438</v>
      </c>
    </row>
    <row r="15">
      <c r="A15" s="13" t="s">
        <v>29</v>
      </c>
      <c r="B15" s="13">
        <v>3.0</v>
      </c>
      <c r="C15" s="13" t="s">
        <v>15</v>
      </c>
      <c r="D15" s="13">
        <v>2.98267436027526</v>
      </c>
      <c r="E15" s="13" t="s">
        <v>16</v>
      </c>
      <c r="F15" s="13">
        <v>3.20644760131835</v>
      </c>
    </row>
    <row r="16">
      <c r="A16" s="13" t="s">
        <v>29</v>
      </c>
      <c r="B16" s="13">
        <v>4.0</v>
      </c>
      <c r="C16" s="13" t="s">
        <v>15</v>
      </c>
      <c r="D16" s="13">
        <v>2.97404193878173</v>
      </c>
      <c r="E16" s="13" t="s">
        <v>16</v>
      </c>
      <c r="F16" s="13">
        <v>3.30139827728271</v>
      </c>
    </row>
    <row r="17">
      <c r="A17" s="13" t="s">
        <v>29</v>
      </c>
      <c r="B17" s="13">
        <v>5.0</v>
      </c>
      <c r="C17" s="13" t="s">
        <v>15</v>
      </c>
      <c r="D17" s="13">
        <v>3.00512027740478</v>
      </c>
      <c r="E17" s="13" t="s">
        <v>16</v>
      </c>
      <c r="F17" s="13">
        <v>3.35226798057556</v>
      </c>
    </row>
    <row r="18">
      <c r="A18" s="13" t="s">
        <v>29</v>
      </c>
      <c r="B18" s="13">
        <v>6.0</v>
      </c>
      <c r="C18" s="13" t="s">
        <v>15</v>
      </c>
      <c r="D18" s="13">
        <v>2.86546301841735</v>
      </c>
      <c r="E18" s="13" t="s">
        <v>16</v>
      </c>
      <c r="F18" s="13">
        <v>3.2372932434082</v>
      </c>
    </row>
    <row r="19">
      <c r="A19" s="13" t="s">
        <v>29</v>
      </c>
      <c r="B19" s="13">
        <v>7.0</v>
      </c>
      <c r="C19" s="13" t="s">
        <v>15</v>
      </c>
      <c r="D19" s="13">
        <v>2.86408710479736</v>
      </c>
      <c r="E19" s="13" t="s">
        <v>16</v>
      </c>
      <c r="F19" s="13">
        <v>3.25620913505554</v>
      </c>
    </row>
    <row r="20">
      <c r="A20" s="13" t="s">
        <v>29</v>
      </c>
      <c r="B20" s="13">
        <v>8.0</v>
      </c>
      <c r="C20" s="13" t="s">
        <v>15</v>
      </c>
      <c r="D20" s="13">
        <v>3.01544594764709</v>
      </c>
      <c r="E20" s="13" t="s">
        <v>16</v>
      </c>
      <c r="F20" s="13">
        <v>3.31568527221679</v>
      </c>
    </row>
    <row r="21">
      <c r="A21" s="13" t="s">
        <v>29</v>
      </c>
      <c r="B21" s="13">
        <v>9.0</v>
      </c>
      <c r="C21" s="13" t="s">
        <v>15</v>
      </c>
      <c r="D21" s="13">
        <v>2.85362386703491</v>
      </c>
      <c r="E21" s="13" t="s">
        <v>16</v>
      </c>
      <c r="F21" s="13">
        <v>3.37543654441833</v>
      </c>
    </row>
    <row r="22">
      <c r="A22" s="13" t="s">
        <v>29</v>
      </c>
      <c r="B22" s="13">
        <v>0.0</v>
      </c>
      <c r="C22" s="13" t="s">
        <v>17</v>
      </c>
      <c r="D22" s="13">
        <v>3.05248689651489</v>
      </c>
      <c r="E22" s="13" t="s">
        <v>18</v>
      </c>
      <c r="F22" s="13">
        <v>3.28102684020996</v>
      </c>
    </row>
    <row r="23">
      <c r="A23" s="13" t="s">
        <v>29</v>
      </c>
      <c r="B23" s="13">
        <v>1.0</v>
      </c>
      <c r="C23" s="13" t="s">
        <v>17</v>
      </c>
      <c r="D23" s="13">
        <v>2.98903322219848</v>
      </c>
      <c r="E23" s="13" t="s">
        <v>18</v>
      </c>
      <c r="F23" s="13">
        <v>3.36422371864318</v>
      </c>
    </row>
    <row r="24">
      <c r="A24" s="13" t="s">
        <v>29</v>
      </c>
      <c r="B24" s="13">
        <v>2.0</v>
      </c>
      <c r="C24" s="13" t="s">
        <v>17</v>
      </c>
      <c r="D24" s="13">
        <v>2.81443953514099</v>
      </c>
      <c r="E24" s="13" t="s">
        <v>18</v>
      </c>
      <c r="F24" s="13">
        <v>3.45738315582275</v>
      </c>
    </row>
    <row r="25">
      <c r="A25" s="13" t="s">
        <v>29</v>
      </c>
      <c r="B25" s="13">
        <v>3.0</v>
      </c>
      <c r="C25" s="13" t="s">
        <v>17</v>
      </c>
      <c r="D25" s="13">
        <v>3.02938818931579</v>
      </c>
      <c r="E25" s="13" t="s">
        <v>18</v>
      </c>
      <c r="F25" s="13">
        <v>3.32061076164245</v>
      </c>
    </row>
    <row r="26">
      <c r="A26" s="13" t="s">
        <v>29</v>
      </c>
      <c r="B26" s="13">
        <v>4.0</v>
      </c>
      <c r="C26" s="13" t="s">
        <v>17</v>
      </c>
      <c r="D26" s="13">
        <v>3.08426690101623</v>
      </c>
      <c r="E26" s="13" t="s">
        <v>18</v>
      </c>
      <c r="F26" s="13">
        <v>3.21157217025756</v>
      </c>
    </row>
    <row r="27">
      <c r="A27" s="13" t="s">
        <v>29</v>
      </c>
      <c r="B27" s="13">
        <v>5.0</v>
      </c>
      <c r="C27" s="13" t="s">
        <v>17</v>
      </c>
      <c r="D27" s="13">
        <v>2.97334575653076</v>
      </c>
      <c r="E27" s="13" t="s">
        <v>18</v>
      </c>
      <c r="F27" s="13">
        <v>3.22657895088195</v>
      </c>
    </row>
    <row r="28">
      <c r="A28" s="13" t="s">
        <v>29</v>
      </c>
      <c r="B28" s="13">
        <v>6.0</v>
      </c>
      <c r="C28" s="13" t="s">
        <v>17</v>
      </c>
      <c r="D28" s="13">
        <v>2.95699381828308</v>
      </c>
      <c r="E28" s="13" t="s">
        <v>18</v>
      </c>
      <c r="F28" s="13">
        <v>3.30176639556884</v>
      </c>
    </row>
    <row r="29">
      <c r="A29" s="13" t="s">
        <v>29</v>
      </c>
      <c r="B29" s="13">
        <v>7.0</v>
      </c>
      <c r="C29" s="13" t="s">
        <v>17</v>
      </c>
      <c r="D29" s="13">
        <v>2.95870351791381</v>
      </c>
      <c r="E29" s="13" t="s">
        <v>18</v>
      </c>
      <c r="F29" s="13">
        <v>3.31727385520935</v>
      </c>
    </row>
    <row r="30">
      <c r="A30" s="13" t="s">
        <v>29</v>
      </c>
      <c r="B30" s="13">
        <v>8.0</v>
      </c>
      <c r="C30" s="13" t="s">
        <v>17</v>
      </c>
      <c r="D30" s="13">
        <v>2.87139344215393</v>
      </c>
      <c r="E30" s="13" t="s">
        <v>18</v>
      </c>
      <c r="F30" s="13">
        <v>3.08278155326843</v>
      </c>
    </row>
    <row r="31">
      <c r="A31" s="13" t="s">
        <v>29</v>
      </c>
      <c r="B31" s="13">
        <v>9.0</v>
      </c>
      <c r="C31" s="13" t="s">
        <v>17</v>
      </c>
      <c r="D31" s="13">
        <v>2.85973477363586</v>
      </c>
      <c r="E31" s="13" t="s">
        <v>18</v>
      </c>
      <c r="F31" s="13">
        <v>3.25651884078979</v>
      </c>
    </row>
    <row r="32">
      <c r="A32" s="13" t="s">
        <v>29</v>
      </c>
      <c r="B32" s="13">
        <v>0.0</v>
      </c>
      <c r="C32" s="13" t="s">
        <v>19</v>
      </c>
      <c r="D32" s="13">
        <v>3.03515100479125</v>
      </c>
      <c r="E32" s="13" t="s">
        <v>20</v>
      </c>
      <c r="F32" s="13">
        <v>3.33013916015625</v>
      </c>
    </row>
    <row r="33">
      <c r="A33" s="13" t="s">
        <v>29</v>
      </c>
      <c r="B33" s="13">
        <v>1.0</v>
      </c>
      <c r="C33" s="13" t="s">
        <v>19</v>
      </c>
      <c r="D33" s="13">
        <v>3.07030344009399</v>
      </c>
      <c r="E33" s="13" t="s">
        <v>20</v>
      </c>
      <c r="F33" s="13">
        <v>3.74354243278503</v>
      </c>
    </row>
    <row r="34">
      <c r="A34" s="13" t="s">
        <v>29</v>
      </c>
      <c r="B34" s="13">
        <v>2.0</v>
      </c>
      <c r="C34" s="13" t="s">
        <v>19</v>
      </c>
      <c r="D34" s="13">
        <v>3.17733311653137</v>
      </c>
      <c r="E34" s="13" t="s">
        <v>20</v>
      </c>
      <c r="F34" s="13">
        <v>3.16864895820617</v>
      </c>
    </row>
    <row r="35">
      <c r="A35" s="13" t="s">
        <v>29</v>
      </c>
      <c r="B35" s="13">
        <v>3.0</v>
      </c>
      <c r="C35" s="13" t="s">
        <v>19</v>
      </c>
      <c r="D35" s="13">
        <v>3.04689764976501</v>
      </c>
      <c r="E35" s="13" t="s">
        <v>20</v>
      </c>
      <c r="F35" s="13">
        <v>3.29915595054626</v>
      </c>
    </row>
    <row r="36">
      <c r="A36" s="13" t="s">
        <v>29</v>
      </c>
      <c r="B36" s="13">
        <v>4.0</v>
      </c>
      <c r="C36" s="13" t="s">
        <v>19</v>
      </c>
      <c r="D36" s="13">
        <v>3.00171709060668</v>
      </c>
      <c r="E36" s="13" t="s">
        <v>20</v>
      </c>
      <c r="F36" s="13">
        <v>3.26217865943908</v>
      </c>
    </row>
    <row r="37">
      <c r="A37" s="13" t="s">
        <v>29</v>
      </c>
      <c r="B37" s="13">
        <v>5.0</v>
      </c>
      <c r="C37" s="13" t="s">
        <v>19</v>
      </c>
      <c r="D37" s="13">
        <v>2.97287774085998</v>
      </c>
      <c r="E37" s="13" t="s">
        <v>20</v>
      </c>
      <c r="F37" s="13">
        <v>3.26358580589294</v>
      </c>
    </row>
    <row r="38">
      <c r="A38" s="13" t="s">
        <v>29</v>
      </c>
      <c r="B38" s="13">
        <v>6.0</v>
      </c>
      <c r="C38" s="13" t="s">
        <v>19</v>
      </c>
      <c r="D38" s="13">
        <v>2.97685480117797</v>
      </c>
      <c r="E38" s="13" t="s">
        <v>20</v>
      </c>
      <c r="F38" s="13">
        <v>3.27307105064392</v>
      </c>
    </row>
    <row r="39">
      <c r="A39" s="13" t="s">
        <v>29</v>
      </c>
      <c r="B39" s="13">
        <v>7.0</v>
      </c>
      <c r="C39" s="13" t="s">
        <v>19</v>
      </c>
      <c r="D39" s="13">
        <v>2.81182718276977</v>
      </c>
      <c r="E39" s="13" t="s">
        <v>20</v>
      </c>
      <c r="F39" s="13">
        <v>3.27616548538208</v>
      </c>
    </row>
    <row r="40">
      <c r="A40" s="13" t="s">
        <v>29</v>
      </c>
      <c r="B40" s="13">
        <v>8.0</v>
      </c>
      <c r="C40" s="13" t="s">
        <v>19</v>
      </c>
      <c r="D40" s="13">
        <v>2.93320083618164</v>
      </c>
      <c r="E40" s="13" t="s">
        <v>20</v>
      </c>
      <c r="F40" s="13">
        <v>3.28645920753479</v>
      </c>
    </row>
    <row r="41">
      <c r="A41" s="13" t="s">
        <v>29</v>
      </c>
      <c r="B41" s="13">
        <v>9.0</v>
      </c>
      <c r="C41" s="13" t="s">
        <v>19</v>
      </c>
      <c r="D41" s="13">
        <v>2.83814024925231</v>
      </c>
      <c r="E41" s="13" t="s">
        <v>20</v>
      </c>
      <c r="F41" s="13">
        <v>3.11276745796203</v>
      </c>
    </row>
    <row r="42">
      <c r="A42" s="13" t="s">
        <v>29</v>
      </c>
      <c r="B42" s="13">
        <v>0.0</v>
      </c>
      <c r="C42" s="13" t="s">
        <v>21</v>
      </c>
      <c r="D42" s="13">
        <v>2.88983154296875</v>
      </c>
      <c r="E42" s="13" t="s">
        <v>22</v>
      </c>
      <c r="F42" s="13">
        <v>3.52443552017211</v>
      </c>
    </row>
    <row r="43">
      <c r="A43" s="13" t="s">
        <v>29</v>
      </c>
      <c r="B43" s="13">
        <v>1.0</v>
      </c>
      <c r="C43" s="13" t="s">
        <v>21</v>
      </c>
      <c r="D43" s="13">
        <v>3.04261946678161</v>
      </c>
      <c r="E43" s="13" t="s">
        <v>22</v>
      </c>
      <c r="F43" s="13">
        <v>3.61267685890197</v>
      </c>
    </row>
    <row r="44">
      <c r="A44" s="13" t="s">
        <v>29</v>
      </c>
      <c r="B44" s="13">
        <v>2.0</v>
      </c>
      <c r="C44" s="13" t="s">
        <v>21</v>
      </c>
      <c r="D44" s="13">
        <v>2.92713570594787</v>
      </c>
      <c r="E44" s="13" t="s">
        <v>22</v>
      </c>
      <c r="F44" s="13">
        <v>3.61621165275573</v>
      </c>
    </row>
    <row r="45">
      <c r="A45" s="13" t="s">
        <v>29</v>
      </c>
      <c r="B45" s="13">
        <v>3.0</v>
      </c>
      <c r="C45" s="13" t="s">
        <v>21</v>
      </c>
      <c r="D45" s="13">
        <v>3.0166757106781</v>
      </c>
      <c r="E45" s="13" t="s">
        <v>22</v>
      </c>
      <c r="F45" s="13">
        <v>3.63857626914978</v>
      </c>
    </row>
    <row r="46">
      <c r="A46" s="13" t="s">
        <v>29</v>
      </c>
      <c r="B46" s="13">
        <v>4.0</v>
      </c>
      <c r="C46" s="13" t="s">
        <v>21</v>
      </c>
      <c r="D46" s="13">
        <v>2.9085190296173</v>
      </c>
      <c r="E46" s="13" t="s">
        <v>22</v>
      </c>
      <c r="F46" s="13">
        <v>3.46269226074218</v>
      </c>
    </row>
    <row r="47">
      <c r="A47" s="13" t="s">
        <v>29</v>
      </c>
      <c r="B47" s="13">
        <v>5.0</v>
      </c>
      <c r="C47" s="13" t="s">
        <v>21</v>
      </c>
      <c r="D47" s="13">
        <v>2.89805650711059</v>
      </c>
      <c r="E47" s="13" t="s">
        <v>22</v>
      </c>
      <c r="F47" s="13">
        <v>3.56515526771545</v>
      </c>
    </row>
    <row r="48">
      <c r="A48" s="13" t="s">
        <v>29</v>
      </c>
      <c r="B48" s="13">
        <v>6.0</v>
      </c>
      <c r="C48" s="13" t="s">
        <v>21</v>
      </c>
      <c r="D48" s="13">
        <v>2.96472764015197</v>
      </c>
      <c r="E48" s="13" t="s">
        <v>22</v>
      </c>
      <c r="F48" s="13">
        <v>3.53335499763488</v>
      </c>
    </row>
    <row r="49">
      <c r="A49" s="13" t="s">
        <v>29</v>
      </c>
      <c r="B49" s="13">
        <v>7.0</v>
      </c>
      <c r="C49" s="13" t="s">
        <v>21</v>
      </c>
      <c r="D49" s="13">
        <v>3.41067481040954</v>
      </c>
      <c r="E49" s="13" t="s">
        <v>22</v>
      </c>
      <c r="F49" s="13">
        <v>4.17705202102661</v>
      </c>
    </row>
    <row r="50">
      <c r="A50" s="13" t="s">
        <v>29</v>
      </c>
      <c r="B50" s="13">
        <v>8.0</v>
      </c>
      <c r="C50" s="13" t="s">
        <v>21</v>
      </c>
      <c r="D50" s="13">
        <v>3.05282068252563</v>
      </c>
      <c r="E50" s="13" t="s">
        <v>22</v>
      </c>
      <c r="F50" s="13">
        <v>3.65698075294494</v>
      </c>
    </row>
    <row r="51">
      <c r="A51" s="13" t="s">
        <v>29</v>
      </c>
      <c r="B51" s="13">
        <v>9.0</v>
      </c>
      <c r="C51" s="13" t="s">
        <v>21</v>
      </c>
      <c r="D51" s="13">
        <v>2.97035980224609</v>
      </c>
      <c r="E51" s="13" t="s">
        <v>22</v>
      </c>
      <c r="F51" s="13">
        <v>3.57754254341125</v>
      </c>
    </row>
    <row r="52">
      <c r="A52" s="13" t="s">
        <v>29</v>
      </c>
      <c r="B52" s="13">
        <v>0.0</v>
      </c>
      <c r="C52" s="13" t="s">
        <v>23</v>
      </c>
      <c r="D52" s="13">
        <v>2.87534618377685</v>
      </c>
      <c r="E52" s="13" t="s">
        <v>24</v>
      </c>
      <c r="F52" s="13">
        <v>3.22378635406494</v>
      </c>
    </row>
    <row r="53">
      <c r="A53" s="13" t="s">
        <v>29</v>
      </c>
      <c r="B53" s="13">
        <v>1.0</v>
      </c>
      <c r="C53" s="13" t="s">
        <v>23</v>
      </c>
      <c r="D53" s="13">
        <v>2.94000077247619</v>
      </c>
      <c r="E53" s="13" t="s">
        <v>24</v>
      </c>
      <c r="F53" s="13">
        <v>3.19937562942504</v>
      </c>
    </row>
    <row r="54">
      <c r="A54" s="13" t="s">
        <v>29</v>
      </c>
      <c r="B54" s="13">
        <v>2.0</v>
      </c>
      <c r="C54" s="13" t="s">
        <v>23</v>
      </c>
      <c r="D54" s="13">
        <v>2.807461977005</v>
      </c>
      <c r="E54" s="13" t="s">
        <v>24</v>
      </c>
      <c r="F54" s="13">
        <v>3.23427033424377</v>
      </c>
    </row>
    <row r="55">
      <c r="A55" s="13" t="s">
        <v>29</v>
      </c>
      <c r="B55" s="13">
        <v>3.0</v>
      </c>
      <c r="C55" s="13" t="s">
        <v>23</v>
      </c>
      <c r="D55" s="13">
        <v>2.97368907928466</v>
      </c>
      <c r="E55" s="13" t="s">
        <v>24</v>
      </c>
      <c r="F55" s="13">
        <v>3.22394490242004</v>
      </c>
    </row>
    <row r="56">
      <c r="A56" s="13" t="s">
        <v>29</v>
      </c>
      <c r="B56" s="13">
        <v>4.0</v>
      </c>
      <c r="C56" s="13" t="s">
        <v>23</v>
      </c>
      <c r="D56" s="13">
        <v>2.92646598815917</v>
      </c>
      <c r="E56" s="13" t="s">
        <v>24</v>
      </c>
      <c r="F56" s="13">
        <v>3.24047493934631</v>
      </c>
    </row>
    <row r="57">
      <c r="A57" s="13" t="s">
        <v>29</v>
      </c>
      <c r="B57" s="13">
        <v>5.0</v>
      </c>
      <c r="C57" s="13" t="s">
        <v>23</v>
      </c>
      <c r="D57" s="13">
        <v>2.81412148475646</v>
      </c>
      <c r="E57" s="13" t="s">
        <v>24</v>
      </c>
      <c r="F57" s="13">
        <v>3.29206943511962</v>
      </c>
    </row>
    <row r="58">
      <c r="A58" s="13" t="s">
        <v>29</v>
      </c>
      <c r="B58" s="13">
        <v>6.0</v>
      </c>
      <c r="C58" s="13" t="s">
        <v>23</v>
      </c>
      <c r="D58" s="13">
        <v>2.97480010986328</v>
      </c>
      <c r="E58" s="13" t="s">
        <v>24</v>
      </c>
      <c r="F58" s="13">
        <v>3.20959591865539</v>
      </c>
    </row>
    <row r="59">
      <c r="A59" s="13" t="s">
        <v>29</v>
      </c>
      <c r="B59" s="13">
        <v>7.0</v>
      </c>
      <c r="C59" s="13" t="s">
        <v>23</v>
      </c>
      <c r="D59" s="13">
        <v>2.88404774665832</v>
      </c>
      <c r="E59" s="13" t="s">
        <v>24</v>
      </c>
      <c r="F59" s="13">
        <v>3.19693255424499</v>
      </c>
    </row>
    <row r="60">
      <c r="A60" s="13" t="s">
        <v>29</v>
      </c>
      <c r="B60" s="13">
        <v>8.0</v>
      </c>
      <c r="C60" s="13" t="s">
        <v>23</v>
      </c>
      <c r="D60" s="13">
        <v>2.88329434394836</v>
      </c>
      <c r="E60" s="13" t="s">
        <v>24</v>
      </c>
      <c r="F60" s="13">
        <v>3.23737454414367</v>
      </c>
    </row>
    <row r="61">
      <c r="A61" s="13" t="s">
        <v>29</v>
      </c>
      <c r="B61" s="13">
        <v>9.0</v>
      </c>
      <c r="C61" s="13" t="s">
        <v>23</v>
      </c>
      <c r="D61" s="13">
        <v>2.84711718559265</v>
      </c>
      <c r="E61" s="13" t="s">
        <v>24</v>
      </c>
      <c r="F61" s="13">
        <v>3.06836247444152</v>
      </c>
    </row>
    <row r="62">
      <c r="A62" s="13" t="s">
        <v>29</v>
      </c>
      <c r="B62" s="13">
        <v>0.0</v>
      </c>
      <c r="C62" s="13" t="s">
        <v>25</v>
      </c>
      <c r="D62" s="13">
        <v>2.96976208686828</v>
      </c>
      <c r="E62" s="13" t="s">
        <v>26</v>
      </c>
      <c r="F62" s="13">
        <v>3.24584126472473</v>
      </c>
    </row>
    <row r="63">
      <c r="A63" s="13" t="s">
        <v>29</v>
      </c>
      <c r="B63" s="13">
        <v>1.0</v>
      </c>
      <c r="C63" s="13" t="s">
        <v>25</v>
      </c>
      <c r="D63" s="13">
        <v>3.02933740615844</v>
      </c>
      <c r="E63" s="13" t="s">
        <v>26</v>
      </c>
      <c r="F63" s="13">
        <v>3.18702721595764</v>
      </c>
    </row>
    <row r="64">
      <c r="A64" s="13" t="s">
        <v>29</v>
      </c>
      <c r="B64" s="13">
        <v>2.0</v>
      </c>
      <c r="C64" s="13" t="s">
        <v>25</v>
      </c>
      <c r="D64" s="13">
        <v>2.81569790840148</v>
      </c>
      <c r="E64" s="13" t="s">
        <v>26</v>
      </c>
      <c r="F64" s="13">
        <v>3.16622996330261</v>
      </c>
    </row>
    <row r="65">
      <c r="A65" s="13" t="s">
        <v>29</v>
      </c>
      <c r="B65" s="13">
        <v>3.0</v>
      </c>
      <c r="C65" s="13" t="s">
        <v>25</v>
      </c>
      <c r="D65" s="13">
        <v>2.86661076545715</v>
      </c>
      <c r="E65" s="13" t="s">
        <v>26</v>
      </c>
      <c r="F65" s="13">
        <v>3.27288937568664</v>
      </c>
    </row>
    <row r="66">
      <c r="A66" s="13" t="s">
        <v>29</v>
      </c>
      <c r="B66" s="13">
        <v>4.0</v>
      </c>
      <c r="C66" s="13" t="s">
        <v>25</v>
      </c>
      <c r="D66" s="13">
        <v>3.9522910118103</v>
      </c>
      <c r="E66" s="13" t="s">
        <v>26</v>
      </c>
      <c r="F66" s="13">
        <v>3.58619832992553</v>
      </c>
    </row>
    <row r="67">
      <c r="A67" s="13" t="s">
        <v>29</v>
      </c>
      <c r="B67" s="13">
        <v>5.0</v>
      </c>
      <c r="C67" s="13" t="s">
        <v>25</v>
      </c>
      <c r="D67" s="13">
        <v>3.03588199615478</v>
      </c>
      <c r="E67" s="13" t="s">
        <v>26</v>
      </c>
      <c r="F67" s="13">
        <v>3.27275085449218</v>
      </c>
    </row>
    <row r="68">
      <c r="A68" s="13" t="s">
        <v>29</v>
      </c>
      <c r="B68" s="13">
        <v>6.0</v>
      </c>
      <c r="C68" s="13" t="s">
        <v>25</v>
      </c>
      <c r="D68" s="13">
        <v>3.03606581687927</v>
      </c>
      <c r="E68" s="13" t="s">
        <v>26</v>
      </c>
      <c r="F68" s="13">
        <v>3.30496549606323</v>
      </c>
    </row>
    <row r="69">
      <c r="A69" s="13" t="s">
        <v>29</v>
      </c>
      <c r="B69" s="13">
        <v>7.0</v>
      </c>
      <c r="C69" s="13" t="s">
        <v>25</v>
      </c>
      <c r="D69" s="13">
        <v>2.9025752544403</v>
      </c>
      <c r="E69" s="13" t="s">
        <v>26</v>
      </c>
      <c r="F69" s="13">
        <v>3.34192681312561</v>
      </c>
    </row>
    <row r="70">
      <c r="A70" s="13" t="s">
        <v>29</v>
      </c>
      <c r="B70" s="13">
        <v>8.0</v>
      </c>
      <c r="C70" s="13" t="s">
        <v>25</v>
      </c>
      <c r="D70" s="13">
        <v>2.93036246299743</v>
      </c>
      <c r="E70" s="13" t="s">
        <v>26</v>
      </c>
      <c r="F70" s="13">
        <v>3.16746234893798</v>
      </c>
    </row>
    <row r="71">
      <c r="A71" s="13" t="s">
        <v>29</v>
      </c>
      <c r="B71" s="13">
        <v>9.0</v>
      </c>
      <c r="C71" s="13" t="s">
        <v>25</v>
      </c>
      <c r="D71" s="13">
        <v>2.88678669929504</v>
      </c>
      <c r="E71" s="13" t="s">
        <v>26</v>
      </c>
      <c r="F71" s="13">
        <v>3.3555953502655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0"/>
    <col customWidth="1" min="2" max="2" width="12.86"/>
    <col customWidth="1" min="3" max="3" width="12.71"/>
    <col customWidth="1" min="4" max="4" width="20.43"/>
    <col customWidth="1" min="5" max="5" width="11.57"/>
    <col customWidth="1" min="6" max="6" width="18.86"/>
    <col customWidth="1" min="8" max="8" width="12.71"/>
    <col customWidth="1" min="9" max="9" width="14.57"/>
    <col customWidth="1" min="10" max="10" width="11.57"/>
    <col customWidth="1" min="11" max="11" width="16.71"/>
    <col customWidth="1" min="12" max="12" width="12.29"/>
  </cols>
  <sheetData>
    <row r="1">
      <c r="A1" s="1" t="s">
        <v>0</v>
      </c>
      <c r="B1" s="1" t="s">
        <v>7</v>
      </c>
      <c r="C1" s="1" t="s">
        <v>1</v>
      </c>
      <c r="D1" s="1" t="s">
        <v>8</v>
      </c>
      <c r="E1" s="1" t="s">
        <v>3</v>
      </c>
      <c r="F1" s="1" t="s">
        <v>9</v>
      </c>
    </row>
    <row r="2">
      <c r="A2" s="4" t="s">
        <v>30</v>
      </c>
      <c r="B2" s="4">
        <v>0.0</v>
      </c>
      <c r="C2" s="4" t="s">
        <v>11</v>
      </c>
      <c r="D2" s="4">
        <v>9.84474492073059</v>
      </c>
      <c r="E2" s="4" t="s">
        <v>12</v>
      </c>
      <c r="F2" s="4">
        <v>20.0217082500457</v>
      </c>
      <c r="H2" s="5" t="s">
        <v>1</v>
      </c>
      <c r="I2" s="5" t="s">
        <v>2</v>
      </c>
      <c r="J2" s="5" t="s">
        <v>3</v>
      </c>
      <c r="K2" s="5" t="s">
        <v>4</v>
      </c>
      <c r="L2" s="5" t="s">
        <v>5</v>
      </c>
    </row>
    <row r="3">
      <c r="A3" s="4" t="s">
        <v>30</v>
      </c>
      <c r="B3" s="4">
        <v>1.0</v>
      </c>
      <c r="C3" s="4" t="s">
        <v>11</v>
      </c>
      <c r="D3" s="4">
        <v>9.3423159122467</v>
      </c>
      <c r="E3" s="4" t="s">
        <v>12</v>
      </c>
      <c r="F3" s="4">
        <v>19.8784325122833</v>
      </c>
      <c r="H3" s="6" t="str">
        <f>IFERROR(__xludf.DUMMYFUNCTION("unique(C2:C1000)"),"LCOM")</f>
        <v>LCOM</v>
      </c>
      <c r="I3" s="3">
        <f>IFERROR(__xludf.DUMMYFUNCTION("sum(query(C:D, ""select avg(D) where C='""&amp;$H3&amp;""'""))"),9.58852341175078)</f>
        <v>9.588523412</v>
      </c>
      <c r="J3" s="3" t="str">
        <f>IFERROR(__xludf.DUMMYFUNCTION("unique(E2:E1000)"),"EO_LCOM1")</f>
        <v>EO_LCOM1</v>
      </c>
      <c r="K3" s="3">
        <f>IFERROR(__xludf.DUMMYFUNCTION("sum(query(E:F, ""select avg(F) where E='""&amp;$J3&amp;""'""))"),20.014970302581727)</f>
        <v>20.0149703</v>
      </c>
      <c r="L3" s="7">
        <f t="shared" ref="L3:L9" si="1">if(K3=-1, -1, K3/I3)</f>
        <v>2.087388166</v>
      </c>
    </row>
    <row r="4">
      <c r="A4" s="4" t="s">
        <v>30</v>
      </c>
      <c r="B4" s="4">
        <v>2.0</v>
      </c>
      <c r="C4" s="4" t="s">
        <v>11</v>
      </c>
      <c r="D4" s="4">
        <v>10.0051295757293</v>
      </c>
      <c r="E4" s="4" t="s">
        <v>12</v>
      </c>
      <c r="F4" s="4">
        <v>20.378225326538</v>
      </c>
      <c r="H4" s="6" t="str">
        <f>IFERROR(__xludf.DUMMYFUNCTION("""COMPUTED_VALUE"""),"LCOM2")</f>
        <v>LCOM2</v>
      </c>
      <c r="I4" s="3">
        <f>IFERROR(__xludf.DUMMYFUNCTION("sum(query(C:D, ""select avg(D) where C='""&amp;$H4&amp;""'""))"),9.018808293342587)</f>
        <v>9.018808293</v>
      </c>
      <c r="J4" s="3" t="str">
        <f>IFERROR(__xludf.DUMMYFUNCTION("""COMPUTED_VALUE"""),"EO_LCOM2")</f>
        <v>EO_LCOM2</v>
      </c>
      <c r="K4" s="3">
        <f>IFERROR(__xludf.DUMMYFUNCTION("sum(query(E:F, ""select avg(F) where E='""&amp;$J4&amp;""'""))"),12.15699949264522)</f>
        <v>12.15699949</v>
      </c>
      <c r="L4" s="7">
        <f t="shared" si="1"/>
        <v>1.347960739</v>
      </c>
    </row>
    <row r="5">
      <c r="A5" s="4" t="s">
        <v>30</v>
      </c>
      <c r="B5" s="4">
        <v>3.0</v>
      </c>
      <c r="C5" s="4" t="s">
        <v>11</v>
      </c>
      <c r="D5" s="4">
        <v>9.37774801254272</v>
      </c>
      <c r="E5" s="4" t="s">
        <v>12</v>
      </c>
      <c r="F5" s="4">
        <v>20.3948142528533</v>
      </c>
      <c r="H5" s="6" t="str">
        <f>IFERROR(__xludf.DUMMYFUNCTION("""COMPUTED_VALUE"""),"LCOM3")</f>
        <v>LCOM3</v>
      </c>
      <c r="I5" s="3">
        <f>IFERROR(__xludf.DUMMYFUNCTION("sum(query(C:D, ""select avg(D) where C='""&amp;$H5&amp;""'""))"),9.294581913948054)</f>
        <v>9.294581914</v>
      </c>
      <c r="J5" s="3" t="str">
        <f>IFERROR(__xludf.DUMMYFUNCTION("""COMPUTED_VALUE"""),"EO_LCOM3")</f>
        <v>EO_LCOM3</v>
      </c>
      <c r="K5" s="3">
        <f>IFERROR(__xludf.DUMMYFUNCTION("sum(query(E:F, ""select avg(F) where E='""&amp;$J5&amp;""'""))"),12.1998884439468)</f>
        <v>12.19988844</v>
      </c>
      <c r="L5" s="7">
        <f t="shared" si="1"/>
        <v>1.312580658</v>
      </c>
    </row>
    <row r="6">
      <c r="A6" s="4" t="s">
        <v>30</v>
      </c>
      <c r="B6" s="4">
        <v>4.0</v>
      </c>
      <c r="C6" s="4" t="s">
        <v>11</v>
      </c>
      <c r="D6" s="4">
        <v>9.67063999176025</v>
      </c>
      <c r="E6" s="4" t="s">
        <v>12</v>
      </c>
      <c r="F6" s="4">
        <v>19.8604516983032</v>
      </c>
      <c r="H6" s="6" t="str">
        <f>IFERROR(__xludf.DUMMYFUNCTION("""COMPUTED_VALUE"""),"TCC")</f>
        <v>TCC</v>
      </c>
      <c r="I6" s="3">
        <f>IFERROR(__xludf.DUMMYFUNCTION("sum(query(C:D, ""select avg(D) where C='""&amp;$H6&amp;""'""))"),9.577659487724299)</f>
        <v>9.577659488</v>
      </c>
      <c r="J6" s="3" t="str">
        <f>IFERROR(__xludf.DUMMYFUNCTION("""COMPUTED_VALUE"""),"EO_TCC")</f>
        <v>EO_TCC</v>
      </c>
      <c r="K6" s="3">
        <f>IFERROR(__xludf.DUMMYFUNCTION("sum(query(E:F, ""select avg(F) where E='""&amp;$J6&amp;""'""))"),16.01909444332117)</f>
        <v>16.01909444</v>
      </c>
      <c r="L6" s="7">
        <f t="shared" si="1"/>
        <v>1.672547919</v>
      </c>
    </row>
    <row r="7">
      <c r="A7" s="4" t="s">
        <v>30</v>
      </c>
      <c r="B7" s="4">
        <v>5.0</v>
      </c>
      <c r="C7" s="4" t="s">
        <v>11</v>
      </c>
      <c r="D7" s="4">
        <v>9.38148593902587</v>
      </c>
      <c r="E7" s="4" t="s">
        <v>12</v>
      </c>
      <c r="F7" s="4">
        <v>19.4037284851074</v>
      </c>
      <c r="H7" s="6" t="str">
        <f>IFERROR(__xludf.DUMMYFUNCTION("""COMPUTED_VALUE"""),"LCC")</f>
        <v>LCC</v>
      </c>
      <c r="I7" s="3">
        <f>IFERROR(__xludf.DUMMYFUNCTION("sum(query(C:D, ""select avg(D) where C='""&amp;$H7&amp;""'""))"),9.305973649024956)</f>
        <v>9.305973649</v>
      </c>
      <c r="J7" s="3" t="str">
        <f>IFERROR(__xludf.DUMMYFUNCTION("""COMPUTED_VALUE"""),"EO_LCC")</f>
        <v>EO_LCC</v>
      </c>
      <c r="K7" s="3">
        <f>IFERROR(__xludf.DUMMYFUNCTION("sum(query(E:F, ""select avg(F) where E='""&amp;$J7&amp;""'""))"),-1.0)</f>
        <v>-1</v>
      </c>
      <c r="L7" s="7">
        <f t="shared" si="1"/>
        <v>-1</v>
      </c>
    </row>
    <row r="8">
      <c r="A8" s="4" t="s">
        <v>30</v>
      </c>
      <c r="B8" s="4">
        <v>6.0</v>
      </c>
      <c r="C8" s="4" t="s">
        <v>11</v>
      </c>
      <c r="D8" s="4">
        <v>10.0884149074554</v>
      </c>
      <c r="E8" s="4" t="s">
        <v>12</v>
      </c>
      <c r="F8" s="4">
        <v>20.2235891819</v>
      </c>
      <c r="H8" s="6" t="str">
        <f>IFERROR(__xludf.DUMMYFUNCTION("""COMPUTED_VALUE"""),"CAMC")</f>
        <v>CAMC</v>
      </c>
      <c r="I8" s="3">
        <f>IFERROR(__xludf.DUMMYFUNCTION("sum(query(C:D, ""select avg(D) where C='""&amp;$H8&amp;""'""))"),9.27931988239287)</f>
        <v>9.279319882</v>
      </c>
      <c r="J8" s="3" t="str">
        <f>IFERROR(__xludf.DUMMYFUNCTION("""COMPUTED_VALUE"""),"EO_CAMC")</f>
        <v>EO_CAMC</v>
      </c>
      <c r="K8" s="3">
        <f>IFERROR(__xludf.DUMMYFUNCTION("sum(query(E:F, ""select avg(F) where E='""&amp;$J8&amp;""'""))"),11.157775521278328)</f>
        <v>11.15777552</v>
      </c>
      <c r="L8" s="7">
        <f t="shared" si="1"/>
        <v>1.202434625</v>
      </c>
    </row>
    <row r="9">
      <c r="A9" s="4" t="s">
        <v>30</v>
      </c>
      <c r="B9" s="4">
        <v>7.0</v>
      </c>
      <c r="C9" s="4" t="s">
        <v>11</v>
      </c>
      <c r="D9" s="4">
        <v>9.18416404724121</v>
      </c>
      <c r="E9" s="4" t="s">
        <v>12</v>
      </c>
      <c r="F9" s="4">
        <v>20.2296969890594</v>
      </c>
      <c r="H9" s="8" t="str">
        <f>IFERROR(__xludf.DUMMYFUNCTION("""COMPUTED_VALUE"""),"NHD")</f>
        <v>NHD</v>
      </c>
      <c r="I9" s="9">
        <f>IFERROR(__xludf.DUMMYFUNCTION("sum(query(C:D, ""select avg(D) where C='""&amp;$H9&amp;""'""))"),9.071305108070371)</f>
        <v>9.071305108</v>
      </c>
      <c r="J9" s="9" t="str">
        <f>IFERROR(__xludf.DUMMYFUNCTION("""COMPUTED_VALUE"""),"EO_NHD")</f>
        <v>EO_NHD</v>
      </c>
      <c r="K9" s="9">
        <f>IFERROR(__xludf.DUMMYFUNCTION("sum(query(E:F, ""select avg(F) where E='""&amp;$J9&amp;""'""))"),10.90333118438715)</f>
        <v>10.90333118</v>
      </c>
      <c r="L9" s="7">
        <f t="shared" si="1"/>
        <v>1.201958379</v>
      </c>
    </row>
    <row r="10">
      <c r="A10" s="4" t="s">
        <v>30</v>
      </c>
      <c r="B10" s="4">
        <v>8.0</v>
      </c>
      <c r="C10" s="4" t="s">
        <v>11</v>
      </c>
      <c r="D10" s="4">
        <v>9.50509142875671</v>
      </c>
      <c r="E10" s="4" t="s">
        <v>12</v>
      </c>
      <c r="F10" s="4">
        <v>19.8113958835601</v>
      </c>
      <c r="H10" s="3"/>
      <c r="J10" s="3"/>
      <c r="K10" s="10" t="s">
        <v>13</v>
      </c>
      <c r="L10" s="11">
        <f>AVERAGEIF(K3:K9, "&gt;1", L3:L9)</f>
        <v>1.470811748</v>
      </c>
    </row>
    <row r="11">
      <c r="A11" s="4" t="s">
        <v>30</v>
      </c>
      <c r="B11" s="4">
        <v>9.0</v>
      </c>
      <c r="C11" s="4" t="s">
        <v>11</v>
      </c>
      <c r="D11" s="4">
        <v>9.48549938201904</v>
      </c>
      <c r="E11" s="4" t="s">
        <v>12</v>
      </c>
      <c r="F11" s="4">
        <v>19.9476604461669</v>
      </c>
      <c r="L11" s="12">
        <f>L10-1</f>
        <v>0.4708117477</v>
      </c>
      <c r="M11" s="4" t="s">
        <v>14</v>
      </c>
    </row>
    <row r="12">
      <c r="A12" s="4" t="s">
        <v>30</v>
      </c>
      <c r="B12" s="4">
        <v>0.0</v>
      </c>
      <c r="C12" s="4" t="s">
        <v>15</v>
      </c>
      <c r="D12" s="4">
        <v>8.77522587776184</v>
      </c>
      <c r="E12" s="4" t="s">
        <v>16</v>
      </c>
      <c r="F12" s="4">
        <v>11.9313380718231</v>
      </c>
    </row>
    <row r="13">
      <c r="A13" s="4" t="s">
        <v>30</v>
      </c>
      <c r="B13" s="4">
        <v>1.0</v>
      </c>
      <c r="C13" s="4" t="s">
        <v>15</v>
      </c>
      <c r="D13" s="4">
        <v>8.83174633979797</v>
      </c>
      <c r="E13" s="4" t="s">
        <v>16</v>
      </c>
      <c r="F13" s="4">
        <v>11.9543921947479</v>
      </c>
    </row>
    <row r="14">
      <c r="A14" s="4" t="s">
        <v>30</v>
      </c>
      <c r="B14" s="4">
        <v>2.0</v>
      </c>
      <c r="C14" s="4" t="s">
        <v>15</v>
      </c>
      <c r="D14" s="4">
        <v>9.06692314147949</v>
      </c>
      <c r="E14" s="4" t="s">
        <v>16</v>
      </c>
      <c r="F14" s="4">
        <v>12.3997993469238</v>
      </c>
    </row>
    <row r="15">
      <c r="A15" s="4" t="s">
        <v>30</v>
      </c>
      <c r="B15" s="4">
        <v>3.0</v>
      </c>
      <c r="C15" s="4" t="s">
        <v>15</v>
      </c>
      <c r="D15" s="4">
        <v>8.96640753746032</v>
      </c>
      <c r="E15" s="4" t="s">
        <v>16</v>
      </c>
      <c r="F15" s="4">
        <v>12.194803237915</v>
      </c>
    </row>
    <row r="16">
      <c r="A16" s="4" t="s">
        <v>30</v>
      </c>
      <c r="B16" s="4">
        <v>4.0</v>
      </c>
      <c r="C16" s="4" t="s">
        <v>15</v>
      </c>
      <c r="D16" s="4">
        <v>9.21792984008789</v>
      </c>
      <c r="E16" s="4" t="s">
        <v>16</v>
      </c>
      <c r="F16" s="4">
        <v>12.3419435024261</v>
      </c>
    </row>
    <row r="17">
      <c r="A17" s="4" t="s">
        <v>30</v>
      </c>
      <c r="B17" s="4">
        <v>5.0</v>
      </c>
      <c r="C17" s="4" t="s">
        <v>15</v>
      </c>
      <c r="D17" s="4">
        <v>8.84214162826538</v>
      </c>
      <c r="E17" s="4" t="s">
        <v>16</v>
      </c>
      <c r="F17" s="4">
        <v>12.2826905250549</v>
      </c>
    </row>
    <row r="18">
      <c r="A18" s="4" t="s">
        <v>30</v>
      </c>
      <c r="B18" s="4">
        <v>6.0</v>
      </c>
      <c r="C18" s="4" t="s">
        <v>15</v>
      </c>
      <c r="D18" s="4">
        <v>9.33971524238586</v>
      </c>
      <c r="E18" s="4" t="s">
        <v>16</v>
      </c>
      <c r="F18" s="4">
        <v>12.1760649681091</v>
      </c>
    </row>
    <row r="19">
      <c r="A19" s="4" t="s">
        <v>30</v>
      </c>
      <c r="B19" s="4">
        <v>7.0</v>
      </c>
      <c r="C19" s="4" t="s">
        <v>15</v>
      </c>
      <c r="D19" s="4">
        <v>9.10629916191101</v>
      </c>
      <c r="E19" s="4" t="s">
        <v>16</v>
      </c>
      <c r="F19" s="4">
        <v>11.9908049106597</v>
      </c>
    </row>
    <row r="20">
      <c r="A20" s="4" t="s">
        <v>30</v>
      </c>
      <c r="B20" s="4">
        <v>8.0</v>
      </c>
      <c r="C20" s="4" t="s">
        <v>15</v>
      </c>
      <c r="D20" s="4">
        <v>8.93080067634582</v>
      </c>
      <c r="E20" s="4" t="s">
        <v>16</v>
      </c>
      <c r="F20" s="4">
        <v>12.3364412784576</v>
      </c>
    </row>
    <row r="21">
      <c r="A21" s="4" t="s">
        <v>30</v>
      </c>
      <c r="B21" s="4">
        <v>9.0</v>
      </c>
      <c r="C21" s="4" t="s">
        <v>15</v>
      </c>
      <c r="D21" s="4">
        <v>9.11089348793029</v>
      </c>
      <c r="E21" s="4" t="s">
        <v>16</v>
      </c>
      <c r="F21" s="4">
        <v>11.961716890335</v>
      </c>
    </row>
    <row r="22">
      <c r="A22" s="4" t="s">
        <v>30</v>
      </c>
      <c r="B22" s="4">
        <v>0.0</v>
      </c>
      <c r="C22" s="4" t="s">
        <v>17</v>
      </c>
      <c r="D22" s="4">
        <v>9.95580267906189</v>
      </c>
      <c r="E22" s="4" t="s">
        <v>18</v>
      </c>
      <c r="F22" s="4">
        <v>12.7484617233276</v>
      </c>
    </row>
    <row r="23">
      <c r="A23" s="4" t="s">
        <v>30</v>
      </c>
      <c r="B23" s="4">
        <v>1.0</v>
      </c>
      <c r="C23" s="4" t="s">
        <v>17</v>
      </c>
      <c r="D23" s="4">
        <v>9.20926570892334</v>
      </c>
      <c r="E23" s="4" t="s">
        <v>18</v>
      </c>
      <c r="F23" s="4">
        <v>12.4413504600524</v>
      </c>
    </row>
    <row r="24">
      <c r="A24" s="4" t="s">
        <v>30</v>
      </c>
      <c r="B24" s="4">
        <v>2.0</v>
      </c>
      <c r="C24" s="4" t="s">
        <v>17</v>
      </c>
      <c r="D24" s="4">
        <v>9.76453685760498</v>
      </c>
      <c r="E24" s="4" t="s">
        <v>18</v>
      </c>
      <c r="F24" s="4">
        <v>12.3560037612915</v>
      </c>
    </row>
    <row r="25">
      <c r="A25" s="4" t="s">
        <v>30</v>
      </c>
      <c r="B25" s="4">
        <v>3.0</v>
      </c>
      <c r="C25" s="4" t="s">
        <v>17</v>
      </c>
      <c r="D25" s="4">
        <v>8.73879122734069</v>
      </c>
      <c r="E25" s="4" t="s">
        <v>18</v>
      </c>
      <c r="F25" s="4">
        <v>12.1723926067352</v>
      </c>
    </row>
    <row r="26">
      <c r="A26" s="4" t="s">
        <v>30</v>
      </c>
      <c r="B26" s="4">
        <v>4.0</v>
      </c>
      <c r="C26" s="4" t="s">
        <v>17</v>
      </c>
      <c r="D26" s="4">
        <v>9.92825841903686</v>
      </c>
      <c r="E26" s="4" t="s">
        <v>18</v>
      </c>
      <c r="F26" s="4">
        <v>11.0713100433349</v>
      </c>
    </row>
    <row r="27">
      <c r="A27" s="4" t="s">
        <v>30</v>
      </c>
      <c r="B27" s="4">
        <v>5.0</v>
      </c>
      <c r="C27" s="4" t="s">
        <v>17</v>
      </c>
      <c r="D27" s="4">
        <v>8.66487789154052</v>
      </c>
      <c r="E27" s="4" t="s">
        <v>18</v>
      </c>
      <c r="F27" s="4">
        <v>12.6191644668579</v>
      </c>
    </row>
    <row r="28">
      <c r="A28" s="4" t="s">
        <v>30</v>
      </c>
      <c r="B28" s="4">
        <v>6.0</v>
      </c>
      <c r="C28" s="4" t="s">
        <v>17</v>
      </c>
      <c r="D28" s="4">
        <v>9.00381588935852</v>
      </c>
      <c r="E28" s="4" t="s">
        <v>18</v>
      </c>
      <c r="F28" s="4">
        <v>11.7257735729217</v>
      </c>
    </row>
    <row r="29">
      <c r="A29" s="4" t="s">
        <v>30</v>
      </c>
      <c r="B29" s="4">
        <v>7.0</v>
      </c>
      <c r="C29" s="4" t="s">
        <v>17</v>
      </c>
      <c r="D29" s="4">
        <v>9.18823194503784</v>
      </c>
      <c r="E29" s="4" t="s">
        <v>18</v>
      </c>
      <c r="F29" s="4">
        <v>13.4262204170227</v>
      </c>
    </row>
    <row r="30">
      <c r="A30" s="4" t="s">
        <v>30</v>
      </c>
      <c r="B30" s="4">
        <v>8.0</v>
      </c>
      <c r="C30" s="4" t="s">
        <v>17</v>
      </c>
      <c r="D30" s="4">
        <v>9.19252920150756</v>
      </c>
      <c r="E30" s="4" t="s">
        <v>18</v>
      </c>
      <c r="F30" s="4">
        <v>11.602002620697</v>
      </c>
    </row>
    <row r="31">
      <c r="A31" s="4" t="s">
        <v>30</v>
      </c>
      <c r="B31" s="4">
        <v>9.0</v>
      </c>
      <c r="C31" s="4" t="s">
        <v>17</v>
      </c>
      <c r="D31" s="4">
        <v>9.29970932006836</v>
      </c>
      <c r="E31" s="4" t="s">
        <v>18</v>
      </c>
      <c r="F31" s="4">
        <v>11.8362047672271</v>
      </c>
    </row>
    <row r="32">
      <c r="A32" s="4" t="s">
        <v>30</v>
      </c>
      <c r="B32" s="4">
        <v>0.0</v>
      </c>
      <c r="C32" s="4" t="s">
        <v>19</v>
      </c>
      <c r="D32" s="4">
        <v>9.32271289825439</v>
      </c>
      <c r="E32" s="4" t="s">
        <v>20</v>
      </c>
      <c r="F32" s="4">
        <v>16.1565630435943</v>
      </c>
    </row>
    <row r="33">
      <c r="A33" s="4" t="s">
        <v>30</v>
      </c>
      <c r="B33" s="4">
        <v>1.0</v>
      </c>
      <c r="C33" s="4" t="s">
        <v>19</v>
      </c>
      <c r="D33" s="4">
        <v>10.3380320072174</v>
      </c>
      <c r="E33" s="4" t="s">
        <v>20</v>
      </c>
      <c r="F33" s="4">
        <v>15.3391594886779</v>
      </c>
    </row>
    <row r="34">
      <c r="A34" s="4" t="s">
        <v>30</v>
      </c>
      <c r="B34" s="4">
        <v>2.0</v>
      </c>
      <c r="C34" s="4" t="s">
        <v>19</v>
      </c>
      <c r="D34" s="4">
        <v>9.69844651222229</v>
      </c>
      <c r="E34" s="4" t="s">
        <v>20</v>
      </c>
      <c r="F34" s="4">
        <v>15.9911475181579</v>
      </c>
    </row>
    <row r="35">
      <c r="A35" s="4" t="s">
        <v>30</v>
      </c>
      <c r="B35" s="4">
        <v>3.0</v>
      </c>
      <c r="C35" s="4" t="s">
        <v>19</v>
      </c>
      <c r="D35" s="4">
        <v>9.04836678504943</v>
      </c>
      <c r="E35" s="4" t="s">
        <v>20</v>
      </c>
      <c r="F35" s="4">
        <v>15.3596384525299</v>
      </c>
    </row>
    <row r="36">
      <c r="A36" s="4" t="s">
        <v>30</v>
      </c>
      <c r="B36" s="4">
        <v>4.0</v>
      </c>
      <c r="C36" s="4" t="s">
        <v>19</v>
      </c>
      <c r="D36" s="4">
        <v>9.37273240089416</v>
      </c>
      <c r="E36" s="4" t="s">
        <v>20</v>
      </c>
      <c r="F36" s="4">
        <v>16.1146891117095</v>
      </c>
    </row>
    <row r="37">
      <c r="A37" s="4" t="s">
        <v>30</v>
      </c>
      <c r="B37" s="4">
        <v>5.0</v>
      </c>
      <c r="C37" s="4" t="s">
        <v>19</v>
      </c>
      <c r="D37" s="4">
        <v>9.43869161605835</v>
      </c>
      <c r="E37" s="4" t="s">
        <v>20</v>
      </c>
      <c r="F37" s="4">
        <v>16.5066154003143</v>
      </c>
    </row>
    <row r="38">
      <c r="A38" s="4" t="s">
        <v>30</v>
      </c>
      <c r="B38" s="4">
        <v>6.0</v>
      </c>
      <c r="C38" s="4" t="s">
        <v>19</v>
      </c>
      <c r="D38" s="4">
        <v>10.4902625083923</v>
      </c>
      <c r="E38" s="4" t="s">
        <v>20</v>
      </c>
      <c r="F38" s="4">
        <v>15.740288734436</v>
      </c>
    </row>
    <row r="39">
      <c r="A39" s="4" t="s">
        <v>30</v>
      </c>
      <c r="B39" s="4">
        <v>7.0</v>
      </c>
      <c r="C39" s="4" t="s">
        <v>19</v>
      </c>
      <c r="D39" s="4">
        <v>9.59658741950988</v>
      </c>
      <c r="E39" s="4" t="s">
        <v>20</v>
      </c>
      <c r="F39" s="4">
        <v>16.4387209415435</v>
      </c>
    </row>
    <row r="40">
      <c r="A40" s="4" t="s">
        <v>30</v>
      </c>
      <c r="B40" s="4">
        <v>8.0</v>
      </c>
      <c r="C40" s="4" t="s">
        <v>19</v>
      </c>
      <c r="D40" s="4">
        <v>9.54159927368164</v>
      </c>
      <c r="E40" s="4" t="s">
        <v>20</v>
      </c>
      <c r="F40" s="4">
        <v>16.4600193500518</v>
      </c>
    </row>
    <row r="41">
      <c r="A41" s="4" t="s">
        <v>30</v>
      </c>
      <c r="B41" s="4">
        <v>9.0</v>
      </c>
      <c r="C41" s="4" t="s">
        <v>19</v>
      </c>
      <c r="D41" s="4">
        <v>8.92916345596313</v>
      </c>
      <c r="E41" s="4" t="s">
        <v>20</v>
      </c>
      <c r="F41" s="4">
        <v>16.0841023921966</v>
      </c>
    </row>
    <row r="42">
      <c r="A42" s="4" t="s">
        <v>30</v>
      </c>
      <c r="B42" s="4">
        <v>0.0</v>
      </c>
      <c r="C42" s="4" t="s">
        <v>21</v>
      </c>
      <c r="D42" s="4">
        <v>9.17773628234863</v>
      </c>
      <c r="E42" s="4" t="s">
        <v>22</v>
      </c>
      <c r="F42" s="4">
        <v>-1.0</v>
      </c>
    </row>
    <row r="43">
      <c r="A43" s="4" t="s">
        <v>30</v>
      </c>
      <c r="B43" s="4">
        <v>1.0</v>
      </c>
      <c r="C43" s="4" t="s">
        <v>21</v>
      </c>
      <c r="D43" s="4">
        <v>9.03256773948669</v>
      </c>
      <c r="E43" s="4" t="s">
        <v>22</v>
      </c>
      <c r="F43" s="4">
        <v>-1.0</v>
      </c>
    </row>
    <row r="44">
      <c r="A44" s="4" t="s">
        <v>30</v>
      </c>
      <c r="B44" s="4">
        <v>2.0</v>
      </c>
      <c r="C44" s="4" t="s">
        <v>21</v>
      </c>
      <c r="D44" s="4">
        <v>9.35662126541137</v>
      </c>
      <c r="E44" s="4" t="s">
        <v>22</v>
      </c>
      <c r="F44" s="4">
        <v>-1.0</v>
      </c>
    </row>
    <row r="45">
      <c r="A45" s="4" t="s">
        <v>30</v>
      </c>
      <c r="B45" s="4">
        <v>3.0</v>
      </c>
      <c r="C45" s="4" t="s">
        <v>21</v>
      </c>
      <c r="D45" s="4">
        <v>9.02217292785644</v>
      </c>
      <c r="E45" s="4" t="s">
        <v>22</v>
      </c>
      <c r="F45" s="4">
        <v>-1.0</v>
      </c>
    </row>
    <row r="46">
      <c r="A46" s="4" t="s">
        <v>30</v>
      </c>
      <c r="B46" s="4">
        <v>4.0</v>
      </c>
      <c r="C46" s="4" t="s">
        <v>21</v>
      </c>
      <c r="D46" s="4">
        <v>9.50983357429504</v>
      </c>
      <c r="E46" s="4" t="s">
        <v>22</v>
      </c>
      <c r="F46" s="4">
        <v>-1.0</v>
      </c>
    </row>
    <row r="47">
      <c r="A47" s="4" t="s">
        <v>30</v>
      </c>
      <c r="B47" s="4">
        <v>5.0</v>
      </c>
      <c r="C47" s="4" t="s">
        <v>21</v>
      </c>
      <c r="D47" s="4">
        <v>9.58919429779052</v>
      </c>
      <c r="E47" s="4" t="s">
        <v>22</v>
      </c>
      <c r="F47" s="4">
        <v>-1.0</v>
      </c>
    </row>
    <row r="48">
      <c r="A48" s="4" t="s">
        <v>30</v>
      </c>
      <c r="B48" s="4">
        <v>6.0</v>
      </c>
      <c r="C48" s="4" t="s">
        <v>21</v>
      </c>
      <c r="D48" s="4">
        <v>9.45183062553405</v>
      </c>
      <c r="E48" s="4" t="s">
        <v>22</v>
      </c>
      <c r="F48" s="4">
        <v>-1.0</v>
      </c>
    </row>
    <row r="49">
      <c r="A49" s="4" t="s">
        <v>30</v>
      </c>
      <c r="B49" s="4">
        <v>7.0</v>
      </c>
      <c r="C49" s="4" t="s">
        <v>21</v>
      </c>
      <c r="D49" s="4">
        <v>9.16383171081543</v>
      </c>
      <c r="E49" s="4" t="s">
        <v>22</v>
      </c>
      <c r="F49" s="4">
        <v>-1.0</v>
      </c>
    </row>
    <row r="50">
      <c r="A50" s="4" t="s">
        <v>30</v>
      </c>
      <c r="B50" s="4">
        <v>8.0</v>
      </c>
      <c r="C50" s="4" t="s">
        <v>21</v>
      </c>
      <c r="D50" s="4">
        <v>9.45655441284179</v>
      </c>
      <c r="E50" s="4" t="s">
        <v>22</v>
      </c>
      <c r="F50" s="4">
        <v>-1.0</v>
      </c>
    </row>
    <row r="51">
      <c r="A51" s="4" t="s">
        <v>30</v>
      </c>
      <c r="B51" s="4">
        <v>9.0</v>
      </c>
      <c r="C51" s="4" t="s">
        <v>21</v>
      </c>
      <c r="D51" s="4">
        <v>9.29939365386962</v>
      </c>
      <c r="E51" s="4" t="s">
        <v>22</v>
      </c>
      <c r="F51" s="4">
        <v>-1.0</v>
      </c>
    </row>
    <row r="52">
      <c r="A52" s="4" t="s">
        <v>30</v>
      </c>
      <c r="B52" s="4">
        <v>0.0</v>
      </c>
      <c r="C52" s="4" t="s">
        <v>23</v>
      </c>
      <c r="D52" s="4">
        <v>8.98808860778808</v>
      </c>
      <c r="E52" s="4" t="s">
        <v>24</v>
      </c>
      <c r="F52" s="4">
        <v>10.9163482189178</v>
      </c>
    </row>
    <row r="53">
      <c r="A53" s="4" t="s">
        <v>30</v>
      </c>
      <c r="B53" s="4">
        <v>1.0</v>
      </c>
      <c r="C53" s="4" t="s">
        <v>23</v>
      </c>
      <c r="D53" s="4">
        <v>9.08251190185546</v>
      </c>
      <c r="E53" s="4" t="s">
        <v>24</v>
      </c>
      <c r="F53" s="4">
        <v>11.3453922271728</v>
      </c>
    </row>
    <row r="54">
      <c r="A54" s="4" t="s">
        <v>30</v>
      </c>
      <c r="B54" s="4">
        <v>2.0</v>
      </c>
      <c r="C54" s="4" t="s">
        <v>23</v>
      </c>
      <c r="D54" s="4">
        <v>11.3027071952819</v>
      </c>
      <c r="E54" s="4" t="s">
        <v>24</v>
      </c>
      <c r="F54" s="4">
        <v>10.9720435142517</v>
      </c>
    </row>
    <row r="55">
      <c r="A55" s="4" t="s">
        <v>30</v>
      </c>
      <c r="B55" s="4">
        <v>3.0</v>
      </c>
      <c r="C55" s="4" t="s">
        <v>23</v>
      </c>
      <c r="D55" s="4">
        <v>9.39006567001342</v>
      </c>
      <c r="E55" s="4" t="s">
        <v>24</v>
      </c>
      <c r="F55" s="4">
        <v>11.2066302299499</v>
      </c>
    </row>
    <row r="56">
      <c r="A56" s="4" t="s">
        <v>30</v>
      </c>
      <c r="B56" s="4">
        <v>4.0</v>
      </c>
      <c r="C56" s="4" t="s">
        <v>23</v>
      </c>
      <c r="D56" s="4">
        <v>8.66410899162292</v>
      </c>
      <c r="E56" s="4" t="s">
        <v>24</v>
      </c>
      <c r="F56" s="4">
        <v>11.4879713058471</v>
      </c>
    </row>
    <row r="57">
      <c r="A57" s="4" t="s">
        <v>30</v>
      </c>
      <c r="B57" s="4">
        <v>5.0</v>
      </c>
      <c r="C57" s="4" t="s">
        <v>23</v>
      </c>
      <c r="D57" s="4">
        <v>9.08512496948242</v>
      </c>
      <c r="E57" s="4" t="s">
        <v>24</v>
      </c>
      <c r="F57" s="4">
        <v>11.1276924610137</v>
      </c>
    </row>
    <row r="58">
      <c r="A58" s="4" t="s">
        <v>30</v>
      </c>
      <c r="B58" s="4">
        <v>6.0</v>
      </c>
      <c r="C58" s="4" t="s">
        <v>23</v>
      </c>
      <c r="D58" s="4">
        <v>9.2827832698822</v>
      </c>
      <c r="E58" s="4" t="s">
        <v>24</v>
      </c>
      <c r="F58" s="4">
        <v>11.1325283050537</v>
      </c>
    </row>
    <row r="59">
      <c r="A59" s="4" t="s">
        <v>30</v>
      </c>
      <c r="B59" s="4">
        <v>7.0</v>
      </c>
      <c r="C59" s="4" t="s">
        <v>23</v>
      </c>
      <c r="D59" s="4">
        <v>8.4483482837677</v>
      </c>
      <c r="E59" s="4" t="s">
        <v>24</v>
      </c>
      <c r="F59" s="4">
        <v>10.8253073692321</v>
      </c>
    </row>
    <row r="60">
      <c r="A60" s="4" t="s">
        <v>30</v>
      </c>
      <c r="B60" s="4">
        <v>8.0</v>
      </c>
      <c r="C60" s="4" t="s">
        <v>23</v>
      </c>
      <c r="D60" s="4">
        <v>9.84344458580017</v>
      </c>
      <c r="E60" s="4" t="s">
        <v>24</v>
      </c>
      <c r="F60" s="4">
        <v>11.071626663208</v>
      </c>
    </row>
    <row r="61">
      <c r="A61" s="4" t="s">
        <v>30</v>
      </c>
      <c r="B61" s="4">
        <v>9.0</v>
      </c>
      <c r="C61" s="4" t="s">
        <v>23</v>
      </c>
      <c r="D61" s="4">
        <v>8.70601534843444</v>
      </c>
      <c r="E61" s="4" t="s">
        <v>24</v>
      </c>
      <c r="F61" s="4">
        <v>11.4922149181365</v>
      </c>
    </row>
    <row r="62">
      <c r="A62" s="4" t="s">
        <v>30</v>
      </c>
      <c r="B62" s="4">
        <v>0.0</v>
      </c>
      <c r="C62" s="4" t="s">
        <v>25</v>
      </c>
      <c r="D62" s="4">
        <v>9.52860569953918</v>
      </c>
      <c r="E62" s="4" t="s">
        <v>26</v>
      </c>
      <c r="F62" s="4">
        <v>10.9514586925506</v>
      </c>
    </row>
    <row r="63">
      <c r="A63" s="4" t="s">
        <v>30</v>
      </c>
      <c r="B63" s="4">
        <v>1.0</v>
      </c>
      <c r="C63" s="4" t="s">
        <v>25</v>
      </c>
      <c r="D63" s="4">
        <v>8.6212899684906</v>
      </c>
      <c r="E63" s="4" t="s">
        <v>26</v>
      </c>
      <c r="F63" s="4">
        <v>10.8435311317443</v>
      </c>
    </row>
    <row r="64">
      <c r="A64" s="4" t="s">
        <v>30</v>
      </c>
      <c r="B64" s="4">
        <v>2.0</v>
      </c>
      <c r="C64" s="4" t="s">
        <v>25</v>
      </c>
      <c r="D64" s="4">
        <v>9.1625702381134</v>
      </c>
      <c r="E64" s="4" t="s">
        <v>26</v>
      </c>
      <c r="F64" s="4">
        <v>11.0859591960906</v>
      </c>
    </row>
    <row r="65">
      <c r="A65" s="4" t="s">
        <v>30</v>
      </c>
      <c r="B65" s="4">
        <v>3.0</v>
      </c>
      <c r="C65" s="4" t="s">
        <v>25</v>
      </c>
      <c r="D65" s="4">
        <v>8.87884497642517</v>
      </c>
      <c r="E65" s="4" t="s">
        <v>26</v>
      </c>
      <c r="F65" s="4">
        <v>10.9642412662506</v>
      </c>
    </row>
    <row r="66">
      <c r="A66" s="4" t="s">
        <v>30</v>
      </c>
      <c r="B66" s="4">
        <v>4.0</v>
      </c>
      <c r="C66" s="4" t="s">
        <v>25</v>
      </c>
      <c r="D66" s="4">
        <v>8.8410108089447</v>
      </c>
      <c r="E66" s="4" t="s">
        <v>26</v>
      </c>
      <c r="F66" s="4">
        <v>10.7457258701324</v>
      </c>
    </row>
    <row r="67">
      <c r="A67" s="4" t="s">
        <v>30</v>
      </c>
      <c r="B67" s="4">
        <v>5.0</v>
      </c>
      <c r="C67" s="4" t="s">
        <v>25</v>
      </c>
      <c r="D67" s="4">
        <v>9.10223507881164</v>
      </c>
      <c r="E67" s="4" t="s">
        <v>26</v>
      </c>
      <c r="F67" s="4">
        <v>11.568835735321</v>
      </c>
    </row>
    <row r="68">
      <c r="A68" s="4" t="s">
        <v>30</v>
      </c>
      <c r="B68" s="4">
        <v>6.0</v>
      </c>
      <c r="C68" s="4" t="s">
        <v>25</v>
      </c>
      <c r="D68" s="4">
        <v>9.1434805393219</v>
      </c>
      <c r="E68" s="4" t="s">
        <v>26</v>
      </c>
      <c r="F68" s="4">
        <v>10.9097979068756</v>
      </c>
    </row>
    <row r="69">
      <c r="A69" s="4" t="s">
        <v>30</v>
      </c>
      <c r="B69" s="4">
        <v>7.0</v>
      </c>
      <c r="C69" s="4" t="s">
        <v>25</v>
      </c>
      <c r="D69" s="4">
        <v>9.09059977531433</v>
      </c>
      <c r="E69" s="4" t="s">
        <v>26</v>
      </c>
      <c r="F69" s="4">
        <v>10.6756241321563</v>
      </c>
    </row>
    <row r="70">
      <c r="A70" s="4" t="s">
        <v>30</v>
      </c>
      <c r="B70" s="4">
        <v>8.0</v>
      </c>
      <c r="C70" s="4" t="s">
        <v>25</v>
      </c>
      <c r="D70" s="4">
        <v>8.7725772857666</v>
      </c>
      <c r="E70" s="4" t="s">
        <v>26</v>
      </c>
      <c r="F70" s="4">
        <v>10.6536881923675</v>
      </c>
    </row>
    <row r="71">
      <c r="A71" s="4" t="s">
        <v>30</v>
      </c>
      <c r="B71" s="4">
        <v>9.0</v>
      </c>
      <c r="C71" s="4" t="s">
        <v>25</v>
      </c>
      <c r="D71" s="4">
        <v>9.57183670997619</v>
      </c>
      <c r="E71" s="4" t="s">
        <v>26</v>
      </c>
      <c r="F71" s="4">
        <v>10.6344497203826</v>
      </c>
    </row>
  </sheetData>
  <conditionalFormatting sqref="F2:F71">
    <cfRule type="cellIs" dxfId="0" priority="1" operator="equal">
      <formula>-1</formula>
    </cfRule>
  </conditionalFormatting>
  <conditionalFormatting sqref="K3:L9">
    <cfRule type="cellIs" dxfId="0" priority="2" operator="equal">
      <formula>-1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0"/>
    <col customWidth="1" min="2" max="2" width="12.86"/>
    <col customWidth="1" min="3" max="3" width="12.71"/>
    <col customWidth="1" min="4" max="4" width="20.43"/>
    <col customWidth="1" min="5" max="5" width="11.57"/>
    <col customWidth="1" min="6" max="6" width="18.86"/>
    <col customWidth="1" min="8" max="8" width="12.71"/>
    <col customWidth="1" min="9" max="9" width="14.57"/>
    <col customWidth="1" min="10" max="10" width="11.57"/>
    <col customWidth="1" min="11" max="11" width="16.71"/>
    <col customWidth="1" min="12" max="12" width="12.29"/>
  </cols>
  <sheetData>
    <row r="1">
      <c r="A1" s="1" t="s">
        <v>0</v>
      </c>
      <c r="B1" s="1" t="s">
        <v>7</v>
      </c>
      <c r="C1" s="1" t="s">
        <v>1</v>
      </c>
      <c r="D1" s="1" t="s">
        <v>8</v>
      </c>
      <c r="E1" s="1" t="s">
        <v>3</v>
      </c>
      <c r="F1" s="1" t="s">
        <v>9</v>
      </c>
    </row>
    <row r="2">
      <c r="A2" s="13" t="s">
        <v>31</v>
      </c>
      <c r="B2" s="13">
        <v>0.0</v>
      </c>
      <c r="C2" s="13" t="s">
        <v>11</v>
      </c>
      <c r="D2" s="13">
        <v>2.69677281379699</v>
      </c>
      <c r="E2" s="13" t="s">
        <v>12</v>
      </c>
      <c r="F2" s="13">
        <v>2.90291142463684</v>
      </c>
      <c r="H2" s="5" t="s">
        <v>1</v>
      </c>
      <c r="I2" s="5" t="s">
        <v>2</v>
      </c>
      <c r="J2" s="5" t="s">
        <v>3</v>
      </c>
      <c r="K2" s="5" t="s">
        <v>4</v>
      </c>
      <c r="L2" s="5" t="s">
        <v>5</v>
      </c>
    </row>
    <row r="3">
      <c r="A3" s="13" t="s">
        <v>31</v>
      </c>
      <c r="B3" s="13">
        <v>1.0</v>
      </c>
      <c r="C3" s="13" t="s">
        <v>11</v>
      </c>
      <c r="D3" s="13">
        <v>2.54368829727172</v>
      </c>
      <c r="E3" s="13" t="s">
        <v>12</v>
      </c>
      <c r="F3" s="13">
        <v>2.90462112426757</v>
      </c>
      <c r="H3" s="6" t="str">
        <f>IFERROR(__xludf.DUMMYFUNCTION("unique(C2:C1000)"),"LCOM")</f>
        <v>LCOM</v>
      </c>
      <c r="I3" s="3">
        <f>IFERROR(__xludf.DUMMYFUNCTION("sum(query(C:D, ""select avg(D) where C='""&amp;$H3&amp;""'""))"),2.6807092905044487)</f>
        <v>2.680709291</v>
      </c>
      <c r="J3" s="3" t="str">
        <f>IFERROR(__xludf.DUMMYFUNCTION("unique(E2:E1000)"),"EO_LCOM1")</f>
        <v>EO_LCOM1</v>
      </c>
      <c r="K3" s="3">
        <f>IFERROR(__xludf.DUMMYFUNCTION("sum(query(E:F, ""select avg(F) where E='""&amp;$J3&amp;""'""))"),2.995375752449031)</f>
        <v>2.995375752</v>
      </c>
      <c r="L3" s="7">
        <f t="shared" ref="L3:L9" si="1">K3/I3</f>
        <v>1.117381793</v>
      </c>
    </row>
    <row r="4">
      <c r="A4" s="13" t="s">
        <v>31</v>
      </c>
      <c r="B4" s="13">
        <v>2.0</v>
      </c>
      <c r="C4" s="13" t="s">
        <v>11</v>
      </c>
      <c r="D4" s="13">
        <v>2.77860522270202</v>
      </c>
      <c r="E4" s="13" t="s">
        <v>12</v>
      </c>
      <c r="F4" s="13">
        <v>3.05444741249084</v>
      </c>
      <c r="H4" s="6" t="str">
        <f>IFERROR(__xludf.DUMMYFUNCTION("""COMPUTED_VALUE"""),"LCOM2")</f>
        <v>LCOM2</v>
      </c>
      <c r="I4" s="3">
        <f>IFERROR(__xludf.DUMMYFUNCTION("sum(query(C:D, ""select avg(D) where C='""&amp;$H4&amp;""'""))"),2.5805016517639126)</f>
        <v>2.580501652</v>
      </c>
      <c r="J4" s="3" t="str">
        <f>IFERROR(__xludf.DUMMYFUNCTION("""COMPUTED_VALUE"""),"EO_LCOM2")</f>
        <v>EO_LCOM2</v>
      </c>
      <c r="K4" s="3">
        <f>IFERROR(__xludf.DUMMYFUNCTION("sum(query(E:F, ""select avg(F) where E='""&amp;$J4&amp;""'""))"),2.938000941276546)</f>
        <v>2.938000941</v>
      </c>
      <c r="L4" s="7">
        <f t="shared" si="1"/>
        <v>1.138538679</v>
      </c>
    </row>
    <row r="5">
      <c r="A5" s="13" t="s">
        <v>31</v>
      </c>
      <c r="B5" s="13">
        <v>3.0</v>
      </c>
      <c r="C5" s="13" t="s">
        <v>11</v>
      </c>
      <c r="D5" s="13">
        <v>2.57499146461486</v>
      </c>
      <c r="E5" s="13" t="s">
        <v>12</v>
      </c>
      <c r="F5" s="13">
        <v>2.95765113830566</v>
      </c>
      <c r="H5" s="6" t="str">
        <f>IFERROR(__xludf.DUMMYFUNCTION("""COMPUTED_VALUE"""),"LCOM3")</f>
        <v>LCOM3</v>
      </c>
      <c r="I5" s="3">
        <f>IFERROR(__xludf.DUMMYFUNCTION("sum(query(C:D, ""select avg(D) where C='""&amp;$H5&amp;""'""))"),2.649645495414729)</f>
        <v>2.649645495</v>
      </c>
      <c r="J5" s="3" t="str">
        <f>IFERROR(__xludf.DUMMYFUNCTION("""COMPUTED_VALUE"""),"EO_LCOM3")</f>
        <v>EO_LCOM3</v>
      </c>
      <c r="K5" s="3">
        <f>IFERROR(__xludf.DUMMYFUNCTION("sum(query(E:F, ""select avg(F) where E='""&amp;$J5&amp;""'""))"),2.9429171323776204)</f>
        <v>2.942917132</v>
      </c>
      <c r="L5" s="7">
        <f t="shared" si="1"/>
        <v>1.110683349</v>
      </c>
    </row>
    <row r="6">
      <c r="A6" s="13" t="s">
        <v>31</v>
      </c>
      <c r="B6" s="13">
        <v>4.0</v>
      </c>
      <c r="C6" s="13" t="s">
        <v>11</v>
      </c>
      <c r="D6" s="13">
        <v>2.65198469161987</v>
      </c>
      <c r="E6" s="13" t="s">
        <v>12</v>
      </c>
      <c r="F6" s="13">
        <v>3.10536813735961</v>
      </c>
      <c r="H6" s="6" t="str">
        <f>IFERROR(__xludf.DUMMYFUNCTION("""COMPUTED_VALUE"""),"TCC")</f>
        <v>TCC</v>
      </c>
      <c r="I6" s="3">
        <f>IFERROR(__xludf.DUMMYFUNCTION("sum(query(C:D, ""select avg(D) where C='""&amp;$H6&amp;""'""))"),2.686013507843014)</f>
        <v>2.686013508</v>
      </c>
      <c r="J6" s="3" t="str">
        <f>IFERROR(__xludf.DUMMYFUNCTION("""COMPUTED_VALUE"""),"EO_TCC")</f>
        <v>EO_TCC</v>
      </c>
      <c r="K6" s="3">
        <f>IFERROR(__xludf.DUMMYFUNCTION("sum(query(E:F, ""select avg(F) where E='""&amp;$J6&amp;""'""))"),2.9411519050598107)</f>
        <v>2.941151905</v>
      </c>
      <c r="L6" s="7">
        <f t="shared" si="1"/>
        <v>1.094987757</v>
      </c>
    </row>
    <row r="7">
      <c r="A7" s="13" t="s">
        <v>31</v>
      </c>
      <c r="B7" s="13">
        <v>5.0</v>
      </c>
      <c r="C7" s="13" t="s">
        <v>11</v>
      </c>
      <c r="D7" s="13">
        <v>2.71752452850341</v>
      </c>
      <c r="E7" s="13" t="s">
        <v>12</v>
      </c>
      <c r="F7" s="13">
        <v>3.02904987335205</v>
      </c>
      <c r="H7" s="6" t="str">
        <f>IFERROR(__xludf.DUMMYFUNCTION("""COMPUTED_VALUE"""),"LCC")</f>
        <v>LCC</v>
      </c>
      <c r="I7" s="3">
        <f>IFERROR(__xludf.DUMMYFUNCTION("sum(query(C:D, ""select avg(D) where C='""&amp;$H7&amp;""'""))"),2.643671774864193)</f>
        <v>2.643671775</v>
      </c>
      <c r="J7" s="3" t="str">
        <f>IFERROR(__xludf.DUMMYFUNCTION("""COMPUTED_VALUE"""),"EO_LCC")</f>
        <v>EO_LCC</v>
      </c>
      <c r="K7" s="3">
        <f>IFERROR(__xludf.DUMMYFUNCTION("sum(query(E:F, ""select avg(F) where E='""&amp;$J7&amp;""'""))"),3.5767260789871167)</f>
        <v>3.576726079</v>
      </c>
      <c r="L7" s="7">
        <f t="shared" si="1"/>
        <v>1.352938785</v>
      </c>
    </row>
    <row r="8">
      <c r="A8" s="13" t="s">
        <v>31</v>
      </c>
      <c r="B8" s="13">
        <v>6.0</v>
      </c>
      <c r="C8" s="13" t="s">
        <v>11</v>
      </c>
      <c r="D8" s="13">
        <v>2.73355793952941</v>
      </c>
      <c r="E8" s="13" t="s">
        <v>12</v>
      </c>
      <c r="F8" s="13">
        <v>3.08470368385314</v>
      </c>
      <c r="H8" s="6" t="str">
        <f>IFERROR(__xludf.DUMMYFUNCTION("""COMPUTED_VALUE"""),"CAMC")</f>
        <v>CAMC</v>
      </c>
      <c r="I8" s="3">
        <f>IFERROR(__xludf.DUMMYFUNCTION("sum(query(C:D, ""select avg(D) where C='""&amp;$H8&amp;""'""))"),2.6196039915084777)</f>
        <v>2.619603992</v>
      </c>
      <c r="J8" s="3" t="str">
        <f>IFERROR(__xludf.DUMMYFUNCTION("""COMPUTED_VALUE"""),"EO_CAMC")</f>
        <v>EO_CAMC</v>
      </c>
      <c r="K8" s="3">
        <f>IFERROR(__xludf.DUMMYFUNCTION("sum(query(E:F, ""select avg(F) where E='""&amp;$J8&amp;""'""))"),2.8602487087249697)</f>
        <v>2.860248709</v>
      </c>
      <c r="L8" s="7">
        <f t="shared" si="1"/>
        <v>1.091863014</v>
      </c>
    </row>
    <row r="9">
      <c r="A9" s="13" t="s">
        <v>31</v>
      </c>
      <c r="B9" s="13">
        <v>7.0</v>
      </c>
      <c r="C9" s="13" t="s">
        <v>11</v>
      </c>
      <c r="D9" s="13">
        <v>2.6394350528717</v>
      </c>
      <c r="E9" s="13" t="s">
        <v>12</v>
      </c>
      <c r="F9" s="13">
        <v>3.04814076423645</v>
      </c>
      <c r="H9" s="8" t="str">
        <f>IFERROR(__xludf.DUMMYFUNCTION("""COMPUTED_VALUE"""),"NHD")</f>
        <v>NHD</v>
      </c>
      <c r="I9" s="9">
        <f>IFERROR(__xludf.DUMMYFUNCTION("sum(query(C:D, ""select avg(D) where C='""&amp;$H9&amp;""'""))"),2.671625232696527)</f>
        <v>2.671625233</v>
      </c>
      <c r="J9" s="9" t="str">
        <f>IFERROR(__xludf.DUMMYFUNCTION("""COMPUTED_VALUE"""),"EO_NHD")</f>
        <v>EO_NHD</v>
      </c>
      <c r="K9" s="9">
        <f>IFERROR(__xludf.DUMMYFUNCTION("sum(query(E:F, ""select avg(F) where E='""&amp;$J9&amp;""'""))"),2.858354020118709)</f>
        <v>2.85835402</v>
      </c>
      <c r="L9" s="14">
        <f t="shared" si="1"/>
        <v>1.069893331</v>
      </c>
    </row>
    <row r="10">
      <c r="A10" s="13" t="s">
        <v>31</v>
      </c>
      <c r="B10" s="13">
        <v>8.0</v>
      </c>
      <c r="C10" s="13" t="s">
        <v>11</v>
      </c>
      <c r="D10" s="13">
        <v>2.6485059261322</v>
      </c>
      <c r="E10" s="13" t="s">
        <v>12</v>
      </c>
      <c r="F10" s="13">
        <v>2.9084882736206</v>
      </c>
      <c r="H10" s="3"/>
      <c r="J10" s="3"/>
      <c r="K10" s="10" t="s">
        <v>13</v>
      </c>
      <c r="L10" s="11">
        <f>AVERAGE(L3:L9)</f>
        <v>1.13946953</v>
      </c>
    </row>
    <row r="11">
      <c r="A11" s="13" t="s">
        <v>31</v>
      </c>
      <c r="B11" s="13">
        <v>9.0</v>
      </c>
      <c r="C11" s="13" t="s">
        <v>11</v>
      </c>
      <c r="D11" s="13">
        <v>2.82202696800231</v>
      </c>
      <c r="E11" s="13" t="s">
        <v>12</v>
      </c>
      <c r="F11" s="13">
        <v>2.95837569236755</v>
      </c>
      <c r="L11" s="12">
        <f>L10-1</f>
        <v>0.1394695295</v>
      </c>
      <c r="M11" s="4" t="s">
        <v>14</v>
      </c>
    </row>
    <row r="12">
      <c r="A12" s="13" t="s">
        <v>31</v>
      </c>
      <c r="B12" s="13">
        <v>0.0</v>
      </c>
      <c r="C12" s="13" t="s">
        <v>15</v>
      </c>
      <c r="D12" s="13">
        <v>2.60163927078247</v>
      </c>
      <c r="E12" s="13" t="s">
        <v>16</v>
      </c>
      <c r="F12" s="13">
        <v>2.86043429374694</v>
      </c>
    </row>
    <row r="13">
      <c r="A13" s="13" t="s">
        <v>31</v>
      </c>
      <c r="B13" s="13">
        <v>1.0</v>
      </c>
      <c r="C13" s="13" t="s">
        <v>15</v>
      </c>
      <c r="D13" s="13">
        <v>2.74156785011291</v>
      </c>
      <c r="E13" s="13" t="s">
        <v>16</v>
      </c>
      <c r="F13" s="13">
        <v>2.97786474227905</v>
      </c>
    </row>
    <row r="14">
      <c r="A14" s="13" t="s">
        <v>31</v>
      </c>
      <c r="B14" s="13">
        <v>2.0</v>
      </c>
      <c r="C14" s="13" t="s">
        <v>15</v>
      </c>
      <c r="D14" s="13">
        <v>2.52175164222717</v>
      </c>
      <c r="E14" s="13" t="s">
        <v>16</v>
      </c>
      <c r="F14" s="13">
        <v>2.9564504623413</v>
      </c>
    </row>
    <row r="15">
      <c r="A15" s="13" t="s">
        <v>31</v>
      </c>
      <c r="B15" s="13">
        <v>3.0</v>
      </c>
      <c r="C15" s="13" t="s">
        <v>15</v>
      </c>
      <c r="D15" s="13">
        <v>2.29339551925659</v>
      </c>
      <c r="E15" s="13" t="s">
        <v>16</v>
      </c>
      <c r="F15" s="13">
        <v>2.97531700134277</v>
      </c>
    </row>
    <row r="16">
      <c r="A16" s="13" t="s">
        <v>31</v>
      </c>
      <c r="B16" s="13">
        <v>4.0</v>
      </c>
      <c r="C16" s="13" t="s">
        <v>15</v>
      </c>
      <c r="D16" s="13">
        <v>2.67563152313232</v>
      </c>
      <c r="E16" s="13" t="s">
        <v>16</v>
      </c>
      <c r="F16" s="13">
        <v>3.00647711753845</v>
      </c>
    </row>
    <row r="17">
      <c r="A17" s="13" t="s">
        <v>31</v>
      </c>
      <c r="B17" s="13">
        <v>5.0</v>
      </c>
      <c r="C17" s="13" t="s">
        <v>15</v>
      </c>
      <c r="D17" s="13">
        <v>2.62752413749694</v>
      </c>
      <c r="E17" s="13" t="s">
        <v>16</v>
      </c>
      <c r="F17" s="13">
        <v>2.94392037391662</v>
      </c>
    </row>
    <row r="18">
      <c r="A18" s="13" t="s">
        <v>31</v>
      </c>
      <c r="B18" s="13">
        <v>6.0</v>
      </c>
      <c r="C18" s="13" t="s">
        <v>15</v>
      </c>
      <c r="D18" s="13">
        <v>2.60122013092041</v>
      </c>
      <c r="E18" s="13" t="s">
        <v>16</v>
      </c>
      <c r="F18" s="13">
        <v>2.83071994781494</v>
      </c>
    </row>
    <row r="19">
      <c r="A19" s="13" t="s">
        <v>31</v>
      </c>
      <c r="B19" s="13">
        <v>7.0</v>
      </c>
      <c r="C19" s="13" t="s">
        <v>15</v>
      </c>
      <c r="D19" s="13">
        <v>2.69021201133728</v>
      </c>
      <c r="E19" s="13" t="s">
        <v>16</v>
      </c>
      <c r="F19" s="13">
        <v>2.881516456604</v>
      </c>
    </row>
    <row r="20">
      <c r="A20" s="13" t="s">
        <v>31</v>
      </c>
      <c r="B20" s="13">
        <v>8.0</v>
      </c>
      <c r="C20" s="13" t="s">
        <v>15</v>
      </c>
      <c r="D20" s="13">
        <v>2.60501790046691</v>
      </c>
      <c r="E20" s="13" t="s">
        <v>16</v>
      </c>
      <c r="F20" s="13">
        <v>2.96336698532104</v>
      </c>
    </row>
    <row r="21">
      <c r="A21" s="13" t="s">
        <v>31</v>
      </c>
      <c r="B21" s="13">
        <v>9.0</v>
      </c>
      <c r="C21" s="13" t="s">
        <v>15</v>
      </c>
      <c r="D21" s="13">
        <v>2.44705653190612</v>
      </c>
      <c r="E21" s="13" t="s">
        <v>16</v>
      </c>
      <c r="F21" s="13">
        <v>2.98394203186035</v>
      </c>
    </row>
    <row r="22">
      <c r="A22" s="13" t="s">
        <v>31</v>
      </c>
      <c r="B22" s="13">
        <v>0.0</v>
      </c>
      <c r="C22" s="13" t="s">
        <v>17</v>
      </c>
      <c r="D22" s="13">
        <v>2.65150594711303</v>
      </c>
      <c r="E22" s="13" t="s">
        <v>18</v>
      </c>
      <c r="F22" s="13">
        <v>2.98793339729309</v>
      </c>
    </row>
    <row r="23">
      <c r="A23" s="13" t="s">
        <v>31</v>
      </c>
      <c r="B23" s="13">
        <v>1.0</v>
      </c>
      <c r="C23" s="13" t="s">
        <v>17</v>
      </c>
      <c r="D23" s="13">
        <v>2.64340662956237</v>
      </c>
      <c r="E23" s="13" t="s">
        <v>18</v>
      </c>
      <c r="F23" s="13">
        <v>2.81817317008972</v>
      </c>
    </row>
    <row r="24">
      <c r="A24" s="13" t="s">
        <v>31</v>
      </c>
      <c r="B24" s="13">
        <v>2.0</v>
      </c>
      <c r="C24" s="13" t="s">
        <v>17</v>
      </c>
      <c r="D24" s="13">
        <v>2.74184107780456</v>
      </c>
      <c r="E24" s="13" t="s">
        <v>18</v>
      </c>
      <c r="F24" s="13">
        <v>2.96179556846618</v>
      </c>
    </row>
    <row r="25">
      <c r="A25" s="13" t="s">
        <v>31</v>
      </c>
      <c r="B25" s="13">
        <v>3.0</v>
      </c>
      <c r="C25" s="13" t="s">
        <v>17</v>
      </c>
      <c r="D25" s="13">
        <v>2.61968994140625</v>
      </c>
      <c r="E25" s="13" t="s">
        <v>18</v>
      </c>
      <c r="F25" s="13">
        <v>2.96813154220581</v>
      </c>
    </row>
    <row r="26">
      <c r="A26" s="13" t="s">
        <v>31</v>
      </c>
      <c r="B26" s="13">
        <v>4.0</v>
      </c>
      <c r="C26" s="13" t="s">
        <v>17</v>
      </c>
      <c r="D26" s="13">
        <v>2.83057308197021</v>
      </c>
      <c r="E26" s="13" t="s">
        <v>18</v>
      </c>
      <c r="F26" s="13">
        <v>2.8692181110382</v>
      </c>
    </row>
    <row r="27">
      <c r="A27" s="13" t="s">
        <v>31</v>
      </c>
      <c r="B27" s="13">
        <v>5.0</v>
      </c>
      <c r="C27" s="13" t="s">
        <v>17</v>
      </c>
      <c r="D27" s="13">
        <v>2.54818034172058</v>
      </c>
      <c r="E27" s="13" t="s">
        <v>18</v>
      </c>
      <c r="F27" s="13">
        <v>2.9248354434967</v>
      </c>
    </row>
    <row r="28">
      <c r="A28" s="13" t="s">
        <v>31</v>
      </c>
      <c r="B28" s="13">
        <v>6.0</v>
      </c>
      <c r="C28" s="13" t="s">
        <v>17</v>
      </c>
      <c r="D28" s="13">
        <v>2.6175057888031</v>
      </c>
      <c r="E28" s="13" t="s">
        <v>18</v>
      </c>
      <c r="F28" s="13">
        <v>2.94330644607543</v>
      </c>
    </row>
    <row r="29">
      <c r="A29" s="13" t="s">
        <v>31</v>
      </c>
      <c r="B29" s="13">
        <v>7.0</v>
      </c>
      <c r="C29" s="13" t="s">
        <v>17</v>
      </c>
      <c r="D29" s="13">
        <v>2.70879077911376</v>
      </c>
      <c r="E29" s="13" t="s">
        <v>18</v>
      </c>
      <c r="F29" s="13">
        <v>2.90415239334106</v>
      </c>
    </row>
    <row r="30">
      <c r="A30" s="13" t="s">
        <v>31</v>
      </c>
      <c r="B30" s="13">
        <v>8.0</v>
      </c>
      <c r="C30" s="13" t="s">
        <v>17</v>
      </c>
      <c r="D30" s="13">
        <v>2.47644114494323</v>
      </c>
      <c r="E30" s="13" t="s">
        <v>18</v>
      </c>
      <c r="F30" s="13">
        <v>3.07308983802795</v>
      </c>
    </row>
    <row r="31">
      <c r="A31" s="13" t="s">
        <v>31</v>
      </c>
      <c r="B31" s="13">
        <v>9.0</v>
      </c>
      <c r="C31" s="13" t="s">
        <v>17</v>
      </c>
      <c r="D31" s="13">
        <v>2.6585202217102</v>
      </c>
      <c r="E31" s="13" t="s">
        <v>18</v>
      </c>
      <c r="F31" s="13">
        <v>2.97853541374206</v>
      </c>
    </row>
    <row r="32">
      <c r="A32" s="13" t="s">
        <v>31</v>
      </c>
      <c r="B32" s="13">
        <v>0.0</v>
      </c>
      <c r="C32" s="13" t="s">
        <v>19</v>
      </c>
      <c r="D32" s="13">
        <v>3.03723382949829</v>
      </c>
      <c r="E32" s="13" t="s">
        <v>20</v>
      </c>
      <c r="F32" s="13">
        <v>2.9218430519104</v>
      </c>
    </row>
    <row r="33">
      <c r="A33" s="13" t="s">
        <v>31</v>
      </c>
      <c r="B33" s="13">
        <v>1.0</v>
      </c>
      <c r="C33" s="13" t="s">
        <v>19</v>
      </c>
      <c r="D33" s="13">
        <v>2.40877294540405</v>
      </c>
      <c r="E33" s="13" t="s">
        <v>20</v>
      </c>
      <c r="F33" s="13">
        <v>3.01735520362854</v>
      </c>
    </row>
    <row r="34">
      <c r="A34" s="13" t="s">
        <v>31</v>
      </c>
      <c r="B34" s="13">
        <v>2.0</v>
      </c>
      <c r="C34" s="13" t="s">
        <v>19</v>
      </c>
      <c r="D34" s="13">
        <v>2.64863896369934</v>
      </c>
      <c r="E34" s="13" t="s">
        <v>20</v>
      </c>
      <c r="F34" s="13">
        <v>2.82834362983703</v>
      </c>
    </row>
    <row r="35">
      <c r="A35" s="13" t="s">
        <v>31</v>
      </c>
      <c r="B35" s="13">
        <v>3.0</v>
      </c>
      <c r="C35" s="13" t="s">
        <v>19</v>
      </c>
      <c r="D35" s="13">
        <v>2.64668202400207</v>
      </c>
      <c r="E35" s="13" t="s">
        <v>20</v>
      </c>
      <c r="F35" s="13">
        <v>2.8513126373291</v>
      </c>
    </row>
    <row r="36">
      <c r="A36" s="13" t="s">
        <v>31</v>
      </c>
      <c r="B36" s="13">
        <v>4.0</v>
      </c>
      <c r="C36" s="13" t="s">
        <v>19</v>
      </c>
      <c r="D36" s="13">
        <v>2.8142077922821</v>
      </c>
      <c r="E36" s="13" t="s">
        <v>20</v>
      </c>
      <c r="F36" s="13">
        <v>2.94699954986572</v>
      </c>
    </row>
    <row r="37">
      <c r="A37" s="13" t="s">
        <v>31</v>
      </c>
      <c r="B37" s="13">
        <v>5.0</v>
      </c>
      <c r="C37" s="13" t="s">
        <v>19</v>
      </c>
      <c r="D37" s="13">
        <v>2.50291752815246</v>
      </c>
      <c r="E37" s="13" t="s">
        <v>20</v>
      </c>
      <c r="F37" s="13">
        <v>2.9052996635437</v>
      </c>
    </row>
    <row r="38">
      <c r="A38" s="13" t="s">
        <v>31</v>
      </c>
      <c r="B38" s="13">
        <v>6.0</v>
      </c>
      <c r="C38" s="13" t="s">
        <v>19</v>
      </c>
      <c r="D38" s="13">
        <v>2.63269853591918</v>
      </c>
      <c r="E38" s="13" t="s">
        <v>20</v>
      </c>
      <c r="F38" s="13">
        <v>3.01713919639587</v>
      </c>
    </row>
    <row r="39">
      <c r="A39" s="13" t="s">
        <v>31</v>
      </c>
      <c r="B39" s="13">
        <v>7.0</v>
      </c>
      <c r="C39" s="13" t="s">
        <v>19</v>
      </c>
      <c r="D39" s="13">
        <v>2.79168653488159</v>
      </c>
      <c r="E39" s="13" t="s">
        <v>20</v>
      </c>
      <c r="F39" s="13">
        <v>2.92646074295043</v>
      </c>
    </row>
    <row r="40">
      <c r="A40" s="13" t="s">
        <v>31</v>
      </c>
      <c r="B40" s="13">
        <v>8.0</v>
      </c>
      <c r="C40" s="13" t="s">
        <v>19</v>
      </c>
      <c r="D40" s="13">
        <v>2.57080864906311</v>
      </c>
      <c r="E40" s="13" t="s">
        <v>20</v>
      </c>
      <c r="F40" s="13">
        <v>3.01242637634277</v>
      </c>
    </row>
    <row r="41">
      <c r="A41" s="13" t="s">
        <v>31</v>
      </c>
      <c r="B41" s="13">
        <v>9.0</v>
      </c>
      <c r="C41" s="13" t="s">
        <v>19</v>
      </c>
      <c r="D41" s="13">
        <v>2.80648827552795</v>
      </c>
      <c r="E41" s="13" t="s">
        <v>20</v>
      </c>
      <c r="F41" s="13">
        <v>2.98433899879455</v>
      </c>
    </row>
    <row r="42">
      <c r="A42" s="13" t="s">
        <v>31</v>
      </c>
      <c r="B42" s="13">
        <v>0.0</v>
      </c>
      <c r="C42" s="13" t="s">
        <v>21</v>
      </c>
      <c r="D42" s="13">
        <v>2.73572897911071</v>
      </c>
      <c r="E42" s="13" t="s">
        <v>22</v>
      </c>
      <c r="F42" s="13">
        <v>3.57353138923645</v>
      </c>
    </row>
    <row r="43">
      <c r="A43" s="13" t="s">
        <v>31</v>
      </c>
      <c r="B43" s="13">
        <v>1.0</v>
      </c>
      <c r="C43" s="13" t="s">
        <v>21</v>
      </c>
      <c r="D43" s="13">
        <v>2.57355165481567</v>
      </c>
      <c r="E43" s="13" t="s">
        <v>22</v>
      </c>
      <c r="F43" s="13">
        <v>3.48481106758117</v>
      </c>
    </row>
    <row r="44">
      <c r="A44" s="13" t="s">
        <v>31</v>
      </c>
      <c r="B44" s="13">
        <v>2.0</v>
      </c>
      <c r="C44" s="13" t="s">
        <v>21</v>
      </c>
      <c r="D44" s="13">
        <v>2.52774333953857</v>
      </c>
      <c r="E44" s="13" t="s">
        <v>22</v>
      </c>
      <c r="F44" s="13">
        <v>3.52993750572204</v>
      </c>
    </row>
    <row r="45">
      <c r="A45" s="13" t="s">
        <v>31</v>
      </c>
      <c r="B45" s="13">
        <v>3.0</v>
      </c>
      <c r="C45" s="13" t="s">
        <v>21</v>
      </c>
      <c r="D45" s="13">
        <v>2.59372544288635</v>
      </c>
      <c r="E45" s="13" t="s">
        <v>22</v>
      </c>
      <c r="F45" s="13">
        <v>3.58718562126159</v>
      </c>
    </row>
    <row r="46">
      <c r="A46" s="13" t="s">
        <v>31</v>
      </c>
      <c r="B46" s="13">
        <v>4.0</v>
      </c>
      <c r="C46" s="13" t="s">
        <v>21</v>
      </c>
      <c r="D46" s="13">
        <v>2.75640058517456</v>
      </c>
      <c r="E46" s="13" t="s">
        <v>22</v>
      </c>
      <c r="F46" s="13">
        <v>3.69157433509826</v>
      </c>
    </row>
    <row r="47">
      <c r="A47" s="13" t="s">
        <v>31</v>
      </c>
      <c r="B47" s="13">
        <v>5.0</v>
      </c>
      <c r="C47" s="13" t="s">
        <v>21</v>
      </c>
      <c r="D47" s="13">
        <v>2.63249588012695</v>
      </c>
      <c r="E47" s="13" t="s">
        <v>22</v>
      </c>
      <c r="F47" s="13">
        <v>3.56019330024719</v>
      </c>
    </row>
    <row r="48">
      <c r="A48" s="13" t="s">
        <v>31</v>
      </c>
      <c r="B48" s="13">
        <v>6.0</v>
      </c>
      <c r="C48" s="13" t="s">
        <v>21</v>
      </c>
      <c r="D48" s="13">
        <v>2.55673217773437</v>
      </c>
      <c r="E48" s="13" t="s">
        <v>22</v>
      </c>
      <c r="F48" s="13">
        <v>3.525648355484</v>
      </c>
    </row>
    <row r="49">
      <c r="A49" s="13" t="s">
        <v>31</v>
      </c>
      <c r="B49" s="13">
        <v>7.0</v>
      </c>
      <c r="C49" s="13" t="s">
        <v>21</v>
      </c>
      <c r="D49" s="13">
        <v>2.61958360671997</v>
      </c>
      <c r="E49" s="13" t="s">
        <v>22</v>
      </c>
      <c r="F49" s="13">
        <v>3.51707005500793</v>
      </c>
    </row>
    <row r="50">
      <c r="A50" s="13" t="s">
        <v>31</v>
      </c>
      <c r="B50" s="13">
        <v>8.0</v>
      </c>
      <c r="C50" s="13" t="s">
        <v>21</v>
      </c>
      <c r="D50" s="13">
        <v>2.73094367980957</v>
      </c>
      <c r="E50" s="13" t="s">
        <v>22</v>
      </c>
      <c r="F50" s="13">
        <v>3.60045742988586</v>
      </c>
    </row>
    <row r="51">
      <c r="A51" s="13" t="s">
        <v>31</v>
      </c>
      <c r="B51" s="13">
        <v>9.0</v>
      </c>
      <c r="C51" s="13" t="s">
        <v>21</v>
      </c>
      <c r="D51" s="13">
        <v>2.70981240272521</v>
      </c>
      <c r="E51" s="13" t="s">
        <v>22</v>
      </c>
      <c r="F51" s="13">
        <v>3.69685173034667</v>
      </c>
    </row>
    <row r="52">
      <c r="A52" s="13" t="s">
        <v>31</v>
      </c>
      <c r="B52" s="13">
        <v>0.0</v>
      </c>
      <c r="C52" s="13" t="s">
        <v>23</v>
      </c>
      <c r="D52" s="13">
        <v>2.78864765167236</v>
      </c>
      <c r="E52" s="13" t="s">
        <v>24</v>
      </c>
      <c r="F52" s="13">
        <v>2.84936738014221</v>
      </c>
    </row>
    <row r="53">
      <c r="A53" s="13" t="s">
        <v>31</v>
      </c>
      <c r="B53" s="13">
        <v>1.0</v>
      </c>
      <c r="C53" s="13" t="s">
        <v>23</v>
      </c>
      <c r="D53" s="13">
        <v>2.73113656044006</v>
      </c>
      <c r="E53" s="13" t="s">
        <v>24</v>
      </c>
      <c r="F53" s="13">
        <v>2.83972263336181</v>
      </c>
    </row>
    <row r="54">
      <c r="A54" s="13" t="s">
        <v>31</v>
      </c>
      <c r="B54" s="13">
        <v>2.0</v>
      </c>
      <c r="C54" s="13" t="s">
        <v>23</v>
      </c>
      <c r="D54" s="13">
        <v>2.57208800315856</v>
      </c>
      <c r="E54" s="13" t="s">
        <v>24</v>
      </c>
      <c r="F54" s="13">
        <v>2.79196190834045</v>
      </c>
    </row>
    <row r="55">
      <c r="A55" s="13" t="s">
        <v>31</v>
      </c>
      <c r="B55" s="13">
        <v>3.0</v>
      </c>
      <c r="C55" s="13" t="s">
        <v>23</v>
      </c>
      <c r="D55" s="13">
        <v>2.58893275260925</v>
      </c>
      <c r="E55" s="13" t="s">
        <v>24</v>
      </c>
      <c r="F55" s="13">
        <v>2.85298895835876</v>
      </c>
    </row>
    <row r="56">
      <c r="A56" s="13" t="s">
        <v>31</v>
      </c>
      <c r="B56" s="13">
        <v>4.0</v>
      </c>
      <c r="C56" s="13" t="s">
        <v>23</v>
      </c>
      <c r="D56" s="13">
        <v>2.65083146095275</v>
      </c>
      <c r="E56" s="13" t="s">
        <v>24</v>
      </c>
      <c r="F56" s="13">
        <v>2.79229974746704</v>
      </c>
    </row>
    <row r="57">
      <c r="A57" s="13" t="s">
        <v>31</v>
      </c>
      <c r="B57" s="13">
        <v>5.0</v>
      </c>
      <c r="C57" s="13" t="s">
        <v>23</v>
      </c>
      <c r="D57" s="13">
        <v>2.64099144935607</v>
      </c>
      <c r="E57" s="13" t="s">
        <v>24</v>
      </c>
      <c r="F57" s="13">
        <v>2.96153259277343</v>
      </c>
    </row>
    <row r="58">
      <c r="A58" s="13" t="s">
        <v>31</v>
      </c>
      <c r="B58" s="13">
        <v>6.0</v>
      </c>
      <c r="C58" s="13" t="s">
        <v>23</v>
      </c>
      <c r="D58" s="13">
        <v>2.48777270317077</v>
      </c>
      <c r="E58" s="13" t="s">
        <v>24</v>
      </c>
      <c r="F58" s="13">
        <v>2.85982632637023</v>
      </c>
    </row>
    <row r="59">
      <c r="A59" s="13" t="s">
        <v>31</v>
      </c>
      <c r="B59" s="13">
        <v>7.0</v>
      </c>
      <c r="C59" s="13" t="s">
        <v>23</v>
      </c>
      <c r="D59" s="13">
        <v>2.57651090621948</v>
      </c>
      <c r="E59" s="13" t="s">
        <v>24</v>
      </c>
      <c r="F59" s="13">
        <v>2.95433092117309</v>
      </c>
    </row>
    <row r="60">
      <c r="A60" s="13" t="s">
        <v>31</v>
      </c>
      <c r="B60" s="13">
        <v>8.0</v>
      </c>
      <c r="C60" s="13" t="s">
        <v>23</v>
      </c>
      <c r="D60" s="13">
        <v>2.59373235702514</v>
      </c>
      <c r="E60" s="13" t="s">
        <v>24</v>
      </c>
      <c r="F60" s="13">
        <v>3.00354552268981</v>
      </c>
    </row>
    <row r="61">
      <c r="A61" s="13" t="s">
        <v>31</v>
      </c>
      <c r="B61" s="13">
        <v>9.0</v>
      </c>
      <c r="C61" s="13" t="s">
        <v>23</v>
      </c>
      <c r="D61" s="13">
        <v>2.56539607048034</v>
      </c>
      <c r="E61" s="13" t="s">
        <v>24</v>
      </c>
      <c r="F61" s="13">
        <v>2.69691109657287</v>
      </c>
    </row>
    <row r="62">
      <c r="A62" s="13" t="s">
        <v>31</v>
      </c>
      <c r="B62" s="13">
        <v>0.0</v>
      </c>
      <c r="C62" s="13" t="s">
        <v>25</v>
      </c>
      <c r="D62" s="13">
        <v>2.75477862358093</v>
      </c>
      <c r="E62" s="13" t="s">
        <v>26</v>
      </c>
      <c r="F62" s="13">
        <v>2.83828234672546</v>
      </c>
    </row>
    <row r="63">
      <c r="A63" s="13" t="s">
        <v>31</v>
      </c>
      <c r="B63" s="13">
        <v>1.0</v>
      </c>
      <c r="C63" s="13" t="s">
        <v>25</v>
      </c>
      <c r="D63" s="13">
        <v>2.74113774299621</v>
      </c>
      <c r="E63" s="13" t="s">
        <v>26</v>
      </c>
      <c r="F63" s="13">
        <v>2.94414448738098</v>
      </c>
    </row>
    <row r="64">
      <c r="A64" s="13" t="s">
        <v>31</v>
      </c>
      <c r="B64" s="13">
        <v>2.0</v>
      </c>
      <c r="C64" s="13" t="s">
        <v>25</v>
      </c>
      <c r="D64" s="13">
        <v>2.5928030014038</v>
      </c>
      <c r="E64" s="13" t="s">
        <v>26</v>
      </c>
      <c r="F64" s="13">
        <v>2.77527260780334</v>
      </c>
    </row>
    <row r="65">
      <c r="A65" s="13" t="s">
        <v>31</v>
      </c>
      <c r="B65" s="13">
        <v>3.0</v>
      </c>
      <c r="C65" s="13" t="s">
        <v>25</v>
      </c>
      <c r="D65" s="13">
        <v>2.59203910827636</v>
      </c>
      <c r="E65" s="13" t="s">
        <v>26</v>
      </c>
      <c r="F65" s="13">
        <v>2.86646747589111</v>
      </c>
    </row>
    <row r="66">
      <c r="A66" s="13" t="s">
        <v>31</v>
      </c>
      <c r="B66" s="13">
        <v>4.0</v>
      </c>
      <c r="C66" s="13" t="s">
        <v>25</v>
      </c>
      <c r="D66" s="13">
        <v>2.71962332725524</v>
      </c>
      <c r="E66" s="13" t="s">
        <v>26</v>
      </c>
      <c r="F66" s="13">
        <v>2.90514421463012</v>
      </c>
    </row>
    <row r="67">
      <c r="A67" s="13" t="s">
        <v>31</v>
      </c>
      <c r="B67" s="13">
        <v>5.0</v>
      </c>
      <c r="C67" s="13" t="s">
        <v>25</v>
      </c>
      <c r="D67" s="13">
        <v>2.62624382972717</v>
      </c>
      <c r="E67" s="13" t="s">
        <v>26</v>
      </c>
      <c r="F67" s="13">
        <v>2.85470080375671</v>
      </c>
    </row>
    <row r="68">
      <c r="A68" s="13" t="s">
        <v>31</v>
      </c>
      <c r="B68" s="13">
        <v>6.0</v>
      </c>
      <c r="C68" s="13" t="s">
        <v>25</v>
      </c>
      <c r="D68" s="13">
        <v>2.74598312377929</v>
      </c>
      <c r="E68" s="13" t="s">
        <v>26</v>
      </c>
      <c r="F68" s="13">
        <v>2.81100988388061</v>
      </c>
    </row>
    <row r="69">
      <c r="A69" s="13" t="s">
        <v>31</v>
      </c>
      <c r="B69" s="13">
        <v>7.0</v>
      </c>
      <c r="C69" s="13" t="s">
        <v>25</v>
      </c>
      <c r="D69" s="13">
        <v>2.63386845588684</v>
      </c>
      <c r="E69" s="13" t="s">
        <v>26</v>
      </c>
      <c r="F69" s="13">
        <v>2.87268257141113</v>
      </c>
    </row>
    <row r="70">
      <c r="A70" s="13" t="s">
        <v>31</v>
      </c>
      <c r="B70" s="13">
        <v>8.0</v>
      </c>
      <c r="C70" s="13" t="s">
        <v>25</v>
      </c>
      <c r="D70" s="13">
        <v>2.57479763031005</v>
      </c>
      <c r="E70" s="13" t="s">
        <v>26</v>
      </c>
      <c r="F70" s="13">
        <v>2.94323515892028</v>
      </c>
    </row>
    <row r="71">
      <c r="A71" s="13" t="s">
        <v>31</v>
      </c>
      <c r="B71" s="13">
        <v>9.0</v>
      </c>
      <c r="C71" s="13" t="s">
        <v>25</v>
      </c>
      <c r="D71" s="13">
        <v>2.73497748374938</v>
      </c>
      <c r="E71" s="13" t="s">
        <v>26</v>
      </c>
      <c r="F71" s="13">
        <v>2.77260065078735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0"/>
    <col customWidth="1" min="2" max="2" width="12.86"/>
    <col customWidth="1" min="3" max="3" width="12.71"/>
    <col customWidth="1" min="4" max="4" width="20.43"/>
    <col customWidth="1" min="5" max="5" width="11.57"/>
    <col customWidth="1" min="6" max="6" width="18.86"/>
    <col customWidth="1" min="8" max="8" width="12.71"/>
    <col customWidth="1" min="9" max="9" width="14.57"/>
    <col customWidth="1" min="10" max="10" width="11.57"/>
    <col customWidth="1" min="11" max="11" width="16.71"/>
    <col customWidth="1" min="12" max="12" width="12.29"/>
    <col customWidth="1" min="13" max="13" width="6.71"/>
  </cols>
  <sheetData>
    <row r="1">
      <c r="A1" s="1" t="s">
        <v>0</v>
      </c>
      <c r="B1" s="1" t="s">
        <v>7</v>
      </c>
      <c r="C1" s="1" t="s">
        <v>1</v>
      </c>
      <c r="D1" s="1" t="s">
        <v>8</v>
      </c>
      <c r="E1" s="1" t="s">
        <v>3</v>
      </c>
      <c r="F1" s="1" t="s">
        <v>9</v>
      </c>
    </row>
    <row r="2">
      <c r="A2" s="4" t="s">
        <v>32</v>
      </c>
      <c r="B2" s="4">
        <v>0.0</v>
      </c>
      <c r="C2" s="4" t="s">
        <v>11</v>
      </c>
      <c r="D2" s="4">
        <v>21.0719919204712</v>
      </c>
      <c r="E2" s="4" t="s">
        <v>12</v>
      </c>
      <c r="F2" s="4">
        <v>-1.0</v>
      </c>
      <c r="H2" s="5" t="s">
        <v>1</v>
      </c>
      <c r="I2" s="5" t="s">
        <v>2</v>
      </c>
      <c r="J2" s="5" t="s">
        <v>3</v>
      </c>
      <c r="K2" s="5" t="s">
        <v>4</v>
      </c>
      <c r="L2" s="5" t="s">
        <v>5</v>
      </c>
    </row>
    <row r="3">
      <c r="A3" s="4" t="s">
        <v>32</v>
      </c>
      <c r="B3" s="4">
        <v>1.0</v>
      </c>
      <c r="C3" s="4" t="s">
        <v>11</v>
      </c>
      <c r="D3" s="4">
        <v>22.1065363883972</v>
      </c>
      <c r="E3" s="4" t="s">
        <v>12</v>
      </c>
      <c r="F3" s="4">
        <v>-1.0</v>
      </c>
      <c r="H3" s="6" t="str">
        <f>IFERROR(__xludf.DUMMYFUNCTION("unique(C2:C1000)"),"LCOM")</f>
        <v>LCOM</v>
      </c>
      <c r="I3" s="3">
        <f>IFERROR(__xludf.DUMMYFUNCTION("sum(query(C:D, ""select avg(D) where C='""&amp;$H3&amp;""'""))"),21.99091663360596)</f>
        <v>21.99091663</v>
      </c>
      <c r="J3" s="3" t="str">
        <f>IFERROR(__xludf.DUMMYFUNCTION("unique(E2:E1000)"),"EO_LCOM1")</f>
        <v>EO_LCOM1</v>
      </c>
      <c r="K3" s="3">
        <f>IFERROR(__xludf.DUMMYFUNCTION("sum(query(E:F, ""select avg(F) where E='""&amp;$J3&amp;""'""))"),-1.0)</f>
        <v>-1</v>
      </c>
      <c r="L3" s="7">
        <f t="shared" ref="L3:L9" si="1">if(K3=-1, -1, K3/I3)</f>
        <v>-1</v>
      </c>
    </row>
    <row r="4">
      <c r="A4" s="4" t="s">
        <v>32</v>
      </c>
      <c r="B4" s="4">
        <v>2.0</v>
      </c>
      <c r="C4" s="4" t="s">
        <v>11</v>
      </c>
      <c r="D4" s="4">
        <v>22.6320459842682</v>
      </c>
      <c r="E4" s="4" t="s">
        <v>12</v>
      </c>
      <c r="F4" s="4">
        <v>-1.0</v>
      </c>
      <c r="H4" s="6" t="str">
        <f>IFERROR(__xludf.DUMMYFUNCTION("""COMPUTED_VALUE"""),"LCOM2")</f>
        <v>LCOM2</v>
      </c>
      <c r="I4" s="3">
        <f>IFERROR(__xludf.DUMMYFUNCTION("sum(query(C:D, ""select avg(D) where C='""&amp;$H4&amp;""'""))"),21.1535261154175)</f>
        <v>21.15352612</v>
      </c>
      <c r="J4" s="3" t="str">
        <f>IFERROR(__xludf.DUMMYFUNCTION("""COMPUTED_VALUE"""),"EO_LCOM2")</f>
        <v>EO_LCOM2</v>
      </c>
      <c r="K4" s="3">
        <f>IFERROR(__xludf.DUMMYFUNCTION("sum(query(E:F, ""select avg(F) where E='""&amp;$J4&amp;""'""))"),80.30115284919738)</f>
        <v>80.30115285</v>
      </c>
      <c r="L4" s="7">
        <f t="shared" si="1"/>
        <v>3.79611193</v>
      </c>
    </row>
    <row r="5">
      <c r="A5" s="4" t="s">
        <v>32</v>
      </c>
      <c r="B5" s="4">
        <v>3.0</v>
      </c>
      <c r="C5" s="4" t="s">
        <v>11</v>
      </c>
      <c r="D5" s="4">
        <v>22.8398339748383</v>
      </c>
      <c r="E5" s="4" t="s">
        <v>12</v>
      </c>
      <c r="F5" s="4">
        <v>-1.0</v>
      </c>
      <c r="H5" s="6" t="str">
        <f>IFERROR(__xludf.DUMMYFUNCTION("""COMPUTED_VALUE"""),"LCOM3")</f>
        <v>LCOM3</v>
      </c>
      <c r="I5" s="3">
        <f>IFERROR(__xludf.DUMMYFUNCTION("sum(query(C:D, ""select avg(D) where C='""&amp;$H5&amp;""'""))"),20.92580690383912)</f>
        <v>20.9258069</v>
      </c>
      <c r="J5" s="3" t="str">
        <f>IFERROR(__xludf.DUMMYFUNCTION("""COMPUTED_VALUE"""),"EO_LCOM3")</f>
        <v>EO_LCOM3</v>
      </c>
      <c r="K5" s="3">
        <f>IFERROR(__xludf.DUMMYFUNCTION("sum(query(E:F, ""select avg(F) where E='""&amp;$J5&amp;""'""))"),83.97373113632204)</f>
        <v>83.97373114</v>
      </c>
      <c r="L5" s="7">
        <f t="shared" si="1"/>
        <v>4.01292679</v>
      </c>
    </row>
    <row r="6">
      <c r="A6" s="4" t="s">
        <v>32</v>
      </c>
      <c r="B6" s="4">
        <v>4.0</v>
      </c>
      <c r="C6" s="4" t="s">
        <v>11</v>
      </c>
      <c r="D6" s="4">
        <v>21.3041749000549</v>
      </c>
      <c r="E6" s="4" t="s">
        <v>12</v>
      </c>
      <c r="F6" s="4">
        <v>-1.0</v>
      </c>
      <c r="H6" s="6" t="str">
        <f>IFERROR(__xludf.DUMMYFUNCTION("""COMPUTED_VALUE"""),"TCC")</f>
        <v>TCC</v>
      </c>
      <c r="I6" s="3">
        <f>IFERROR(__xludf.DUMMYFUNCTION("sum(query(C:D, ""select avg(D) where C='""&amp;$H6&amp;""'""))"),22.18133416175844)</f>
        <v>22.18133416</v>
      </c>
      <c r="J6" s="3" t="str">
        <f>IFERROR(__xludf.DUMMYFUNCTION("""COMPUTED_VALUE"""),"EO_TCC")</f>
        <v>EO_TCC</v>
      </c>
      <c r="K6" s="3">
        <f>IFERROR(__xludf.DUMMYFUNCTION("sum(query(E:F, ""select avg(F) where E='""&amp;$J6&amp;""'""))"),-1.0)</f>
        <v>-1</v>
      </c>
      <c r="L6" s="7">
        <f t="shared" si="1"/>
        <v>-1</v>
      </c>
    </row>
    <row r="7">
      <c r="A7" s="4" t="s">
        <v>32</v>
      </c>
      <c r="B7" s="4">
        <v>0.0</v>
      </c>
      <c r="C7" s="4" t="s">
        <v>15</v>
      </c>
      <c r="D7" s="4">
        <v>21.1224098205566</v>
      </c>
      <c r="E7" s="4" t="s">
        <v>16</v>
      </c>
      <c r="F7" s="4">
        <v>85.1568999290466</v>
      </c>
      <c r="H7" s="6" t="str">
        <f>IFERROR(__xludf.DUMMYFUNCTION("""COMPUTED_VALUE"""),"LCC")</f>
        <v>LCC</v>
      </c>
      <c r="I7" s="3">
        <f>IFERROR(__xludf.DUMMYFUNCTION("sum(query(C:D, ""select avg(D) where C='""&amp;$H7&amp;""'""))"),22.337348222732537)</f>
        <v>22.33734822</v>
      </c>
      <c r="J7" s="3" t="str">
        <f>IFERROR(__xludf.DUMMYFUNCTION("""COMPUTED_VALUE"""),"EO_LCC")</f>
        <v>EO_LCC</v>
      </c>
      <c r="K7" s="3">
        <f>IFERROR(__xludf.DUMMYFUNCTION("sum(query(E:F, ""select avg(F) where E='""&amp;$J7&amp;""'""))"),-1.0)</f>
        <v>-1</v>
      </c>
      <c r="L7" s="7">
        <f t="shared" si="1"/>
        <v>-1</v>
      </c>
    </row>
    <row r="8">
      <c r="A8" s="4" t="s">
        <v>32</v>
      </c>
      <c r="B8" s="4">
        <v>1.0</v>
      </c>
      <c r="C8" s="4" t="s">
        <v>15</v>
      </c>
      <c r="D8" s="4">
        <v>20.8114006519318</v>
      </c>
      <c r="E8" s="4" t="s">
        <v>16</v>
      </c>
      <c r="F8" s="4">
        <v>70.1643052101135</v>
      </c>
      <c r="H8" s="6" t="str">
        <f>IFERROR(__xludf.DUMMYFUNCTION("""COMPUTED_VALUE"""),"CAMC")</f>
        <v>CAMC</v>
      </c>
      <c r="I8" s="3">
        <f>IFERROR(__xludf.DUMMYFUNCTION("sum(query(C:D, ""select avg(D) where C='""&amp;$H8&amp;""'""))"),20.97846851348876)</f>
        <v>20.97846851</v>
      </c>
      <c r="J8" s="3" t="str">
        <f>IFERROR(__xludf.DUMMYFUNCTION("""COMPUTED_VALUE"""),"EO_CAMC")</f>
        <v>EO_CAMC</v>
      </c>
      <c r="K8" s="3">
        <f>IFERROR(__xludf.DUMMYFUNCTION("sum(query(E:F, ""select avg(F) where E='""&amp;$J8&amp;""'""))"),26.797647190094)</f>
        <v>26.79764719</v>
      </c>
      <c r="L8" s="7">
        <f t="shared" si="1"/>
        <v>1.277388155</v>
      </c>
    </row>
    <row r="9">
      <c r="A9" s="4" t="s">
        <v>32</v>
      </c>
      <c r="B9" s="4">
        <v>2.0</v>
      </c>
      <c r="C9" s="4" t="s">
        <v>15</v>
      </c>
      <c r="D9" s="4">
        <v>21.4471817016602</v>
      </c>
      <c r="E9" s="4" t="s">
        <v>16</v>
      </c>
      <c r="F9" s="4">
        <v>82.1605820655823</v>
      </c>
      <c r="H9" s="8" t="str">
        <f>IFERROR(__xludf.DUMMYFUNCTION("""COMPUTED_VALUE"""),"NHD")</f>
        <v>NHD</v>
      </c>
      <c r="I9" s="9">
        <f>IFERROR(__xludf.DUMMYFUNCTION("sum(query(C:D, ""select avg(D) where C='""&amp;$H9&amp;""'""))"),20.90823049545286)</f>
        <v>20.9082305</v>
      </c>
      <c r="J9" s="9" t="str">
        <f>IFERROR(__xludf.DUMMYFUNCTION("""COMPUTED_VALUE"""),"EO_NHD")</f>
        <v>EO_NHD</v>
      </c>
      <c r="K9" s="9">
        <f>IFERROR(__xludf.DUMMYFUNCTION("sum(query(E:F, ""select avg(F) where E='""&amp;$J9&amp;""'""))"),27.48011121749878)</f>
        <v>27.48011122</v>
      </c>
      <c r="L9" s="7">
        <f t="shared" si="1"/>
        <v>1.314320273</v>
      </c>
    </row>
    <row r="10">
      <c r="A10" s="4" t="s">
        <v>32</v>
      </c>
      <c r="B10" s="4">
        <v>3.0</v>
      </c>
      <c r="C10" s="4" t="s">
        <v>15</v>
      </c>
      <c r="D10" s="4">
        <v>21.2537171840668</v>
      </c>
      <c r="E10" s="4" t="s">
        <v>16</v>
      </c>
      <c r="F10" s="4">
        <v>83.3292708396912</v>
      </c>
      <c r="H10" s="3"/>
      <c r="J10" s="3"/>
      <c r="K10" s="10" t="s">
        <v>13</v>
      </c>
      <c r="L10" s="11">
        <f>AVERAGEIF(K3:K9, "&gt;1", L3:L9)</f>
        <v>2.600186787</v>
      </c>
    </row>
    <row r="11">
      <c r="A11" s="4" t="s">
        <v>32</v>
      </c>
      <c r="B11" s="4">
        <v>4.0</v>
      </c>
      <c r="C11" s="4" t="s">
        <v>15</v>
      </c>
      <c r="D11" s="4">
        <v>21.1329212188721</v>
      </c>
      <c r="E11" s="4" t="s">
        <v>16</v>
      </c>
      <c r="F11" s="4">
        <v>80.6947062015533</v>
      </c>
      <c r="L11" s="12">
        <f>L10-1</f>
        <v>1.600186787</v>
      </c>
      <c r="M11" s="4" t="s">
        <v>14</v>
      </c>
    </row>
    <row r="12">
      <c r="A12" s="4" t="s">
        <v>32</v>
      </c>
      <c r="B12" s="4">
        <v>0.0</v>
      </c>
      <c r="C12" s="4" t="s">
        <v>17</v>
      </c>
      <c r="D12" s="4">
        <v>19.859943151474</v>
      </c>
      <c r="E12" s="4" t="s">
        <v>18</v>
      </c>
      <c r="F12" s="4">
        <v>93.3506743907929</v>
      </c>
    </row>
    <row r="13">
      <c r="A13" s="4" t="s">
        <v>32</v>
      </c>
      <c r="B13" s="4">
        <v>1.0</v>
      </c>
      <c r="C13" s="4" t="s">
        <v>17</v>
      </c>
      <c r="D13" s="4">
        <v>20.8230156898499</v>
      </c>
      <c r="E13" s="4" t="s">
        <v>18</v>
      </c>
      <c r="F13" s="4">
        <v>79.4655878543854</v>
      </c>
    </row>
    <row r="14">
      <c r="A14" s="4" t="s">
        <v>32</v>
      </c>
      <c r="B14" s="4">
        <v>2.0</v>
      </c>
      <c r="C14" s="4" t="s">
        <v>17</v>
      </c>
      <c r="D14" s="4">
        <v>21.4494249820709</v>
      </c>
      <c r="E14" s="4" t="s">
        <v>18</v>
      </c>
      <c r="F14" s="4">
        <v>85.655189037323</v>
      </c>
    </row>
    <row r="15">
      <c r="A15" s="4" t="s">
        <v>32</v>
      </c>
      <c r="B15" s="4">
        <v>3.0</v>
      </c>
      <c r="C15" s="4" t="s">
        <v>17</v>
      </c>
      <c r="D15" s="4">
        <v>21.3317608833313</v>
      </c>
      <c r="E15" s="4" t="s">
        <v>18</v>
      </c>
      <c r="F15" s="4">
        <v>88.8600745201111</v>
      </c>
    </row>
    <row r="16">
      <c r="A16" s="4" t="s">
        <v>32</v>
      </c>
      <c r="B16" s="4">
        <v>4.0</v>
      </c>
      <c r="C16" s="4" t="s">
        <v>17</v>
      </c>
      <c r="D16" s="4">
        <v>21.1648898124695</v>
      </c>
      <c r="E16" s="4" t="s">
        <v>18</v>
      </c>
      <c r="F16" s="4">
        <v>72.5371298789978</v>
      </c>
    </row>
    <row r="17">
      <c r="A17" s="4" t="s">
        <v>32</v>
      </c>
      <c r="B17" s="4">
        <v>0.0</v>
      </c>
      <c r="C17" s="4" t="s">
        <v>19</v>
      </c>
      <c r="D17" s="4">
        <v>22.6717212200165</v>
      </c>
      <c r="E17" s="4" t="s">
        <v>20</v>
      </c>
      <c r="F17" s="4">
        <v>-1.0</v>
      </c>
    </row>
    <row r="18">
      <c r="A18" s="4" t="s">
        <v>32</v>
      </c>
      <c r="B18" s="4">
        <v>1.0</v>
      </c>
      <c r="C18" s="4" t="s">
        <v>19</v>
      </c>
      <c r="D18" s="4">
        <v>21.4551582336426</v>
      </c>
      <c r="E18" s="4" t="s">
        <v>20</v>
      </c>
      <c r="F18" s="4">
        <v>-1.0</v>
      </c>
    </row>
    <row r="19">
      <c r="A19" s="4" t="s">
        <v>32</v>
      </c>
      <c r="B19" s="4">
        <v>2.0</v>
      </c>
      <c r="C19" s="4" t="s">
        <v>19</v>
      </c>
      <c r="D19" s="4">
        <v>21.495542049408</v>
      </c>
      <c r="E19" s="4" t="s">
        <v>20</v>
      </c>
      <c r="F19" s="4">
        <v>-1.0</v>
      </c>
    </row>
    <row r="20">
      <c r="A20" s="4" t="s">
        <v>32</v>
      </c>
      <c r="B20" s="4">
        <v>3.0</v>
      </c>
      <c r="C20" s="4" t="s">
        <v>19</v>
      </c>
      <c r="D20" s="4">
        <v>22.4779012203217</v>
      </c>
      <c r="E20" s="4" t="s">
        <v>20</v>
      </c>
      <c r="F20" s="4">
        <v>-1.0</v>
      </c>
    </row>
    <row r="21">
      <c r="A21" s="4" t="s">
        <v>32</v>
      </c>
      <c r="B21" s="4">
        <v>4.0</v>
      </c>
      <c r="C21" s="4" t="s">
        <v>19</v>
      </c>
      <c r="D21" s="4">
        <v>22.8063480854034</v>
      </c>
      <c r="E21" s="4" t="s">
        <v>20</v>
      </c>
      <c r="F21" s="4">
        <v>-1.0</v>
      </c>
    </row>
    <row r="22">
      <c r="A22" s="4" t="s">
        <v>32</v>
      </c>
      <c r="B22" s="4">
        <v>0.0</v>
      </c>
      <c r="C22" s="4" t="s">
        <v>21</v>
      </c>
      <c r="D22" s="4">
        <v>21.8573439121246</v>
      </c>
      <c r="E22" s="4" t="s">
        <v>22</v>
      </c>
      <c r="F22" s="4">
        <v>-1.0</v>
      </c>
    </row>
    <row r="23">
      <c r="A23" s="4" t="s">
        <v>32</v>
      </c>
      <c r="B23" s="4">
        <v>1.0</v>
      </c>
      <c r="C23" s="4" t="s">
        <v>21</v>
      </c>
      <c r="D23" s="4">
        <v>22.5036869049072</v>
      </c>
      <c r="E23" s="4" t="s">
        <v>22</v>
      </c>
      <c r="F23" s="4">
        <v>-1.0</v>
      </c>
    </row>
    <row r="24">
      <c r="A24" s="4" t="s">
        <v>32</v>
      </c>
      <c r="B24" s="4">
        <v>2.0</v>
      </c>
      <c r="C24" s="4" t="s">
        <v>21</v>
      </c>
      <c r="D24" s="4">
        <v>21.8663744926453</v>
      </c>
      <c r="E24" s="4" t="s">
        <v>22</v>
      </c>
      <c r="F24" s="4">
        <v>-1.0</v>
      </c>
    </row>
    <row r="25">
      <c r="A25" s="4" t="s">
        <v>32</v>
      </c>
      <c r="B25" s="4">
        <v>3.0</v>
      </c>
      <c r="C25" s="4" t="s">
        <v>21</v>
      </c>
      <c r="D25" s="4">
        <v>23.0518319606781</v>
      </c>
      <c r="E25" s="4" t="s">
        <v>22</v>
      </c>
      <c r="F25" s="4">
        <v>-1.0</v>
      </c>
    </row>
    <row r="26">
      <c r="A26" s="4" t="s">
        <v>32</v>
      </c>
      <c r="B26" s="4">
        <v>4.0</v>
      </c>
      <c r="C26" s="4" t="s">
        <v>21</v>
      </c>
      <c r="D26" s="4">
        <v>22.4075038433075</v>
      </c>
      <c r="E26" s="4" t="s">
        <v>22</v>
      </c>
      <c r="F26" s="4">
        <v>-1.0</v>
      </c>
    </row>
    <row r="27">
      <c r="A27" s="4" t="s">
        <v>32</v>
      </c>
      <c r="B27" s="4">
        <v>0.0</v>
      </c>
      <c r="C27" s="4" t="s">
        <v>23</v>
      </c>
      <c r="D27" s="4">
        <v>20.7552208900452</v>
      </c>
      <c r="E27" s="4" t="s">
        <v>24</v>
      </c>
      <c r="F27" s="4">
        <v>26.7762203216553</v>
      </c>
    </row>
    <row r="28">
      <c r="A28" s="4" t="s">
        <v>32</v>
      </c>
      <c r="B28" s="4">
        <v>1.0</v>
      </c>
      <c r="C28" s="4" t="s">
        <v>23</v>
      </c>
      <c r="D28" s="4">
        <v>19.8130836486816</v>
      </c>
      <c r="E28" s="4" t="s">
        <v>24</v>
      </c>
      <c r="F28" s="4">
        <v>26.7263321876526</v>
      </c>
    </row>
    <row r="29">
      <c r="A29" s="4" t="s">
        <v>32</v>
      </c>
      <c r="B29" s="4">
        <v>2.0</v>
      </c>
      <c r="C29" s="4" t="s">
        <v>23</v>
      </c>
      <c r="D29" s="4">
        <v>21.9627766609192</v>
      </c>
      <c r="E29" s="4" t="s">
        <v>24</v>
      </c>
      <c r="F29" s="4">
        <v>26.6561105251312</v>
      </c>
    </row>
    <row r="30">
      <c r="A30" s="4" t="s">
        <v>32</v>
      </c>
      <c r="B30" s="4">
        <v>3.0</v>
      </c>
      <c r="C30" s="4" t="s">
        <v>23</v>
      </c>
      <c r="D30" s="4">
        <v>21.3600845336914</v>
      </c>
      <c r="E30" s="4" t="s">
        <v>24</v>
      </c>
      <c r="F30" s="4">
        <v>26.7972986698151</v>
      </c>
    </row>
    <row r="31">
      <c r="A31" s="4" t="s">
        <v>32</v>
      </c>
      <c r="B31" s="4">
        <v>4.0</v>
      </c>
      <c r="C31" s="4" t="s">
        <v>23</v>
      </c>
      <c r="D31" s="4">
        <v>21.0011768341064</v>
      </c>
      <c r="E31" s="4" t="s">
        <v>24</v>
      </c>
      <c r="F31" s="4">
        <v>27.0322742462158</v>
      </c>
    </row>
    <row r="32">
      <c r="A32" s="4" t="s">
        <v>32</v>
      </c>
      <c r="B32" s="4">
        <v>0.0</v>
      </c>
      <c r="C32" s="4" t="s">
        <v>25</v>
      </c>
      <c r="D32" s="4">
        <v>22.2230577468872</v>
      </c>
      <c r="E32" s="4" t="s">
        <v>26</v>
      </c>
      <c r="F32" s="4">
        <v>26.4822590351105</v>
      </c>
    </row>
    <row r="33">
      <c r="A33" s="4" t="s">
        <v>32</v>
      </c>
      <c r="B33" s="4">
        <v>1.0</v>
      </c>
      <c r="C33" s="4" t="s">
        <v>25</v>
      </c>
      <c r="D33" s="4">
        <v>19.7802717685699</v>
      </c>
      <c r="E33" s="4" t="s">
        <v>26</v>
      </c>
      <c r="F33" s="4">
        <v>27.429493188858</v>
      </c>
    </row>
    <row r="34">
      <c r="A34" s="4" t="s">
        <v>32</v>
      </c>
      <c r="B34" s="4">
        <v>2.0</v>
      </c>
      <c r="C34" s="4" t="s">
        <v>25</v>
      </c>
      <c r="D34" s="4">
        <v>20.6522116661072</v>
      </c>
      <c r="E34" s="4" t="s">
        <v>26</v>
      </c>
      <c r="F34" s="4">
        <v>28.4435424804687</v>
      </c>
    </row>
    <row r="35">
      <c r="A35" s="4" t="s">
        <v>32</v>
      </c>
      <c r="B35" s="4">
        <v>3.0</v>
      </c>
      <c r="C35" s="4" t="s">
        <v>25</v>
      </c>
      <c r="D35" s="4">
        <v>20.7535429000854</v>
      </c>
      <c r="E35" s="4" t="s">
        <v>26</v>
      </c>
      <c r="F35" s="4">
        <v>27.1892414093018</v>
      </c>
    </row>
    <row r="36">
      <c r="A36" s="4" t="s">
        <v>32</v>
      </c>
      <c r="B36" s="4">
        <v>4.0</v>
      </c>
      <c r="C36" s="4" t="s">
        <v>25</v>
      </c>
      <c r="D36" s="4">
        <v>21.1320683956146</v>
      </c>
      <c r="E36" s="4" t="s">
        <v>26</v>
      </c>
      <c r="F36" s="4">
        <v>27.8560199737549</v>
      </c>
    </row>
  </sheetData>
  <conditionalFormatting sqref="K3:L9">
    <cfRule type="cellIs" dxfId="0" priority="1" operator="equal">
      <formula>-1</formula>
    </cfRule>
  </conditionalFormatting>
  <conditionalFormatting sqref="A1:F1000">
    <cfRule type="cellIs" dxfId="1" priority="2" operator="equal">
      <formula>-1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0"/>
    <col customWidth="1" min="2" max="2" width="12.86"/>
    <col customWidth="1" min="3" max="3" width="12.71"/>
    <col customWidth="1" min="4" max="4" width="20.43"/>
    <col customWidth="1" min="5" max="5" width="11.57"/>
    <col customWidth="1" min="6" max="6" width="18.86"/>
    <col customWidth="1" min="8" max="8" width="12.71"/>
    <col customWidth="1" min="9" max="9" width="14.57"/>
    <col customWidth="1" min="10" max="10" width="11.57"/>
    <col customWidth="1" min="11" max="11" width="16.71"/>
    <col customWidth="1" min="12" max="12" width="12.29"/>
  </cols>
  <sheetData>
    <row r="1">
      <c r="A1" s="1" t="s">
        <v>0</v>
      </c>
      <c r="B1" s="1" t="s">
        <v>7</v>
      </c>
      <c r="C1" s="1" t="s">
        <v>1</v>
      </c>
      <c r="D1" s="1" t="s">
        <v>8</v>
      </c>
      <c r="E1" s="1" t="s">
        <v>3</v>
      </c>
      <c r="F1" s="1" t="s">
        <v>9</v>
      </c>
    </row>
    <row r="2">
      <c r="A2" s="4" t="s">
        <v>33</v>
      </c>
      <c r="B2" s="4">
        <v>0.0</v>
      </c>
      <c r="C2" s="4" t="s">
        <v>11</v>
      </c>
      <c r="D2" s="4">
        <v>5.4722146987915</v>
      </c>
      <c r="E2" s="4" t="s">
        <v>12</v>
      </c>
      <c r="F2" s="4">
        <v>6.0737829208374</v>
      </c>
      <c r="H2" s="5" t="s">
        <v>1</v>
      </c>
      <c r="I2" s="5" t="s">
        <v>2</v>
      </c>
      <c r="J2" s="5" t="s">
        <v>3</v>
      </c>
      <c r="K2" s="5" t="s">
        <v>4</v>
      </c>
      <c r="L2" s="5" t="s">
        <v>5</v>
      </c>
    </row>
    <row r="3">
      <c r="A3" s="4" t="s">
        <v>33</v>
      </c>
      <c r="B3" s="4">
        <v>1.0</v>
      </c>
      <c r="C3" s="4" t="s">
        <v>11</v>
      </c>
      <c r="D3" s="4">
        <v>5.63411021232605</v>
      </c>
      <c r="E3" s="4" t="s">
        <v>12</v>
      </c>
      <c r="F3" s="4">
        <v>6.03758835792541</v>
      </c>
      <c r="H3" s="6" t="str">
        <f>IFERROR(__xludf.DUMMYFUNCTION("unique(C2:C1000)"),"LCOM")</f>
        <v>LCOM</v>
      </c>
      <c r="I3" s="3">
        <f>IFERROR(__xludf.DUMMYFUNCTION("sum(query(C:D, ""select avg(D) where C='""&amp;$H3&amp;""'""))"),5.536442637443537)</f>
        <v>5.536442637</v>
      </c>
      <c r="J3" s="3" t="str">
        <f>IFERROR(__xludf.DUMMYFUNCTION("unique(E2:E1000)"),"EO_LCOM1")</f>
        <v>EO_LCOM1</v>
      </c>
      <c r="K3" s="3">
        <f>IFERROR(__xludf.DUMMYFUNCTION("sum(query(E:F, ""select avg(F) where E='""&amp;$J3&amp;""'""))"),6.262463045120236)</f>
        <v>6.262463045</v>
      </c>
      <c r="L3" s="7">
        <f t="shared" ref="L3:L9" si="1">K3/I3</f>
        <v>1.13113482</v>
      </c>
    </row>
    <row r="4">
      <c r="A4" s="4" t="s">
        <v>33</v>
      </c>
      <c r="B4" s="4">
        <v>2.0</v>
      </c>
      <c r="C4" s="4" t="s">
        <v>11</v>
      </c>
      <c r="D4" s="4">
        <v>5.56249785423278</v>
      </c>
      <c r="E4" s="4" t="s">
        <v>12</v>
      </c>
      <c r="F4" s="4">
        <v>6.10999035835266</v>
      </c>
      <c r="H4" s="6" t="str">
        <f>IFERROR(__xludf.DUMMYFUNCTION("""COMPUTED_VALUE"""),"LCOM2")</f>
        <v>LCOM2</v>
      </c>
      <c r="I4" s="3">
        <f>IFERROR(__xludf.DUMMYFUNCTION("sum(query(C:D, ""select avg(D) where C='""&amp;$H4&amp;""'""))"),5.3826442956924385)</f>
        <v>5.382644296</v>
      </c>
      <c r="J4" s="3" t="str">
        <f>IFERROR(__xludf.DUMMYFUNCTION("""COMPUTED_VALUE"""),"EO_LCOM2")</f>
        <v>EO_LCOM2</v>
      </c>
      <c r="K4" s="3">
        <f>IFERROR(__xludf.DUMMYFUNCTION("sum(query(E:F, ""select avg(F) where E='""&amp;$J4&amp;""'""))"),6.069638466835018)</f>
        <v>6.069638467</v>
      </c>
      <c r="L4" s="7">
        <f t="shared" si="1"/>
        <v>1.127631352</v>
      </c>
    </row>
    <row r="5">
      <c r="A5" s="4" t="s">
        <v>33</v>
      </c>
      <c r="B5" s="4">
        <v>3.0</v>
      </c>
      <c r="C5" s="4" t="s">
        <v>11</v>
      </c>
      <c r="D5" s="4">
        <v>5.64533376693725</v>
      </c>
      <c r="E5" s="4" t="s">
        <v>12</v>
      </c>
      <c r="F5" s="4">
        <v>6.21686816215515</v>
      </c>
      <c r="H5" s="6" t="str">
        <f>IFERROR(__xludf.DUMMYFUNCTION("""COMPUTED_VALUE"""),"LCOM3")</f>
        <v>LCOM3</v>
      </c>
      <c r="I5" s="3">
        <f>IFERROR(__xludf.DUMMYFUNCTION("sum(query(C:D, ""select avg(D) where C='""&amp;$H5&amp;""'""))"),5.418313169479366)</f>
        <v>5.418313169</v>
      </c>
      <c r="J5" s="3" t="str">
        <f>IFERROR(__xludf.DUMMYFUNCTION("""COMPUTED_VALUE"""),"EO_LCOM3")</f>
        <v>EO_LCOM3</v>
      </c>
      <c r="K5" s="3">
        <f>IFERROR(__xludf.DUMMYFUNCTION("sum(query(E:F, ""select avg(F) where E='""&amp;$J5&amp;""'""))"),5.930188989639278)</f>
        <v>5.93018899</v>
      </c>
      <c r="L5" s="7">
        <f t="shared" si="1"/>
        <v>1.094471435</v>
      </c>
    </row>
    <row r="6">
      <c r="A6" s="4" t="s">
        <v>33</v>
      </c>
      <c r="B6" s="4">
        <v>4.0</v>
      </c>
      <c r="C6" s="4" t="s">
        <v>11</v>
      </c>
      <c r="D6" s="4">
        <v>5.69398403167724</v>
      </c>
      <c r="E6" s="4" t="s">
        <v>12</v>
      </c>
      <c r="F6" s="4">
        <v>6.0976378917694</v>
      </c>
      <c r="H6" s="6" t="str">
        <f>IFERROR(__xludf.DUMMYFUNCTION("""COMPUTED_VALUE"""),"TCC")</f>
        <v>TCC</v>
      </c>
      <c r="I6" s="3">
        <f>IFERROR(__xludf.DUMMYFUNCTION("sum(query(C:D, ""select avg(D) where C='""&amp;$H6&amp;""'""))"),5.60565364360809)</f>
        <v>5.605653644</v>
      </c>
      <c r="J6" s="3" t="str">
        <f>IFERROR(__xludf.DUMMYFUNCTION("""COMPUTED_VALUE"""),"EO_TCC")</f>
        <v>EO_TCC</v>
      </c>
      <c r="K6" s="3">
        <f>IFERROR(__xludf.DUMMYFUNCTION("sum(query(E:F, ""select avg(F) where E='""&amp;$J6&amp;""'""))"),6.457054710388176)</f>
        <v>6.45705471</v>
      </c>
      <c r="L6" s="7">
        <f t="shared" si="1"/>
        <v>1.151882567</v>
      </c>
    </row>
    <row r="7">
      <c r="A7" s="4" t="s">
        <v>33</v>
      </c>
      <c r="B7" s="4">
        <v>5.0</v>
      </c>
      <c r="C7" s="4" t="s">
        <v>11</v>
      </c>
      <c r="D7" s="4">
        <v>5.23766446113586</v>
      </c>
      <c r="E7" s="4" t="s">
        <v>12</v>
      </c>
      <c r="F7" s="4">
        <v>6.38339591026306</v>
      </c>
      <c r="H7" s="6" t="str">
        <f>IFERROR(__xludf.DUMMYFUNCTION("""COMPUTED_VALUE"""),"LCC")</f>
        <v>LCC</v>
      </c>
      <c r="I7" s="3">
        <f>IFERROR(__xludf.DUMMYFUNCTION("sum(query(C:D, ""select avg(D) where C='""&amp;$H7&amp;""'""))"),5.758413720130915)</f>
        <v>5.75841372</v>
      </c>
      <c r="J7" s="3" t="str">
        <f>IFERROR(__xludf.DUMMYFUNCTION("""COMPUTED_VALUE"""),"EO_LCC")</f>
        <v>EO_LCC</v>
      </c>
      <c r="K7" s="3">
        <f>IFERROR(__xludf.DUMMYFUNCTION("sum(query(E:F, ""select avg(F) where E='""&amp;$J7&amp;""'""))"),188.6890677690501)</f>
        <v>188.6890678</v>
      </c>
      <c r="L7" s="7">
        <f t="shared" si="1"/>
        <v>32.76754275</v>
      </c>
    </row>
    <row r="8">
      <c r="A8" s="4" t="s">
        <v>33</v>
      </c>
      <c r="B8" s="4">
        <v>6.0</v>
      </c>
      <c r="C8" s="4" t="s">
        <v>11</v>
      </c>
      <c r="D8" s="4">
        <v>5.40240788459777</v>
      </c>
      <c r="E8" s="4" t="s">
        <v>12</v>
      </c>
      <c r="F8" s="4">
        <v>6.34286379814147</v>
      </c>
      <c r="H8" s="6" t="str">
        <f>IFERROR(__xludf.DUMMYFUNCTION("""COMPUTED_VALUE"""),"CAMC")</f>
        <v>CAMC</v>
      </c>
      <c r="I8" s="3">
        <f>IFERROR(__xludf.DUMMYFUNCTION("sum(query(C:D, ""select avg(D) where C='""&amp;$H8&amp;""'""))"),5.316642975807185)</f>
        <v>5.316642976</v>
      </c>
      <c r="J8" s="3" t="str">
        <f>IFERROR(__xludf.DUMMYFUNCTION("""COMPUTED_VALUE"""),"EO_CAMC")</f>
        <v>EO_CAMC</v>
      </c>
      <c r="K8" s="3">
        <f>IFERROR(__xludf.DUMMYFUNCTION("sum(query(E:F, ""select avg(F) where E='""&amp;$J8&amp;""'""))"),6.071357297897334)</f>
        <v>6.071357298</v>
      </c>
      <c r="L8" s="7">
        <f t="shared" si="1"/>
        <v>1.14195317</v>
      </c>
    </row>
    <row r="9">
      <c r="A9" s="4" t="s">
        <v>33</v>
      </c>
      <c r="B9" s="4">
        <v>7.0</v>
      </c>
      <c r="C9" s="4" t="s">
        <v>11</v>
      </c>
      <c r="D9" s="4">
        <v>5.44497370719909</v>
      </c>
      <c r="E9" s="4" t="s">
        <v>12</v>
      </c>
      <c r="F9" s="4">
        <v>6.50024652481079</v>
      </c>
      <c r="H9" s="8" t="str">
        <f>IFERROR(__xludf.DUMMYFUNCTION("""COMPUTED_VALUE"""),"NHD")</f>
        <v>NHD</v>
      </c>
      <c r="I9" s="9">
        <f>IFERROR(__xludf.DUMMYFUNCTION("sum(query(C:D, ""select avg(D) where C='""&amp;$H9&amp;""'""))"),5.392885756492611)</f>
        <v>5.392885756</v>
      </c>
      <c r="J9" s="9" t="str">
        <f>IFERROR(__xludf.DUMMYFUNCTION("""COMPUTED_VALUE"""),"EO_NHD")</f>
        <v>EO_NHD</v>
      </c>
      <c r="K9" s="9">
        <f>IFERROR(__xludf.DUMMYFUNCTION("sum(query(E:F, ""select avg(F) where E='""&amp;$J9&amp;""'""))"),6.014827847480769)</f>
        <v>6.014827847</v>
      </c>
      <c r="L9" s="14">
        <f t="shared" si="1"/>
        <v>1.115326398</v>
      </c>
    </row>
    <row r="10">
      <c r="A10" s="4" t="s">
        <v>33</v>
      </c>
      <c r="B10" s="4">
        <v>8.0</v>
      </c>
      <c r="C10" s="4" t="s">
        <v>11</v>
      </c>
      <c r="D10" s="4">
        <v>5.62560153007507</v>
      </c>
      <c r="E10" s="4" t="s">
        <v>12</v>
      </c>
      <c r="F10" s="4">
        <v>6.58546352386474</v>
      </c>
      <c r="H10" s="3"/>
      <c r="J10" s="3"/>
      <c r="K10" s="10" t="s">
        <v>13</v>
      </c>
      <c r="L10" s="11">
        <f>AVERAGE(L3:L9)</f>
        <v>5.647134642</v>
      </c>
    </row>
    <row r="11">
      <c r="A11" s="4" t="s">
        <v>33</v>
      </c>
      <c r="B11" s="4">
        <v>9.0</v>
      </c>
      <c r="C11" s="4" t="s">
        <v>11</v>
      </c>
      <c r="D11" s="4">
        <v>5.64563822746276</v>
      </c>
      <c r="E11" s="4" t="s">
        <v>12</v>
      </c>
      <c r="F11" s="4">
        <v>6.27679300308227</v>
      </c>
      <c r="L11" s="12">
        <f>L10-1</f>
        <v>4.647134642</v>
      </c>
      <c r="M11" s="4" t="s">
        <v>14</v>
      </c>
    </row>
    <row r="12">
      <c r="A12" s="4" t="s">
        <v>33</v>
      </c>
      <c r="B12" s="4">
        <v>0.0</v>
      </c>
      <c r="C12" s="4" t="s">
        <v>15</v>
      </c>
      <c r="D12" s="4">
        <v>5.55431485176086</v>
      </c>
      <c r="E12" s="4" t="s">
        <v>16</v>
      </c>
      <c r="F12" s="4">
        <v>6.45266604423522</v>
      </c>
    </row>
    <row r="13">
      <c r="A13" s="4" t="s">
        <v>33</v>
      </c>
      <c r="B13" s="4">
        <v>1.0</v>
      </c>
      <c r="C13" s="4" t="s">
        <v>15</v>
      </c>
      <c r="D13" s="4">
        <v>4.9571783542633</v>
      </c>
      <c r="E13" s="4" t="s">
        <v>16</v>
      </c>
      <c r="F13" s="4">
        <v>6.20510196685791</v>
      </c>
    </row>
    <row r="14">
      <c r="A14" s="4" t="s">
        <v>33</v>
      </c>
      <c r="B14" s="4">
        <v>2.0</v>
      </c>
      <c r="C14" s="4" t="s">
        <v>15</v>
      </c>
      <c r="D14" s="4">
        <v>5.4299464225769</v>
      </c>
      <c r="E14" s="4" t="s">
        <v>16</v>
      </c>
      <c r="F14" s="4">
        <v>5.60894751548767</v>
      </c>
    </row>
    <row r="15">
      <c r="A15" s="4" t="s">
        <v>33</v>
      </c>
      <c r="B15" s="4">
        <v>3.0</v>
      </c>
      <c r="C15" s="4" t="s">
        <v>15</v>
      </c>
      <c r="D15" s="4">
        <v>5.35931515693664</v>
      </c>
      <c r="E15" s="4" t="s">
        <v>16</v>
      </c>
      <c r="F15" s="4">
        <v>6.61270189285278</v>
      </c>
    </row>
    <row r="16">
      <c r="A16" s="4" t="s">
        <v>33</v>
      </c>
      <c r="B16" s="4">
        <v>4.0</v>
      </c>
      <c r="C16" s="4" t="s">
        <v>15</v>
      </c>
      <c r="D16" s="4">
        <v>5.21239399909973</v>
      </c>
      <c r="E16" s="4" t="s">
        <v>16</v>
      </c>
      <c r="F16" s="4">
        <v>5.96189379692077</v>
      </c>
    </row>
    <row r="17">
      <c r="A17" s="4" t="s">
        <v>33</v>
      </c>
      <c r="B17" s="4">
        <v>5.0</v>
      </c>
      <c r="C17" s="4" t="s">
        <v>15</v>
      </c>
      <c r="D17" s="4">
        <v>5.23108601570129</v>
      </c>
      <c r="E17" s="4" t="s">
        <v>16</v>
      </c>
      <c r="F17" s="4">
        <v>5.8269612789154</v>
      </c>
    </row>
    <row r="18">
      <c r="A18" s="4" t="s">
        <v>33</v>
      </c>
      <c r="B18" s="4">
        <v>6.0</v>
      </c>
      <c r="C18" s="4" t="s">
        <v>15</v>
      </c>
      <c r="D18" s="4">
        <v>5.99945592880249</v>
      </c>
      <c r="E18" s="4" t="s">
        <v>16</v>
      </c>
      <c r="F18" s="4">
        <v>5.93201613426208</v>
      </c>
    </row>
    <row r="19">
      <c r="A19" s="4" t="s">
        <v>33</v>
      </c>
      <c r="B19" s="4">
        <v>7.0</v>
      </c>
      <c r="C19" s="4" t="s">
        <v>15</v>
      </c>
      <c r="D19" s="4">
        <v>5.26773238182067</v>
      </c>
      <c r="E19" s="4" t="s">
        <v>16</v>
      </c>
      <c r="F19" s="4">
        <v>6.08137965202331</v>
      </c>
    </row>
    <row r="20">
      <c r="A20" s="4" t="s">
        <v>33</v>
      </c>
      <c r="B20" s="4">
        <v>8.0</v>
      </c>
      <c r="C20" s="4" t="s">
        <v>15</v>
      </c>
      <c r="D20" s="4">
        <v>5.50840783119201</v>
      </c>
      <c r="E20" s="4" t="s">
        <v>16</v>
      </c>
      <c r="F20" s="4">
        <v>5.95617651939392</v>
      </c>
    </row>
    <row r="21">
      <c r="A21" s="4" t="s">
        <v>33</v>
      </c>
      <c r="B21" s="4">
        <v>9.0</v>
      </c>
      <c r="C21" s="4" t="s">
        <v>15</v>
      </c>
      <c r="D21" s="4">
        <v>5.3066120147705</v>
      </c>
      <c r="E21" s="4" t="s">
        <v>16</v>
      </c>
      <c r="F21" s="4">
        <v>6.05853986740112</v>
      </c>
    </row>
    <row r="22">
      <c r="A22" s="4" t="s">
        <v>33</v>
      </c>
      <c r="B22" s="4">
        <v>0.0</v>
      </c>
      <c r="C22" s="4" t="s">
        <v>17</v>
      </c>
      <c r="D22" s="4">
        <v>6.62855458259582</v>
      </c>
      <c r="E22" s="4" t="s">
        <v>18</v>
      </c>
      <c r="F22" s="4">
        <v>5.87702202796936</v>
      </c>
    </row>
    <row r="23">
      <c r="A23" s="4" t="s">
        <v>33</v>
      </c>
      <c r="B23" s="4">
        <v>1.0</v>
      </c>
      <c r="C23" s="4" t="s">
        <v>17</v>
      </c>
      <c r="D23" s="4">
        <v>5.32912015914917</v>
      </c>
      <c r="E23" s="4" t="s">
        <v>18</v>
      </c>
      <c r="F23" s="4">
        <v>5.83624243736267</v>
      </c>
    </row>
    <row r="24">
      <c r="A24" s="4" t="s">
        <v>33</v>
      </c>
      <c r="B24" s="4">
        <v>2.0</v>
      </c>
      <c r="C24" s="4" t="s">
        <v>17</v>
      </c>
      <c r="D24" s="4">
        <v>5.29789638519287</v>
      </c>
      <c r="E24" s="4" t="s">
        <v>18</v>
      </c>
      <c r="F24" s="4">
        <v>5.52442622184753</v>
      </c>
    </row>
    <row r="25">
      <c r="A25" s="4" t="s">
        <v>33</v>
      </c>
      <c r="B25" s="4">
        <v>3.0</v>
      </c>
      <c r="C25" s="4" t="s">
        <v>17</v>
      </c>
      <c r="D25" s="4">
        <v>5.28528380393981</v>
      </c>
      <c r="E25" s="4" t="s">
        <v>18</v>
      </c>
      <c r="F25" s="4">
        <v>6.01379251480102</v>
      </c>
    </row>
    <row r="26">
      <c r="A26" s="4" t="s">
        <v>33</v>
      </c>
      <c r="B26" s="4">
        <v>4.0</v>
      </c>
      <c r="C26" s="4" t="s">
        <v>17</v>
      </c>
      <c r="D26" s="4">
        <v>5.16315746307373</v>
      </c>
      <c r="E26" s="4" t="s">
        <v>18</v>
      </c>
      <c r="F26" s="4">
        <v>5.80309748649597</v>
      </c>
    </row>
    <row r="27">
      <c r="A27" s="4" t="s">
        <v>33</v>
      </c>
      <c r="B27" s="4">
        <v>5.0</v>
      </c>
      <c r="C27" s="4" t="s">
        <v>17</v>
      </c>
      <c r="D27" s="4">
        <v>5.22983932495117</v>
      </c>
      <c r="E27" s="4" t="s">
        <v>18</v>
      </c>
      <c r="F27" s="4">
        <v>6.12805485725402</v>
      </c>
    </row>
    <row r="28">
      <c r="A28" s="4" t="s">
        <v>33</v>
      </c>
      <c r="B28" s="4">
        <v>6.0</v>
      </c>
      <c r="C28" s="4" t="s">
        <v>17</v>
      </c>
      <c r="D28" s="4">
        <v>5.24359107017517</v>
      </c>
      <c r="E28" s="4" t="s">
        <v>18</v>
      </c>
      <c r="F28" s="4">
        <v>7.03387761116027</v>
      </c>
    </row>
    <row r="29">
      <c r="A29" s="4" t="s">
        <v>33</v>
      </c>
      <c r="B29" s="4">
        <v>7.0</v>
      </c>
      <c r="C29" s="4" t="s">
        <v>17</v>
      </c>
      <c r="D29" s="4">
        <v>5.34372973442077</v>
      </c>
      <c r="E29" s="4" t="s">
        <v>18</v>
      </c>
      <c r="F29" s="4">
        <v>5.74622726440429</v>
      </c>
    </row>
    <row r="30">
      <c r="A30" s="4" t="s">
        <v>33</v>
      </c>
      <c r="B30" s="4">
        <v>8.0</v>
      </c>
      <c r="C30" s="4" t="s">
        <v>17</v>
      </c>
      <c r="D30" s="4">
        <v>5.26430940628051</v>
      </c>
      <c r="E30" s="4" t="s">
        <v>18</v>
      </c>
      <c r="F30" s="4">
        <v>5.53425168991088</v>
      </c>
    </row>
    <row r="31">
      <c r="A31" s="4" t="s">
        <v>33</v>
      </c>
      <c r="B31" s="4">
        <v>9.0</v>
      </c>
      <c r="C31" s="4" t="s">
        <v>17</v>
      </c>
      <c r="D31" s="4">
        <v>5.39764976501464</v>
      </c>
      <c r="E31" s="4" t="s">
        <v>18</v>
      </c>
      <c r="F31" s="4">
        <v>5.80489778518676</v>
      </c>
    </row>
    <row r="32">
      <c r="A32" s="4" t="s">
        <v>33</v>
      </c>
      <c r="B32" s="4">
        <v>0.0</v>
      </c>
      <c r="C32" s="4" t="s">
        <v>19</v>
      </c>
      <c r="D32" s="4">
        <v>5.30084609985351</v>
      </c>
      <c r="E32" s="4" t="s">
        <v>20</v>
      </c>
      <c r="F32" s="4">
        <v>6.20353937149047</v>
      </c>
    </row>
    <row r="33">
      <c r="A33" s="4" t="s">
        <v>33</v>
      </c>
      <c r="B33" s="4">
        <v>1.0</v>
      </c>
      <c r="C33" s="4" t="s">
        <v>19</v>
      </c>
      <c r="D33" s="4">
        <v>5.4395592212677</v>
      </c>
      <c r="E33" s="4" t="s">
        <v>20</v>
      </c>
      <c r="F33" s="4">
        <v>6.32752680778503</v>
      </c>
    </row>
    <row r="34">
      <c r="A34" s="4" t="s">
        <v>33</v>
      </c>
      <c r="B34" s="4">
        <v>2.0</v>
      </c>
      <c r="C34" s="4" t="s">
        <v>19</v>
      </c>
      <c r="D34" s="4">
        <v>7.13370776176452</v>
      </c>
      <c r="E34" s="4" t="s">
        <v>20</v>
      </c>
      <c r="F34" s="4">
        <v>6.41501092910766</v>
      </c>
    </row>
    <row r="35">
      <c r="A35" s="4" t="s">
        <v>33</v>
      </c>
      <c r="B35" s="4">
        <v>3.0</v>
      </c>
      <c r="C35" s="4" t="s">
        <v>19</v>
      </c>
      <c r="D35" s="4">
        <v>5.35085558891296</v>
      </c>
      <c r="E35" s="4" t="s">
        <v>20</v>
      </c>
      <c r="F35" s="4">
        <v>6.16083312034606</v>
      </c>
    </row>
    <row r="36">
      <c r="A36" s="4" t="s">
        <v>33</v>
      </c>
      <c r="B36" s="4">
        <v>4.0</v>
      </c>
      <c r="C36" s="4" t="s">
        <v>19</v>
      </c>
      <c r="D36" s="4">
        <v>5.46213388442993</v>
      </c>
      <c r="E36" s="4" t="s">
        <v>20</v>
      </c>
      <c r="F36" s="4">
        <v>6.2923092842102</v>
      </c>
    </row>
    <row r="37">
      <c r="A37" s="4" t="s">
        <v>33</v>
      </c>
      <c r="B37" s="4">
        <v>5.0</v>
      </c>
      <c r="C37" s="4" t="s">
        <v>19</v>
      </c>
      <c r="D37" s="4">
        <v>5.21453881263732</v>
      </c>
      <c r="E37" s="4" t="s">
        <v>20</v>
      </c>
      <c r="F37" s="4">
        <v>6.45298314094543</v>
      </c>
    </row>
    <row r="38">
      <c r="A38" s="4" t="s">
        <v>33</v>
      </c>
      <c r="B38" s="4">
        <v>6.0</v>
      </c>
      <c r="C38" s="4" t="s">
        <v>19</v>
      </c>
      <c r="D38" s="4">
        <v>5.48753905296325</v>
      </c>
      <c r="E38" s="4" t="s">
        <v>20</v>
      </c>
      <c r="F38" s="4">
        <v>6.52895498275756</v>
      </c>
    </row>
    <row r="39">
      <c r="A39" s="4" t="s">
        <v>33</v>
      </c>
      <c r="B39" s="4">
        <v>7.0</v>
      </c>
      <c r="C39" s="4" t="s">
        <v>19</v>
      </c>
      <c r="D39" s="4">
        <v>5.59274435043335</v>
      </c>
      <c r="E39" s="4" t="s">
        <v>20</v>
      </c>
      <c r="F39" s="4">
        <v>6.32457447052001</v>
      </c>
    </row>
    <row r="40">
      <c r="A40" s="4" t="s">
        <v>33</v>
      </c>
      <c r="B40" s="4">
        <v>8.0</v>
      </c>
      <c r="C40" s="4" t="s">
        <v>19</v>
      </c>
      <c r="D40" s="4">
        <v>5.48764419555664</v>
      </c>
      <c r="E40" s="4" t="s">
        <v>20</v>
      </c>
      <c r="F40" s="4">
        <v>6.26157593727111</v>
      </c>
    </row>
    <row r="41">
      <c r="A41" s="4" t="s">
        <v>33</v>
      </c>
      <c r="B41" s="4">
        <v>9.0</v>
      </c>
      <c r="C41" s="4" t="s">
        <v>19</v>
      </c>
      <c r="D41" s="4">
        <v>5.58696746826171</v>
      </c>
      <c r="E41" s="4" t="s">
        <v>20</v>
      </c>
      <c r="F41" s="4">
        <v>7.60323905944824</v>
      </c>
    </row>
    <row r="42">
      <c r="A42" s="4" t="s">
        <v>33</v>
      </c>
      <c r="B42" s="4">
        <v>0.0</v>
      </c>
      <c r="C42" s="4" t="s">
        <v>21</v>
      </c>
      <c r="D42" s="4">
        <v>5.71767902374267</v>
      </c>
      <c r="E42" s="4" t="s">
        <v>22</v>
      </c>
      <c r="F42" s="4">
        <v>189.542216300964</v>
      </c>
    </row>
    <row r="43">
      <c r="A43" s="4" t="s">
        <v>33</v>
      </c>
      <c r="B43" s="4">
        <v>1.0</v>
      </c>
      <c r="C43" s="4" t="s">
        <v>21</v>
      </c>
      <c r="D43" s="4">
        <v>5.5578863620758</v>
      </c>
      <c r="E43" s="4" t="s">
        <v>22</v>
      </c>
      <c r="F43" s="4">
        <v>184.804096937179</v>
      </c>
    </row>
    <row r="44">
      <c r="A44" s="4" t="s">
        <v>33</v>
      </c>
      <c r="B44" s="4">
        <v>2.0</v>
      </c>
      <c r="C44" s="4" t="s">
        <v>21</v>
      </c>
      <c r="D44" s="4">
        <v>5.34200954437255</v>
      </c>
      <c r="E44" s="4" t="s">
        <v>22</v>
      </c>
      <c r="F44" s="4">
        <v>191.442673444747</v>
      </c>
    </row>
    <row r="45">
      <c r="A45" s="4" t="s">
        <v>33</v>
      </c>
      <c r="B45" s="4">
        <v>3.0</v>
      </c>
      <c r="C45" s="4" t="s">
        <v>21</v>
      </c>
      <c r="D45" s="4">
        <v>7.58239817619323</v>
      </c>
      <c r="E45" s="4" t="s">
        <v>22</v>
      </c>
      <c r="F45" s="4">
        <v>194.80207824707</v>
      </c>
    </row>
    <row r="46">
      <c r="A46" s="4" t="s">
        <v>33</v>
      </c>
      <c r="B46" s="4">
        <v>4.0</v>
      </c>
      <c r="C46" s="4" t="s">
        <v>21</v>
      </c>
      <c r="D46" s="4">
        <v>5.66230869293212</v>
      </c>
      <c r="E46" s="4" t="s">
        <v>22</v>
      </c>
      <c r="F46" s="4">
        <v>189.186939716339</v>
      </c>
    </row>
    <row r="47">
      <c r="A47" s="4" t="s">
        <v>33</v>
      </c>
      <c r="B47" s="4">
        <v>5.0</v>
      </c>
      <c r="C47" s="4" t="s">
        <v>21</v>
      </c>
      <c r="D47" s="4">
        <v>5.24080371856689</v>
      </c>
      <c r="E47" s="4" t="s">
        <v>22</v>
      </c>
      <c r="F47" s="4">
        <v>189.041419744491</v>
      </c>
    </row>
    <row r="48">
      <c r="A48" s="4" t="s">
        <v>33</v>
      </c>
      <c r="B48" s="4">
        <v>6.0</v>
      </c>
      <c r="C48" s="4" t="s">
        <v>21</v>
      </c>
      <c r="D48" s="4">
        <v>5.48072004318237</v>
      </c>
      <c r="E48" s="4" t="s">
        <v>22</v>
      </c>
      <c r="F48" s="4">
        <v>182.815068960189</v>
      </c>
    </row>
    <row r="49">
      <c r="A49" s="4" t="s">
        <v>33</v>
      </c>
      <c r="B49" s="4">
        <v>7.0</v>
      </c>
      <c r="C49" s="4" t="s">
        <v>21</v>
      </c>
      <c r="D49" s="4">
        <v>5.56425595283508</v>
      </c>
      <c r="E49" s="4" t="s">
        <v>22</v>
      </c>
      <c r="F49" s="4">
        <v>191.175053358078</v>
      </c>
    </row>
    <row r="50">
      <c r="A50" s="4" t="s">
        <v>33</v>
      </c>
      <c r="B50" s="4">
        <v>8.0</v>
      </c>
      <c r="C50" s="4" t="s">
        <v>21</v>
      </c>
      <c r="D50" s="4">
        <v>5.6572082042694</v>
      </c>
      <c r="E50" s="4" t="s">
        <v>22</v>
      </c>
      <c r="F50" s="4">
        <v>188.760327100753</v>
      </c>
    </row>
    <row r="51">
      <c r="A51" s="4" t="s">
        <v>33</v>
      </c>
      <c r="B51" s="4">
        <v>9.0</v>
      </c>
      <c r="C51" s="4" t="s">
        <v>21</v>
      </c>
      <c r="D51" s="4">
        <v>5.77886748313903</v>
      </c>
      <c r="E51" s="4" t="s">
        <v>22</v>
      </c>
      <c r="F51" s="4">
        <v>185.320803880691</v>
      </c>
    </row>
    <row r="52">
      <c r="A52" s="4" t="s">
        <v>33</v>
      </c>
      <c r="B52" s="4">
        <v>0.0</v>
      </c>
      <c r="C52" s="4" t="s">
        <v>23</v>
      </c>
      <c r="D52" s="4">
        <v>5.33931684494018</v>
      </c>
      <c r="E52" s="4" t="s">
        <v>24</v>
      </c>
      <c r="F52" s="4">
        <v>5.87004613876342</v>
      </c>
    </row>
    <row r="53">
      <c r="A53" s="4" t="s">
        <v>33</v>
      </c>
      <c r="B53" s="4">
        <v>1.0</v>
      </c>
      <c r="C53" s="4" t="s">
        <v>23</v>
      </c>
      <c r="D53" s="4">
        <v>5.11676669120788</v>
      </c>
      <c r="E53" s="4" t="s">
        <v>24</v>
      </c>
      <c r="F53" s="4">
        <v>5.89148879051208</v>
      </c>
    </row>
    <row r="54">
      <c r="A54" s="4" t="s">
        <v>33</v>
      </c>
      <c r="B54" s="4">
        <v>2.0</v>
      </c>
      <c r="C54" s="4" t="s">
        <v>23</v>
      </c>
      <c r="D54" s="4">
        <v>5.50478529930114</v>
      </c>
      <c r="E54" s="4" t="s">
        <v>24</v>
      </c>
      <c r="F54" s="4">
        <v>5.84180355072021</v>
      </c>
    </row>
    <row r="55">
      <c r="A55" s="4" t="s">
        <v>33</v>
      </c>
      <c r="B55" s="4">
        <v>3.0</v>
      </c>
      <c r="C55" s="4" t="s">
        <v>23</v>
      </c>
      <c r="D55" s="4">
        <v>5.02269959449768</v>
      </c>
      <c r="E55" s="4" t="s">
        <v>24</v>
      </c>
      <c r="F55" s="4">
        <v>6.01172375679016</v>
      </c>
    </row>
    <row r="56">
      <c r="A56" s="4" t="s">
        <v>33</v>
      </c>
      <c r="B56" s="4">
        <v>4.0</v>
      </c>
      <c r="C56" s="4" t="s">
        <v>23</v>
      </c>
      <c r="D56" s="4">
        <v>5.38264894485473</v>
      </c>
      <c r="E56" s="4" t="s">
        <v>24</v>
      </c>
      <c r="F56" s="4">
        <v>6.39007639884948</v>
      </c>
    </row>
    <row r="57">
      <c r="A57" s="4" t="s">
        <v>33</v>
      </c>
      <c r="B57" s="4">
        <v>5.0</v>
      </c>
      <c r="C57" s="4" t="s">
        <v>23</v>
      </c>
      <c r="D57" s="4">
        <v>5.23566484451293</v>
      </c>
      <c r="E57" s="4" t="s">
        <v>24</v>
      </c>
      <c r="F57" s="4">
        <v>6.16922807693481</v>
      </c>
    </row>
    <row r="58">
      <c r="A58" s="4" t="s">
        <v>33</v>
      </c>
      <c r="B58" s="4">
        <v>6.0</v>
      </c>
      <c r="C58" s="4" t="s">
        <v>23</v>
      </c>
      <c r="D58" s="4">
        <v>5.52646255493164</v>
      </c>
      <c r="E58" s="4" t="s">
        <v>24</v>
      </c>
      <c r="F58" s="4">
        <v>5.71910238265991</v>
      </c>
    </row>
    <row r="59">
      <c r="A59" s="4" t="s">
        <v>33</v>
      </c>
      <c r="B59" s="4">
        <v>7.0</v>
      </c>
      <c r="C59" s="4" t="s">
        <v>23</v>
      </c>
      <c r="D59" s="4">
        <v>5.40925097465515</v>
      </c>
      <c r="E59" s="4" t="s">
        <v>24</v>
      </c>
      <c r="F59" s="4">
        <v>6.03172469139099</v>
      </c>
    </row>
    <row r="60">
      <c r="A60" s="4" t="s">
        <v>33</v>
      </c>
      <c r="B60" s="4">
        <v>8.0</v>
      </c>
      <c r="C60" s="4" t="s">
        <v>23</v>
      </c>
      <c r="D60" s="4">
        <v>5.54087376594543</v>
      </c>
      <c r="E60" s="4" t="s">
        <v>24</v>
      </c>
      <c r="F60" s="4">
        <v>6.00386476516723</v>
      </c>
    </row>
    <row r="61">
      <c r="A61" s="4" t="s">
        <v>33</v>
      </c>
      <c r="B61" s="4">
        <v>9.0</v>
      </c>
      <c r="C61" s="4" t="s">
        <v>23</v>
      </c>
      <c r="D61" s="4">
        <v>5.08796024322509</v>
      </c>
      <c r="E61" s="4" t="s">
        <v>24</v>
      </c>
      <c r="F61" s="4">
        <v>6.78451442718505</v>
      </c>
    </row>
    <row r="62">
      <c r="A62" s="4" t="s">
        <v>33</v>
      </c>
      <c r="B62" s="4">
        <v>0.0</v>
      </c>
      <c r="C62" s="4" t="s">
        <v>25</v>
      </c>
      <c r="D62" s="4">
        <v>5.39023399353027</v>
      </c>
      <c r="E62" s="4" t="s">
        <v>26</v>
      </c>
      <c r="F62" s="4">
        <v>5.89788961410522</v>
      </c>
    </row>
    <row r="63">
      <c r="A63" s="4" t="s">
        <v>33</v>
      </c>
      <c r="B63" s="4">
        <v>1.0</v>
      </c>
      <c r="C63" s="4" t="s">
        <v>25</v>
      </c>
      <c r="D63" s="4">
        <v>5.39249444007873</v>
      </c>
      <c r="E63" s="4" t="s">
        <v>26</v>
      </c>
      <c r="F63" s="4">
        <v>5.88229584693908</v>
      </c>
    </row>
    <row r="64">
      <c r="A64" s="4" t="s">
        <v>33</v>
      </c>
      <c r="B64" s="4">
        <v>2.0</v>
      </c>
      <c r="C64" s="4" t="s">
        <v>25</v>
      </c>
      <c r="D64" s="4">
        <v>5.99296927452087</v>
      </c>
      <c r="E64" s="4" t="s">
        <v>26</v>
      </c>
      <c r="F64" s="4">
        <v>5.98690390586853</v>
      </c>
    </row>
    <row r="65">
      <c r="A65" s="4" t="s">
        <v>33</v>
      </c>
      <c r="B65" s="4">
        <v>3.0</v>
      </c>
      <c r="C65" s="4" t="s">
        <v>25</v>
      </c>
      <c r="D65" s="4">
        <v>5.38600850105285</v>
      </c>
      <c r="E65" s="4" t="s">
        <v>26</v>
      </c>
      <c r="F65" s="4">
        <v>5.82649636268615</v>
      </c>
    </row>
    <row r="66">
      <c r="A66" s="4" t="s">
        <v>33</v>
      </c>
      <c r="B66" s="4">
        <v>4.0</v>
      </c>
      <c r="C66" s="4" t="s">
        <v>25</v>
      </c>
      <c r="D66" s="4">
        <v>5.13792848587036</v>
      </c>
      <c r="E66" s="4" t="s">
        <v>26</v>
      </c>
      <c r="F66" s="4">
        <v>6.15385818481445</v>
      </c>
    </row>
    <row r="67">
      <c r="A67" s="4" t="s">
        <v>33</v>
      </c>
      <c r="B67" s="4">
        <v>5.0</v>
      </c>
      <c r="C67" s="4" t="s">
        <v>25</v>
      </c>
      <c r="D67" s="4">
        <v>5.37711977958679</v>
      </c>
      <c r="E67" s="4" t="s">
        <v>26</v>
      </c>
      <c r="F67" s="4">
        <v>5.94826936721801</v>
      </c>
    </row>
    <row r="68">
      <c r="A68" s="4" t="s">
        <v>33</v>
      </c>
      <c r="B68" s="4">
        <v>6.0</v>
      </c>
      <c r="C68" s="4" t="s">
        <v>25</v>
      </c>
      <c r="D68" s="4">
        <v>5.27986598014831</v>
      </c>
      <c r="E68" s="4" t="s">
        <v>26</v>
      </c>
      <c r="F68" s="4">
        <v>5.80181169509887</v>
      </c>
    </row>
    <row r="69">
      <c r="A69" s="4" t="s">
        <v>33</v>
      </c>
      <c r="B69" s="4">
        <v>7.0</v>
      </c>
      <c r="C69" s="4" t="s">
        <v>25</v>
      </c>
      <c r="D69" s="4">
        <v>5.25119352340698</v>
      </c>
      <c r="E69" s="4" t="s">
        <v>26</v>
      </c>
      <c r="F69" s="4">
        <v>6.68492412567138</v>
      </c>
    </row>
    <row r="70">
      <c r="A70" s="4" t="s">
        <v>33</v>
      </c>
      <c r="B70" s="4">
        <v>8.0</v>
      </c>
      <c r="C70" s="4" t="s">
        <v>25</v>
      </c>
      <c r="D70" s="4">
        <v>5.52993249893188</v>
      </c>
      <c r="E70" s="4" t="s">
        <v>26</v>
      </c>
      <c r="F70" s="4">
        <v>6.17893385887146</v>
      </c>
    </row>
    <row r="71">
      <c r="A71" s="4" t="s">
        <v>33</v>
      </c>
      <c r="B71" s="4">
        <v>9.0</v>
      </c>
      <c r="C71" s="4" t="s">
        <v>25</v>
      </c>
      <c r="D71" s="4">
        <v>5.19111108779907</v>
      </c>
      <c r="E71" s="4" t="s">
        <v>26</v>
      </c>
      <c r="F71" s="4">
        <v>5.78689551353454</v>
      </c>
    </row>
  </sheetData>
  <drawing r:id="rId1"/>
</worksheet>
</file>